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24226"/>
  <mc:AlternateContent xmlns:mc="http://schemas.openxmlformats.org/markup-compatibility/2006">
    <mc:Choice Requires="x15">
      <x15ac:absPath xmlns:x15ac="http://schemas.microsoft.com/office/spreadsheetml/2010/11/ac" url="C:\Pfx Engagement\WM\WorkPapers\{A34AC44B-D9B7-4037-828D-4BECEB300FA9}\{8AD589E5-FC1B-4C7B-9432-4759D81E13DE}\"/>
    </mc:Choice>
  </mc:AlternateContent>
  <xr:revisionPtr revIDLastSave="0" documentId="13_ncr:1_{0FD92587-8BAB-44D9-9A62-43F3FDB778BE}" xr6:coauthVersionLast="45" xr6:coauthVersionMax="45" xr10:uidLastSave="{00000000-0000-0000-0000-000000000000}"/>
  <bookViews>
    <workbookView xWindow="-120" yWindow="-120" windowWidth="20730" windowHeight="11160" tabRatio="708" activeTab="1" xr2:uid="{00000000-000D-0000-FFFF-FFFF00000000}"/>
  </bookViews>
  <sheets>
    <sheet name="Instructions" sheetId="49" r:id="rId1"/>
    <sheet name="Unit Data from Audit Worksheet" sheetId="1" r:id="rId2"/>
    <sheet name="IMPORT" sheetId="28" state="hidden" r:id="rId3"/>
    <sheet name="RSS" sheetId="30" r:id="rId4"/>
    <sheet name="3-Year Analysis" sheetId="37" r:id="rId5"/>
    <sheet name="2020 Acct Changes" sheetId="46" state="hidden" r:id="rId6"/>
    <sheet name="Debt Service Funds (H)" sheetId="41" state="hidden" r:id="rId7"/>
    <sheet name="Average FBA" sheetId="47" r:id="rId8"/>
    <sheet name="sequel interface rules (H)" sheetId="45" state="hidden" r:id="rId9"/>
    <sheet name="Unit Names(H)" sheetId="29" state="hidden" r:id="rId10"/>
    <sheet name="2019 Data(H)" sheetId="42" state="hidden" r:id="rId11"/>
    <sheet name="2018 Data(H)" sheetId="36" state="hidden" r:id="rId12"/>
  </sheets>
  <externalReferences>
    <externalReference r:id="rId13"/>
  </externalReferences>
  <definedNames>
    <definedName name="Audit_Dtl">[1]Database!$AC$3:$AP$413</definedName>
    <definedName name="_xlnm.Print_Area" localSheetId="0">Instructions!$B$1:$B$39</definedName>
    <definedName name="_xlnm.Print_Area" localSheetId="1">'Unit Data from Audit Worksheet'!$A$7:$D$240</definedName>
    <definedName name="_xlnm.Print_Titles" localSheetId="1">'Unit Data from Audit Worksheet'!$5:$5</definedName>
    <definedName name="Temp">[1]Database!$BF$3:$EG$3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45" i="1" l="1"/>
  <c r="F202" i="28" s="1"/>
  <c r="G260" i="1"/>
  <c r="F210" i="28" s="1"/>
  <c r="G252" i="1"/>
  <c r="F209" i="28" s="1"/>
  <c r="G251" i="1"/>
  <c r="F208" i="28" s="1"/>
  <c r="G250" i="1"/>
  <c r="F207" i="28" s="1"/>
  <c r="G249" i="1"/>
  <c r="F206" i="28" s="1"/>
  <c r="G248" i="1"/>
  <c r="F205" i="28" s="1"/>
  <c r="G247" i="1"/>
  <c r="F204" i="28" s="1"/>
  <c r="G246" i="1"/>
  <c r="F203" i="28" s="1"/>
  <c r="G211" i="1"/>
  <c r="E211" i="28"/>
  <c r="L211" i="28" s="1"/>
  <c r="Q211" i="28" s="1"/>
  <c r="E212" i="28"/>
  <c r="L212" i="28" s="1"/>
  <c r="Q212" i="28" s="1"/>
  <c r="E213" i="28"/>
  <c r="L213" i="28" s="1"/>
  <c r="Q213" i="28" s="1"/>
  <c r="E214" i="28"/>
  <c r="L214" i="28" s="1"/>
  <c r="Q214" i="28" s="1"/>
  <c r="E210" i="28"/>
  <c r="L210" i="28" s="1"/>
  <c r="Q210" i="28" s="1"/>
  <c r="C211" i="28"/>
  <c r="C212" i="28"/>
  <c r="C213" i="28"/>
  <c r="C214" i="28"/>
  <c r="C210" i="28"/>
  <c r="N210" i="28" l="1"/>
  <c r="G207" i="1"/>
  <c r="G105" i="1"/>
  <c r="G19" i="1" l="1"/>
  <c r="N183" i="28" l="1"/>
  <c r="G264" i="1"/>
  <c r="F214" i="28" s="1"/>
  <c r="F264" i="1"/>
  <c r="G263" i="1"/>
  <c r="F213" i="28" s="1"/>
  <c r="F263" i="1"/>
  <c r="G262" i="1"/>
  <c r="F212" i="28" s="1"/>
  <c r="F262" i="1"/>
  <c r="G261" i="1"/>
  <c r="F211" i="28" s="1"/>
  <c r="F261" i="1"/>
  <c r="F260" i="1"/>
  <c r="G95" i="1" l="1"/>
  <c r="G80" i="1" l="1"/>
  <c r="BT290" i="42" l="1"/>
  <c r="BU290" i="42"/>
  <c r="BV290" i="42"/>
  <c r="BW290" i="42"/>
  <c r="BX290" i="42"/>
  <c r="BY290" i="42"/>
  <c r="BY292" i="42" s="1"/>
  <c r="BZ290" i="42"/>
  <c r="CA290" i="42"/>
  <c r="CB290" i="42"/>
  <c r="CC290" i="42"/>
  <c r="CD290" i="42"/>
  <c r="CE290" i="42"/>
  <c r="BT291" i="42"/>
  <c r="BT292" i="42" s="1"/>
  <c r="BU291" i="42"/>
  <c r="BU292" i="42" s="1"/>
  <c r="BV291" i="42"/>
  <c r="BV292" i="42" s="1"/>
  <c r="BW291" i="42"/>
  <c r="BX291" i="42"/>
  <c r="BY291" i="42"/>
  <c r="BZ291" i="42"/>
  <c r="CA291" i="42"/>
  <c r="CB291" i="42"/>
  <c r="CC291" i="42"/>
  <c r="CC292" i="42" s="1"/>
  <c r="CD291" i="42"/>
  <c r="CD292" i="42" s="1"/>
  <c r="CE291" i="42"/>
  <c r="CE292" i="42" s="1"/>
  <c r="BT293" i="42"/>
  <c r="BU293" i="42"/>
  <c r="BV293" i="42"/>
  <c r="BW293" i="42"/>
  <c r="BX293" i="42"/>
  <c r="BY293" i="42"/>
  <c r="BZ293" i="42"/>
  <c r="CA293" i="42"/>
  <c r="CB293" i="42"/>
  <c r="CC293" i="42"/>
  <c r="CD293" i="42"/>
  <c r="CE293" i="42"/>
  <c r="BT294" i="42"/>
  <c r="BU294" i="42"/>
  <c r="BV294" i="42"/>
  <c r="BW294" i="42"/>
  <c r="BX294" i="42"/>
  <c r="BY294" i="42"/>
  <c r="BZ294" i="42"/>
  <c r="CA294" i="42"/>
  <c r="CB294" i="42"/>
  <c r="CC294" i="42"/>
  <c r="CD294" i="42"/>
  <c r="CE294" i="42"/>
  <c r="BT295" i="42"/>
  <c r="BU295" i="42"/>
  <c r="BV295" i="42"/>
  <c r="BW295" i="42"/>
  <c r="BX295" i="42"/>
  <c r="BY295" i="42"/>
  <c r="BZ295" i="42"/>
  <c r="CA295" i="42"/>
  <c r="CB295" i="42"/>
  <c r="CC295" i="42"/>
  <c r="CD295" i="42"/>
  <c r="CE295" i="42"/>
  <c r="BT296" i="42"/>
  <c r="BU296" i="42"/>
  <c r="BV296" i="42"/>
  <c r="BW296" i="42"/>
  <c r="BX296" i="42"/>
  <c r="BY296" i="42"/>
  <c r="BZ296" i="42"/>
  <c r="CA296" i="42"/>
  <c r="CB296" i="42"/>
  <c r="CC296" i="42"/>
  <c r="CD296" i="42"/>
  <c r="CE296" i="42"/>
  <c r="BT297" i="42"/>
  <c r="BU297" i="42"/>
  <c r="BV297" i="42"/>
  <c r="BW297" i="42"/>
  <c r="BX297" i="42"/>
  <c r="BY297" i="42"/>
  <c r="BZ297" i="42"/>
  <c r="CA297" i="42"/>
  <c r="CB297" i="42"/>
  <c r="CC297" i="42"/>
  <c r="CD297" i="42"/>
  <c r="CE297" i="42"/>
  <c r="BZ292" i="42" l="1"/>
  <c r="CB292" i="42"/>
  <c r="BW292" i="42"/>
  <c r="BX292" i="42"/>
  <c r="CA292" i="42"/>
  <c r="G114" i="1" l="1"/>
  <c r="G113" i="1"/>
  <c r="G112" i="1"/>
  <c r="G111" i="1"/>
  <c r="G110" i="1"/>
  <c r="G109" i="1"/>
  <c r="G103" i="1"/>
  <c r="G94" i="1"/>
  <c r="G93" i="1"/>
  <c r="G92" i="1"/>
  <c r="G91" i="1"/>
  <c r="G90" i="1"/>
  <c r="G89" i="1"/>
  <c r="D3" i="1" l="1"/>
  <c r="L192" i="28" l="1"/>
  <c r="L191" i="28"/>
  <c r="L193" i="28"/>
  <c r="E239" i="1"/>
  <c r="E238" i="1"/>
  <c r="E237" i="1"/>
  <c r="E236" i="1"/>
  <c r="E235" i="1"/>
  <c r="E234" i="1"/>
  <c r="E233" i="1"/>
  <c r="E232" i="1"/>
  <c r="E229" i="1"/>
  <c r="E227" i="1"/>
  <c r="E225" i="1"/>
  <c r="E223" i="1"/>
  <c r="E222" i="1"/>
  <c r="E221" i="1"/>
  <c r="E215" i="1"/>
  <c r="E214" i="1"/>
  <c r="E212" i="1"/>
  <c r="E211" i="1"/>
  <c r="E210" i="1"/>
  <c r="E209" i="1"/>
  <c r="E206" i="1"/>
  <c r="E204" i="1"/>
  <c r="E203" i="1"/>
  <c r="E202" i="1"/>
  <c r="E201" i="1"/>
  <c r="E199" i="1"/>
  <c r="E198" i="1"/>
  <c r="E197" i="1"/>
  <c r="E192" i="1"/>
  <c r="E191" i="1"/>
  <c r="E190" i="1"/>
  <c r="E189" i="1"/>
  <c r="E186" i="1"/>
  <c r="E185" i="1"/>
  <c r="E184" i="1"/>
  <c r="E183" i="1"/>
  <c r="E180" i="1"/>
  <c r="E179" i="1"/>
  <c r="E178" i="1"/>
  <c r="E177" i="1"/>
  <c r="E173" i="1"/>
  <c r="E172" i="1"/>
  <c r="E168" i="1"/>
  <c r="E167" i="1"/>
  <c r="E163" i="1"/>
  <c r="E159" i="1"/>
  <c r="E157" i="1"/>
  <c r="E156" i="1"/>
  <c r="E155" i="1"/>
  <c r="E153" i="1"/>
  <c r="E152" i="1"/>
  <c r="E151" i="1"/>
  <c r="E146" i="1"/>
  <c r="E145" i="1"/>
  <c r="E144" i="1"/>
  <c r="E143" i="1"/>
  <c r="E142" i="1"/>
  <c r="E141" i="1"/>
  <c r="E140" i="1"/>
  <c r="E139" i="1"/>
  <c r="E138" i="1"/>
  <c r="E137" i="1"/>
  <c r="E136" i="1"/>
  <c r="E135" i="1"/>
  <c r="E134" i="1"/>
  <c r="E132" i="1"/>
  <c r="E131" i="1"/>
  <c r="E130" i="1"/>
  <c r="E129" i="1"/>
  <c r="E128" i="1"/>
  <c r="E127" i="1"/>
  <c r="E126" i="1"/>
  <c r="E125" i="1"/>
  <c r="E124" i="1"/>
  <c r="E123" i="1"/>
  <c r="E122" i="1"/>
  <c r="E121" i="1"/>
  <c r="E120" i="1"/>
  <c r="E119" i="1"/>
  <c r="E116" i="1"/>
  <c r="G146" i="1" s="1"/>
  <c r="E115" i="1"/>
  <c r="E114" i="1"/>
  <c r="E107" i="1"/>
  <c r="E106" i="1"/>
  <c r="E105" i="1"/>
  <c r="E102" i="1"/>
  <c r="E101" i="1"/>
  <c r="E100" i="1"/>
  <c r="E99" i="1"/>
  <c r="E97" i="1"/>
  <c r="G130" i="1" s="1"/>
  <c r="E96" i="1"/>
  <c r="E95" i="1"/>
  <c r="E94" i="1"/>
  <c r="E87" i="1"/>
  <c r="E86" i="1"/>
  <c r="E83" i="1"/>
  <c r="E82" i="1"/>
  <c r="E81" i="1"/>
  <c r="E80" i="1"/>
  <c r="E79" i="1"/>
  <c r="E75" i="1"/>
  <c r="E72" i="1"/>
  <c r="E70" i="1"/>
  <c r="E69" i="1"/>
  <c r="E68" i="1"/>
  <c r="E67" i="1"/>
  <c r="E66" i="1"/>
  <c r="E65" i="1"/>
  <c r="E64" i="1"/>
  <c r="E63" i="1"/>
  <c r="E62" i="1"/>
  <c r="E61" i="1"/>
  <c r="E60" i="1"/>
  <c r="E58" i="1"/>
  <c r="E57" i="1"/>
  <c r="E54" i="1"/>
  <c r="E53" i="1"/>
  <c r="E52" i="1"/>
  <c r="E51" i="1"/>
  <c r="E50" i="1"/>
  <c r="E49" i="1"/>
  <c r="E48" i="1"/>
  <c r="E47" i="1"/>
  <c r="E46" i="1"/>
  <c r="E45" i="1"/>
  <c r="E44" i="1"/>
  <c r="E42" i="1"/>
  <c r="E41" i="1"/>
  <c r="E39" i="1"/>
  <c r="E38" i="1"/>
  <c r="E37" i="1"/>
  <c r="E36" i="1"/>
  <c r="E35" i="1"/>
  <c r="E34" i="1"/>
  <c r="E33" i="1"/>
  <c r="E32" i="1"/>
  <c r="E31" i="1"/>
  <c r="E30" i="1"/>
  <c r="E29" i="1"/>
  <c r="E28" i="1"/>
  <c r="E26" i="1"/>
  <c r="E25" i="1"/>
  <c r="E23" i="1"/>
  <c r="E22" i="1"/>
  <c r="E21" i="1"/>
  <c r="E20" i="1"/>
  <c r="E19" i="1"/>
  <c r="E11" i="1"/>
  <c r="E10" i="1"/>
  <c r="E9" i="1"/>
  <c r="E8" i="1"/>
  <c r="E7" i="1"/>
  <c r="BT288" i="36" l="1"/>
  <c r="BU288" i="36"/>
  <c r="BV288" i="36"/>
  <c r="BW288" i="36"/>
  <c r="BX288" i="36"/>
  <c r="BY288" i="36"/>
  <c r="BZ288" i="36"/>
  <c r="BZ290" i="36" s="1"/>
  <c r="CA288" i="36"/>
  <c r="CA290" i="36" s="1"/>
  <c r="CB288" i="36"/>
  <c r="CC288" i="36"/>
  <c r="CD288" i="36"/>
  <c r="CE288" i="36"/>
  <c r="BT289" i="36"/>
  <c r="BT290" i="36" s="1"/>
  <c r="BU289" i="36"/>
  <c r="BU290" i="36" s="1"/>
  <c r="BV289" i="36"/>
  <c r="BV290" i="36" s="1"/>
  <c r="BW289" i="36"/>
  <c r="BW290" i="36" s="1"/>
  <c r="BX289" i="36"/>
  <c r="BY289" i="36"/>
  <c r="BZ289" i="36"/>
  <c r="CA289" i="36"/>
  <c r="CB289" i="36"/>
  <c r="CC289" i="36"/>
  <c r="CD289" i="36"/>
  <c r="CD290" i="36" s="1"/>
  <c r="CE289" i="36"/>
  <c r="CE290" i="36" s="1"/>
  <c r="BX290" i="36"/>
  <c r="BY290" i="36"/>
  <c r="CB290" i="36"/>
  <c r="CC290" i="36"/>
  <c r="BT291" i="36"/>
  <c r="BU291" i="36"/>
  <c r="BV291" i="36"/>
  <c r="BW291" i="36"/>
  <c r="BX291" i="36"/>
  <c r="BY291" i="36"/>
  <c r="BZ291" i="36"/>
  <c r="CA291" i="36"/>
  <c r="CB291" i="36"/>
  <c r="CC291" i="36"/>
  <c r="CD291" i="36"/>
  <c r="CE291" i="36"/>
  <c r="BT292" i="36"/>
  <c r="BU292" i="36"/>
  <c r="BV292" i="36"/>
  <c r="BW292" i="36"/>
  <c r="BX292" i="36"/>
  <c r="BY292" i="36"/>
  <c r="BZ292" i="36"/>
  <c r="CA292" i="36"/>
  <c r="CB292" i="36"/>
  <c r="CC292" i="36"/>
  <c r="CD292" i="36"/>
  <c r="CE292" i="36"/>
  <c r="BT293" i="36"/>
  <c r="BU293" i="36"/>
  <c r="BV293" i="36"/>
  <c r="BW293" i="36"/>
  <c r="BX293" i="36"/>
  <c r="BY293" i="36"/>
  <c r="BZ293" i="36"/>
  <c r="CA293" i="36"/>
  <c r="CB293" i="36"/>
  <c r="CC293" i="36"/>
  <c r="CD293" i="36"/>
  <c r="CE293" i="36"/>
  <c r="BT294" i="36"/>
  <c r="BU294" i="36"/>
  <c r="BV294" i="36"/>
  <c r="BW294" i="36"/>
  <c r="BX294" i="36"/>
  <c r="BY294" i="36"/>
  <c r="BZ294" i="36"/>
  <c r="CA294" i="36"/>
  <c r="CB294" i="36"/>
  <c r="CC294" i="36"/>
  <c r="CD294" i="36"/>
  <c r="CE294" i="36"/>
  <c r="BT295" i="36"/>
  <c r="BU295" i="36"/>
  <c r="BV295" i="36"/>
  <c r="BW295" i="36"/>
  <c r="BX295" i="36"/>
  <c r="BY295" i="36"/>
  <c r="BZ295" i="36"/>
  <c r="CA295" i="36"/>
  <c r="CB295" i="36"/>
  <c r="CC295" i="36"/>
  <c r="CD295" i="36"/>
  <c r="CE295" i="36"/>
  <c r="F291" i="36"/>
  <c r="G291" i="36"/>
  <c r="H291" i="36"/>
  <c r="I291" i="36"/>
  <c r="J291" i="36"/>
  <c r="K291" i="36"/>
  <c r="L291" i="36"/>
  <c r="M291" i="36"/>
  <c r="N291" i="36"/>
  <c r="O291" i="36"/>
  <c r="P291" i="36"/>
  <c r="Q291" i="36"/>
  <c r="R291" i="36"/>
  <c r="S291" i="36"/>
  <c r="T291" i="36"/>
  <c r="U291" i="36"/>
  <c r="V291" i="36"/>
  <c r="W291" i="36"/>
  <c r="X291" i="36"/>
  <c r="Y291" i="36"/>
  <c r="Z291" i="36"/>
  <c r="AA291" i="36"/>
  <c r="AB291" i="36"/>
  <c r="AC291" i="36"/>
  <c r="AD291" i="36"/>
  <c r="AE291" i="36"/>
  <c r="AF291" i="36"/>
  <c r="AG291" i="36"/>
  <c r="AH291" i="36"/>
  <c r="AI291" i="36"/>
  <c r="AJ291" i="36"/>
  <c r="AK291" i="36"/>
  <c r="AL291" i="36"/>
  <c r="AM291" i="36"/>
  <c r="AN291" i="36"/>
  <c r="AO291" i="36"/>
  <c r="AP291" i="36"/>
  <c r="AQ291" i="36"/>
  <c r="AR291" i="36"/>
  <c r="AS291" i="36"/>
  <c r="AT291" i="36"/>
  <c r="AU291" i="36"/>
  <c r="AV291" i="36"/>
  <c r="AW291" i="36"/>
  <c r="AX291" i="36"/>
  <c r="AY291" i="36"/>
  <c r="AZ291" i="36"/>
  <c r="BA291" i="36"/>
  <c r="BB291" i="36"/>
  <c r="BC291" i="36"/>
  <c r="BD291" i="36"/>
  <c r="BE291" i="36"/>
  <c r="BF291" i="36"/>
  <c r="BG291" i="36"/>
  <c r="BH291" i="36"/>
  <c r="BI291" i="36"/>
  <c r="BJ291" i="36"/>
  <c r="BK291" i="36"/>
  <c r="BL291" i="36"/>
  <c r="BM291" i="36"/>
  <c r="BN291" i="36"/>
  <c r="BO291" i="36"/>
  <c r="BP291" i="36"/>
  <c r="BQ291" i="36"/>
  <c r="BR291" i="36"/>
  <c r="BS291" i="36"/>
  <c r="E291" i="36"/>
  <c r="M293" i="42"/>
  <c r="BS295" i="36" l="1"/>
  <c r="BR295" i="36"/>
  <c r="BQ295" i="36"/>
  <c r="BP295" i="36"/>
  <c r="BO295" i="36"/>
  <c r="BN295" i="36"/>
  <c r="BM295" i="36"/>
  <c r="BL295" i="36"/>
  <c r="BK295" i="36"/>
  <c r="BJ295" i="36"/>
  <c r="BI295" i="36"/>
  <c r="BH295" i="36"/>
  <c r="BG295" i="36"/>
  <c r="BF295" i="36"/>
  <c r="BE295" i="36"/>
  <c r="BD295" i="36"/>
  <c r="BC295" i="36"/>
  <c r="BB295" i="36"/>
  <c r="BA295" i="36"/>
  <c r="AZ295" i="36"/>
  <c r="AY295" i="36"/>
  <c r="AX295" i="36"/>
  <c r="AW295" i="36"/>
  <c r="AV295" i="36"/>
  <c r="AU295" i="36"/>
  <c r="AT295" i="36"/>
  <c r="AS295" i="36"/>
  <c r="AR295" i="36"/>
  <c r="AQ295" i="36"/>
  <c r="AP295" i="36"/>
  <c r="AO295" i="36"/>
  <c r="AN295" i="36"/>
  <c r="AM295" i="36"/>
  <c r="AL295" i="36"/>
  <c r="AK295" i="36"/>
  <c r="AJ295" i="36"/>
  <c r="AI295" i="36"/>
  <c r="AH295" i="36"/>
  <c r="AG295" i="36"/>
  <c r="AF295" i="36"/>
  <c r="AE295" i="36"/>
  <c r="AD295" i="36"/>
  <c r="AC295" i="36"/>
  <c r="AB295" i="36"/>
  <c r="AA295" i="36"/>
  <c r="Z295" i="36"/>
  <c r="Y295" i="36"/>
  <c r="X295" i="36"/>
  <c r="W295" i="36"/>
  <c r="V295" i="36"/>
  <c r="U295" i="36"/>
  <c r="T295" i="36"/>
  <c r="S295" i="36"/>
  <c r="R295" i="36"/>
  <c r="Q295" i="36"/>
  <c r="P295" i="36"/>
  <c r="O295" i="36"/>
  <c r="N295" i="36"/>
  <c r="M295" i="36"/>
  <c r="L295" i="36"/>
  <c r="K295" i="36"/>
  <c r="J295" i="36"/>
  <c r="I295" i="36"/>
  <c r="H295" i="36"/>
  <c r="G295" i="36"/>
  <c r="F295" i="36"/>
  <c r="E295" i="36"/>
  <c r="BS294" i="36"/>
  <c r="BR294" i="36"/>
  <c r="BQ294" i="36"/>
  <c r="BP294" i="36"/>
  <c r="BO294" i="36"/>
  <c r="BN294" i="36"/>
  <c r="BM294" i="36"/>
  <c r="BL294" i="36"/>
  <c r="BK294" i="36"/>
  <c r="BJ294" i="36"/>
  <c r="BI294" i="36"/>
  <c r="BH294" i="36"/>
  <c r="BG294" i="36"/>
  <c r="BF294" i="36"/>
  <c r="BE294" i="36"/>
  <c r="BD294" i="36"/>
  <c r="BC294" i="36"/>
  <c r="BB294" i="36"/>
  <c r="BA294" i="36"/>
  <c r="AZ294" i="36"/>
  <c r="AY294" i="36"/>
  <c r="AX294" i="36"/>
  <c r="AW294" i="36"/>
  <c r="AV294" i="36"/>
  <c r="AU294" i="36"/>
  <c r="AT294" i="36"/>
  <c r="AS294" i="36"/>
  <c r="AR294" i="36"/>
  <c r="AQ294" i="36"/>
  <c r="AP294" i="36"/>
  <c r="AO294" i="36"/>
  <c r="AN294" i="36"/>
  <c r="AM294" i="36"/>
  <c r="AL294" i="36"/>
  <c r="AK294" i="36"/>
  <c r="AJ294" i="36"/>
  <c r="AI294" i="36"/>
  <c r="AH294" i="36"/>
  <c r="AG294" i="36"/>
  <c r="AF294" i="36"/>
  <c r="AE294" i="36"/>
  <c r="AD294" i="36"/>
  <c r="AC294" i="36"/>
  <c r="AB294" i="36"/>
  <c r="AA294" i="36"/>
  <c r="Z294" i="36"/>
  <c r="Y294" i="36"/>
  <c r="X294" i="36"/>
  <c r="W294" i="36"/>
  <c r="V294" i="36"/>
  <c r="U294" i="36"/>
  <c r="T294" i="36"/>
  <c r="S294" i="36"/>
  <c r="R294" i="36"/>
  <c r="Q294" i="36"/>
  <c r="P294" i="36"/>
  <c r="O294" i="36"/>
  <c r="N294" i="36"/>
  <c r="M294" i="36"/>
  <c r="L294" i="36"/>
  <c r="K294" i="36"/>
  <c r="J294" i="36"/>
  <c r="I294" i="36"/>
  <c r="H294" i="36"/>
  <c r="G294" i="36"/>
  <c r="F294" i="36"/>
  <c r="E294" i="36"/>
  <c r="BS293" i="36"/>
  <c r="BR293" i="36"/>
  <c r="BQ293" i="36"/>
  <c r="BP293" i="36"/>
  <c r="BO293" i="36"/>
  <c r="BN293" i="36"/>
  <c r="BM293" i="36"/>
  <c r="BL293" i="36"/>
  <c r="BK293" i="36"/>
  <c r="BJ293" i="36"/>
  <c r="BI293" i="36"/>
  <c r="BH293" i="36"/>
  <c r="BG293" i="36"/>
  <c r="BF293" i="36"/>
  <c r="BE293" i="36"/>
  <c r="BD293" i="36"/>
  <c r="BC293" i="36"/>
  <c r="BB293" i="36"/>
  <c r="BA293" i="36"/>
  <c r="AZ293" i="36"/>
  <c r="AY293" i="36"/>
  <c r="AX293" i="36"/>
  <c r="AW293" i="36"/>
  <c r="AV293" i="36"/>
  <c r="AU293" i="36"/>
  <c r="AT293" i="36"/>
  <c r="AS293" i="36"/>
  <c r="AR293" i="36"/>
  <c r="AQ293" i="36"/>
  <c r="AP293" i="36"/>
  <c r="AO293" i="36"/>
  <c r="AN293" i="36"/>
  <c r="AM293" i="36"/>
  <c r="AL293" i="36"/>
  <c r="AK293" i="36"/>
  <c r="AJ293" i="36"/>
  <c r="AI293" i="36"/>
  <c r="AH293" i="36"/>
  <c r="AG293" i="36"/>
  <c r="AF293" i="36"/>
  <c r="AE293" i="36"/>
  <c r="AD293" i="36"/>
  <c r="AC293" i="36"/>
  <c r="AB293" i="36"/>
  <c r="AA293" i="36"/>
  <c r="Z293" i="36"/>
  <c r="Y293" i="36"/>
  <c r="X293" i="36"/>
  <c r="W293" i="36"/>
  <c r="V293" i="36"/>
  <c r="U293" i="36"/>
  <c r="T293" i="36"/>
  <c r="S293" i="36"/>
  <c r="R293" i="36"/>
  <c r="Q293" i="36"/>
  <c r="P293" i="36"/>
  <c r="O293" i="36"/>
  <c r="N293" i="36"/>
  <c r="M293" i="36"/>
  <c r="L293" i="36"/>
  <c r="K293" i="36"/>
  <c r="J293" i="36"/>
  <c r="I293" i="36"/>
  <c r="H293" i="36"/>
  <c r="G293" i="36"/>
  <c r="F293" i="36"/>
  <c r="E293" i="36"/>
  <c r="BS292" i="36"/>
  <c r="BR292" i="36"/>
  <c r="BQ292" i="36"/>
  <c r="BP292" i="36"/>
  <c r="BO292" i="36"/>
  <c r="BN292" i="36"/>
  <c r="BM292" i="36"/>
  <c r="BL292" i="36"/>
  <c r="BK292" i="36"/>
  <c r="BJ292" i="36"/>
  <c r="BI292" i="36"/>
  <c r="BH292" i="36"/>
  <c r="BG292" i="36"/>
  <c r="BF292" i="36"/>
  <c r="BE292" i="36"/>
  <c r="BD292" i="36"/>
  <c r="BC292" i="36"/>
  <c r="BB292" i="36"/>
  <c r="BA292" i="36"/>
  <c r="AZ292" i="36"/>
  <c r="AY292" i="36"/>
  <c r="AX292" i="36"/>
  <c r="AW292" i="36"/>
  <c r="AV292" i="36"/>
  <c r="AU292" i="36"/>
  <c r="AT292" i="36"/>
  <c r="AS292" i="36"/>
  <c r="AR292" i="36"/>
  <c r="AQ292" i="36"/>
  <c r="AP292" i="36"/>
  <c r="AO292" i="36"/>
  <c r="AN292" i="36"/>
  <c r="AM292" i="36"/>
  <c r="AL292" i="36"/>
  <c r="AK292" i="36"/>
  <c r="AJ292" i="36"/>
  <c r="AI292" i="36"/>
  <c r="AH292" i="36"/>
  <c r="AG292" i="36"/>
  <c r="AF292" i="36"/>
  <c r="AE292" i="36"/>
  <c r="AD292" i="36"/>
  <c r="AC292" i="36"/>
  <c r="AB292" i="36"/>
  <c r="AA292" i="36"/>
  <c r="Z292" i="36"/>
  <c r="Y292" i="36"/>
  <c r="X292" i="36"/>
  <c r="W292" i="36"/>
  <c r="V292" i="36"/>
  <c r="U292" i="36"/>
  <c r="T292" i="36"/>
  <c r="S292" i="36"/>
  <c r="R292" i="36"/>
  <c r="Q292" i="36"/>
  <c r="P292" i="36"/>
  <c r="O292" i="36"/>
  <c r="N292" i="36"/>
  <c r="M292" i="36"/>
  <c r="L292" i="36"/>
  <c r="K292" i="36"/>
  <c r="J292" i="36"/>
  <c r="I292" i="36"/>
  <c r="H292" i="36"/>
  <c r="G292" i="36"/>
  <c r="F292" i="36"/>
  <c r="E292" i="36"/>
  <c r="AU290" i="36"/>
  <c r="BS289" i="36"/>
  <c r="BR289" i="36"/>
  <c r="BQ289" i="36"/>
  <c r="BP289" i="36"/>
  <c r="BO289" i="36"/>
  <c r="BN289" i="36"/>
  <c r="BM289" i="36"/>
  <c r="BL289" i="36"/>
  <c r="BK289" i="36"/>
  <c r="BJ289" i="36"/>
  <c r="BI289" i="36"/>
  <c r="BH289" i="36"/>
  <c r="BG289" i="36"/>
  <c r="BF289" i="36"/>
  <c r="BE289" i="36"/>
  <c r="BD289" i="36"/>
  <c r="BC289" i="36"/>
  <c r="BB289" i="36"/>
  <c r="BA289" i="36"/>
  <c r="AZ289" i="36"/>
  <c r="AY289" i="36"/>
  <c r="AX289" i="36"/>
  <c r="AW289" i="36"/>
  <c r="AV289" i="36"/>
  <c r="AU289" i="36"/>
  <c r="AT289" i="36"/>
  <c r="AS289" i="36"/>
  <c r="AR289" i="36"/>
  <c r="AQ289" i="36"/>
  <c r="AP289" i="36"/>
  <c r="AO289" i="36"/>
  <c r="AN289" i="36"/>
  <c r="AM289" i="36"/>
  <c r="AL289" i="36"/>
  <c r="AK289" i="36"/>
  <c r="AJ289" i="36"/>
  <c r="AI289" i="36"/>
  <c r="AH289" i="36"/>
  <c r="AG289" i="36"/>
  <c r="AF289" i="36"/>
  <c r="AE289" i="36"/>
  <c r="AD289" i="36"/>
  <c r="AC289" i="36"/>
  <c r="AB289" i="36"/>
  <c r="AA289" i="36"/>
  <c r="Z289" i="36"/>
  <c r="Y289" i="36"/>
  <c r="X289" i="36"/>
  <c r="W289" i="36"/>
  <c r="V289" i="36"/>
  <c r="U289" i="36"/>
  <c r="T289" i="36"/>
  <c r="S289" i="36"/>
  <c r="R289" i="36"/>
  <c r="Q289" i="36"/>
  <c r="P289" i="36"/>
  <c r="O289" i="36"/>
  <c r="N289" i="36"/>
  <c r="M289" i="36"/>
  <c r="L289" i="36"/>
  <c r="K289" i="36"/>
  <c r="J289" i="36"/>
  <c r="I289" i="36"/>
  <c r="H289" i="36"/>
  <c r="G289" i="36"/>
  <c r="F289" i="36"/>
  <c r="E289" i="36"/>
  <c r="BS288" i="36"/>
  <c r="BS290" i="36" s="1"/>
  <c r="BR288" i="36"/>
  <c r="BR290" i="36" s="1"/>
  <c r="BQ288" i="36"/>
  <c r="BP288" i="36"/>
  <c r="BP290" i="36" s="1"/>
  <c r="BO288" i="36"/>
  <c r="BO290" i="36" s="1"/>
  <c r="BN288" i="36"/>
  <c r="BN290" i="36" s="1"/>
  <c r="BM288" i="36"/>
  <c r="BM290" i="36" s="1"/>
  <c r="BL288" i="36"/>
  <c r="BL290" i="36" s="1"/>
  <c r="BK288" i="36"/>
  <c r="BK290" i="36" s="1"/>
  <c r="BJ288" i="36"/>
  <c r="BJ290" i="36" s="1"/>
  <c r="BI288" i="36"/>
  <c r="BH288" i="36"/>
  <c r="BH290" i="36" s="1"/>
  <c r="BG288" i="36"/>
  <c r="BG290" i="36" s="1"/>
  <c r="BF288" i="36"/>
  <c r="BF290" i="36" s="1"/>
  <c r="BE288" i="36"/>
  <c r="BE290" i="36" s="1"/>
  <c r="BD288" i="36"/>
  <c r="BD290" i="36" s="1"/>
  <c r="BC288" i="36"/>
  <c r="BC290" i="36" s="1"/>
  <c r="BB288" i="36"/>
  <c r="BB290" i="36" s="1"/>
  <c r="BA288" i="36"/>
  <c r="AZ288" i="36"/>
  <c r="AZ290" i="36" s="1"/>
  <c r="AY288" i="36"/>
  <c r="AY290" i="36" s="1"/>
  <c r="AX288" i="36"/>
  <c r="AX290" i="36" s="1"/>
  <c r="AW288" i="36"/>
  <c r="AW290" i="36" s="1"/>
  <c r="AV288" i="36"/>
  <c r="AV290" i="36" s="1"/>
  <c r="AU288" i="36"/>
  <c r="AT288" i="36"/>
  <c r="AT290" i="36" s="1"/>
  <c r="AS288" i="36"/>
  <c r="AR288" i="36"/>
  <c r="AR290" i="36" s="1"/>
  <c r="AQ288" i="36"/>
  <c r="AQ290" i="36" s="1"/>
  <c r="AP288" i="36"/>
  <c r="AP290" i="36" s="1"/>
  <c r="AO288" i="36"/>
  <c r="AO290" i="36" s="1"/>
  <c r="AN288" i="36"/>
  <c r="AN290" i="36" s="1"/>
  <c r="AM288" i="36"/>
  <c r="AM290" i="36" s="1"/>
  <c r="AL288" i="36"/>
  <c r="AL290" i="36" s="1"/>
  <c r="AK288" i="36"/>
  <c r="AJ288" i="36"/>
  <c r="AJ290" i="36" s="1"/>
  <c r="AI288" i="36"/>
  <c r="AI290" i="36" s="1"/>
  <c r="AH288" i="36"/>
  <c r="AH290" i="36" s="1"/>
  <c r="AG288" i="36"/>
  <c r="AG290" i="36" s="1"/>
  <c r="AF288" i="36"/>
  <c r="AF290" i="36" s="1"/>
  <c r="AE288" i="36"/>
  <c r="AE290" i="36" s="1"/>
  <c r="AD288" i="36"/>
  <c r="AD290" i="36" s="1"/>
  <c r="AC288" i="36"/>
  <c r="AB288" i="36"/>
  <c r="AB290" i="36" s="1"/>
  <c r="AA288" i="36"/>
  <c r="AA290" i="36" s="1"/>
  <c r="Z288" i="36"/>
  <c r="Z290" i="36" s="1"/>
  <c r="Y288" i="36"/>
  <c r="Y290" i="36" s="1"/>
  <c r="X288" i="36"/>
  <c r="X290" i="36" s="1"/>
  <c r="W288" i="36"/>
  <c r="W290" i="36" s="1"/>
  <c r="V288" i="36"/>
  <c r="V290" i="36" s="1"/>
  <c r="U288" i="36"/>
  <c r="T288" i="36"/>
  <c r="T290" i="36" s="1"/>
  <c r="S288" i="36"/>
  <c r="S290" i="36" s="1"/>
  <c r="R288" i="36"/>
  <c r="R290" i="36" s="1"/>
  <c r="Q288" i="36"/>
  <c r="Q290" i="36" s="1"/>
  <c r="P288" i="36"/>
  <c r="P290" i="36" s="1"/>
  <c r="O288" i="36"/>
  <c r="O290" i="36" s="1"/>
  <c r="N288" i="36"/>
  <c r="N290" i="36" s="1"/>
  <c r="M288" i="36"/>
  <c r="L288" i="36"/>
  <c r="L290" i="36" s="1"/>
  <c r="K288" i="36"/>
  <c r="K290" i="36" s="1"/>
  <c r="J288" i="36"/>
  <c r="J290" i="36" s="1"/>
  <c r="I288" i="36"/>
  <c r="I290" i="36" s="1"/>
  <c r="H288" i="36"/>
  <c r="H290" i="36" s="1"/>
  <c r="G288" i="36"/>
  <c r="G290" i="36" s="1"/>
  <c r="F288" i="36"/>
  <c r="F290" i="36" s="1"/>
  <c r="E288" i="36"/>
  <c r="BS297" i="42"/>
  <c r="BR297" i="42"/>
  <c r="BQ297" i="42"/>
  <c r="BP297" i="42"/>
  <c r="BO297" i="42"/>
  <c r="BN297" i="42"/>
  <c r="BM297" i="42"/>
  <c r="BL297" i="42"/>
  <c r="BK297" i="42"/>
  <c r="BJ297" i="42"/>
  <c r="BI297" i="42"/>
  <c r="BH297" i="42"/>
  <c r="BG297" i="42"/>
  <c r="BF297" i="42"/>
  <c r="BE297" i="42"/>
  <c r="BD297" i="42"/>
  <c r="BC297" i="42"/>
  <c r="BB297" i="42"/>
  <c r="BA297" i="42"/>
  <c r="AZ297" i="42"/>
  <c r="AY297" i="42"/>
  <c r="AX297" i="42"/>
  <c r="AW297" i="42"/>
  <c r="AV297" i="42"/>
  <c r="AU297" i="42"/>
  <c r="AT297" i="42"/>
  <c r="AS297" i="42"/>
  <c r="AR297" i="42"/>
  <c r="AQ297" i="42"/>
  <c r="AP297" i="42"/>
  <c r="AO297" i="42"/>
  <c r="AN297" i="42"/>
  <c r="AM297" i="42"/>
  <c r="AL297" i="42"/>
  <c r="AK297" i="42"/>
  <c r="AJ297" i="42"/>
  <c r="AI297" i="42"/>
  <c r="AH297" i="42"/>
  <c r="AG297" i="42"/>
  <c r="AF297" i="42"/>
  <c r="AE297" i="42"/>
  <c r="AD297" i="42"/>
  <c r="AC297" i="42"/>
  <c r="AB297" i="42"/>
  <c r="AA297" i="42"/>
  <c r="Z297" i="42"/>
  <c r="Y297" i="42"/>
  <c r="X297" i="42"/>
  <c r="W297" i="42"/>
  <c r="V297" i="42"/>
  <c r="U297" i="42"/>
  <c r="T297" i="42"/>
  <c r="S297" i="42"/>
  <c r="R297" i="42"/>
  <c r="Q297" i="42"/>
  <c r="P297" i="42"/>
  <c r="O297" i="42"/>
  <c r="N297" i="42"/>
  <c r="M297" i="42"/>
  <c r="L297" i="42"/>
  <c r="K297" i="42"/>
  <c r="J297" i="42"/>
  <c r="I297" i="42"/>
  <c r="H297" i="42"/>
  <c r="G297" i="42"/>
  <c r="F297" i="42"/>
  <c r="E297" i="42"/>
  <c r="BS296" i="42"/>
  <c r="BR296" i="42"/>
  <c r="BQ296" i="42"/>
  <c r="BP296" i="42"/>
  <c r="BO296" i="42"/>
  <c r="BN296" i="42"/>
  <c r="BM296" i="42"/>
  <c r="BL296" i="42"/>
  <c r="BK296" i="42"/>
  <c r="BJ296" i="42"/>
  <c r="BI296" i="42"/>
  <c r="BH296" i="42"/>
  <c r="BG296" i="42"/>
  <c r="BF296" i="42"/>
  <c r="BE296" i="42"/>
  <c r="BD296" i="42"/>
  <c r="BC296" i="42"/>
  <c r="BB296" i="42"/>
  <c r="BA296" i="42"/>
  <c r="AZ296" i="42"/>
  <c r="AY296" i="42"/>
  <c r="AX296" i="42"/>
  <c r="AW296" i="42"/>
  <c r="AV296" i="42"/>
  <c r="AU296" i="42"/>
  <c r="AT296" i="42"/>
  <c r="AS296" i="42"/>
  <c r="AR296" i="42"/>
  <c r="AQ296" i="42"/>
  <c r="AP296" i="42"/>
  <c r="AO296" i="42"/>
  <c r="AN296" i="42"/>
  <c r="AM296" i="42"/>
  <c r="AL296" i="42"/>
  <c r="AK296" i="42"/>
  <c r="AJ296" i="42"/>
  <c r="AI296" i="42"/>
  <c r="AH296" i="42"/>
  <c r="AG296" i="42"/>
  <c r="AF296" i="42"/>
  <c r="AE296" i="42"/>
  <c r="AD296" i="42"/>
  <c r="AC296" i="42"/>
  <c r="AB296" i="42"/>
  <c r="AA296" i="42"/>
  <c r="Z296" i="42"/>
  <c r="Y296" i="42"/>
  <c r="X296" i="42"/>
  <c r="W296" i="42"/>
  <c r="V296" i="42"/>
  <c r="U296" i="42"/>
  <c r="T296" i="42"/>
  <c r="S296" i="42"/>
  <c r="R296" i="42"/>
  <c r="Q296" i="42"/>
  <c r="P296" i="42"/>
  <c r="O296" i="42"/>
  <c r="N296" i="42"/>
  <c r="M296" i="42"/>
  <c r="L296" i="42"/>
  <c r="K296" i="42"/>
  <c r="J296" i="42"/>
  <c r="I296" i="42"/>
  <c r="H296" i="42"/>
  <c r="G296" i="42"/>
  <c r="F296" i="42"/>
  <c r="E296" i="42"/>
  <c r="BS295" i="42"/>
  <c r="BR295" i="42"/>
  <c r="BQ295" i="42"/>
  <c r="BP295" i="42"/>
  <c r="BO295" i="42"/>
  <c r="BN295" i="42"/>
  <c r="BM295" i="42"/>
  <c r="BL295" i="42"/>
  <c r="BK295" i="42"/>
  <c r="BJ295" i="42"/>
  <c r="BI295" i="42"/>
  <c r="BH295" i="42"/>
  <c r="BG295" i="42"/>
  <c r="BF295" i="42"/>
  <c r="BE295" i="42"/>
  <c r="BD295" i="42"/>
  <c r="BC295" i="42"/>
  <c r="BB295" i="42"/>
  <c r="BA295" i="42"/>
  <c r="AZ295" i="42"/>
  <c r="AY295" i="42"/>
  <c r="AX295" i="42"/>
  <c r="AW295" i="42"/>
  <c r="AV295" i="42"/>
  <c r="AU295" i="42"/>
  <c r="AT295" i="42"/>
  <c r="AS295" i="42"/>
  <c r="AR295" i="42"/>
  <c r="AQ295" i="42"/>
  <c r="AP295" i="42"/>
  <c r="AO295" i="42"/>
  <c r="AN295" i="42"/>
  <c r="AM295" i="42"/>
  <c r="AL295" i="42"/>
  <c r="AK295" i="42"/>
  <c r="AJ295" i="42"/>
  <c r="AI295" i="42"/>
  <c r="AH295" i="42"/>
  <c r="AG295" i="42"/>
  <c r="AF295" i="42"/>
  <c r="AE295" i="42"/>
  <c r="AD295" i="42"/>
  <c r="AC295" i="42"/>
  <c r="AB295" i="42"/>
  <c r="AA295" i="42"/>
  <c r="Z295" i="42"/>
  <c r="Y295" i="42"/>
  <c r="X295" i="42"/>
  <c r="W295" i="42"/>
  <c r="V295" i="42"/>
  <c r="U295" i="42"/>
  <c r="T295" i="42"/>
  <c r="S295" i="42"/>
  <c r="R295" i="42"/>
  <c r="Q295" i="42"/>
  <c r="P295" i="42"/>
  <c r="O295" i="42"/>
  <c r="N295" i="42"/>
  <c r="M295" i="42"/>
  <c r="L295" i="42"/>
  <c r="K295" i="42"/>
  <c r="J295" i="42"/>
  <c r="I295" i="42"/>
  <c r="H295" i="42"/>
  <c r="G295" i="42"/>
  <c r="F295" i="42"/>
  <c r="E295" i="42"/>
  <c r="BS294" i="42"/>
  <c r="BR294" i="42"/>
  <c r="BQ294" i="42"/>
  <c r="BP294" i="42"/>
  <c r="BO294" i="42"/>
  <c r="BN294" i="42"/>
  <c r="BM294" i="42"/>
  <c r="BL294" i="42"/>
  <c r="BK294" i="42"/>
  <c r="BJ294" i="42"/>
  <c r="BI294" i="42"/>
  <c r="BH294" i="42"/>
  <c r="BG294" i="42"/>
  <c r="BF294" i="42"/>
  <c r="BE294" i="42"/>
  <c r="BD294" i="42"/>
  <c r="BC294" i="42"/>
  <c r="BB294" i="42"/>
  <c r="BA294" i="42"/>
  <c r="AZ294" i="42"/>
  <c r="AY294" i="42"/>
  <c r="AX294" i="42"/>
  <c r="AW294" i="42"/>
  <c r="AV294" i="42"/>
  <c r="AU294" i="42"/>
  <c r="AT294" i="42"/>
  <c r="AS294" i="42"/>
  <c r="AR294" i="42"/>
  <c r="AQ294" i="42"/>
  <c r="AP294" i="42"/>
  <c r="AO294" i="42"/>
  <c r="AN294" i="42"/>
  <c r="AM294" i="42"/>
  <c r="AL294" i="42"/>
  <c r="AK294" i="42"/>
  <c r="AJ294" i="42"/>
  <c r="AI294" i="42"/>
  <c r="AH294" i="42"/>
  <c r="AG294" i="42"/>
  <c r="AF294" i="42"/>
  <c r="AE294" i="42"/>
  <c r="AD294" i="42"/>
  <c r="AC294" i="42"/>
  <c r="AB294" i="42"/>
  <c r="AA294" i="42"/>
  <c r="Z294" i="42"/>
  <c r="Y294" i="42"/>
  <c r="X294" i="42"/>
  <c r="W294" i="42"/>
  <c r="V294" i="42"/>
  <c r="U294" i="42"/>
  <c r="T294" i="42"/>
  <c r="S294" i="42"/>
  <c r="R294" i="42"/>
  <c r="Q294" i="42"/>
  <c r="P294" i="42"/>
  <c r="O294" i="42"/>
  <c r="N294" i="42"/>
  <c r="M294" i="42"/>
  <c r="L294" i="42"/>
  <c r="K294" i="42"/>
  <c r="J294" i="42"/>
  <c r="I294" i="42"/>
  <c r="H294" i="42"/>
  <c r="G294" i="42"/>
  <c r="F294" i="42"/>
  <c r="E294" i="42"/>
  <c r="BS293" i="42"/>
  <c r="BR293" i="42"/>
  <c r="BQ293" i="42"/>
  <c r="BP293" i="42"/>
  <c r="BO293" i="42"/>
  <c r="BN293" i="42"/>
  <c r="BM293" i="42"/>
  <c r="BL293" i="42"/>
  <c r="BK293" i="42"/>
  <c r="BJ293" i="42"/>
  <c r="BI293" i="42"/>
  <c r="BH293" i="42"/>
  <c r="BG293" i="42"/>
  <c r="BF293" i="42"/>
  <c r="BE293" i="42"/>
  <c r="BD293" i="42"/>
  <c r="BC293" i="42"/>
  <c r="BB293" i="42"/>
  <c r="BA293" i="42"/>
  <c r="AZ293" i="42"/>
  <c r="AY293" i="42"/>
  <c r="AX293" i="42"/>
  <c r="AW293" i="42"/>
  <c r="AV293" i="42"/>
  <c r="AU293" i="42"/>
  <c r="AT293" i="42"/>
  <c r="AS293" i="42"/>
  <c r="AR293" i="42"/>
  <c r="AQ293" i="42"/>
  <c r="AP293" i="42"/>
  <c r="AO293" i="42"/>
  <c r="AN293" i="42"/>
  <c r="AM293" i="42"/>
  <c r="AL293" i="42"/>
  <c r="AK293" i="42"/>
  <c r="AJ293" i="42"/>
  <c r="AI293" i="42"/>
  <c r="AH293" i="42"/>
  <c r="AG293" i="42"/>
  <c r="AF293" i="42"/>
  <c r="AE293" i="42"/>
  <c r="AD293" i="42"/>
  <c r="AC293" i="42"/>
  <c r="AB293" i="42"/>
  <c r="AA293" i="42"/>
  <c r="Z293" i="42"/>
  <c r="Y293" i="42"/>
  <c r="X293" i="42"/>
  <c r="W293" i="42"/>
  <c r="V293" i="42"/>
  <c r="U293" i="42"/>
  <c r="T293" i="42"/>
  <c r="S293" i="42"/>
  <c r="R293" i="42"/>
  <c r="Q293" i="42"/>
  <c r="P293" i="42"/>
  <c r="O293" i="42"/>
  <c r="N293" i="42"/>
  <c r="L293" i="42"/>
  <c r="K293" i="42"/>
  <c r="J293" i="42"/>
  <c r="I293" i="42"/>
  <c r="H293" i="42"/>
  <c r="G293" i="42"/>
  <c r="F293" i="42"/>
  <c r="E293" i="42"/>
  <c r="BS291" i="42"/>
  <c r="BR291" i="42"/>
  <c r="BQ291" i="42"/>
  <c r="BP291" i="42"/>
  <c r="BO291" i="42"/>
  <c r="BN291" i="42"/>
  <c r="BM291" i="42"/>
  <c r="BL291" i="42"/>
  <c r="BK291" i="42"/>
  <c r="BJ291" i="42"/>
  <c r="BI291" i="42"/>
  <c r="BH291" i="42"/>
  <c r="BG291" i="42"/>
  <c r="BF291" i="42"/>
  <c r="BE291" i="42"/>
  <c r="BD291" i="42"/>
  <c r="BC291" i="42"/>
  <c r="BB291" i="42"/>
  <c r="BA291" i="42"/>
  <c r="AZ291" i="42"/>
  <c r="AY291" i="42"/>
  <c r="AX291" i="42"/>
  <c r="AW291" i="42"/>
  <c r="AV291" i="42"/>
  <c r="AU291" i="42"/>
  <c r="AT291" i="42"/>
  <c r="AS291" i="42"/>
  <c r="AR291" i="42"/>
  <c r="AQ291" i="42"/>
  <c r="AP291" i="42"/>
  <c r="AO291" i="42"/>
  <c r="AN291" i="42"/>
  <c r="AM291" i="42"/>
  <c r="AL291" i="42"/>
  <c r="AK291" i="42"/>
  <c r="AJ291" i="42"/>
  <c r="AI291" i="42"/>
  <c r="AH291" i="42"/>
  <c r="AG291" i="42"/>
  <c r="AF291" i="42"/>
  <c r="AE291" i="42"/>
  <c r="AD291" i="42"/>
  <c r="AC291" i="42"/>
  <c r="AB291" i="42"/>
  <c r="AA291" i="42"/>
  <c r="Z291" i="42"/>
  <c r="Y291" i="42"/>
  <c r="X291" i="42"/>
  <c r="W291" i="42"/>
  <c r="V291" i="42"/>
  <c r="U291" i="42"/>
  <c r="T291" i="42"/>
  <c r="S291" i="42"/>
  <c r="R291" i="42"/>
  <c r="Q291" i="42"/>
  <c r="P291" i="42"/>
  <c r="O291" i="42"/>
  <c r="N291" i="42"/>
  <c r="M291" i="42"/>
  <c r="L291" i="42"/>
  <c r="K291" i="42"/>
  <c r="J291" i="42"/>
  <c r="I291" i="42"/>
  <c r="H291" i="42"/>
  <c r="G291" i="42"/>
  <c r="F291" i="42"/>
  <c r="E291" i="42"/>
  <c r="BS290" i="42"/>
  <c r="BS292" i="42" s="1"/>
  <c r="BR290" i="42"/>
  <c r="BQ290" i="42"/>
  <c r="BP290" i="42"/>
  <c r="BO290" i="42"/>
  <c r="BN290" i="42"/>
  <c r="BM290" i="42"/>
  <c r="BL290" i="42"/>
  <c r="BK290" i="42"/>
  <c r="BK292" i="42" s="1"/>
  <c r="BJ290" i="42"/>
  <c r="BI290" i="42"/>
  <c r="BH290" i="42"/>
  <c r="BG290" i="42"/>
  <c r="BF290" i="42"/>
  <c r="BE290" i="42"/>
  <c r="BD290" i="42"/>
  <c r="BC290" i="42"/>
  <c r="BC292" i="42" s="1"/>
  <c r="BB290" i="42"/>
  <c r="BA290" i="42"/>
  <c r="AZ290" i="42"/>
  <c r="AY290" i="42"/>
  <c r="AX290" i="42"/>
  <c r="AW290" i="42"/>
  <c r="AV290" i="42"/>
  <c r="AU290" i="42"/>
  <c r="AU292" i="42" s="1"/>
  <c r="AT290" i="42"/>
  <c r="AS290" i="42"/>
  <c r="AR290" i="42"/>
  <c r="AQ290" i="42"/>
  <c r="AP290" i="42"/>
  <c r="AO290" i="42"/>
  <c r="AN290" i="42"/>
  <c r="AM290" i="42"/>
  <c r="AM292" i="42" s="1"/>
  <c r="AL290" i="42"/>
  <c r="AK290" i="42"/>
  <c r="AJ290" i="42"/>
  <c r="AI290" i="42"/>
  <c r="AH290" i="42"/>
  <c r="AG290" i="42"/>
  <c r="AF290" i="42"/>
  <c r="AE290" i="42"/>
  <c r="AE292" i="42" s="1"/>
  <c r="AD290" i="42"/>
  <c r="AC290" i="42"/>
  <c r="AB290" i="42"/>
  <c r="AA290" i="42"/>
  <c r="Z290" i="42"/>
  <c r="Y290" i="42"/>
  <c r="X290" i="42"/>
  <c r="X292" i="42" s="1"/>
  <c r="W290" i="42"/>
  <c r="W292" i="42" s="1"/>
  <c r="V290" i="42"/>
  <c r="U290" i="42"/>
  <c r="T290" i="42"/>
  <c r="S290" i="42"/>
  <c r="R290" i="42"/>
  <c r="Q290" i="42"/>
  <c r="P290" i="42"/>
  <c r="P292" i="42" s="1"/>
  <c r="O290" i="42"/>
  <c r="O292" i="42" s="1"/>
  <c r="N290" i="42"/>
  <c r="M290" i="42"/>
  <c r="L290" i="42"/>
  <c r="K290" i="42"/>
  <c r="J290" i="42"/>
  <c r="I290" i="42"/>
  <c r="H290" i="42"/>
  <c r="H292" i="42" s="1"/>
  <c r="G290" i="42"/>
  <c r="G292" i="42" s="1"/>
  <c r="F290" i="42"/>
  <c r="E290" i="42"/>
  <c r="Q292" i="42" l="1"/>
  <c r="T292" i="42"/>
  <c r="AJ292" i="42"/>
  <c r="AZ292" i="42"/>
  <c r="BH292" i="42"/>
  <c r="L292" i="42"/>
  <c r="AB292" i="42"/>
  <c r="AR292" i="42"/>
  <c r="BP292" i="42"/>
  <c r="I292" i="42"/>
  <c r="Y292" i="42"/>
  <c r="AG292" i="42"/>
  <c r="AO292" i="42"/>
  <c r="AW292" i="42"/>
  <c r="BE292" i="42"/>
  <c r="BM292" i="42"/>
  <c r="K292" i="42"/>
  <c r="S292" i="42"/>
  <c r="AA292" i="42"/>
  <c r="AI292" i="42"/>
  <c r="AQ292" i="42"/>
  <c r="AY292" i="42"/>
  <c r="BG292" i="42"/>
  <c r="BO292" i="42"/>
  <c r="E292" i="42"/>
  <c r="M292" i="42"/>
  <c r="U292" i="42"/>
  <c r="AC292" i="42"/>
  <c r="AK292" i="42"/>
  <c r="AS292" i="42"/>
  <c r="BA292" i="42"/>
  <c r="BI292" i="42"/>
  <c r="BQ292" i="42"/>
  <c r="F292" i="42"/>
  <c r="N292" i="42"/>
  <c r="V292" i="42"/>
  <c r="AD292" i="42"/>
  <c r="AL292" i="42"/>
  <c r="AT292" i="42"/>
  <c r="BB292" i="42"/>
  <c r="BJ292" i="42"/>
  <c r="BR292" i="42"/>
  <c r="AF292" i="42"/>
  <c r="AN292" i="42"/>
  <c r="AV292" i="42"/>
  <c r="BD292" i="42"/>
  <c r="BL292" i="42"/>
  <c r="J292" i="42"/>
  <c r="AH292" i="42"/>
  <c r="AP292" i="42"/>
  <c r="AX292" i="42"/>
  <c r="BF292" i="42"/>
  <c r="BN292" i="42"/>
  <c r="E290" i="36"/>
  <c r="M290" i="36"/>
  <c r="U290" i="36"/>
  <c r="AC290" i="36"/>
  <c r="AK290" i="36"/>
  <c r="AS290" i="36"/>
  <c r="BA290" i="36"/>
  <c r="BI290" i="36"/>
  <c r="BQ290" i="36"/>
  <c r="Z292" i="42"/>
  <c r="R292" i="42"/>
  <c r="A214" i="28"/>
  <c r="A211" i="28"/>
  <c r="A212" i="28"/>
  <c r="A213" i="28"/>
  <c r="A210" i="28"/>
  <c r="E179" i="28" l="1"/>
  <c r="H4" i="30" l="1"/>
  <c r="F4" i="30"/>
  <c r="B4" i="30"/>
  <c r="F219" i="28"/>
  <c r="E219" i="28"/>
  <c r="C219" i="28"/>
  <c r="B219" i="28"/>
  <c r="A219" i="28"/>
  <c r="E209" i="28"/>
  <c r="C209" i="28"/>
  <c r="A209" i="28"/>
  <c r="E208" i="28"/>
  <c r="C208" i="28"/>
  <c r="A208" i="28"/>
  <c r="E207" i="28"/>
  <c r="C207" i="28"/>
  <c r="A207" i="28"/>
  <c r="E206" i="28"/>
  <c r="C206" i="28"/>
  <c r="A206" i="28"/>
  <c r="E205" i="28"/>
  <c r="C205" i="28"/>
  <c r="A205" i="28"/>
  <c r="E204" i="28"/>
  <c r="C204" i="28"/>
  <c r="A204" i="28"/>
  <c r="E203" i="28"/>
  <c r="C203" i="28"/>
  <c r="A203" i="28"/>
  <c r="E202" i="28"/>
  <c r="L202" i="28" s="1"/>
  <c r="C202" i="28"/>
  <c r="A202" i="28"/>
  <c r="H190" i="28"/>
  <c r="E190" i="28"/>
  <c r="C190" i="28"/>
  <c r="A190" i="28"/>
  <c r="E189" i="28"/>
  <c r="C189" i="28"/>
  <c r="A189" i="28"/>
  <c r="H188" i="28"/>
  <c r="E188" i="28"/>
  <c r="C188" i="28"/>
  <c r="B188" i="28"/>
  <c r="A188" i="28"/>
  <c r="H187" i="28"/>
  <c r="E187" i="28"/>
  <c r="C187" i="28"/>
  <c r="B187" i="28"/>
  <c r="A187" i="28"/>
  <c r="E186" i="28"/>
  <c r="C186" i="28"/>
  <c r="B186" i="28"/>
  <c r="A186" i="28"/>
  <c r="E185" i="28"/>
  <c r="C185" i="28"/>
  <c r="B185" i="28"/>
  <c r="A185" i="28"/>
  <c r="E184" i="28"/>
  <c r="C184" i="28"/>
  <c r="B184" i="28"/>
  <c r="A184" i="28"/>
  <c r="E183" i="28"/>
  <c r="C183" i="28"/>
  <c r="B183" i="28"/>
  <c r="A183" i="28"/>
  <c r="E182" i="28"/>
  <c r="C182" i="28"/>
  <c r="B182" i="28"/>
  <c r="A182" i="28"/>
  <c r="E181" i="28"/>
  <c r="C181" i="28"/>
  <c r="B181" i="28"/>
  <c r="A181" i="28"/>
  <c r="E180" i="28"/>
  <c r="L180" i="28" s="1"/>
  <c r="C180" i="28"/>
  <c r="B180" i="28"/>
  <c r="A180" i="28"/>
  <c r="H179" i="28"/>
  <c r="C179" i="28"/>
  <c r="B179" i="28"/>
  <c r="A179" i="28"/>
  <c r="H178" i="28"/>
  <c r="E178" i="28"/>
  <c r="L178" i="28" s="1"/>
  <c r="C178" i="28"/>
  <c r="B178" i="28"/>
  <c r="A178" i="28"/>
  <c r="H177" i="28"/>
  <c r="E177" i="28"/>
  <c r="C177" i="28"/>
  <c r="B177" i="28"/>
  <c r="A177" i="28"/>
  <c r="H176" i="28"/>
  <c r="E176" i="28"/>
  <c r="C176" i="28"/>
  <c r="B176" i="28"/>
  <c r="A176" i="28"/>
  <c r="H175" i="28"/>
  <c r="E175" i="28"/>
  <c r="C175" i="28"/>
  <c r="B175" i="28"/>
  <c r="A175" i="28"/>
  <c r="H174" i="28"/>
  <c r="E174" i="28"/>
  <c r="C174" i="28"/>
  <c r="B174" i="28"/>
  <c r="A174" i="28"/>
  <c r="E173" i="28"/>
  <c r="C173" i="28"/>
  <c r="B173" i="28"/>
  <c r="A173" i="28"/>
  <c r="H172" i="28"/>
  <c r="E172" i="28"/>
  <c r="C172" i="28"/>
  <c r="B172" i="28"/>
  <c r="A172" i="28"/>
  <c r="H171" i="28"/>
  <c r="E171" i="28"/>
  <c r="C171" i="28"/>
  <c r="B171" i="28"/>
  <c r="A171" i="28"/>
  <c r="H170" i="28"/>
  <c r="E170" i="28"/>
  <c r="C170" i="28"/>
  <c r="B170" i="28"/>
  <c r="A170" i="28"/>
  <c r="E169" i="28"/>
  <c r="C169" i="28"/>
  <c r="E168" i="28"/>
  <c r="C168" i="28"/>
  <c r="B168" i="28"/>
  <c r="A168" i="28"/>
  <c r="H167" i="28"/>
  <c r="E167" i="28"/>
  <c r="C167" i="28"/>
  <c r="B167" i="28"/>
  <c r="A167" i="28"/>
  <c r="H166" i="28"/>
  <c r="E166" i="28"/>
  <c r="C166" i="28"/>
  <c r="B166" i="28"/>
  <c r="A166" i="28"/>
  <c r="H165" i="28"/>
  <c r="E165" i="28"/>
  <c r="C165" i="28"/>
  <c r="B165" i="28"/>
  <c r="A165" i="28"/>
  <c r="E164" i="28"/>
  <c r="C164" i="28"/>
  <c r="B164" i="28"/>
  <c r="A164" i="28"/>
  <c r="E163" i="28"/>
  <c r="C163" i="28"/>
  <c r="B163" i="28"/>
  <c r="A163" i="28"/>
  <c r="H162" i="28"/>
  <c r="E162" i="28"/>
  <c r="C162" i="28"/>
  <c r="B162" i="28"/>
  <c r="A162" i="28"/>
  <c r="H161" i="28"/>
  <c r="E161" i="28"/>
  <c r="C161" i="28"/>
  <c r="B161" i="28"/>
  <c r="A161" i="28"/>
  <c r="H160" i="28"/>
  <c r="E160" i="28"/>
  <c r="C160" i="28"/>
  <c r="B160" i="28"/>
  <c r="A160" i="28"/>
  <c r="H159" i="28"/>
  <c r="E159" i="28"/>
  <c r="C159" i="28"/>
  <c r="B159" i="28"/>
  <c r="A159" i="28"/>
  <c r="H158" i="28"/>
  <c r="E158" i="28"/>
  <c r="C158" i="28"/>
  <c r="B158" i="28"/>
  <c r="A158" i="28"/>
  <c r="H157" i="28"/>
  <c r="E157" i="28"/>
  <c r="C157" i="28"/>
  <c r="B157" i="28"/>
  <c r="A157" i="28"/>
  <c r="H156" i="28"/>
  <c r="E156" i="28"/>
  <c r="C156" i="28"/>
  <c r="B156" i="28"/>
  <c r="A156" i="28"/>
  <c r="H155" i="28"/>
  <c r="E155" i="28"/>
  <c r="C155" i="28"/>
  <c r="B155" i="28"/>
  <c r="A155" i="28"/>
  <c r="H154" i="28"/>
  <c r="E154" i="28"/>
  <c r="C154" i="28"/>
  <c r="B154" i="28"/>
  <c r="A154" i="28"/>
  <c r="H153" i="28"/>
  <c r="E153" i="28"/>
  <c r="C153" i="28"/>
  <c r="B153" i="28"/>
  <c r="A153" i="28"/>
  <c r="H152" i="28"/>
  <c r="E152" i="28"/>
  <c r="C152" i="28"/>
  <c r="B152" i="28"/>
  <c r="A152" i="28"/>
  <c r="H151" i="28"/>
  <c r="E151" i="28"/>
  <c r="C151" i="28"/>
  <c r="B151" i="28"/>
  <c r="A151" i="28"/>
  <c r="H150" i="28"/>
  <c r="E150" i="28"/>
  <c r="C150" i="28"/>
  <c r="B150" i="28"/>
  <c r="A150" i="28"/>
  <c r="H149" i="28"/>
  <c r="E149" i="28"/>
  <c r="C149" i="28"/>
  <c r="B149" i="28"/>
  <c r="A149" i="28"/>
  <c r="H148" i="28"/>
  <c r="E148" i="28"/>
  <c r="C148" i="28"/>
  <c r="B148" i="28"/>
  <c r="A148" i="28"/>
  <c r="H147" i="28"/>
  <c r="E147" i="28"/>
  <c r="C147" i="28"/>
  <c r="B147" i="28"/>
  <c r="A147" i="28"/>
  <c r="H146" i="28"/>
  <c r="E146" i="28"/>
  <c r="C146" i="28"/>
  <c r="B146" i="28"/>
  <c r="A146" i="28"/>
  <c r="H145" i="28"/>
  <c r="E145" i="28"/>
  <c r="C145" i="28"/>
  <c r="B145" i="28"/>
  <c r="A145" i="28"/>
  <c r="H144" i="28"/>
  <c r="E144" i="28"/>
  <c r="C144" i="28"/>
  <c r="B144" i="28"/>
  <c r="A144" i="28"/>
  <c r="H143" i="28"/>
  <c r="C143" i="28"/>
  <c r="B143" i="28"/>
  <c r="A143" i="28"/>
  <c r="H142" i="28"/>
  <c r="C142" i="28"/>
  <c r="B142" i="28"/>
  <c r="A142" i="28"/>
  <c r="H141" i="28"/>
  <c r="E141" i="28"/>
  <c r="C141" i="28"/>
  <c r="B141" i="28"/>
  <c r="A141" i="28"/>
  <c r="H140" i="28"/>
  <c r="E140" i="28"/>
  <c r="C140" i="28"/>
  <c r="B140" i="28"/>
  <c r="A140" i="28"/>
  <c r="H139" i="28"/>
  <c r="E139" i="28"/>
  <c r="C139" i="28"/>
  <c r="B139" i="28"/>
  <c r="A139" i="28"/>
  <c r="E138" i="28"/>
  <c r="C138" i="28"/>
  <c r="B138" i="28"/>
  <c r="A138" i="28"/>
  <c r="H137" i="28"/>
  <c r="E137" i="28"/>
  <c r="C137" i="28"/>
  <c r="B137" i="28"/>
  <c r="A137" i="28"/>
  <c r="H136" i="28"/>
  <c r="E136" i="28"/>
  <c r="C136" i="28"/>
  <c r="B136" i="28"/>
  <c r="A136" i="28"/>
  <c r="H135" i="28"/>
  <c r="E135" i="28"/>
  <c r="C135" i="28"/>
  <c r="B135" i="28"/>
  <c r="A135" i="28"/>
  <c r="H134" i="28"/>
  <c r="E134" i="28"/>
  <c r="C134" i="28"/>
  <c r="B134" i="28"/>
  <c r="A134" i="28"/>
  <c r="H133" i="28"/>
  <c r="E133" i="28"/>
  <c r="C133" i="28"/>
  <c r="B133" i="28"/>
  <c r="A133" i="28"/>
  <c r="H132" i="28"/>
  <c r="E132" i="28"/>
  <c r="C132" i="28"/>
  <c r="B132" i="28"/>
  <c r="A132" i="28"/>
  <c r="H131" i="28"/>
  <c r="E131" i="28"/>
  <c r="C131" i="28"/>
  <c r="B131" i="28"/>
  <c r="A131" i="28"/>
  <c r="H130" i="28"/>
  <c r="E130" i="28"/>
  <c r="C130" i="28"/>
  <c r="B130" i="28"/>
  <c r="A130" i="28"/>
  <c r="H129" i="28"/>
  <c r="E129" i="28"/>
  <c r="C129" i="28"/>
  <c r="B129" i="28"/>
  <c r="A129" i="28"/>
  <c r="H128" i="28"/>
  <c r="E128" i="28"/>
  <c r="C128" i="28"/>
  <c r="B128" i="28"/>
  <c r="A128" i="28"/>
  <c r="H127" i="28"/>
  <c r="E127" i="28"/>
  <c r="C127" i="28"/>
  <c r="B127" i="28"/>
  <c r="A127" i="28"/>
  <c r="H126" i="28"/>
  <c r="E126" i="28"/>
  <c r="C126" i="28"/>
  <c r="B126" i="28"/>
  <c r="A126" i="28"/>
  <c r="H125" i="28"/>
  <c r="E125" i="28"/>
  <c r="C125" i="28"/>
  <c r="B125" i="28"/>
  <c r="A125" i="28"/>
  <c r="H124" i="28"/>
  <c r="E124" i="28"/>
  <c r="C124" i="28"/>
  <c r="B124" i="28"/>
  <c r="A124" i="28"/>
  <c r="H123" i="28"/>
  <c r="E123" i="28"/>
  <c r="C123" i="28"/>
  <c r="B123" i="28"/>
  <c r="A123" i="28"/>
  <c r="H122" i="28"/>
  <c r="E122" i="28"/>
  <c r="C122" i="28"/>
  <c r="B122" i="28"/>
  <c r="A122" i="28"/>
  <c r="H121" i="28"/>
  <c r="E121" i="28"/>
  <c r="C121" i="28"/>
  <c r="B121" i="28"/>
  <c r="A121" i="28"/>
  <c r="H120" i="28"/>
  <c r="E120" i="28"/>
  <c r="C120" i="28"/>
  <c r="B120" i="28"/>
  <c r="A120" i="28"/>
  <c r="H119" i="28"/>
  <c r="E119" i="28"/>
  <c r="C119" i="28"/>
  <c r="B119" i="28"/>
  <c r="A119" i="28"/>
  <c r="H118" i="28"/>
  <c r="E118" i="28"/>
  <c r="C118" i="28"/>
  <c r="B118" i="28"/>
  <c r="A118" i="28"/>
  <c r="H117" i="28"/>
  <c r="E117" i="28"/>
  <c r="C117" i="28"/>
  <c r="B117" i="28"/>
  <c r="A117" i="28"/>
  <c r="H116" i="28"/>
  <c r="E116" i="28"/>
  <c r="C116" i="28"/>
  <c r="B116" i="28"/>
  <c r="A116" i="28"/>
  <c r="H115" i="28"/>
  <c r="E115" i="28"/>
  <c r="C115" i="28"/>
  <c r="B115" i="28"/>
  <c r="A115" i="28"/>
  <c r="H114" i="28"/>
  <c r="E114" i="28"/>
  <c r="C114" i="28"/>
  <c r="B114" i="28"/>
  <c r="A114" i="28"/>
  <c r="H113" i="28"/>
  <c r="E113" i="28"/>
  <c r="C113" i="28"/>
  <c r="B113" i="28"/>
  <c r="A113" i="28"/>
  <c r="H112" i="28"/>
  <c r="E112" i="28"/>
  <c r="C112" i="28"/>
  <c r="B112" i="28"/>
  <c r="A112" i="28"/>
  <c r="H111" i="28"/>
  <c r="E111" i="28"/>
  <c r="C111" i="28"/>
  <c r="B111" i="28"/>
  <c r="A111" i="28"/>
  <c r="H110" i="28"/>
  <c r="E110" i="28"/>
  <c r="C110" i="28"/>
  <c r="B110" i="28"/>
  <c r="A110" i="28"/>
  <c r="H109" i="28"/>
  <c r="E109" i="28"/>
  <c r="C109" i="28"/>
  <c r="B109" i="28"/>
  <c r="A109" i="28"/>
  <c r="H108" i="28"/>
  <c r="E108" i="28"/>
  <c r="C108" i="28"/>
  <c r="B108" i="28"/>
  <c r="A108" i="28"/>
  <c r="H107" i="28"/>
  <c r="E107" i="28"/>
  <c r="C107" i="28"/>
  <c r="B107" i="28"/>
  <c r="A107" i="28"/>
  <c r="H106" i="28"/>
  <c r="E106" i="28"/>
  <c r="C106" i="28"/>
  <c r="B106" i="28"/>
  <c r="A106" i="28"/>
  <c r="H105" i="28"/>
  <c r="E105" i="28"/>
  <c r="C105" i="28"/>
  <c r="B105" i="28"/>
  <c r="A105" i="28"/>
  <c r="H104" i="28"/>
  <c r="E104" i="28"/>
  <c r="C104" i="28"/>
  <c r="B104" i="28"/>
  <c r="A104" i="28"/>
  <c r="H103" i="28"/>
  <c r="E103" i="28"/>
  <c r="C103" i="28"/>
  <c r="B103" i="28"/>
  <c r="A103" i="28"/>
  <c r="H102" i="28"/>
  <c r="E102" i="28"/>
  <c r="C102" i="28"/>
  <c r="B102" i="28"/>
  <c r="A102" i="28"/>
  <c r="H101" i="28"/>
  <c r="E101" i="28"/>
  <c r="C101" i="28"/>
  <c r="B101" i="28"/>
  <c r="A101" i="28"/>
  <c r="H100" i="28"/>
  <c r="E100" i="28"/>
  <c r="C100" i="28"/>
  <c r="B100" i="28"/>
  <c r="A100" i="28"/>
  <c r="H99" i="28"/>
  <c r="E99" i="28"/>
  <c r="C99" i="28"/>
  <c r="B99" i="28"/>
  <c r="A99" i="28"/>
  <c r="H98" i="28"/>
  <c r="E98" i="28"/>
  <c r="C98" i="28"/>
  <c r="B98" i="28"/>
  <c r="A98" i="28"/>
  <c r="H97" i="28"/>
  <c r="E97" i="28"/>
  <c r="C97" i="28"/>
  <c r="B97" i="28"/>
  <c r="A97" i="28"/>
  <c r="H96" i="28"/>
  <c r="E96" i="28"/>
  <c r="C96" i="28"/>
  <c r="B96" i="28"/>
  <c r="A96" i="28"/>
  <c r="H95" i="28"/>
  <c r="C95" i="28"/>
  <c r="B95" i="28"/>
  <c r="A95" i="28"/>
  <c r="H94" i="28"/>
  <c r="E94" i="28"/>
  <c r="C94" i="28"/>
  <c r="B94" i="28"/>
  <c r="A94" i="28"/>
  <c r="H93" i="28"/>
  <c r="E93" i="28"/>
  <c r="C93" i="28"/>
  <c r="B93" i="28"/>
  <c r="A93" i="28"/>
  <c r="H92" i="28"/>
  <c r="E92" i="28"/>
  <c r="C92" i="28"/>
  <c r="B92" i="28"/>
  <c r="A92" i="28"/>
  <c r="E91" i="28"/>
  <c r="C91" i="28"/>
  <c r="B91" i="28"/>
  <c r="A91" i="28"/>
  <c r="H90" i="28"/>
  <c r="E90" i="28"/>
  <c r="C90" i="28"/>
  <c r="B90" i="28"/>
  <c r="A90" i="28"/>
  <c r="H89" i="28"/>
  <c r="E89" i="28"/>
  <c r="C89" i="28"/>
  <c r="B89" i="28"/>
  <c r="A89" i="28"/>
  <c r="E88" i="28"/>
  <c r="C88" i="28"/>
  <c r="B88" i="28"/>
  <c r="A88" i="28"/>
  <c r="H87" i="28"/>
  <c r="E87" i="28"/>
  <c r="C87" i="28"/>
  <c r="B87" i="28"/>
  <c r="A87" i="28"/>
  <c r="H86" i="28"/>
  <c r="E86" i="28"/>
  <c r="C86" i="28"/>
  <c r="B86" i="28"/>
  <c r="A86" i="28"/>
  <c r="H85" i="28"/>
  <c r="E85" i="28"/>
  <c r="C85" i="28"/>
  <c r="B85" i="28"/>
  <c r="A85" i="28"/>
  <c r="H84" i="28"/>
  <c r="E84" i="28"/>
  <c r="C84" i="28"/>
  <c r="B84" i="28"/>
  <c r="A84" i="28"/>
  <c r="H83" i="28"/>
  <c r="E83" i="28"/>
  <c r="C83" i="28"/>
  <c r="B83" i="28"/>
  <c r="A83" i="28"/>
  <c r="H82" i="28"/>
  <c r="E82" i="28"/>
  <c r="C82" i="28"/>
  <c r="B82" i="28"/>
  <c r="A82" i="28"/>
  <c r="E81" i="28"/>
  <c r="C81" i="28"/>
  <c r="B81" i="28"/>
  <c r="E80" i="28"/>
  <c r="C80" i="28"/>
  <c r="B80" i="28"/>
  <c r="E79" i="28"/>
  <c r="C79" i="28"/>
  <c r="B79" i="28"/>
  <c r="E78" i="28"/>
  <c r="C78" i="28"/>
  <c r="B78" i="28"/>
  <c r="E77" i="28"/>
  <c r="C77" i="28"/>
  <c r="B77" i="28"/>
  <c r="C76" i="28"/>
  <c r="B76" i="28"/>
  <c r="E75" i="28"/>
  <c r="C75" i="28"/>
  <c r="B75" i="28"/>
  <c r="A75" i="28"/>
  <c r="H74" i="28"/>
  <c r="E74" i="28"/>
  <c r="C74" i="28"/>
  <c r="B74" i="28"/>
  <c r="A74" i="28"/>
  <c r="E73" i="28"/>
  <c r="C73" i="28"/>
  <c r="B73" i="28"/>
  <c r="A73" i="28"/>
  <c r="H72" i="28"/>
  <c r="E72" i="28"/>
  <c r="C72" i="28"/>
  <c r="B72" i="28"/>
  <c r="A72" i="28"/>
  <c r="H71" i="28"/>
  <c r="E71" i="28"/>
  <c r="C71" i="28"/>
  <c r="B71" i="28"/>
  <c r="A71" i="28"/>
  <c r="E70" i="28"/>
  <c r="C70" i="28"/>
  <c r="B70" i="28"/>
  <c r="A70" i="28"/>
  <c r="H69" i="28"/>
  <c r="E69" i="28"/>
  <c r="C69" i="28"/>
  <c r="B69" i="28"/>
  <c r="A69" i="28"/>
  <c r="H68" i="28"/>
  <c r="E68" i="28"/>
  <c r="C68" i="28"/>
  <c r="B68" i="28"/>
  <c r="A68" i="28"/>
  <c r="H67" i="28"/>
  <c r="E67" i="28"/>
  <c r="C67" i="28"/>
  <c r="A67" i="28"/>
  <c r="H66" i="28"/>
  <c r="C66" i="28"/>
  <c r="B66" i="28"/>
  <c r="A66" i="28"/>
  <c r="H65" i="28"/>
  <c r="E65" i="28"/>
  <c r="C65" i="28"/>
  <c r="B65" i="28"/>
  <c r="A65" i="28"/>
  <c r="H64" i="28"/>
  <c r="E64" i="28"/>
  <c r="C64" i="28"/>
  <c r="B64" i="28"/>
  <c r="A64" i="28"/>
  <c r="H63" i="28"/>
  <c r="E63" i="28"/>
  <c r="C63" i="28"/>
  <c r="B63" i="28"/>
  <c r="A63" i="28"/>
  <c r="H62" i="28"/>
  <c r="E62" i="28"/>
  <c r="C62" i="28"/>
  <c r="B62" i="28"/>
  <c r="A62" i="28"/>
  <c r="H61" i="28"/>
  <c r="E61" i="28"/>
  <c r="C61" i="28"/>
  <c r="B61" i="28"/>
  <c r="A61" i="28"/>
  <c r="H60" i="28"/>
  <c r="E60" i="28"/>
  <c r="C60" i="28"/>
  <c r="B60" i="28"/>
  <c r="A60" i="28"/>
  <c r="H59" i="28"/>
  <c r="E59" i="28"/>
  <c r="C59" i="28"/>
  <c r="B59" i="28"/>
  <c r="A59" i="28"/>
  <c r="H58" i="28"/>
  <c r="E58" i="28"/>
  <c r="C58" i="28"/>
  <c r="B58" i="28"/>
  <c r="A58" i="28"/>
  <c r="H57" i="28"/>
  <c r="E57" i="28"/>
  <c r="C57" i="28"/>
  <c r="B57" i="28"/>
  <c r="A57" i="28"/>
  <c r="H56" i="28"/>
  <c r="E56" i="28"/>
  <c r="C56" i="28"/>
  <c r="B56" i="28"/>
  <c r="A56" i="28"/>
  <c r="H55" i="28"/>
  <c r="E55" i="28"/>
  <c r="C55" i="28"/>
  <c r="B55" i="28"/>
  <c r="A55" i="28"/>
  <c r="H54" i="28"/>
  <c r="E54" i="28"/>
  <c r="C54" i="28"/>
  <c r="B54" i="28"/>
  <c r="A54" i="28"/>
  <c r="H53" i="28"/>
  <c r="E53" i="28"/>
  <c r="C53" i="28"/>
  <c r="B53" i="28"/>
  <c r="A53" i="28"/>
  <c r="H52" i="28"/>
  <c r="E52" i="28"/>
  <c r="C52" i="28"/>
  <c r="B52" i="28"/>
  <c r="A52" i="28"/>
  <c r="H51" i="28"/>
  <c r="E51" i="28"/>
  <c r="C51" i="28"/>
  <c r="B51" i="28"/>
  <c r="A51" i="28"/>
  <c r="H50" i="28"/>
  <c r="E50" i="28"/>
  <c r="C50" i="28"/>
  <c r="B50" i="28"/>
  <c r="A50" i="28"/>
  <c r="H49" i="28"/>
  <c r="E49" i="28"/>
  <c r="C49" i="28"/>
  <c r="B49" i="28"/>
  <c r="A49" i="28"/>
  <c r="H48" i="28"/>
  <c r="E48" i="28"/>
  <c r="C48" i="28"/>
  <c r="B48" i="28"/>
  <c r="A48" i="28"/>
  <c r="H47" i="28"/>
  <c r="E47" i="28"/>
  <c r="C47" i="28"/>
  <c r="B47" i="28"/>
  <c r="A47" i="28"/>
  <c r="H46" i="28"/>
  <c r="E46" i="28"/>
  <c r="C46" i="28"/>
  <c r="B46" i="28"/>
  <c r="A46" i="28"/>
  <c r="H45" i="28"/>
  <c r="E45" i="28"/>
  <c r="C45" i="28"/>
  <c r="B45" i="28"/>
  <c r="A45" i="28"/>
  <c r="H44" i="28"/>
  <c r="E44" i="28"/>
  <c r="C44" i="28"/>
  <c r="B44" i="28"/>
  <c r="A44" i="28"/>
  <c r="H43" i="28"/>
  <c r="E43" i="28"/>
  <c r="C43" i="28"/>
  <c r="B43" i="28"/>
  <c r="A43" i="28"/>
  <c r="H42" i="28"/>
  <c r="E42" i="28"/>
  <c r="C42" i="28"/>
  <c r="B42" i="28"/>
  <c r="A42" i="28"/>
  <c r="H41" i="28"/>
  <c r="E41" i="28"/>
  <c r="C41" i="28"/>
  <c r="B41" i="28"/>
  <c r="A41" i="28"/>
  <c r="E40" i="28"/>
  <c r="C40" i="28"/>
  <c r="B40" i="28"/>
  <c r="A40" i="28"/>
  <c r="H39" i="28"/>
  <c r="E39" i="28"/>
  <c r="C39" i="28"/>
  <c r="B39" i="28"/>
  <c r="A39" i="28"/>
  <c r="H38" i="28"/>
  <c r="E38" i="28"/>
  <c r="C38" i="28"/>
  <c r="B38" i="28"/>
  <c r="A38" i="28"/>
  <c r="H37" i="28"/>
  <c r="E37" i="28"/>
  <c r="C37" i="28"/>
  <c r="B37" i="28"/>
  <c r="A37" i="28"/>
  <c r="H36" i="28"/>
  <c r="E36" i="28"/>
  <c r="C36" i="28"/>
  <c r="B36" i="28"/>
  <c r="A36" i="28"/>
  <c r="H35" i="28"/>
  <c r="E35" i="28"/>
  <c r="C35" i="28"/>
  <c r="B35" i="28"/>
  <c r="A35" i="28"/>
  <c r="H34" i="28"/>
  <c r="E34" i="28"/>
  <c r="C34" i="28"/>
  <c r="B34" i="28"/>
  <c r="A34" i="28"/>
  <c r="H33" i="28"/>
  <c r="E33" i="28"/>
  <c r="C33" i="28"/>
  <c r="B33" i="28"/>
  <c r="A33" i="28"/>
  <c r="H32" i="28"/>
  <c r="E32" i="28"/>
  <c r="C32" i="28"/>
  <c r="B32" i="28"/>
  <c r="A32" i="28"/>
  <c r="H31" i="28"/>
  <c r="E31" i="28"/>
  <c r="C31" i="28"/>
  <c r="B31" i="28"/>
  <c r="A31" i="28"/>
  <c r="H30" i="28"/>
  <c r="E30" i="28"/>
  <c r="C30" i="28"/>
  <c r="B30" i="28"/>
  <c r="A30" i="28"/>
  <c r="H29" i="28"/>
  <c r="E29" i="28"/>
  <c r="C29" i="28"/>
  <c r="B29" i="28"/>
  <c r="A29" i="28"/>
  <c r="H28" i="28"/>
  <c r="E28" i="28"/>
  <c r="C28" i="28"/>
  <c r="B28" i="28"/>
  <c r="A28" i="28"/>
  <c r="H27" i="28"/>
  <c r="E27" i="28"/>
  <c r="C27" i="28"/>
  <c r="B27" i="28"/>
  <c r="A27" i="28"/>
  <c r="H26" i="28"/>
  <c r="E26" i="28"/>
  <c r="C26" i="28"/>
  <c r="B26" i="28"/>
  <c r="A26" i="28"/>
  <c r="H25" i="28"/>
  <c r="E25" i="28"/>
  <c r="C25" i="28"/>
  <c r="B25" i="28"/>
  <c r="A25" i="28"/>
  <c r="H24" i="28"/>
  <c r="E24" i="28"/>
  <c r="C24" i="28"/>
  <c r="B24" i="28"/>
  <c r="A24" i="28"/>
  <c r="H23" i="28"/>
  <c r="E23" i="28"/>
  <c r="C23" i="28"/>
  <c r="B23" i="28"/>
  <c r="A23" i="28"/>
  <c r="H22" i="28"/>
  <c r="E22" i="28"/>
  <c r="C22" i="28"/>
  <c r="B22" i="28"/>
  <c r="A22" i="28"/>
  <c r="H21" i="28"/>
  <c r="E21" i="28"/>
  <c r="C21" i="28"/>
  <c r="B21" i="28"/>
  <c r="A21" i="28"/>
  <c r="H20" i="28"/>
  <c r="E20" i="28"/>
  <c r="C20" i="28"/>
  <c r="B20" i="28"/>
  <c r="A20" i="28"/>
  <c r="H19" i="28"/>
  <c r="E19" i="28"/>
  <c r="C19" i="28"/>
  <c r="B19" i="28"/>
  <c r="A19" i="28"/>
  <c r="H18" i="28"/>
  <c r="E18" i="28"/>
  <c r="C18" i="28"/>
  <c r="B18" i="28"/>
  <c r="A18" i="28"/>
  <c r="H17" i="28"/>
  <c r="E17" i="28"/>
  <c r="C17" i="28"/>
  <c r="B17" i="28"/>
  <c r="A17" i="28"/>
  <c r="E16" i="28"/>
  <c r="C16" i="28"/>
  <c r="B16" i="28"/>
  <c r="A16" i="28"/>
  <c r="E15" i="28"/>
  <c r="C15" i="28"/>
  <c r="B15" i="28"/>
  <c r="A15" i="28"/>
  <c r="E14" i="28"/>
  <c r="C14" i="28"/>
  <c r="B14" i="28"/>
  <c r="A14" i="28"/>
  <c r="E13" i="28"/>
  <c r="C13" i="28"/>
  <c r="B13" i="28"/>
  <c r="A13" i="28"/>
  <c r="E12" i="28"/>
  <c r="C12" i="28"/>
  <c r="B12" i="28"/>
  <c r="A12" i="28"/>
  <c r="E11" i="28"/>
  <c r="C11" i="28"/>
  <c r="B11" i="28"/>
  <c r="A11" i="28"/>
  <c r="H10" i="28"/>
  <c r="C10" i="28"/>
  <c r="B10" i="28"/>
  <c r="A10" i="28"/>
  <c r="H9" i="28"/>
  <c r="E9" i="28"/>
  <c r="C9" i="28"/>
  <c r="B9" i="28"/>
  <c r="A9" i="28"/>
  <c r="H8" i="28"/>
  <c r="E8" i="28"/>
  <c r="C8" i="28"/>
  <c r="B8" i="28"/>
  <c r="A8" i="28"/>
  <c r="H7" i="28"/>
  <c r="G7" i="28"/>
  <c r="E7" i="28"/>
  <c r="C7" i="28"/>
  <c r="B7" i="28"/>
  <c r="A7" i="28"/>
  <c r="H6" i="28"/>
  <c r="E6" i="28"/>
  <c r="C6" i="28"/>
  <c r="B6" i="28"/>
  <c r="A6" i="28"/>
  <c r="H5" i="28"/>
  <c r="E5" i="28"/>
  <c r="C5" i="28"/>
  <c r="B5" i="28"/>
  <c r="A5" i="28"/>
  <c r="K4" i="28"/>
  <c r="E2" i="28"/>
  <c r="C2" i="28"/>
  <c r="A1" i="37"/>
  <c r="G243" i="1"/>
  <c r="G241" i="1"/>
  <c r="H238" i="1"/>
  <c r="G238" i="1" s="1"/>
  <c r="H237" i="1"/>
  <c r="G237" i="1" s="1"/>
  <c r="H236" i="1"/>
  <c r="G236" i="1" s="1"/>
  <c r="G235" i="1"/>
  <c r="G234" i="1"/>
  <c r="G233" i="1"/>
  <c r="G232" i="1"/>
  <c r="G225" i="1"/>
  <c r="G223" i="1"/>
  <c r="G222" i="1"/>
  <c r="G221" i="1"/>
  <c r="H218" i="1"/>
  <c r="G218" i="1" s="1"/>
  <c r="H217" i="1"/>
  <c r="G217" i="1"/>
  <c r="H216" i="1"/>
  <c r="G216" i="1"/>
  <c r="G215" i="1"/>
  <c r="H212" i="1"/>
  <c r="G212" i="1" s="1"/>
  <c r="H211" i="1"/>
  <c r="H210" i="1"/>
  <c r="G210" i="1"/>
  <c r="G209" i="1"/>
  <c r="L204" i="1"/>
  <c r="G204" i="1"/>
  <c r="G203" i="1"/>
  <c r="G202" i="1"/>
  <c r="G201" i="1"/>
  <c r="G199" i="1"/>
  <c r="F193" i="1"/>
  <c r="G192" i="1"/>
  <c r="G191" i="1"/>
  <c r="G190" i="1"/>
  <c r="G189" i="1"/>
  <c r="F187" i="1"/>
  <c r="G186" i="1"/>
  <c r="G185" i="1"/>
  <c r="G184" i="1"/>
  <c r="G183" i="1"/>
  <c r="F181" i="1"/>
  <c r="E143" i="28"/>
  <c r="E142" i="28"/>
  <c r="G168" i="1"/>
  <c r="G163" i="1"/>
  <c r="G159" i="1"/>
  <c r="G157" i="1"/>
  <c r="G156" i="1"/>
  <c r="G153" i="1"/>
  <c r="G152" i="1"/>
  <c r="H145" i="1"/>
  <c r="G145" i="1" s="1"/>
  <c r="G144" i="1"/>
  <c r="G143" i="1"/>
  <c r="G142" i="1"/>
  <c r="G141" i="1"/>
  <c r="G140" i="1"/>
  <c r="G139" i="1"/>
  <c r="G138" i="1"/>
  <c r="G137" i="1"/>
  <c r="G136" i="1"/>
  <c r="G135" i="1"/>
  <c r="H129" i="1"/>
  <c r="G129" i="1" s="1"/>
  <c r="G128" i="1"/>
  <c r="G127" i="1"/>
  <c r="G126" i="1"/>
  <c r="G125" i="1"/>
  <c r="G123" i="1"/>
  <c r="G122" i="1"/>
  <c r="G121" i="1"/>
  <c r="G120" i="1"/>
  <c r="H116" i="1"/>
  <c r="G116" i="1" s="1"/>
  <c r="G102" i="1"/>
  <c r="G100" i="1"/>
  <c r="G99" i="1"/>
  <c r="H97" i="1"/>
  <c r="G97" i="1"/>
  <c r="H130" i="1"/>
  <c r="E76" i="28"/>
  <c r="G86" i="1"/>
  <c r="G84" i="1"/>
  <c r="G68" i="28"/>
  <c r="G75" i="1"/>
  <c r="G73" i="1"/>
  <c r="H70" i="1"/>
  <c r="G70" i="1" s="1"/>
  <c r="G68" i="1"/>
  <c r="G65" i="1"/>
  <c r="G63" i="1"/>
  <c r="G62" i="1"/>
  <c r="H57" i="1"/>
  <c r="G57" i="1"/>
  <c r="H72" i="1"/>
  <c r="G56" i="1"/>
  <c r="G55" i="1"/>
  <c r="G54" i="1"/>
  <c r="G53" i="1"/>
  <c r="G52" i="1"/>
  <c r="G51" i="1"/>
  <c r="G50" i="1"/>
  <c r="G49" i="1"/>
  <c r="G48" i="1"/>
  <c r="G47" i="1"/>
  <c r="G46" i="1"/>
  <c r="G45" i="1"/>
  <c r="G44" i="1"/>
  <c r="G42" i="1"/>
  <c r="G39" i="1"/>
  <c r="O34" i="28"/>
  <c r="H37" i="1"/>
  <c r="G37" i="1" s="1"/>
  <c r="O33" i="28"/>
  <c r="G35" i="1"/>
  <c r="G34" i="1"/>
  <c r="G33" i="1"/>
  <c r="G32" i="1"/>
  <c r="G31" i="1"/>
  <c r="G30" i="1"/>
  <c r="G29" i="1"/>
  <c r="G28" i="1"/>
  <c r="G26" i="1"/>
  <c r="G25" i="1"/>
  <c r="H23" i="1"/>
  <c r="G23" i="1" s="1"/>
  <c r="O21" i="28"/>
  <c r="O20" i="28"/>
  <c r="G20" i="1"/>
  <c r="G18" i="1"/>
  <c r="G11" i="1"/>
  <c r="G10" i="1"/>
  <c r="G9" i="1"/>
  <c r="G8" i="1"/>
  <c r="G7" i="1"/>
  <c r="L215" i="28"/>
  <c r="Q202" i="28" l="1"/>
  <c r="F180" i="28"/>
  <c r="O103" i="28"/>
  <c r="L76" i="28"/>
  <c r="L142" i="28"/>
  <c r="L12" i="28"/>
  <c r="L14" i="28"/>
  <c r="L16" i="28"/>
  <c r="L21" i="28"/>
  <c r="L37" i="28"/>
  <c r="L42" i="28"/>
  <c r="L50" i="28"/>
  <c r="L68" i="28"/>
  <c r="L73" i="28"/>
  <c r="L84" i="28"/>
  <c r="L89" i="28"/>
  <c r="L94" i="28"/>
  <c r="L99" i="28"/>
  <c r="L110" i="28"/>
  <c r="L126" i="28"/>
  <c r="L134" i="28"/>
  <c r="L157" i="28"/>
  <c r="L171" i="28"/>
  <c r="L204" i="28"/>
  <c r="L18" i="28"/>
  <c r="L26" i="28"/>
  <c r="L47" i="28"/>
  <c r="L78" i="28"/>
  <c r="L96" i="28"/>
  <c r="L115" i="28"/>
  <c r="L146" i="28"/>
  <c r="L154" i="28"/>
  <c r="L162" i="28"/>
  <c r="L181" i="28"/>
  <c r="L183" i="28"/>
  <c r="L207" i="28"/>
  <c r="L143" i="28"/>
  <c r="L31" i="28"/>
  <c r="L39" i="28"/>
  <c r="L44" i="28"/>
  <c r="L81" i="28"/>
  <c r="L86" i="28"/>
  <c r="L91" i="28"/>
  <c r="L101" i="28"/>
  <c r="L112" i="28"/>
  <c r="L128" i="28"/>
  <c r="L141" i="28"/>
  <c r="L164" i="28"/>
  <c r="L185" i="28"/>
  <c r="L187" i="28"/>
  <c r="L9" i="28"/>
  <c r="L20" i="28"/>
  <c r="L28" i="28"/>
  <c r="L36" i="28"/>
  <c r="L49" i="28"/>
  <c r="L57" i="28"/>
  <c r="L65" i="28"/>
  <c r="L93" i="28"/>
  <c r="L98" i="28"/>
  <c r="L125" i="28"/>
  <c r="L133" i="28"/>
  <c r="L170" i="28"/>
  <c r="L189" i="28"/>
  <c r="L205" i="28"/>
  <c r="L11" i="28"/>
  <c r="L13" i="28"/>
  <c r="L15" i="28"/>
  <c r="L33" i="28"/>
  <c r="L46" i="28"/>
  <c r="L74" i="28"/>
  <c r="L79" i="28"/>
  <c r="L103" i="28"/>
  <c r="L106" i="28"/>
  <c r="L114" i="28"/>
  <c r="L122" i="28"/>
  <c r="L130" i="28"/>
  <c r="L138" i="28"/>
  <c r="L145" i="28"/>
  <c r="L208" i="28"/>
  <c r="Q208" i="28" s="1"/>
  <c r="L22" i="28"/>
  <c r="L30" i="28"/>
  <c r="L38" i="28"/>
  <c r="L43" i="28"/>
  <c r="L51" i="28"/>
  <c r="L85" i="28"/>
  <c r="L90" i="28"/>
  <c r="L100" i="28"/>
  <c r="L111" i="28"/>
  <c r="L140" i="28"/>
  <c r="L150" i="28"/>
  <c r="L158" i="28"/>
  <c r="L168" i="28"/>
  <c r="L172" i="28"/>
  <c r="L184" i="28"/>
  <c r="L203" i="28"/>
  <c r="L19" i="28"/>
  <c r="L27" i="28"/>
  <c r="L48" i="28"/>
  <c r="L64" i="28"/>
  <c r="L77" i="28"/>
  <c r="L82" i="28"/>
  <c r="L92" i="28"/>
  <c r="L97" i="28"/>
  <c r="L124" i="28"/>
  <c r="L132" i="28"/>
  <c r="L163" i="28"/>
  <c r="L174" i="28"/>
  <c r="L186" i="28"/>
  <c r="L190" i="28"/>
  <c r="L206" i="28"/>
  <c r="L24" i="28"/>
  <c r="L40" i="28"/>
  <c r="L45" i="28"/>
  <c r="L53" i="28"/>
  <c r="L61" i="28"/>
  <c r="L80" i="28"/>
  <c r="L87" i="28"/>
  <c r="L102" i="28"/>
  <c r="L113" i="28"/>
  <c r="L121" i="28"/>
  <c r="L137" i="28"/>
  <c r="L144" i="28"/>
  <c r="L160" i="28"/>
  <c r="L169" i="28"/>
  <c r="L209" i="28"/>
  <c r="Q209" i="28" s="1"/>
  <c r="E95" i="28"/>
  <c r="L127" i="28"/>
  <c r="G88" i="1"/>
  <c r="E174" i="1"/>
  <c r="E10" i="28"/>
  <c r="G12" i="1"/>
  <c r="H38" i="1"/>
  <c r="G38" i="1" s="1"/>
  <c r="L52" i="28"/>
  <c r="G13" i="1"/>
  <c r="G14" i="1"/>
  <c r="G108" i="1"/>
  <c r="G15" i="1"/>
  <c r="L5" i="28"/>
  <c r="G16" i="1"/>
  <c r="G17" i="1"/>
  <c r="E66" i="28"/>
  <c r="O85" i="28"/>
  <c r="E181" i="1"/>
  <c r="O51" i="28"/>
  <c r="O19" i="28"/>
  <c r="E187" i="1"/>
  <c r="L4" i="28"/>
  <c r="A2" i="37"/>
  <c r="L7" i="28"/>
  <c r="L8" i="28"/>
  <c r="L123" i="28"/>
  <c r="L135" i="28"/>
  <c r="L62" i="28"/>
  <c r="L72" i="28"/>
  <c r="L153" i="28"/>
  <c r="L41" i="28"/>
  <c r="L71" i="28"/>
  <c r="L17" i="28"/>
  <c r="F9" i="28"/>
  <c r="L88" i="28"/>
  <c r="L129" i="28"/>
  <c r="L136" i="28"/>
  <c r="E193" i="1"/>
  <c r="H146" i="1"/>
  <c r="L175" i="28"/>
  <c r="L176" i="28"/>
  <c r="F174" i="1"/>
  <c r="F194" i="1" s="1"/>
  <c r="L23" i="28"/>
  <c r="L6" i="28"/>
  <c r="L32" i="28"/>
  <c r="L34" i="28"/>
  <c r="L54" i="28"/>
  <c r="L58" i="28"/>
  <c r="L69" i="28"/>
  <c r="L70" i="28"/>
  <c r="L75" i="28"/>
  <c r="L104" i="28"/>
  <c r="L107" i="28"/>
  <c r="L116" i="28"/>
  <c r="L119" i="28"/>
  <c r="L131" i="28"/>
  <c r="L149" i="28"/>
  <c r="L108" i="28"/>
  <c r="L117" i="28"/>
  <c r="L55" i="28"/>
  <c r="L59" i="28"/>
  <c r="L63" i="28"/>
  <c r="L83" i="28"/>
  <c r="L120" i="28"/>
  <c r="L25" i="28"/>
  <c r="L29" i="28"/>
  <c r="L67" i="28"/>
  <c r="L105" i="28"/>
  <c r="L109" i="28"/>
  <c r="L166" i="28"/>
  <c r="L35" i="28"/>
  <c r="L56" i="28"/>
  <c r="L60" i="28"/>
  <c r="L118" i="28"/>
  <c r="L139" i="28"/>
  <c r="L179" i="28"/>
  <c r="L152" i="28"/>
  <c r="L159" i="28"/>
  <c r="L165" i="28"/>
  <c r="L182" i="28"/>
  <c r="L188" i="28"/>
  <c r="L147" i="28"/>
  <c r="L155" i="28"/>
  <c r="L173" i="28"/>
  <c r="L177" i="28"/>
  <c r="L148" i="28"/>
  <c r="L156" i="28"/>
  <c r="L161" i="28"/>
  <c r="L167" i="28"/>
  <c r="G72" i="1"/>
  <c r="L151" i="28"/>
  <c r="E13" i="37" l="1"/>
  <c r="F115" i="28"/>
  <c r="G129" i="28"/>
  <c r="Q129" i="28" s="1"/>
  <c r="Q41" i="28"/>
  <c r="G41" i="28" s="1"/>
  <c r="F83" i="28"/>
  <c r="Q72" i="28"/>
  <c r="G72" i="28" s="1"/>
  <c r="Q105" i="28"/>
  <c r="G105" i="28" s="1"/>
  <c r="F34" i="28"/>
  <c r="F64" i="28"/>
  <c r="Q90" i="28"/>
  <c r="Q119" i="28"/>
  <c r="G119" i="28" s="1"/>
  <c r="E8" i="37"/>
  <c r="D26" i="37"/>
  <c r="D17" i="37"/>
  <c r="D8" i="37"/>
  <c r="C26" i="37"/>
  <c r="C17" i="37"/>
  <c r="C8" i="37"/>
  <c r="D23" i="37"/>
  <c r="D14" i="37"/>
  <c r="D7" i="37"/>
  <c r="C14" i="37"/>
  <c r="C7" i="37"/>
  <c r="D22" i="37"/>
  <c r="D18" i="37"/>
  <c r="D9" i="37"/>
  <c r="C18" i="37"/>
  <c r="C23" i="37"/>
  <c r="D13" i="37"/>
  <c r="C13" i="37"/>
  <c r="D27" i="37"/>
  <c r="C27" i="37"/>
  <c r="C9" i="37"/>
  <c r="C22" i="37"/>
  <c r="Q103" i="28"/>
  <c r="D49" i="37"/>
  <c r="D39" i="37"/>
  <c r="D35" i="37"/>
  <c r="C49" i="37"/>
  <c r="C39" i="37"/>
  <c r="C35" i="37"/>
  <c r="D46" i="37"/>
  <c r="D38" i="37"/>
  <c r="D34" i="37"/>
  <c r="C46" i="37"/>
  <c r="C38" i="37"/>
  <c r="C34" i="37"/>
  <c r="D37" i="37"/>
  <c r="C52" i="37"/>
  <c r="C37" i="37"/>
  <c r="D50" i="37"/>
  <c r="D36" i="37"/>
  <c r="C43" i="37"/>
  <c r="C36" i="37"/>
  <c r="D52" i="37"/>
  <c r="D44" i="37"/>
  <c r="D33" i="37"/>
  <c r="C44" i="37"/>
  <c r="C33" i="37"/>
  <c r="D43" i="37"/>
  <c r="C50" i="37"/>
  <c r="F35" i="28"/>
  <c r="F123" i="28"/>
  <c r="F172" i="28"/>
  <c r="F166" i="28"/>
  <c r="E39" i="37"/>
  <c r="F8" i="28"/>
  <c r="F169" i="28"/>
  <c r="E34" i="37"/>
  <c r="F20" i="30"/>
  <c r="F133" i="28"/>
  <c r="F28" i="28"/>
  <c r="F128" i="28"/>
  <c r="F31" i="28"/>
  <c r="F160" i="28"/>
  <c r="F61" i="28"/>
  <c r="F174" i="28"/>
  <c r="F9" i="30"/>
  <c r="H9" i="30" s="1"/>
  <c r="F125" i="28"/>
  <c r="F96" i="28"/>
  <c r="E26" i="37"/>
  <c r="F68" i="28"/>
  <c r="F101" i="28"/>
  <c r="F50" i="28"/>
  <c r="F23" i="28"/>
  <c r="F27" i="28"/>
  <c r="F6" i="28"/>
  <c r="F98" i="28"/>
  <c r="F137" i="28"/>
  <c r="F132" i="28"/>
  <c r="F30" i="28"/>
  <c r="F93" i="28"/>
  <c r="F91" i="28"/>
  <c r="F183" i="28"/>
  <c r="F42" i="28"/>
  <c r="F29" i="28"/>
  <c r="F111" i="28"/>
  <c r="F22" i="28"/>
  <c r="F106" i="28"/>
  <c r="F86" i="28"/>
  <c r="F99" i="28"/>
  <c r="F37" i="28"/>
  <c r="F161" i="28"/>
  <c r="F60" i="28"/>
  <c r="F25" i="28"/>
  <c r="F176" i="28"/>
  <c r="F113" i="28"/>
  <c r="F97" i="28"/>
  <c r="F100" i="28"/>
  <c r="E37" i="37"/>
  <c r="F162" i="28"/>
  <c r="F18" i="28"/>
  <c r="F94" i="28"/>
  <c r="F55" i="28"/>
  <c r="F48" i="28"/>
  <c r="Q207" i="28"/>
  <c r="F126" i="28"/>
  <c r="F45" i="28"/>
  <c r="F182" i="28"/>
  <c r="F120" i="28"/>
  <c r="E17" i="37"/>
  <c r="F175" i="28"/>
  <c r="F135" i="28"/>
  <c r="F92" i="28"/>
  <c r="F90" i="28"/>
  <c r="F49" i="28"/>
  <c r="F89" i="28"/>
  <c r="F165" i="28"/>
  <c r="F87" i="28"/>
  <c r="F82" i="28"/>
  <c r="F171" i="28"/>
  <c r="F159" i="28"/>
  <c r="F74" i="28"/>
  <c r="Q203" i="28"/>
  <c r="Q205" i="28"/>
  <c r="Q204" i="28"/>
  <c r="Q206" i="28"/>
  <c r="F11" i="30"/>
  <c r="H11" i="30" s="1"/>
  <c r="F47" i="28"/>
  <c r="F17" i="30"/>
  <c r="F122" i="28"/>
  <c r="F46" i="28"/>
  <c r="F26" i="28"/>
  <c r="F24" i="28"/>
  <c r="E33" i="37"/>
  <c r="F38" i="28"/>
  <c r="F7" i="30"/>
  <c r="H7" i="30" s="1"/>
  <c r="F57" i="28"/>
  <c r="F72" i="28"/>
  <c r="F8" i="30"/>
  <c r="F39" i="28"/>
  <c r="E22" i="37"/>
  <c r="F43" i="28"/>
  <c r="D1" i="28"/>
  <c r="E18" i="37"/>
  <c r="G103" i="28"/>
  <c r="E50" i="37"/>
  <c r="H186" i="28"/>
  <c r="Q186" i="28" s="1"/>
  <c r="F14" i="30"/>
  <c r="G115" i="28"/>
  <c r="Q115" i="28" s="1"/>
  <c r="F121" i="28"/>
  <c r="F181" i="28"/>
  <c r="F103" i="28"/>
  <c r="L95" i="28"/>
  <c r="H173" i="28"/>
  <c r="Q173" i="28" s="1"/>
  <c r="L66" i="28"/>
  <c r="F44" i="28"/>
  <c r="L10" i="28"/>
  <c r="F17" i="28" s="1"/>
  <c r="F5" i="28"/>
  <c r="F130" i="28"/>
  <c r="F41" i="28"/>
  <c r="G34" i="28"/>
  <c r="Q34" i="28" s="1"/>
  <c r="G51" i="28"/>
  <c r="Q51" i="28" s="1"/>
  <c r="F52" i="28"/>
  <c r="F51" i="28"/>
  <c r="F21" i="28"/>
  <c r="E194" i="1"/>
  <c r="Q74" i="28"/>
  <c r="G74" i="28" s="1"/>
  <c r="H185" i="28"/>
  <c r="Q185" i="28" s="1"/>
  <c r="G21" i="28"/>
  <c r="Q21" i="28" s="1"/>
  <c r="G130" i="28"/>
  <c r="Q130" i="28" s="1"/>
  <c r="E27" i="37"/>
  <c r="F136" i="28"/>
  <c r="F139" i="28"/>
  <c r="Q83" i="28"/>
  <c r="G83" i="28" s="1"/>
  <c r="F85" i="28"/>
  <c r="E44" i="37"/>
  <c r="G85" i="28"/>
  <c r="Q85" i="28" s="1"/>
  <c r="F105" i="28"/>
  <c r="F69" i="28"/>
  <c r="E46" i="37"/>
  <c r="F119" i="28"/>
  <c r="F118" i="28"/>
  <c r="E52" i="37"/>
  <c r="F29" i="30"/>
  <c r="F59" i="28"/>
  <c r="F58" i="28"/>
  <c r="F28" i="30"/>
  <c r="H28" i="30" s="1"/>
  <c r="E38" i="37"/>
  <c r="F33" i="28"/>
  <c r="F7" i="28"/>
  <c r="G114" i="28"/>
  <c r="Q114" i="28" s="1"/>
  <c r="F114" i="28"/>
  <c r="E43" i="37"/>
  <c r="F63" i="28"/>
  <c r="G63" i="28"/>
  <c r="Q63" i="28" s="1"/>
  <c r="E35" i="37"/>
  <c r="G64" i="28"/>
  <c r="Q64" i="28" s="1"/>
  <c r="G33" i="28"/>
  <c r="Q33" i="28" s="1"/>
  <c r="F56" i="28"/>
  <c r="F26" i="30"/>
  <c r="H26" i="30" s="1"/>
  <c r="E36" i="37"/>
  <c r="F129" i="28"/>
  <c r="E49" i="37"/>
  <c r="E14" i="37"/>
  <c r="H168" i="28"/>
  <c r="Q168" i="28" s="1"/>
  <c r="F167" i="28"/>
  <c r="H184" i="28"/>
  <c r="Q184" i="28" s="1"/>
  <c r="E7" i="37"/>
  <c r="F177" i="28"/>
  <c r="F10" i="30"/>
  <c r="F170" i="28"/>
  <c r="G186" i="28" l="1"/>
  <c r="G184" i="28"/>
  <c r="J219" i="28"/>
  <c r="E28" i="37"/>
  <c r="E19" i="37"/>
  <c r="F66" i="28"/>
  <c r="C15" i="37"/>
  <c r="G185" i="28"/>
  <c r="E51" i="37"/>
  <c r="F186" i="28"/>
  <c r="F10" i="28"/>
  <c r="E23" i="37"/>
  <c r="E24" i="37" s="1"/>
  <c r="F173" i="28"/>
  <c r="E15" i="37"/>
  <c r="D24" i="37"/>
  <c r="C28" i="37"/>
  <c r="C19" i="37"/>
  <c r="C45" i="37"/>
  <c r="D45" i="37"/>
  <c r="D51" i="37"/>
  <c r="D28" i="37"/>
  <c r="E9" i="37"/>
  <c r="C24" i="37"/>
  <c r="D19" i="37"/>
  <c r="C51" i="37"/>
  <c r="E45" i="37"/>
  <c r="D15" i="37"/>
  <c r="F185" i="28"/>
  <c r="F30" i="30"/>
  <c r="H29" i="30"/>
  <c r="H30" i="30" s="1"/>
  <c r="F168" i="28"/>
  <c r="F12" i="30"/>
  <c r="H10" i="30"/>
  <c r="H12" i="30" s="1"/>
  <c r="F184" i="28"/>
  <c r="L219" i="28" l="1"/>
  <c r="H32" i="30"/>
  <c r="F15" i="30"/>
  <c r="F18" i="30" s="1"/>
  <c r="F32" i="30"/>
  <c r="C22" i="30" l="1"/>
  <c r="F21" i="30"/>
  <c r="C21" i="30"/>
</calcChain>
</file>

<file path=xl/sharedStrings.xml><?xml version="1.0" encoding="utf-8"?>
<sst xmlns="http://schemas.openxmlformats.org/spreadsheetml/2006/main" count="3053" uniqueCount="1253">
  <si>
    <t xml:space="preserve">Unit Number:      </t>
  </si>
  <si>
    <t>Description of Requested Amount from Audited Financial Statements</t>
  </si>
  <si>
    <t>Capital Assets for Governmental Activities</t>
  </si>
  <si>
    <t>Buildings</t>
  </si>
  <si>
    <t>Plant / distributions systems / water lines</t>
  </si>
  <si>
    <t>Infrastructure(other infrastructure)</t>
  </si>
  <si>
    <t xml:space="preserve">Electric Fund </t>
  </si>
  <si>
    <r>
      <t xml:space="preserve">Total Assets </t>
    </r>
    <r>
      <rPr>
        <b/>
        <sz val="11"/>
        <color indexed="8"/>
        <rFont val="Calibri"/>
        <family val="2"/>
      </rPr>
      <t>being depreciated</t>
    </r>
    <r>
      <rPr>
        <sz val="11"/>
        <color theme="1"/>
        <rFont val="Calibri"/>
        <family val="2"/>
        <scheme val="minor"/>
      </rPr>
      <t xml:space="preserve"> for Governmental Activities:</t>
    </r>
  </si>
  <si>
    <t>Construction in progress</t>
  </si>
  <si>
    <t>Capital Assets for Electric Fund</t>
  </si>
  <si>
    <t>Gross value:</t>
  </si>
  <si>
    <t>Notes to the Financial Statements -Summary Changes in Long-Term Liability</t>
  </si>
  <si>
    <t>Error Messages</t>
  </si>
  <si>
    <t>Statement of Revenue, Expenditures and Changes in Fund Balance - Governmental Funds
 - All Governmental Funds</t>
  </si>
  <si>
    <t xml:space="preserve">     not necessarily the statistical section.</t>
  </si>
  <si>
    <t>Notes</t>
  </si>
  <si>
    <t>Buildings annual depreciation</t>
  </si>
  <si>
    <t>Building accumulated depreciation</t>
  </si>
  <si>
    <t>Plant / distributions systems / water lines annual depreciation</t>
  </si>
  <si>
    <t>Plant / distributions systems / water lines accumulated depreciation</t>
  </si>
  <si>
    <t>Infrastructure(other infrastructure) annual depreciation</t>
  </si>
  <si>
    <t>Infrastructure(other infrastructure) accumulated depreciation</t>
  </si>
  <si>
    <t>Total Assets Gross value of assets being depreciated for Electric Fund</t>
  </si>
  <si>
    <t>Total accumulated depreciation for Electric Fund assets</t>
  </si>
  <si>
    <t>receiving operating revenues or paying operating expenditures. Eliminate internal balances within this activity group.</t>
  </si>
  <si>
    <t xml:space="preserve">receiving operating revenues or paying operating expenditures. </t>
  </si>
  <si>
    <t xml:space="preserve">and wastewater funds into one activity for purposes of this worksheet.  Exclude stormwater funds.  Only fill out this section if </t>
  </si>
  <si>
    <t>Notes to the Financial Statements - Other Post-employment benefits (OPEB) Note</t>
  </si>
  <si>
    <t>(The OPEB amounts requested are normally in the OPEB note - however, many of them can also be found on the Required Supplementary Information Schedule for OPEB that follows the Notes.)</t>
  </si>
  <si>
    <t>Notes to the Financial Statements -Transfer Note</t>
  </si>
  <si>
    <t>Notes to the Financial Statements -Fund Balance Note</t>
  </si>
  <si>
    <t>Notes to the Financial Statements - Capital Asset Information</t>
  </si>
  <si>
    <r>
      <t xml:space="preserve">Assets </t>
    </r>
    <r>
      <rPr>
        <b/>
        <sz val="11"/>
        <color indexed="8"/>
        <rFont val="Calibri"/>
        <family val="2"/>
      </rPr>
      <t>not being depreciated</t>
    </r>
    <r>
      <rPr>
        <sz val="11"/>
        <color theme="1"/>
        <rFont val="Calibri"/>
        <family val="2"/>
        <scheme val="minor"/>
      </rPr>
      <t xml:space="preserve"> for Water and Sewer Activities:</t>
    </r>
  </si>
  <si>
    <r>
      <t xml:space="preserve">Assets </t>
    </r>
    <r>
      <rPr>
        <b/>
        <sz val="11"/>
        <color indexed="8"/>
        <rFont val="Calibri"/>
        <family val="2"/>
      </rPr>
      <t>being depreciated</t>
    </r>
    <r>
      <rPr>
        <sz val="11"/>
        <color theme="1"/>
        <rFont val="Calibri"/>
        <family val="2"/>
        <scheme val="minor"/>
      </rPr>
      <t xml:space="preserve"> for Water and Sewer Activities:</t>
    </r>
  </si>
  <si>
    <r>
      <t xml:space="preserve">Total Gross Value Assets </t>
    </r>
    <r>
      <rPr>
        <b/>
        <sz val="11"/>
        <color indexed="8"/>
        <rFont val="Calibri"/>
        <family val="2"/>
      </rPr>
      <t>being depreciated</t>
    </r>
    <r>
      <rPr>
        <sz val="11"/>
        <color theme="1"/>
        <rFont val="Calibri"/>
        <family val="2"/>
        <scheme val="minor"/>
      </rPr>
      <t xml:space="preserve"> for Water and Sewer Activities</t>
    </r>
  </si>
  <si>
    <t>Upload Amounts</t>
  </si>
  <si>
    <t xml:space="preserve"> </t>
  </si>
  <si>
    <t>Accumulated depreciation:</t>
  </si>
  <si>
    <t>Total Accumulated depreciation</t>
  </si>
  <si>
    <t>Total Annual depreciation</t>
  </si>
  <si>
    <t>Total Net Water and Sewer Capital Assets</t>
  </si>
  <si>
    <t xml:space="preserve">Fiscal Year </t>
  </si>
  <si>
    <t>Water Sewer Dashboard</t>
  </si>
  <si>
    <t>NC County and Municipal Financial Information</t>
  </si>
  <si>
    <t>All other depreciable capital assets</t>
  </si>
  <si>
    <t>All other depreciable capital assets annual depreciation</t>
  </si>
  <si>
    <t>All other depreciable capital assets accumulated depreciation</t>
  </si>
  <si>
    <t xml:space="preserve">                                                            FINISHED</t>
  </si>
  <si>
    <t>Description</t>
  </si>
  <si>
    <t>Account #</t>
  </si>
  <si>
    <t>Fiscal Year Reviewer Corrections</t>
  </si>
  <si>
    <t>Fiscal Year Unit Input</t>
  </si>
  <si>
    <r>
      <t xml:space="preserve">Instructions:  See Previous Excel tab - </t>
    </r>
    <r>
      <rPr>
        <sz val="14"/>
        <color indexed="8"/>
        <rFont val="Century Schoolbook"/>
        <family val="1"/>
      </rPr>
      <t>Please enter current year audited data in column F</t>
    </r>
  </si>
  <si>
    <t xml:space="preserve">                    FINISHED</t>
  </si>
  <si>
    <t>IMPORT</t>
  </si>
  <si>
    <t>Annual depreciation expense:</t>
  </si>
  <si>
    <t>Errors</t>
  </si>
  <si>
    <t>Other Financial Information</t>
  </si>
  <si>
    <t>Yes</t>
  </si>
  <si>
    <t>No</t>
  </si>
  <si>
    <t>Property Tax Increase for Year Audited</t>
  </si>
  <si>
    <t>Property Tax Increase for budget year after fiscal year being reported</t>
  </si>
  <si>
    <t>Cash &amp; Tax Memo</t>
  </si>
  <si>
    <t>Dashboard</t>
  </si>
  <si>
    <t>Water Sewer Memo</t>
  </si>
  <si>
    <t>Electric Memo</t>
  </si>
  <si>
    <t>Review Summary</t>
  </si>
  <si>
    <t>Error Detection</t>
  </si>
  <si>
    <t>Water Sewer Memo,
Dashboard,
Water Sewer Dashboard</t>
  </si>
  <si>
    <t>Water Sewer Memo, Water Sewer Dashboard</t>
  </si>
  <si>
    <t>Electric Memo,
Dashboard</t>
  </si>
  <si>
    <t>Water Sewer Memo, Water Sewer Dashboard, Dashboard</t>
  </si>
  <si>
    <t>Electrical Memo</t>
  </si>
  <si>
    <t>Dashboard,
Electric Memo</t>
  </si>
  <si>
    <t>Cash &amp; Tax Memo,
Dashboard</t>
  </si>
  <si>
    <t>Dashboard,
Water Sewer Memo</t>
  </si>
  <si>
    <t>Review Summary - FBA</t>
  </si>
  <si>
    <t>General Info used to evaluate health of unit</t>
  </si>
  <si>
    <t>Fiduciary Funds</t>
  </si>
  <si>
    <t>Calculation</t>
  </si>
  <si>
    <t>Total</t>
  </si>
  <si>
    <t>Without Including Restricted Cash</t>
  </si>
  <si>
    <t>Fund Balance Available for Appropriation - G.S. §159-8(a)</t>
  </si>
  <si>
    <t>Unrestricted Cash and Investments ………………………………..…………………..</t>
  </si>
  <si>
    <t>Restricted cash and investments (This would normally include Powell Bill, Bond Proceeds, consolidated funds such as capital reserve funds or tax revaluation funds)</t>
  </si>
  <si>
    <t>Encumbrances at June 30 (listed in the notes)……………………………...…………………………</t>
  </si>
  <si>
    <t>Unavailable or Unearned Revenues Arising from Cash Receipts ……………………………</t>
  </si>
  <si>
    <t>ü</t>
  </si>
  <si>
    <t>Fund Balance Available for Appropriation ……………………………………………………….</t>
  </si>
  <si>
    <t>Total Fund Balance (From Audited Financial Statements) ……………………………………..………………….</t>
  </si>
  <si>
    <t>Total Restricted by State Statue………………………………………….…………………………………………..</t>
  </si>
  <si>
    <t>Restricted by State Statute Presented on Financial Statements</t>
  </si>
  <si>
    <t>Less</t>
  </si>
  <si>
    <t>Non Spendable -  Inventory, Prepaids, or Other ……………………………………………...…………………..</t>
  </si>
  <si>
    <t>Restricted - Stabilization by State Statute (LGC calculation) …………………….………………..</t>
  </si>
  <si>
    <t>Restricted - Stabilization by State Statute (From Audited Financial Statements) ……………………….…………….…………………………</t>
  </si>
  <si>
    <t>Analysis</t>
  </si>
  <si>
    <t>Without Including</t>
  </si>
  <si>
    <t xml:space="preserve"> Total </t>
  </si>
  <si>
    <t>Expenditures - General Fund</t>
  </si>
  <si>
    <t>Total Expenditures - General Fund ………………………………..………………………………..</t>
  </si>
  <si>
    <t>Adjustments</t>
  </si>
  <si>
    <t xml:space="preserve">    Transfers Out …………………………...…………………………………...…….</t>
  </si>
  <si>
    <t xml:space="preserve">    Issuance of Capital Leases &amp; Installment Purchases ……………...………….</t>
  </si>
  <si>
    <t>Total Expenditures (As Adjusted) ………………………………...…………………….</t>
  </si>
  <si>
    <t xml:space="preserve">    Fund Balance Available  as % of Expenditures …………………………..........</t>
  </si>
  <si>
    <t xml:space="preserve"> Restricted Cash</t>
  </si>
  <si>
    <t>WS - Change in Net Position</t>
  </si>
  <si>
    <t>Electric - Change in Net Position</t>
  </si>
  <si>
    <t>WS - Total Net Position</t>
  </si>
  <si>
    <t>Gov - Net Investment in Capital Assets</t>
  </si>
  <si>
    <t>Gov - Restricted Net Position</t>
  </si>
  <si>
    <t>Gov - Unrestricted Net Position</t>
  </si>
  <si>
    <t>Electric - Unrestricted Net Position</t>
  </si>
  <si>
    <t>Electric - Total Net Position</t>
  </si>
  <si>
    <t>Gov - Any Adj. to Beginning Net Position</t>
  </si>
  <si>
    <t>WS - Any Adj. to Beginning Net Position</t>
  </si>
  <si>
    <t>Electric - Any Adj. to Beginning Net Position</t>
  </si>
  <si>
    <t>How Data is used</t>
  </si>
  <si>
    <t>Statutory Calculation of Fund Balance Available for Appropriation At June 30 for the General Fund
Restricted - Stabilization by State Statute</t>
  </si>
  <si>
    <t>WS - Total Assets and deferred outflows</t>
  </si>
  <si>
    <t>Electric - Total Assets and deferred outflows</t>
  </si>
  <si>
    <t>Gov - Total Assets and deferred outflows</t>
  </si>
  <si>
    <t>Gov - Total Liabilities and total deferred inflows</t>
  </si>
  <si>
    <t>Gov - Unearned Revenues included in Select Current Liabilities</t>
  </si>
  <si>
    <t>Gen Fund - Total Assets and deferred outflows</t>
  </si>
  <si>
    <t>Gen  Fund - Current  Liabilities</t>
  </si>
  <si>
    <t>Gen Fund - deferred inflows derived from Cash Receipts</t>
  </si>
  <si>
    <t>Gen Fund - Deferred inflows Not from Cash Receipts</t>
  </si>
  <si>
    <t>WS - Total Liabilities and deferred inflows</t>
  </si>
  <si>
    <t>Electric - Select Current Liabilities</t>
  </si>
  <si>
    <t>Electric - Unearned Revenues included in Select Current Liabilities</t>
  </si>
  <si>
    <t>Electric - Total Liabilities and deferred inflows</t>
  </si>
  <si>
    <t>New Questions  -  Please read and answer if applicable</t>
  </si>
  <si>
    <t>Government Wide Statements - Net Position Statement - Governmental Activities Column</t>
  </si>
  <si>
    <t>Statement</t>
  </si>
  <si>
    <t>Net Position-Governmental Activities</t>
  </si>
  <si>
    <r>
      <t xml:space="preserve"> </t>
    </r>
    <r>
      <rPr>
        <u/>
        <sz val="11"/>
        <color indexed="8"/>
        <rFont val="Calibri"/>
        <family val="2"/>
      </rPr>
      <t>All restricted Cash and investments</t>
    </r>
  </si>
  <si>
    <t>Total Assets and deferred outflows</t>
  </si>
  <si>
    <t>Total Liabilities and total deferred inflows</t>
  </si>
  <si>
    <t xml:space="preserve"> Total Net investment in capital assets</t>
  </si>
  <si>
    <t xml:space="preserve"> Total Net Position, Restricted</t>
  </si>
  <si>
    <t>Government Wide Statements-Net Position-Business Activities Column</t>
  </si>
  <si>
    <r>
      <rPr>
        <u/>
        <sz val="11"/>
        <color indexed="8"/>
        <rFont val="Calibri"/>
        <family val="2"/>
      </rPr>
      <t>All unrestricted Cash and investments.</t>
    </r>
    <r>
      <rPr>
        <sz val="11"/>
        <color theme="1"/>
        <rFont val="Calibri"/>
        <family val="2"/>
        <scheme val="minor"/>
      </rPr>
      <t xml:space="preserve"> 
</t>
    </r>
    <r>
      <rPr>
        <b/>
        <sz val="11"/>
        <color indexed="8"/>
        <rFont val="Calibri"/>
        <family val="2"/>
      </rPr>
      <t>Exclude</t>
    </r>
    <r>
      <rPr>
        <sz val="11"/>
        <color theme="1"/>
        <rFont val="Calibri"/>
        <family val="2"/>
        <scheme val="minor"/>
      </rPr>
      <t xml:space="preserve"> restricted cash and cash held by a third party. </t>
    </r>
  </si>
  <si>
    <t>All restricted Cash and investments</t>
  </si>
  <si>
    <t>Net Position-Business Activities</t>
  </si>
  <si>
    <t>Government Wide Statements - Statement of Activities  - Governmental Activities Column</t>
  </si>
  <si>
    <t xml:space="preserve">Total Interest expense on Long-Term Debt </t>
  </si>
  <si>
    <t>Total Expenses</t>
  </si>
  <si>
    <t xml:space="preserve">Charges for services </t>
  </si>
  <si>
    <t>Operating grants and contributions</t>
  </si>
  <si>
    <t>Capital grants and contributions</t>
  </si>
  <si>
    <t>Total Transfers in</t>
  </si>
  <si>
    <t>Total Transfers out</t>
  </si>
  <si>
    <t>Statement of Activities - Governmental</t>
  </si>
  <si>
    <r>
      <t>Total Transfers in</t>
    </r>
    <r>
      <rPr>
        <sz val="11"/>
        <color theme="1"/>
        <rFont val="Calibri"/>
        <family val="2"/>
        <scheme val="minor"/>
      </rPr>
      <t xml:space="preserve">    </t>
    </r>
    <r>
      <rPr>
        <sz val="11"/>
        <color indexed="60"/>
        <rFont val="Calibri"/>
        <family val="2"/>
      </rPr>
      <t>(Preference is that transfers-in  are not netted against transfers-out)</t>
    </r>
  </si>
  <si>
    <r>
      <t>Total Transfers out</t>
    </r>
    <r>
      <rPr>
        <sz val="11"/>
        <color theme="1"/>
        <rFont val="Calibri"/>
        <family val="2"/>
        <scheme val="minor"/>
      </rPr>
      <t xml:space="preserve">    </t>
    </r>
    <r>
      <rPr>
        <sz val="11"/>
        <color indexed="60"/>
        <rFont val="Calibri"/>
        <family val="2"/>
      </rPr>
      <t>(Preference is that transfers-in  are not netted against transfers-out)</t>
    </r>
  </si>
  <si>
    <t>Fund Statements - General Fund Balance Sheet</t>
  </si>
  <si>
    <t>All restricted cash and investments</t>
  </si>
  <si>
    <t xml:space="preserve">Fund balance, Restricted for Stabilization by State Statute </t>
  </si>
  <si>
    <t>General Fund-Balance Sheet</t>
  </si>
  <si>
    <r>
      <rPr>
        <u/>
        <sz val="11"/>
        <color indexed="8"/>
        <rFont val="Calibri"/>
        <family val="2"/>
      </rPr>
      <t>Total Intergovernmental revenue</t>
    </r>
    <r>
      <rPr>
        <sz val="11"/>
        <color theme="1"/>
        <rFont val="Calibri"/>
        <family val="2"/>
        <scheme val="minor"/>
      </rPr>
      <t xml:space="preserve"> 
</t>
    </r>
    <r>
      <rPr>
        <b/>
        <sz val="11"/>
        <color indexed="8"/>
        <rFont val="Calibri"/>
        <family val="2"/>
      </rPr>
      <t>Include</t>
    </r>
    <r>
      <rPr>
        <sz val="11"/>
        <color indexed="8"/>
        <rFont val="Calibri"/>
        <family val="2"/>
      </rPr>
      <t xml:space="preserve"> restricted and unrestricted revenues</t>
    </r>
  </si>
  <si>
    <t>Total revenues</t>
  </si>
  <si>
    <r>
      <rPr>
        <u/>
        <sz val="11"/>
        <color indexed="8"/>
        <rFont val="Calibri"/>
        <family val="2"/>
      </rPr>
      <t>Change in fund balance</t>
    </r>
    <r>
      <rPr>
        <sz val="11"/>
        <color theme="1"/>
        <rFont val="Calibri"/>
        <family val="2"/>
        <scheme val="minor"/>
      </rPr>
      <t xml:space="preserve"> - </t>
    </r>
    <r>
      <rPr>
        <sz val="11"/>
        <color indexed="60"/>
        <rFont val="Calibri"/>
        <family val="2"/>
      </rPr>
      <t>(Increase in Fund balance is recorded as a positive and a decrease in fund balance is recorded as a negative)</t>
    </r>
  </si>
  <si>
    <t xml:space="preserve">    General Fund Only - Statement of Revenue, Expenditures and Changes in Fund Balance </t>
  </si>
  <si>
    <t>General Fund-Rev, Exp. Change in Fund Balance</t>
  </si>
  <si>
    <r>
      <rPr>
        <u/>
        <sz val="11"/>
        <color indexed="8"/>
        <rFont val="Calibri"/>
        <family val="2"/>
      </rPr>
      <t>General fund deferred inflows derived from cash receipts</t>
    </r>
    <r>
      <rPr>
        <sz val="11"/>
        <color indexed="8"/>
        <rFont val="Calibri"/>
        <family val="2"/>
      </rPr>
      <t xml:space="preserve">. 
</t>
    </r>
    <r>
      <rPr>
        <sz val="11"/>
        <color indexed="60"/>
        <rFont val="Calibri"/>
        <family val="2"/>
      </rPr>
      <t xml:space="preserve"> Prepaid taxes is a common item listed.  Deferred inflows on the face of the statements can include cash and non-cash.  You may have to refer to the note disclosure where the cash and non-cash is broken out.</t>
    </r>
  </si>
  <si>
    <r>
      <rPr>
        <u/>
        <sz val="11"/>
        <color indexed="8"/>
        <rFont val="Calibri"/>
        <family val="2"/>
      </rPr>
      <t>Total Deferred inflows not derived from cash receipts.</t>
    </r>
    <r>
      <rPr>
        <sz val="11"/>
        <color indexed="8"/>
        <rFont val="Calibri"/>
        <family val="2"/>
      </rPr>
      <t xml:space="preserve">  </t>
    </r>
    <r>
      <rPr>
        <sz val="11"/>
        <color indexed="60"/>
        <rFont val="Calibri"/>
        <family val="2"/>
      </rPr>
      <t>Deferred inflows on the face of the statements can include cash and non-cash.  You may have to refer to the note disclosure where the cash and non-cash is broken out.</t>
    </r>
  </si>
  <si>
    <r>
      <rPr>
        <u/>
        <sz val="11"/>
        <color indexed="8"/>
        <rFont val="Calibri"/>
        <family val="2"/>
      </rPr>
      <t>Fund balance, Restricted for Streets</t>
    </r>
    <r>
      <rPr>
        <sz val="11"/>
        <color theme="1"/>
        <rFont val="Calibri"/>
        <family val="2"/>
        <scheme val="minor"/>
      </rPr>
      <t xml:space="preserve"> (unspent Powell Bill balance).  </t>
    </r>
    <r>
      <rPr>
        <sz val="11"/>
        <color indexed="60"/>
        <rFont val="Calibri"/>
        <family val="2"/>
      </rPr>
      <t>You may have to refer to the note disclosure where restricted fund balance is described.</t>
    </r>
  </si>
  <si>
    <r>
      <rPr>
        <u/>
        <sz val="11"/>
        <rFont val="Calibri"/>
        <family val="2"/>
      </rPr>
      <t>Total expenditures</t>
    </r>
    <r>
      <rPr>
        <sz val="11"/>
        <rFont val="Calibri"/>
        <family val="2"/>
      </rPr>
      <t xml:space="preserve">  
</t>
    </r>
    <r>
      <rPr>
        <b/>
        <sz val="11"/>
        <rFont val="Calibri"/>
        <family val="2"/>
      </rPr>
      <t>Exclude</t>
    </r>
    <r>
      <rPr>
        <sz val="11"/>
        <rFont val="Calibri"/>
        <family val="2"/>
      </rPr>
      <t xml:space="preserve"> expenditures in the "other financing sources (uses)" section.
</t>
    </r>
  </si>
  <si>
    <r>
      <rPr>
        <b/>
        <sz val="11"/>
        <color indexed="8"/>
        <rFont val="Century Schoolbook"/>
        <family val="1"/>
      </rPr>
      <t>Statement of Net Position - Water and Sewer Operations</t>
    </r>
    <r>
      <rPr>
        <sz val="11"/>
        <color indexed="8"/>
        <rFont val="Century Schoolbook"/>
        <family val="1"/>
      </rPr>
      <t xml:space="preserve"> - If unit maintains separate funds please combine all water, sewer,</t>
    </r>
  </si>
  <si>
    <r>
      <rPr>
        <u/>
        <sz val="11"/>
        <color indexed="8"/>
        <rFont val="Calibri"/>
        <family val="2"/>
      </rPr>
      <t>Unrestricted Cash and investments</t>
    </r>
    <r>
      <rPr>
        <sz val="11"/>
        <color theme="1"/>
        <rFont val="Calibri"/>
        <family val="2"/>
        <scheme val="minor"/>
      </rPr>
      <t xml:space="preserve"> 
</t>
    </r>
    <r>
      <rPr>
        <b/>
        <sz val="11"/>
        <color indexed="8"/>
        <rFont val="Calibri"/>
        <family val="2"/>
      </rPr>
      <t>Exclude</t>
    </r>
    <r>
      <rPr>
        <sz val="11"/>
        <color theme="1"/>
        <rFont val="Calibri"/>
        <family val="2"/>
        <scheme val="minor"/>
      </rPr>
      <t xml:space="preserve"> restricted cash and/or restricted investments.</t>
    </r>
  </si>
  <si>
    <r>
      <rPr>
        <u/>
        <sz val="11"/>
        <color indexed="8"/>
        <rFont val="Calibri"/>
        <family val="2"/>
      </rPr>
      <t>Customer accounts receivable</t>
    </r>
    <r>
      <rPr>
        <sz val="11"/>
        <color theme="1"/>
        <rFont val="Calibri"/>
        <family val="2"/>
        <scheme val="minor"/>
      </rPr>
      <t xml:space="preserve"> (net of allowance accounts). 
</t>
    </r>
    <r>
      <rPr>
        <b/>
        <sz val="11"/>
        <color indexed="8"/>
        <rFont val="Calibri"/>
        <family val="2"/>
      </rPr>
      <t>Include</t>
    </r>
    <r>
      <rPr>
        <sz val="11"/>
        <color theme="1"/>
        <rFont val="Calibri"/>
        <family val="2"/>
        <scheme val="minor"/>
      </rPr>
      <t xml:space="preserve"> both billed and unbilled amounts.</t>
    </r>
  </si>
  <si>
    <t>Total Liabilities and deferred inflows</t>
  </si>
  <si>
    <t>Total Net position</t>
  </si>
  <si>
    <t xml:space="preserve">Statement of Net Position - Electric Fund </t>
  </si>
  <si>
    <r>
      <rPr>
        <u/>
        <sz val="11"/>
        <color indexed="8"/>
        <rFont val="Calibri"/>
        <family val="2"/>
      </rPr>
      <t>All Unrestricted Cash and Investments</t>
    </r>
    <r>
      <rPr>
        <sz val="11"/>
        <color theme="1"/>
        <rFont val="Calibri"/>
        <family val="2"/>
        <scheme val="minor"/>
      </rPr>
      <t xml:space="preserve">.  
</t>
    </r>
    <r>
      <rPr>
        <b/>
        <sz val="11"/>
        <color indexed="8"/>
        <rFont val="Calibri"/>
        <family val="2"/>
      </rPr>
      <t>Exclude</t>
    </r>
    <r>
      <rPr>
        <sz val="11"/>
        <color theme="1"/>
        <rFont val="Calibri"/>
        <family val="2"/>
        <scheme val="minor"/>
      </rPr>
      <t xml:space="preserve"> any restricted cash and investments.</t>
    </r>
  </si>
  <si>
    <r>
      <rPr>
        <u/>
        <sz val="11"/>
        <color indexed="8"/>
        <rFont val="Calibri"/>
        <family val="2"/>
      </rPr>
      <t>Customer accounts receivable</t>
    </r>
    <r>
      <rPr>
        <sz val="11"/>
        <color theme="1"/>
        <rFont val="Calibri"/>
        <family val="2"/>
        <scheme val="minor"/>
      </rPr>
      <t xml:space="preserve"> (net of allowance accounts)
</t>
    </r>
    <r>
      <rPr>
        <b/>
        <sz val="11"/>
        <color indexed="8"/>
        <rFont val="Calibri"/>
        <family val="2"/>
      </rPr>
      <t>Include</t>
    </r>
    <r>
      <rPr>
        <sz val="11"/>
        <color theme="1"/>
        <rFont val="Calibri"/>
        <family val="2"/>
        <scheme val="minor"/>
      </rPr>
      <t xml:space="preserve"> billed and unbilled amounts </t>
    </r>
  </si>
  <si>
    <t>Amount of inventories and prepaids</t>
  </si>
  <si>
    <t>Total liabilities and total deferred inflows</t>
  </si>
  <si>
    <r>
      <rPr>
        <u/>
        <sz val="11"/>
        <color indexed="8"/>
        <rFont val="Calibri"/>
        <family val="2"/>
      </rPr>
      <t>Total net position, unrestricted</t>
    </r>
    <r>
      <rPr>
        <sz val="11"/>
        <color theme="1"/>
        <rFont val="Calibri"/>
        <family val="2"/>
        <scheme val="minor"/>
      </rPr>
      <t xml:space="preserve"> - </t>
    </r>
    <r>
      <rPr>
        <sz val="11"/>
        <color indexed="60"/>
        <rFont val="Calibri"/>
        <family val="2"/>
      </rPr>
      <t>Amount of negative unrestricted net position should be entered as a negative amount and the amount of positive unrestricted net position should be entered as a positive amount.</t>
    </r>
  </si>
  <si>
    <t>Total net position</t>
  </si>
  <si>
    <r>
      <rPr>
        <b/>
        <sz val="9"/>
        <color indexed="8"/>
        <rFont val="Century Schoolbook"/>
        <family val="1"/>
      </rPr>
      <t>Water Sewer</t>
    </r>
    <r>
      <rPr>
        <sz val="9"/>
        <color indexed="8"/>
        <rFont val="Century Schoolbook"/>
        <family val="1"/>
      </rPr>
      <t xml:space="preserve"> Revenue, Expenses &amp; Changes in Fund Net Position</t>
    </r>
  </si>
  <si>
    <r>
      <rPr>
        <b/>
        <sz val="9"/>
        <color indexed="8"/>
        <rFont val="Century Schoolbook"/>
        <family val="1"/>
      </rPr>
      <t>Electric Fund</t>
    </r>
    <r>
      <rPr>
        <sz val="9"/>
        <color indexed="8"/>
        <rFont val="Century Schoolbook"/>
        <family val="1"/>
      </rPr>
      <t xml:space="preserve"> Net Position Statement</t>
    </r>
  </si>
  <si>
    <r>
      <rPr>
        <b/>
        <sz val="9"/>
        <color indexed="8"/>
        <rFont val="Century Schoolbook"/>
        <family val="1"/>
      </rPr>
      <t>Water Sewe</t>
    </r>
    <r>
      <rPr>
        <sz val="9"/>
        <color indexed="8"/>
        <rFont val="Century Schoolbook"/>
        <family val="1"/>
      </rPr>
      <t>r Net Position Statement</t>
    </r>
  </si>
  <si>
    <t>Total Operating revenues</t>
  </si>
  <si>
    <t>Depreciation and amortization expense</t>
  </si>
  <si>
    <t>Total Operating expenses</t>
  </si>
  <si>
    <t>Interest expense</t>
  </si>
  <si>
    <r>
      <rPr>
        <u/>
        <sz val="11"/>
        <color indexed="8"/>
        <rFont val="Calibri"/>
        <family val="2"/>
      </rPr>
      <t xml:space="preserve">Total all non-operating </t>
    </r>
    <r>
      <rPr>
        <u/>
        <sz val="11"/>
        <color indexed="8"/>
        <rFont val="Calibri"/>
        <family val="2"/>
      </rPr>
      <t>revenues</t>
    </r>
    <r>
      <rPr>
        <sz val="11"/>
        <color indexed="10"/>
        <rFont val="Calibri"/>
        <family val="2"/>
      </rPr>
      <t xml:space="preserve">  
</t>
    </r>
    <r>
      <rPr>
        <b/>
        <sz val="11"/>
        <color indexed="8"/>
        <rFont val="Calibri"/>
        <family val="2"/>
      </rPr>
      <t>Exclude</t>
    </r>
    <r>
      <rPr>
        <sz val="11"/>
        <color indexed="8"/>
        <rFont val="Calibri"/>
        <family val="2"/>
      </rPr>
      <t xml:space="preserve"> Capital contributions.</t>
    </r>
  </si>
  <si>
    <r>
      <rPr>
        <u/>
        <sz val="11"/>
        <color indexed="8"/>
        <rFont val="Calibri"/>
        <family val="2"/>
      </rPr>
      <t>Capital contributions</t>
    </r>
    <r>
      <rPr>
        <sz val="11"/>
        <color theme="1"/>
        <rFont val="Calibri"/>
        <family val="2"/>
        <scheme val="minor"/>
      </rPr>
      <t>.</t>
    </r>
    <r>
      <rPr>
        <sz val="11"/>
        <color indexed="60"/>
        <rFont val="Calibri"/>
        <family val="2"/>
      </rPr>
      <t xml:space="preserve"> Only include positive capital contributions.  </t>
    </r>
    <r>
      <rPr>
        <sz val="11"/>
        <color indexed="60"/>
        <rFont val="Calibri"/>
        <family val="2"/>
      </rPr>
      <t>Negative capital contributions should be included with 'Total all non-operating expenses.'</t>
    </r>
  </si>
  <si>
    <r>
      <rPr>
        <u/>
        <sz val="11"/>
        <color indexed="8"/>
        <rFont val="Calibri"/>
        <family val="2"/>
      </rPr>
      <t>Change in net position</t>
    </r>
    <r>
      <rPr>
        <sz val="11"/>
        <color theme="1"/>
        <rFont val="Calibri"/>
        <family val="2"/>
        <scheme val="minor"/>
      </rPr>
      <t xml:space="preserve"> - </t>
    </r>
    <r>
      <rPr>
        <sz val="11"/>
        <color indexed="60"/>
        <rFont val="Calibri"/>
        <family val="2"/>
      </rPr>
      <t>Increase in net position is recorded as a positive and a (Decrease) in net position is recorded as a negative.</t>
    </r>
  </si>
  <si>
    <r>
      <rPr>
        <u/>
        <sz val="11"/>
        <color indexed="8"/>
        <rFont val="Calibri"/>
        <family val="2"/>
      </rPr>
      <t>Did unit raise Water Sewer rates during the audited fiscal period</t>
    </r>
    <r>
      <rPr>
        <sz val="11"/>
        <color theme="1"/>
        <rFont val="Calibri"/>
        <family val="2"/>
        <scheme val="minor"/>
      </rPr>
      <t>? -</t>
    </r>
    <r>
      <rPr>
        <sz val="11"/>
        <color indexed="60"/>
        <rFont val="Calibri"/>
        <family val="2"/>
      </rPr>
      <t xml:space="preserve"> answer Yes or No</t>
    </r>
  </si>
  <si>
    <r>
      <rPr>
        <u/>
        <sz val="11"/>
        <color indexed="8"/>
        <rFont val="Calibri"/>
        <family val="2"/>
      </rPr>
      <t>Did unit raise Water Sewer rates during the budget year following the audited fiscal year</t>
    </r>
    <r>
      <rPr>
        <sz val="11"/>
        <color theme="1"/>
        <rFont val="Calibri"/>
        <family val="2"/>
        <scheme val="minor"/>
      </rPr>
      <t xml:space="preserve">? - </t>
    </r>
    <r>
      <rPr>
        <sz val="11"/>
        <color indexed="60"/>
        <rFont val="Calibri"/>
        <family val="2"/>
      </rPr>
      <t>answer Yes or No</t>
    </r>
  </si>
  <si>
    <r>
      <rPr>
        <u/>
        <sz val="11"/>
        <color indexed="8"/>
        <rFont val="Calibri"/>
        <family val="2"/>
      </rPr>
      <t>Increases or (decreases) to beginning water sewer net position due to rounding, prior period adjustments and restatements</t>
    </r>
    <r>
      <rPr>
        <sz val="11"/>
        <color theme="1"/>
        <rFont val="Calibri"/>
        <family val="2"/>
        <scheme val="minor"/>
      </rPr>
      <t xml:space="preserve">.  </t>
    </r>
    <r>
      <rPr>
        <sz val="11"/>
        <color indexed="60"/>
        <rFont val="Calibri"/>
        <family val="2"/>
      </rPr>
      <t>Increase amounts to beginning net position should be entered as a positive amount and (decreases) should be entered as a negative amount.</t>
    </r>
  </si>
  <si>
    <r>
      <rPr>
        <b/>
        <sz val="9"/>
        <color indexed="8"/>
        <rFont val="Century Schoolbook"/>
        <family val="1"/>
      </rPr>
      <t>Electric Fund</t>
    </r>
    <r>
      <rPr>
        <sz val="9"/>
        <color indexed="8"/>
        <rFont val="Century Schoolbook"/>
        <family val="1"/>
      </rPr>
      <t xml:space="preserve"> Revenue, Expenses &amp; Changes in Fund Net Position</t>
    </r>
  </si>
  <si>
    <t>Charges for services</t>
  </si>
  <si>
    <t>Electrical power purchases</t>
  </si>
  <si>
    <r>
      <rPr>
        <u/>
        <sz val="11"/>
        <color indexed="8"/>
        <rFont val="Calibri"/>
        <family val="2"/>
      </rPr>
      <t>Capi</t>
    </r>
    <r>
      <rPr>
        <u/>
        <sz val="11"/>
        <rFont val="Calibri"/>
        <family val="2"/>
      </rPr>
      <t>tal Contributions</t>
    </r>
    <r>
      <rPr>
        <sz val="11"/>
        <rFont val="Calibri"/>
        <family val="2"/>
      </rPr>
      <t xml:space="preserve">.  
</t>
    </r>
    <r>
      <rPr>
        <b/>
        <sz val="11"/>
        <rFont val="Calibri"/>
        <family val="2"/>
      </rPr>
      <t xml:space="preserve">Include </t>
    </r>
    <r>
      <rPr>
        <sz val="11"/>
        <rFont val="Calibri"/>
        <family val="2"/>
      </rPr>
      <t>only positive capital Contributions.</t>
    </r>
    <r>
      <rPr>
        <b/>
        <sz val="11"/>
        <rFont val="Calibri"/>
        <family val="2"/>
      </rPr>
      <t xml:space="preserve">  </t>
    </r>
    <r>
      <rPr>
        <sz val="11"/>
        <color indexed="60"/>
        <rFont val="Calibri"/>
        <family val="2"/>
      </rPr>
      <t>Negative capital contributions should be included with 'Total all non-operating expenses.'</t>
    </r>
  </si>
  <si>
    <r>
      <rPr>
        <u/>
        <sz val="11"/>
        <color indexed="8"/>
        <rFont val="Calibri"/>
        <family val="2"/>
      </rPr>
      <t>Change in net position</t>
    </r>
    <r>
      <rPr>
        <sz val="11"/>
        <color theme="1"/>
        <rFont val="Calibri"/>
        <family val="2"/>
        <scheme val="minor"/>
      </rPr>
      <t xml:space="preserve"> - </t>
    </r>
    <r>
      <rPr>
        <sz val="11"/>
        <color indexed="60"/>
        <rFont val="Calibri"/>
        <family val="2"/>
      </rPr>
      <t>Increase in net position is recorded as a positive and a (decrease) in net position is recorded as a negative.</t>
    </r>
  </si>
  <si>
    <r>
      <rPr>
        <u/>
        <sz val="11"/>
        <color indexed="8"/>
        <rFont val="Calibri"/>
        <family val="2"/>
      </rPr>
      <t>Total Transfers In</t>
    </r>
    <r>
      <rPr>
        <sz val="11"/>
        <color theme="1"/>
        <rFont val="Calibri"/>
        <family val="2"/>
        <scheme val="minor"/>
      </rPr>
      <t xml:space="preserve"> (From all Funds)</t>
    </r>
  </si>
  <si>
    <r>
      <rPr>
        <u/>
        <sz val="11"/>
        <color indexed="8"/>
        <rFont val="Calibri"/>
        <family val="2"/>
      </rPr>
      <t>Total Transfers Out</t>
    </r>
    <r>
      <rPr>
        <sz val="11"/>
        <color theme="1"/>
        <rFont val="Calibri"/>
        <family val="2"/>
        <scheme val="minor"/>
      </rPr>
      <t xml:space="preserve"> (To all funds)</t>
    </r>
  </si>
  <si>
    <r>
      <rPr>
        <u/>
        <sz val="11"/>
        <color indexed="8"/>
        <rFont val="Calibri"/>
        <family val="2"/>
      </rPr>
      <t>Increases or (decreases) to beginning electric net position due to rounding, prior period adjustments and restatements</t>
    </r>
    <r>
      <rPr>
        <sz val="11"/>
        <color indexed="60"/>
        <rFont val="Calibri"/>
        <family val="2"/>
      </rPr>
      <t>.  Increase amounts to beginning net position should be entered as a positive amount and (decreases) should be entered as a negative amount.</t>
    </r>
  </si>
  <si>
    <r>
      <rPr>
        <b/>
        <sz val="11"/>
        <color indexed="8"/>
        <rFont val="Century Schoolbook"/>
        <family val="1"/>
      </rPr>
      <t>Water and Sewer Operations</t>
    </r>
    <r>
      <rPr>
        <sz val="11"/>
        <color indexed="8"/>
        <rFont val="Century Schoolbook"/>
        <family val="1"/>
      </rPr>
      <t xml:space="preserve"> - If unit maintains separate funds please combine all water, sewer,</t>
    </r>
  </si>
  <si>
    <r>
      <t xml:space="preserve">and wastewater funds into one activity for purposes of this worksheet.  </t>
    </r>
    <r>
      <rPr>
        <b/>
        <sz val="11"/>
        <color indexed="8"/>
        <rFont val="Century Schoolbook"/>
        <family val="1"/>
      </rPr>
      <t>Exclude stormwater funds</t>
    </r>
    <r>
      <rPr>
        <sz val="11"/>
        <color indexed="8"/>
        <rFont val="Century Schoolbook"/>
        <family val="1"/>
      </rPr>
      <t xml:space="preserve">.  Only fill out this section if </t>
    </r>
  </si>
  <si>
    <r>
      <t xml:space="preserve">Water Sewer </t>
    </r>
    <r>
      <rPr>
        <sz val="9"/>
        <color indexed="8"/>
        <rFont val="Century Schoolbook"/>
        <family val="1"/>
      </rPr>
      <t>Cash Flow Statement</t>
    </r>
  </si>
  <si>
    <r>
      <rPr>
        <u/>
        <sz val="11"/>
        <color indexed="8"/>
        <rFont val="Calibri"/>
        <family val="2"/>
      </rPr>
      <t>Total Capital outlay</t>
    </r>
    <r>
      <rPr>
        <sz val="11"/>
        <color theme="1"/>
        <rFont val="Calibri"/>
        <family val="2"/>
        <scheme val="minor"/>
      </rPr>
      <t xml:space="preserve">. 
</t>
    </r>
    <r>
      <rPr>
        <b/>
        <sz val="11"/>
        <color indexed="8"/>
        <rFont val="Calibri"/>
        <family val="2"/>
      </rPr>
      <t>Include</t>
    </r>
    <r>
      <rPr>
        <sz val="11"/>
        <color theme="1"/>
        <rFont val="Calibri"/>
        <family val="2"/>
        <scheme val="minor"/>
      </rPr>
      <t xml:space="preserve"> acquisition and construction of capital assets.</t>
    </r>
  </si>
  <si>
    <r>
      <rPr>
        <u/>
        <sz val="11"/>
        <color indexed="8"/>
        <rFont val="Calibri"/>
        <family val="2"/>
      </rPr>
      <t>Principal paid on long-term debt</t>
    </r>
    <r>
      <rPr>
        <sz val="11"/>
        <color theme="1"/>
        <rFont val="Calibri"/>
        <family val="2"/>
        <scheme val="minor"/>
      </rPr>
      <t xml:space="preserve">.  </t>
    </r>
    <r>
      <rPr>
        <sz val="11"/>
        <color indexed="60"/>
        <rFont val="Calibri"/>
        <family val="2"/>
      </rPr>
      <t>Amount should be reduced by principal payments for debt refunding.</t>
    </r>
  </si>
  <si>
    <r>
      <t xml:space="preserve">Electric Fund </t>
    </r>
    <r>
      <rPr>
        <sz val="9"/>
        <color indexed="8"/>
        <rFont val="Century Schoolbook"/>
        <family val="1"/>
      </rPr>
      <t>Cash Flow Statement</t>
    </r>
  </si>
  <si>
    <r>
      <rPr>
        <u/>
        <sz val="11"/>
        <color indexed="8"/>
        <rFont val="Calibri"/>
        <family val="2"/>
      </rPr>
      <t>Total Capital outlay.</t>
    </r>
    <r>
      <rPr>
        <sz val="11"/>
        <color theme="1"/>
        <rFont val="Calibri"/>
        <family val="2"/>
        <scheme val="minor"/>
      </rPr>
      <t xml:space="preserve">  
</t>
    </r>
    <r>
      <rPr>
        <b/>
        <sz val="11"/>
        <color indexed="8"/>
        <rFont val="Calibri"/>
        <family val="2"/>
      </rPr>
      <t>Include</t>
    </r>
    <r>
      <rPr>
        <sz val="11"/>
        <color theme="1"/>
        <rFont val="Calibri"/>
        <family val="2"/>
        <scheme val="minor"/>
      </rPr>
      <t xml:space="preserve"> acquisition and construction of capital assets.</t>
    </r>
  </si>
  <si>
    <r>
      <rPr>
        <u/>
        <sz val="11"/>
        <color indexed="8"/>
        <rFont val="Calibri"/>
        <family val="2"/>
      </rPr>
      <t>Cash and investments</t>
    </r>
    <r>
      <rPr>
        <sz val="11"/>
        <color theme="1"/>
        <rFont val="Calibri"/>
        <family val="2"/>
        <scheme val="minor"/>
      </rPr>
      <t xml:space="preserve">.  
</t>
    </r>
    <r>
      <rPr>
        <b/>
        <sz val="11"/>
        <color indexed="8"/>
        <rFont val="Calibri"/>
        <family val="2"/>
      </rPr>
      <t>Include:</t>
    </r>
    <r>
      <rPr>
        <sz val="11"/>
        <color theme="1"/>
        <rFont val="Calibri"/>
        <family val="2"/>
        <scheme val="minor"/>
      </rPr>
      <t xml:space="preserve">  unrestricted and restricted.  
                 cash and investments held by a third party</t>
    </r>
  </si>
  <si>
    <t>Fiduciary Statements</t>
  </si>
  <si>
    <t>Cash and Investment Note</t>
  </si>
  <si>
    <r>
      <rPr>
        <u/>
        <sz val="11"/>
        <color indexed="8"/>
        <rFont val="Calibri"/>
        <family val="2"/>
      </rPr>
      <t xml:space="preserve">Decreases made (principal paid) on Long-Term Debt in current fiscal year.  Reduce for </t>
    </r>
    <r>
      <rPr>
        <b/>
        <u/>
        <sz val="11"/>
        <color indexed="8"/>
        <rFont val="Calibri"/>
        <family val="2"/>
      </rPr>
      <t>debt refunding</t>
    </r>
    <r>
      <rPr>
        <u/>
        <sz val="11"/>
        <color indexed="8"/>
        <rFont val="Calibri"/>
        <family val="2"/>
      </rPr>
      <t>.</t>
    </r>
  </si>
  <si>
    <t>OPEB Note</t>
  </si>
  <si>
    <r>
      <rPr>
        <u/>
        <sz val="11"/>
        <color indexed="8"/>
        <rFont val="Calibri"/>
        <family val="2"/>
      </rPr>
      <t>Amount of Transfers from the General Fund to the Debt Service Fund</t>
    </r>
    <r>
      <rPr>
        <sz val="11"/>
        <color theme="1"/>
        <rFont val="Calibri"/>
        <family val="2"/>
        <scheme val="minor"/>
      </rPr>
      <t xml:space="preserve"> </t>
    </r>
    <r>
      <rPr>
        <sz val="11"/>
        <color indexed="60"/>
        <rFont val="Calibri"/>
        <family val="2"/>
      </rPr>
      <t>(Enter as positive)</t>
    </r>
  </si>
  <si>
    <r>
      <rPr>
        <u/>
        <sz val="11"/>
        <color indexed="8"/>
        <rFont val="Calibri"/>
        <family val="2"/>
      </rPr>
      <t>Amount of Transfers from the General Fund to the Electric Fund</t>
    </r>
    <r>
      <rPr>
        <sz val="11"/>
        <color theme="1"/>
        <rFont val="Calibri"/>
        <family val="2"/>
        <scheme val="minor"/>
      </rPr>
      <t xml:space="preserve">  </t>
    </r>
    <r>
      <rPr>
        <sz val="11"/>
        <color indexed="60"/>
        <rFont val="Calibri"/>
        <family val="2"/>
      </rPr>
      <t>(Enter as positive)</t>
    </r>
  </si>
  <si>
    <t>Transfer Note</t>
  </si>
  <si>
    <r>
      <rPr>
        <u/>
        <sz val="11"/>
        <color indexed="8"/>
        <rFont val="Calibri"/>
        <family val="2"/>
      </rPr>
      <t>General Fund -  Total Encumbrances.</t>
    </r>
    <r>
      <rPr>
        <sz val="11"/>
        <color theme="1"/>
        <rFont val="Calibri"/>
        <family val="2"/>
        <scheme val="minor"/>
      </rPr>
      <t xml:space="preserve">  </t>
    </r>
    <r>
      <rPr>
        <sz val="11"/>
        <color indexed="60"/>
        <rFont val="Calibri"/>
        <family val="2"/>
      </rPr>
      <t>You will probably have to refer to the note disclosure where the amount of encumbrances is listed.</t>
    </r>
  </si>
  <si>
    <t>Fund Balance Note</t>
  </si>
  <si>
    <t>Amount of the Water Sewer Fund Balance appropriated in next year's budget?</t>
  </si>
  <si>
    <r>
      <rPr>
        <b/>
        <sz val="9"/>
        <color indexed="8"/>
        <rFont val="Century Schoolbook"/>
        <family val="1"/>
      </rPr>
      <t>General Fund</t>
    </r>
    <r>
      <rPr>
        <sz val="9"/>
        <color indexed="8"/>
        <rFont val="Century Schoolbook"/>
        <family val="1"/>
      </rPr>
      <t xml:space="preserve"> - Budget Actual Statement</t>
    </r>
  </si>
  <si>
    <r>
      <rPr>
        <b/>
        <sz val="9"/>
        <color indexed="8"/>
        <rFont val="Century Schoolbook"/>
        <family val="1"/>
      </rPr>
      <t>Water Sewer</t>
    </r>
    <r>
      <rPr>
        <sz val="9"/>
        <color indexed="8"/>
        <rFont val="Century Schoolbook"/>
        <family val="1"/>
      </rPr>
      <t xml:space="preserve"> - Budget Actual Statement</t>
    </r>
  </si>
  <si>
    <r>
      <t xml:space="preserve">Analysis of Current Tax Levy Schedule - Unit-Wide - </t>
    </r>
    <r>
      <rPr>
        <b/>
        <sz val="11"/>
        <color indexed="60"/>
        <rFont val="Century Schoolbook"/>
        <family val="1"/>
      </rPr>
      <t xml:space="preserve">Pull percentages from this LGC-required schedule, </t>
    </r>
  </si>
  <si>
    <t>Analysis of Current Tax Levy Schedule</t>
  </si>
  <si>
    <r>
      <rPr>
        <u/>
        <sz val="11"/>
        <color indexed="8"/>
        <rFont val="Calibri"/>
        <family val="2"/>
      </rPr>
      <t>Gross value.</t>
    </r>
    <r>
      <rPr>
        <sz val="11"/>
        <color theme="1"/>
        <rFont val="Calibri"/>
        <family val="2"/>
        <scheme val="minor"/>
      </rPr>
      <t xml:space="preserve"> </t>
    </r>
    <r>
      <rPr>
        <b/>
        <sz val="11"/>
        <color indexed="8"/>
        <rFont val="Calibri"/>
        <family val="2"/>
      </rPr>
      <t xml:space="preserve"> 
Exclude</t>
    </r>
    <r>
      <rPr>
        <sz val="11"/>
        <color theme="1"/>
        <rFont val="Calibri"/>
        <family val="2"/>
        <scheme val="minor"/>
      </rPr>
      <t xml:space="preserve"> non-depreciable.</t>
    </r>
  </si>
  <si>
    <t>Accumulated depreciation</t>
  </si>
  <si>
    <t>Gov.-Capital Assets Schedule in the Notes</t>
  </si>
  <si>
    <r>
      <rPr>
        <u/>
        <sz val="11"/>
        <color indexed="8"/>
        <rFont val="Calibri"/>
        <family val="2"/>
      </rPr>
      <t>Land and all other non depreciable capital assets</t>
    </r>
    <r>
      <rPr>
        <sz val="11"/>
        <color theme="1"/>
        <rFont val="Calibri"/>
        <family val="2"/>
        <scheme val="minor"/>
      </rPr>
      <t xml:space="preserve"> 
</t>
    </r>
    <r>
      <rPr>
        <b/>
        <sz val="11"/>
        <color indexed="8"/>
        <rFont val="Calibri"/>
        <family val="2"/>
      </rPr>
      <t>Exclude</t>
    </r>
    <r>
      <rPr>
        <sz val="11"/>
        <color theme="1"/>
        <rFont val="Calibri"/>
        <family val="2"/>
        <scheme val="minor"/>
      </rPr>
      <t xml:space="preserve"> construction in progress</t>
    </r>
  </si>
  <si>
    <r>
      <t>Total Assets not being depreciated for</t>
    </r>
    <r>
      <rPr>
        <b/>
        <u/>
        <sz val="11"/>
        <color indexed="8"/>
        <rFont val="Calibri"/>
        <family val="2"/>
      </rPr>
      <t xml:space="preserve"> Water and Sewer</t>
    </r>
    <r>
      <rPr>
        <u/>
        <sz val="11"/>
        <color indexed="8"/>
        <rFont val="Calibri"/>
        <family val="2"/>
      </rPr>
      <t xml:space="preserve"> Activities</t>
    </r>
  </si>
  <si>
    <r>
      <t xml:space="preserve">Total Assets Gross value </t>
    </r>
    <r>
      <rPr>
        <b/>
        <u/>
        <sz val="11"/>
        <color indexed="8"/>
        <rFont val="Calibri"/>
        <family val="2"/>
      </rPr>
      <t>not being depreciated</t>
    </r>
    <r>
      <rPr>
        <u/>
        <sz val="11"/>
        <color indexed="8"/>
        <rFont val="Calibri"/>
        <family val="2"/>
      </rPr>
      <t xml:space="preserve"> for Electric Fund</t>
    </r>
  </si>
  <si>
    <t>WS-Capital Assets Schedule in the Notes</t>
  </si>
  <si>
    <t>WS Capital Assets Schedule-Gross Value</t>
  </si>
  <si>
    <t>WS Capital Assets Schedule-Annual Depreciation</t>
  </si>
  <si>
    <t>WS Capital Assets Schedule-Accumulated Depreciation</t>
  </si>
  <si>
    <t>Electric Assets</t>
  </si>
  <si>
    <t>Electric Accumulated Depreciation</t>
  </si>
  <si>
    <t>Budget Actual Statement for Water Sewer Fund-Modified Accrual Basis</t>
  </si>
  <si>
    <r>
      <rPr>
        <u/>
        <sz val="11"/>
        <rFont val="Calibri"/>
        <family val="2"/>
      </rPr>
      <t>Please enter the Net Current year's levy -- Motor vehicles</t>
    </r>
    <r>
      <rPr>
        <sz val="11"/>
        <rFont val="Calibri"/>
        <family val="2"/>
      </rPr>
      <t xml:space="preserve"> (only) </t>
    </r>
    <r>
      <rPr>
        <sz val="11"/>
        <color indexed="60"/>
        <rFont val="Calibri"/>
        <family val="2"/>
      </rPr>
      <t xml:space="preserve">(after adjusting for discoveries and abatements)
</t>
    </r>
    <r>
      <rPr>
        <b/>
        <sz val="11"/>
        <color indexed="8"/>
        <rFont val="Calibri"/>
        <family val="2"/>
      </rPr>
      <t xml:space="preserve">Exclude </t>
    </r>
    <r>
      <rPr>
        <sz val="11"/>
        <color indexed="8"/>
        <rFont val="Calibri"/>
        <family val="2"/>
      </rPr>
      <t>supplemental taxes</t>
    </r>
  </si>
  <si>
    <r>
      <t xml:space="preserve">Uncollected Taxes - Curr Year's Levy Exclude Motor Vehicles
</t>
    </r>
    <r>
      <rPr>
        <b/>
        <sz val="11"/>
        <rFont val="Calibri"/>
        <family val="2"/>
      </rPr>
      <t>Exclude</t>
    </r>
    <r>
      <rPr>
        <sz val="11"/>
        <rFont val="Calibri"/>
        <family val="2"/>
      </rPr>
      <t xml:space="preserve"> supplemental taxes</t>
    </r>
  </si>
  <si>
    <r>
      <t xml:space="preserve">Uncollected Taxes - Curr Year's Levy Motor Vehicles
</t>
    </r>
    <r>
      <rPr>
        <b/>
        <sz val="11"/>
        <rFont val="Calibri"/>
        <family val="2"/>
      </rPr>
      <t>Exclude</t>
    </r>
    <r>
      <rPr>
        <sz val="11"/>
        <rFont val="Calibri"/>
        <family val="2"/>
      </rPr>
      <t xml:space="preserve"> supplemental taxes</t>
    </r>
  </si>
  <si>
    <r>
      <rPr>
        <u/>
        <sz val="11"/>
        <color indexed="8"/>
        <rFont val="Calibri"/>
        <family val="2"/>
      </rPr>
      <t>Property Tax Increase for Year Audited</t>
    </r>
    <r>
      <rPr>
        <sz val="11"/>
        <color theme="1"/>
        <rFont val="Calibri"/>
        <family val="2"/>
        <scheme val="minor"/>
      </rPr>
      <t xml:space="preserve">- </t>
    </r>
    <r>
      <rPr>
        <sz val="11"/>
        <color indexed="60"/>
        <rFont val="Calibri"/>
        <family val="2"/>
      </rPr>
      <t xml:space="preserve">enter amount of  increase in cents per $100 - leave blank if no increase 
</t>
    </r>
    <r>
      <rPr>
        <b/>
        <sz val="11"/>
        <color indexed="8"/>
        <rFont val="Calibri"/>
        <family val="2"/>
      </rPr>
      <t>Exclude</t>
    </r>
    <r>
      <rPr>
        <sz val="11"/>
        <color indexed="8"/>
        <rFont val="Calibri"/>
        <family val="2"/>
      </rPr>
      <t xml:space="preserve"> supplemental taxes</t>
    </r>
  </si>
  <si>
    <r>
      <rPr>
        <u/>
        <sz val="11"/>
        <color indexed="8"/>
        <rFont val="Calibri"/>
        <family val="2"/>
      </rPr>
      <t>Property Tax Increase for budget year after fiscal year being reported</t>
    </r>
    <r>
      <rPr>
        <sz val="11"/>
        <color theme="1"/>
        <rFont val="Calibri"/>
        <family val="2"/>
        <scheme val="minor"/>
      </rPr>
      <t xml:space="preserve"> - </t>
    </r>
    <r>
      <rPr>
        <sz val="11"/>
        <color indexed="60"/>
        <rFont val="Calibri"/>
        <family val="2"/>
      </rPr>
      <t xml:space="preserve">enter amount of increase in cents per $100- leave blank if no increase
</t>
    </r>
    <r>
      <rPr>
        <b/>
        <sz val="11"/>
        <color indexed="8"/>
        <rFont val="Calibri"/>
        <family val="2"/>
      </rPr>
      <t>Exclude</t>
    </r>
    <r>
      <rPr>
        <sz val="11"/>
        <color indexed="8"/>
        <rFont val="Calibri"/>
        <family val="2"/>
      </rPr>
      <t xml:space="preserve"> supplemental taxes</t>
    </r>
  </si>
  <si>
    <r>
      <t xml:space="preserve">Capital Assets for Water and Sewer Activity </t>
    </r>
    <r>
      <rPr>
        <sz val="9"/>
        <color indexed="60"/>
        <rFont val="Calibri"/>
        <family val="2"/>
      </rPr>
      <t>(If unit maintains separate funds please combine all water, sewer and wastewater funds into one activity for purposes of this worksheet)</t>
    </r>
    <r>
      <rPr>
        <b/>
        <sz val="9"/>
        <color indexed="8"/>
        <rFont val="Calibri"/>
        <family val="2"/>
      </rPr>
      <t xml:space="preserve">
Exclude </t>
    </r>
    <r>
      <rPr>
        <sz val="9"/>
        <color indexed="8"/>
        <rFont val="Calibri"/>
        <family val="2"/>
      </rPr>
      <t>Stormwater funds</t>
    </r>
  </si>
  <si>
    <t>Liabilities……………………………………………………………….………………………….</t>
  </si>
  <si>
    <r>
      <rPr>
        <u/>
        <sz val="11"/>
        <color indexed="8"/>
        <rFont val="Calibri"/>
        <family val="2"/>
      </rPr>
      <t>Total Special and Extraordinary items</t>
    </r>
    <r>
      <rPr>
        <sz val="11"/>
        <color theme="1"/>
        <rFont val="Calibri"/>
        <family val="2"/>
        <scheme val="minor"/>
      </rPr>
      <t xml:space="preserve">.   </t>
    </r>
    <r>
      <rPr>
        <sz val="11"/>
        <color indexed="60"/>
        <rFont val="Calibri"/>
        <family val="2"/>
      </rPr>
      <t xml:space="preserve"> (Amounts that increase net position are recorded as positive and amounts that decrease net position are recorded as negative)</t>
    </r>
  </si>
  <si>
    <r>
      <rPr>
        <u/>
        <sz val="11"/>
        <color indexed="8"/>
        <rFont val="Calibri"/>
        <family val="2"/>
      </rPr>
      <t>Total Change in net position</t>
    </r>
    <r>
      <rPr>
        <sz val="11"/>
        <color theme="1"/>
        <rFont val="Calibri"/>
        <family val="2"/>
        <scheme val="minor"/>
      </rPr>
      <t xml:space="preserve"> - </t>
    </r>
    <r>
      <rPr>
        <sz val="11"/>
        <color indexed="60"/>
        <rFont val="Calibri"/>
        <family val="2"/>
      </rPr>
      <t>(Increase in net position is recorded as a positive and a decrease in net position is recorded as a negative)</t>
    </r>
  </si>
  <si>
    <t>Statement of Revenues, Expenses, and Changes in Fund Net Position</t>
  </si>
  <si>
    <t>Gov - Restricted Cash &amp; Investments</t>
  </si>
  <si>
    <t>GA-Total Unrestricted Cash &amp; Investments</t>
  </si>
  <si>
    <t>Gov - Internal Balance</t>
  </si>
  <si>
    <t>Bus - Unrestricted Cash &amp; Investments</t>
  </si>
  <si>
    <t>Bus - Restricted Cash &amp; Investments</t>
  </si>
  <si>
    <t>Gov - Interest Exp on LT Debt</t>
  </si>
  <si>
    <t>Gov - Total Expenses</t>
  </si>
  <si>
    <t>Gov - Charges for Services</t>
  </si>
  <si>
    <t>Gov - Operating grants and contributions</t>
  </si>
  <si>
    <t>Gov - Capital grants and contributions</t>
  </si>
  <si>
    <t>Gov - Total General Revenues</t>
  </si>
  <si>
    <t>Gov - Total Transfers In</t>
  </si>
  <si>
    <t>Gov - Total Transfers Out</t>
  </si>
  <si>
    <t>Gov - Special &amp; Extraordinary Items</t>
  </si>
  <si>
    <t>Gov - Change in Net Position</t>
  </si>
  <si>
    <t>Gen Fund - Unrestricted Cash &amp; Investments</t>
  </si>
  <si>
    <t>Gen Fund - Restricted Cash &amp; Investments</t>
  </si>
  <si>
    <t>Gen Fund - Liabilities from Restricted Assets</t>
  </si>
  <si>
    <t>Gen Fund - RSS</t>
  </si>
  <si>
    <t>Gen Fund - Nonspendable</t>
  </si>
  <si>
    <t>Gen Fund - Powell Bill in FB</t>
  </si>
  <si>
    <t>Gen Fund - Total Fund Balance per report</t>
  </si>
  <si>
    <t>Gen Fund - Intergov Rev</t>
  </si>
  <si>
    <t>Gen Fund - Total Revenue</t>
  </si>
  <si>
    <t>Gen Fund - Debt Annual P &amp; I</t>
  </si>
  <si>
    <t xml:space="preserve">Gen Fund - Total Expenditures </t>
  </si>
  <si>
    <t>Gen Fund - Transfers In</t>
  </si>
  <si>
    <t>Gen Fund - Transfers Out</t>
  </si>
  <si>
    <t xml:space="preserve">Gen Fund - Proceeds from LTD </t>
  </si>
  <si>
    <t>Gen Fund - Other items</t>
  </si>
  <si>
    <t>Gen Fund - Positive debt refund</t>
  </si>
  <si>
    <t>Gen fund - Negative debt refund</t>
  </si>
  <si>
    <t>Gen Fund - Change in Fund Balance</t>
  </si>
  <si>
    <t>Gen Fund - Any Adj. to Beginning Net Assets</t>
  </si>
  <si>
    <t>Gov - Debt P &amp; I</t>
  </si>
  <si>
    <t>WS - Unrestricted Cash &amp; Investments</t>
  </si>
  <si>
    <t>WS - Customer AR Net</t>
  </si>
  <si>
    <t>WS - Inventories &amp; Prepaids in Curr Assets</t>
  </si>
  <si>
    <t>WS - Unearned revenue</t>
  </si>
  <si>
    <t>WS - Unrestricted Net Position</t>
  </si>
  <si>
    <t>Electric - Unrestricted Cash &amp; Investments</t>
  </si>
  <si>
    <t>Electric - Customer AR Net</t>
  </si>
  <si>
    <t>Electric - Inventories &amp; Prepaids in Curr Assets</t>
  </si>
  <si>
    <t>WS - Charges for Services</t>
  </si>
  <si>
    <t>WS - Total Operating Revenue</t>
  </si>
  <si>
    <t>WS - Depreciation &amp; Amortization Exp.</t>
  </si>
  <si>
    <t>WS - Total Operating Expenses</t>
  </si>
  <si>
    <t>WS - Interest Expense</t>
  </si>
  <si>
    <t>WS - Total Non-Operating Revenues</t>
  </si>
  <si>
    <t>WS - Total Non-Operating Expenses</t>
  </si>
  <si>
    <t>WS - Capital Contributions</t>
  </si>
  <si>
    <t>WS - Total Transfer In</t>
  </si>
  <si>
    <t>WS - Total Transfer Out</t>
  </si>
  <si>
    <t>Electric - Charges for Services</t>
  </si>
  <si>
    <t>Electric - Total Operating Revenues</t>
  </si>
  <si>
    <t>Electric - Electrical Power Purchases</t>
  </si>
  <si>
    <t>Electric - Depreciation and Amortization Exp.</t>
  </si>
  <si>
    <t>Electric - Total Operating Expenses</t>
  </si>
  <si>
    <t>Electric - Interest Expense</t>
  </si>
  <si>
    <t>Electric - Total Non-Operating Revenues</t>
  </si>
  <si>
    <t>Electric - Total Non-Operating Expenses</t>
  </si>
  <si>
    <t>Electric - Capital Contributions</t>
  </si>
  <si>
    <t>Electric - Total Transfers In</t>
  </si>
  <si>
    <t>WS - Cash Flow from Operating Activities</t>
  </si>
  <si>
    <t>WS - Principal Paid - Cash Flow</t>
  </si>
  <si>
    <t>WS - Capital Outlay - Cashflow</t>
  </si>
  <si>
    <t>Electric - Cash Flow from Operating Activities</t>
  </si>
  <si>
    <t>Electric - Capital Outlay - Cash Flow</t>
  </si>
  <si>
    <t>Electric - Principal Paid - Cash Flow</t>
  </si>
  <si>
    <t>Fiduciary - Cash and Investments</t>
  </si>
  <si>
    <t>Cash and Investment - Bond Proceeds - all Funds</t>
  </si>
  <si>
    <t>Gov - Debt Liability</t>
  </si>
  <si>
    <t>Gov - Principal Paid</t>
  </si>
  <si>
    <t>Electric - Debt Liability</t>
  </si>
  <si>
    <t>OPEB- ARC</t>
  </si>
  <si>
    <t>OPEB- Obligation</t>
  </si>
  <si>
    <t>OPEB- Actuarial Value of Assets</t>
  </si>
  <si>
    <t>OPEB- UAAL</t>
  </si>
  <si>
    <t>OPEB- UAAL % of Payroll</t>
  </si>
  <si>
    <t>Transfer from General to Debt Fund</t>
  </si>
  <si>
    <t>Transfer from General Fund to Electric</t>
  </si>
  <si>
    <t>Transfer from Electric to General Fund</t>
  </si>
  <si>
    <t>Gen Fund - Encumbrances</t>
  </si>
  <si>
    <t>Amt of the WS Fund Balance approp. in next year's budget</t>
  </si>
  <si>
    <t>Amt of the GF Fund Bal. approp. in next year's budget</t>
  </si>
  <si>
    <t>Tax Collection Rate - Unit Wide</t>
  </si>
  <si>
    <t>Tax collection Rate - Excluding Vehicles</t>
  </si>
  <si>
    <t>Tax Collection Rate - Vehicles</t>
  </si>
  <si>
    <t>Current year's levy -- Excluding motor vehicles</t>
  </si>
  <si>
    <t>Current year's levy -- Motor vehicles (only)</t>
  </si>
  <si>
    <t>Uncollected Taxes - Curr Year's Levy Exclude Motor Vehicles</t>
  </si>
  <si>
    <t>Uncollected Taxes - Curr Year's Levy Motor Vehicles</t>
  </si>
  <si>
    <t>Comb-Proprietary Funds- Inventories &amp; Prepaids in Curr Assets</t>
  </si>
  <si>
    <t>GA-Total Depreciable capital assets, gross</t>
  </si>
  <si>
    <t>WS Cap Asset - Buildings</t>
  </si>
  <si>
    <t>WS Cap Asset - Plant/Distributions/Lines</t>
  </si>
  <si>
    <t>WS Cap Asset - Infrastructure</t>
  </si>
  <si>
    <t>WS Cap Asset- All other Depreciable Assets</t>
  </si>
  <si>
    <t>WS Annual Dep - Buildings</t>
  </si>
  <si>
    <t>WS Annual Dep - Plant/Distributions/Lines</t>
  </si>
  <si>
    <t>WS Annual Dep - Infrastructure</t>
  </si>
  <si>
    <t>WS Annual Dep - All Other Depreciable Assets</t>
  </si>
  <si>
    <t>WS Acc Dep - Buildings</t>
  </si>
  <si>
    <t>WS Acc Dep - Plant/Distributions/Lines</t>
  </si>
  <si>
    <t>WS Acc Dep - Infrastructure</t>
  </si>
  <si>
    <t>WS Acc Dep - All Other Depreciable Assets</t>
  </si>
  <si>
    <t>Electric Cap Asset - Gross Value of Non-Depreciated Assets</t>
  </si>
  <si>
    <t>Units with Electric Operations have $.07, $.08, $.09</t>
  </si>
  <si>
    <t>Units with Water Sewer Operations have $.01</t>
  </si>
  <si>
    <t>CCH Unit Type</t>
  </si>
  <si>
    <t>CCH Unit Code</t>
  </si>
  <si>
    <t>Were WS rates raised in next year's budget</t>
  </si>
  <si>
    <t>Were WS rates raised during the audited fiscal period</t>
  </si>
  <si>
    <t>Prior Year Amts.</t>
  </si>
  <si>
    <t>Unit Number</t>
  </si>
  <si>
    <t>CCH 4</t>
  </si>
  <si>
    <t>CCH 5</t>
  </si>
  <si>
    <t>CCH 6</t>
  </si>
  <si>
    <t>CCH 7</t>
  </si>
  <si>
    <t>CCH 9</t>
  </si>
  <si>
    <t>CCH 11</t>
  </si>
  <si>
    <t>CCH 12</t>
  </si>
  <si>
    <t>CCH 13</t>
  </si>
  <si>
    <t>C-EF- Current liabilities (Inc. Def Rev, Excl. BANs &amp; Comp Abs)</t>
  </si>
  <si>
    <t>CCH 14</t>
  </si>
  <si>
    <t>CCH 16</t>
  </si>
  <si>
    <t>CCH 17</t>
  </si>
  <si>
    <t>CCH 19</t>
  </si>
  <si>
    <t>CCH 20</t>
  </si>
  <si>
    <t>CCH 21</t>
  </si>
  <si>
    <t>CCH 22</t>
  </si>
  <si>
    <t>CCH 23</t>
  </si>
  <si>
    <t>CCH 31</t>
  </si>
  <si>
    <t xml:space="preserve">Combined Totals of all Proprietary Funds - Depreciation &amp; Amortization Expense </t>
  </si>
  <si>
    <t>CCH 32</t>
  </si>
  <si>
    <t>Combined Totals of all Proprietary Funds - Cash Flow from Operating</t>
  </si>
  <si>
    <t>CCH 33</t>
  </si>
  <si>
    <t>Hospital-EF- Unrestricted Cash &amp; Invest</t>
  </si>
  <si>
    <t>CCH 34</t>
  </si>
  <si>
    <t>CCH 35</t>
  </si>
  <si>
    <t>CCH 36</t>
  </si>
  <si>
    <t xml:space="preserve">Hospital-EF- Total LT Debt (non current portion only) (BS) </t>
  </si>
  <si>
    <t>CCH 37</t>
  </si>
  <si>
    <t>CCH 38</t>
  </si>
  <si>
    <t>Hospital-EF- Principal Paid on LTD (SCF)</t>
  </si>
  <si>
    <t>CCH 39</t>
  </si>
  <si>
    <t>Hospital-EF- Net Patient Revenue (IS)</t>
  </si>
  <si>
    <t>CCH 40</t>
  </si>
  <si>
    <t>Hospital-EF- Interest expenses (IS)</t>
  </si>
  <si>
    <t>CCH 41</t>
  </si>
  <si>
    <t>WS-EF- Current Assets (unrestricted, excl. inventory and prepaids)</t>
  </si>
  <si>
    <t>CCH 43</t>
  </si>
  <si>
    <t>CCH 44</t>
  </si>
  <si>
    <t>CCH 45</t>
  </si>
  <si>
    <t>CCH 46</t>
  </si>
  <si>
    <t>CCH 47</t>
  </si>
  <si>
    <t>CCH 48</t>
  </si>
  <si>
    <t>CCH 49</t>
  </si>
  <si>
    <t>CCH 50</t>
  </si>
  <si>
    <t>CCH 51</t>
  </si>
  <si>
    <t>CCH 52</t>
  </si>
  <si>
    <t>CCH 53</t>
  </si>
  <si>
    <t>CCH 54</t>
  </si>
  <si>
    <t>CCH 55</t>
  </si>
  <si>
    <t>CCH 61</t>
  </si>
  <si>
    <t>CCH 80</t>
  </si>
  <si>
    <t>CCH 81</t>
  </si>
  <si>
    <t>CCH 82</t>
  </si>
  <si>
    <t>CCH 83</t>
  </si>
  <si>
    <t>CCH 84</t>
  </si>
  <si>
    <t>CCH 85</t>
  </si>
  <si>
    <t>CCH 88</t>
  </si>
  <si>
    <t>CCH 89</t>
  </si>
  <si>
    <t>CCH 90</t>
  </si>
  <si>
    <t>CCH 91</t>
  </si>
  <si>
    <t>CCH 92</t>
  </si>
  <si>
    <t>CCH 93</t>
  </si>
  <si>
    <t>CCH 94</t>
  </si>
  <si>
    <t>CCH 97</t>
  </si>
  <si>
    <t>CCH 98</t>
  </si>
  <si>
    <t>CCH 99</t>
  </si>
  <si>
    <t>CCH 100</t>
  </si>
  <si>
    <t>CCH 101</t>
  </si>
  <si>
    <t>CCH 102</t>
  </si>
  <si>
    <t>CCH 103</t>
  </si>
  <si>
    <t>Hospital-EF- Capital Outlays</t>
  </si>
  <si>
    <t>CCH 104</t>
  </si>
  <si>
    <t>CCH 107</t>
  </si>
  <si>
    <t>CCH 108</t>
  </si>
  <si>
    <t xml:space="preserve">Counties Only- Local Current Expense to BOEs </t>
  </si>
  <si>
    <t>CCH 147</t>
  </si>
  <si>
    <t xml:space="preserve">Counties Only- Capital Outlay Contribution to BOEs </t>
  </si>
  <si>
    <t>CCH 148</t>
  </si>
  <si>
    <t xml:space="preserve">BOE Only-- Local Current Exp. Revenue from County. </t>
  </si>
  <si>
    <t>CCH 149</t>
  </si>
  <si>
    <t xml:space="preserve">BOE- Only-- Capital outlay revenue from county (GF, SRF, CPF) </t>
  </si>
  <si>
    <t>CCH 150</t>
  </si>
  <si>
    <t>CCH 171</t>
  </si>
  <si>
    <t>CCH 191</t>
  </si>
  <si>
    <t>CCH 192</t>
  </si>
  <si>
    <t>Combined Totals of all Proprietary Funds - Capital Contributions</t>
  </si>
  <si>
    <t>CCH 193</t>
  </si>
  <si>
    <t>Hospital-EF- Capital contributions (only positive)</t>
  </si>
  <si>
    <t>CCH 194</t>
  </si>
  <si>
    <t>GF- Total cash &amp; investments (restricted &amp; unrestricted)</t>
  </si>
  <si>
    <t>CCH 231</t>
  </si>
  <si>
    <t>All cash and investments (unit-wide, w/ fiduciary fds, &amp; restricted cash)</t>
  </si>
  <si>
    <t>CCH 251</t>
  </si>
  <si>
    <t>CCH 252</t>
  </si>
  <si>
    <t>CCH 253</t>
  </si>
  <si>
    <t>CCH 254</t>
  </si>
  <si>
    <t>CCH 255</t>
  </si>
  <si>
    <t>BOE Only- Timber Receipts Revenue</t>
  </si>
  <si>
    <t>CCH 274</t>
  </si>
  <si>
    <t>CCH 294</t>
  </si>
  <si>
    <t>Public Housing Authority- HUD Capital grants amount (SCF, don't include operating grants)</t>
  </si>
  <si>
    <t>CCH 314</t>
  </si>
  <si>
    <t>Public Housing Authority- Amount paid for capital asset acquisition (SCF)</t>
  </si>
  <si>
    <t>CCH 315</t>
  </si>
  <si>
    <t>Public Housing Authority - Operating income (loss)</t>
  </si>
  <si>
    <t>CCH 316</t>
  </si>
  <si>
    <t>CCH 320</t>
  </si>
  <si>
    <t>CCH 321</t>
  </si>
  <si>
    <t>CCH 322</t>
  </si>
  <si>
    <t>CCH 323</t>
  </si>
  <si>
    <t>CCH 324</t>
  </si>
  <si>
    <t>CCH 325</t>
  </si>
  <si>
    <t>CCH 326</t>
  </si>
  <si>
    <t>CCH 327</t>
  </si>
  <si>
    <t>CCH 328</t>
  </si>
  <si>
    <t>CCH 330</t>
  </si>
  <si>
    <t>CCH 331</t>
  </si>
  <si>
    <t>CCH 332</t>
  </si>
  <si>
    <t>CCH 333</t>
  </si>
  <si>
    <t>CCH 334</t>
  </si>
  <si>
    <t>CCH 335</t>
  </si>
  <si>
    <t>CCH 336</t>
  </si>
  <si>
    <t>CCH 337</t>
  </si>
  <si>
    <t>CCH 338</t>
  </si>
  <si>
    <t>CCH 339</t>
  </si>
  <si>
    <t>CCH 340</t>
  </si>
  <si>
    <t>CCH 341</t>
  </si>
  <si>
    <t>CCH 342</t>
  </si>
  <si>
    <t>CCH 343</t>
  </si>
  <si>
    <t>CCH 344</t>
  </si>
  <si>
    <t>CCH 346</t>
  </si>
  <si>
    <t>CCH 347</t>
  </si>
  <si>
    <t>CCH 349</t>
  </si>
  <si>
    <t>CCH 350</t>
  </si>
  <si>
    <t>CCH 351</t>
  </si>
  <si>
    <t>CCH 352</t>
  </si>
  <si>
    <t>CCH 353</t>
  </si>
  <si>
    <t>CCH 354</t>
  </si>
  <si>
    <t>CCH 357</t>
  </si>
  <si>
    <t>CCH 359</t>
  </si>
  <si>
    <t>CCH 360</t>
  </si>
  <si>
    <t>CCH 361</t>
  </si>
  <si>
    <t>CCH 362</t>
  </si>
  <si>
    <t>CCH 363</t>
  </si>
  <si>
    <t>CCH 364</t>
  </si>
  <si>
    <t>CCH 365</t>
  </si>
  <si>
    <t>CCH 366</t>
  </si>
  <si>
    <t>CCH 367</t>
  </si>
  <si>
    <t>CCH 368</t>
  </si>
  <si>
    <t>CCH 369</t>
  </si>
  <si>
    <t>CCH 370</t>
  </si>
  <si>
    <t>CCH 371</t>
  </si>
  <si>
    <t>CCH 373</t>
  </si>
  <si>
    <t>CCH 375</t>
  </si>
  <si>
    <t>CCH 376</t>
  </si>
  <si>
    <t>CCH 377</t>
  </si>
  <si>
    <t>CCH 378</t>
  </si>
  <si>
    <t>CCH 379</t>
  </si>
  <si>
    <t>CCH 380</t>
  </si>
  <si>
    <t>CCH 381</t>
  </si>
  <si>
    <t>CCH 382</t>
  </si>
  <si>
    <t>CCH 383</t>
  </si>
  <si>
    <t>CCH 384</t>
  </si>
  <si>
    <t>CCH 385</t>
  </si>
  <si>
    <t>CCH 386</t>
  </si>
  <si>
    <t>CCH 387</t>
  </si>
  <si>
    <t>CCH 388</t>
  </si>
  <si>
    <t>CCH 389</t>
  </si>
  <si>
    <t>CCH 391</t>
  </si>
  <si>
    <t>CCH 500</t>
  </si>
  <si>
    <t>CCH 501</t>
  </si>
  <si>
    <t>CCH 502</t>
  </si>
  <si>
    <t>CCH 503</t>
  </si>
  <si>
    <t>CCH 504</t>
  </si>
  <si>
    <t>CCH 505</t>
  </si>
  <si>
    <t>CCH 506</t>
  </si>
  <si>
    <t>CCH 507</t>
  </si>
  <si>
    <t>CCH 508</t>
  </si>
  <si>
    <t>CCH 509</t>
  </si>
  <si>
    <t>CCH 510</t>
  </si>
  <si>
    <t>CCH 511</t>
  </si>
  <si>
    <t>CCH 512</t>
  </si>
  <si>
    <t>CCH 513</t>
  </si>
  <si>
    <t>CCH 514</t>
  </si>
  <si>
    <t>CCH 515</t>
  </si>
  <si>
    <t>CCH 516</t>
  </si>
  <si>
    <t>CCH 517</t>
  </si>
  <si>
    <t>CCH 518</t>
  </si>
  <si>
    <t>CCH 519</t>
  </si>
  <si>
    <t>CCH 520</t>
  </si>
  <si>
    <t>CCH 521</t>
  </si>
  <si>
    <t>CCH 522</t>
  </si>
  <si>
    <t>CCH 523</t>
  </si>
  <si>
    <t>CCH 524</t>
  </si>
  <si>
    <t>CCH 525</t>
  </si>
  <si>
    <t>CCH 526</t>
  </si>
  <si>
    <t>CCH 527</t>
  </si>
  <si>
    <t>CCH 528</t>
  </si>
  <si>
    <t>CCH 529</t>
  </si>
  <si>
    <t>CCH 530</t>
  </si>
  <si>
    <t>CCH 531</t>
  </si>
  <si>
    <t>CCH 532</t>
  </si>
  <si>
    <t>CCH 533</t>
  </si>
  <si>
    <t>CCH 534</t>
  </si>
  <si>
    <t>CCH 535</t>
  </si>
  <si>
    <t>CCH 536</t>
  </si>
  <si>
    <t>CCH 537</t>
  </si>
  <si>
    <t>CCH 538</t>
  </si>
  <si>
    <t>CCH 539</t>
  </si>
  <si>
    <t>CCH 540</t>
  </si>
  <si>
    <t>CCH 541</t>
  </si>
  <si>
    <t>CCH 542</t>
  </si>
  <si>
    <t>CCH 543</t>
  </si>
  <si>
    <t>CCH 544</t>
  </si>
  <si>
    <t>CCH 545</t>
  </si>
  <si>
    <t>CCH 546</t>
  </si>
  <si>
    <t>CCH 547</t>
  </si>
  <si>
    <t>Hospital - No Budget required</t>
  </si>
  <si>
    <t>CCH 993</t>
  </si>
  <si>
    <t>Hospital - No Contract required</t>
  </si>
  <si>
    <t>CCH 994</t>
  </si>
  <si>
    <t>Units with Electric Operations have. 07,. 08,. 09</t>
  </si>
  <si>
    <t>CCH 995</t>
  </si>
  <si>
    <t>Units with Water Sewer Operations have. 01</t>
  </si>
  <si>
    <t>CCH 996</t>
  </si>
  <si>
    <t>CCH 998</t>
  </si>
  <si>
    <t>CCH 999</t>
  </si>
  <si>
    <t>Select Your Unit's Name from the drop down box in cell D2</t>
  </si>
  <si>
    <r>
      <t xml:space="preserve">Long-Term Liability Note - </t>
    </r>
    <r>
      <rPr>
        <b/>
        <sz val="11"/>
        <color indexed="8"/>
        <rFont val="Century Schoolbook"/>
        <family val="1"/>
      </rPr>
      <t>Water Sewer Activities</t>
    </r>
  </si>
  <si>
    <r>
      <t>Long-Term Liability Note -</t>
    </r>
    <r>
      <rPr>
        <b/>
        <sz val="9"/>
        <color indexed="8"/>
        <rFont val="Century Schoolbook"/>
        <family val="1"/>
      </rPr>
      <t xml:space="preserve"> </t>
    </r>
    <r>
      <rPr>
        <b/>
        <sz val="11"/>
        <color indexed="8"/>
        <rFont val="Century Schoolbook"/>
        <family val="1"/>
      </rPr>
      <t>Electric Activities</t>
    </r>
  </si>
  <si>
    <t>Dashboard,
Water Sewer Dashboard</t>
  </si>
  <si>
    <t>Water Sewer Memo,
Water Sewer Dashboard</t>
  </si>
  <si>
    <r>
      <rPr>
        <u/>
        <sz val="11"/>
        <color indexed="8"/>
        <rFont val="Calibri"/>
        <family val="2"/>
      </rPr>
      <t xml:space="preserve"> All unrestricted Cash and investments.</t>
    </r>
    <r>
      <rPr>
        <sz val="11"/>
        <color theme="1"/>
        <rFont val="Calibri"/>
        <family val="2"/>
        <scheme val="minor"/>
      </rPr>
      <t xml:space="preserve">  
</t>
    </r>
    <r>
      <rPr>
        <b/>
        <sz val="11"/>
        <color indexed="8"/>
        <rFont val="Calibri"/>
        <family val="2"/>
      </rPr>
      <t>Exclude:</t>
    </r>
    <r>
      <rPr>
        <sz val="11"/>
        <color theme="1"/>
        <rFont val="Calibri"/>
        <family val="2"/>
        <scheme val="minor"/>
      </rPr>
      <t xml:space="preserve"> restricted cash 
                   cash held by a third party. </t>
    </r>
  </si>
  <si>
    <r>
      <t xml:space="preserve">All unrestricted cash and investments.  
</t>
    </r>
    <r>
      <rPr>
        <b/>
        <sz val="11"/>
        <color indexed="8"/>
        <rFont val="Calibri"/>
        <family val="2"/>
      </rPr>
      <t>Exclude</t>
    </r>
    <r>
      <rPr>
        <sz val="11"/>
        <color indexed="8"/>
        <rFont val="Calibri"/>
        <family val="2"/>
      </rPr>
      <t xml:space="preserve"> restricted cash and cash held by a third party. </t>
    </r>
  </si>
  <si>
    <r>
      <t xml:space="preserve">Total Transfers in   </t>
    </r>
    <r>
      <rPr>
        <sz val="11"/>
        <color indexed="60"/>
        <rFont val="Calibri"/>
        <family val="2"/>
      </rPr>
      <t xml:space="preserve"> (Preference is that transfers-in  are not netted against transfers-out)</t>
    </r>
  </si>
  <si>
    <r>
      <t xml:space="preserve">Total Transfers out   </t>
    </r>
    <r>
      <rPr>
        <sz val="11"/>
        <color theme="1"/>
        <rFont val="Calibri"/>
        <family val="2"/>
        <scheme val="minor"/>
      </rPr>
      <t xml:space="preserve"> </t>
    </r>
    <r>
      <rPr>
        <sz val="11"/>
        <color indexed="60"/>
        <rFont val="Calibri"/>
        <family val="2"/>
      </rPr>
      <t>(Preference is that transfers-in  are not netted against transfers-out)</t>
    </r>
  </si>
  <si>
    <r>
      <rPr>
        <u/>
        <sz val="11"/>
        <color indexed="8"/>
        <rFont val="Calibri"/>
        <family val="2"/>
      </rPr>
      <t xml:space="preserve">Total all the non-operating </t>
    </r>
    <r>
      <rPr>
        <u/>
        <sz val="11"/>
        <color indexed="8"/>
        <rFont val="Calibri"/>
        <family val="2"/>
      </rPr>
      <t>revenues</t>
    </r>
    <r>
      <rPr>
        <u/>
        <sz val="11"/>
        <color indexed="8"/>
        <rFont val="Calibri"/>
        <family val="2"/>
      </rPr>
      <t xml:space="preserve"> </t>
    </r>
    <r>
      <rPr>
        <u/>
        <sz val="11"/>
        <color indexed="8"/>
        <rFont val="Calibri"/>
        <family val="2"/>
      </rPr>
      <t xml:space="preserve"> </t>
    </r>
    <r>
      <rPr>
        <sz val="11"/>
        <color indexed="8"/>
        <rFont val="Calibri"/>
        <family val="2"/>
      </rPr>
      <t xml:space="preserve">
</t>
    </r>
    <r>
      <rPr>
        <b/>
        <sz val="11"/>
        <color indexed="8"/>
        <rFont val="Calibri"/>
        <family val="2"/>
      </rPr>
      <t>Exclude</t>
    </r>
    <r>
      <rPr>
        <sz val="11"/>
        <color indexed="8"/>
        <rFont val="Calibri"/>
        <family val="2"/>
      </rPr>
      <t xml:space="preserve"> Capital Contributions.</t>
    </r>
  </si>
  <si>
    <t>Notes to the Financial Statements - Law Enforcement Officers' Special Separation Allowance Note</t>
  </si>
  <si>
    <t>LEO Note</t>
  </si>
  <si>
    <r>
      <rPr>
        <u/>
        <sz val="11"/>
        <color indexed="8"/>
        <rFont val="Calibri"/>
        <family val="2"/>
      </rPr>
      <t>Debt service expenditures from all governmental funds</t>
    </r>
    <r>
      <rPr>
        <sz val="11"/>
        <color theme="1"/>
        <rFont val="Calibri"/>
        <family val="2"/>
        <scheme val="minor"/>
      </rPr>
      <t>.  Include principal, interest paid, and debt issuance costs on long-term debt.</t>
    </r>
  </si>
  <si>
    <r>
      <rPr>
        <u/>
        <sz val="11"/>
        <color indexed="8"/>
        <rFont val="Calibri"/>
        <family val="2"/>
      </rPr>
      <t>Debt service expenditures</t>
    </r>
    <r>
      <rPr>
        <sz val="11"/>
        <color theme="1"/>
        <rFont val="Calibri"/>
        <family val="2"/>
        <scheme val="minor"/>
      </rPr>
      <t xml:space="preserve">. 
</t>
    </r>
    <r>
      <rPr>
        <b/>
        <sz val="11"/>
        <color indexed="8"/>
        <rFont val="Calibri"/>
        <family val="2"/>
      </rPr>
      <t>Include</t>
    </r>
    <r>
      <rPr>
        <sz val="11"/>
        <color theme="1"/>
        <rFont val="Calibri"/>
        <family val="2"/>
        <scheme val="minor"/>
      </rPr>
      <t xml:space="preserve"> principal, interest paid, and bond/debt issuance costs on long-term debt</t>
    </r>
  </si>
  <si>
    <t>Notes to the Financial Statements -Cash and Investments - Bond/Debt Proceeds</t>
  </si>
  <si>
    <t>995</t>
  </si>
  <si>
    <t>996</t>
  </si>
  <si>
    <t>998</t>
  </si>
  <si>
    <t>999</t>
  </si>
  <si>
    <r>
      <rPr>
        <u/>
        <sz val="11"/>
        <color indexed="8"/>
        <rFont val="Calibri"/>
        <family val="2"/>
      </rPr>
      <t xml:space="preserve">Total General revenues
</t>
    </r>
    <r>
      <rPr>
        <b/>
        <u/>
        <sz val="11"/>
        <color indexed="8"/>
        <rFont val="Calibri"/>
        <family val="2"/>
      </rPr>
      <t>E</t>
    </r>
    <r>
      <rPr>
        <b/>
        <sz val="11"/>
        <color indexed="8"/>
        <rFont val="Calibri"/>
        <family val="2"/>
      </rPr>
      <t>xclude:</t>
    </r>
    <r>
      <rPr>
        <sz val="11"/>
        <color indexed="8"/>
        <rFont val="Calibri"/>
        <family val="2"/>
      </rPr>
      <t xml:space="preserve"> transfers-in or out,
                 special items,
                 extraordinary amounts</t>
    </r>
  </si>
  <si>
    <r>
      <rPr>
        <u/>
        <sz val="11"/>
        <color indexed="8"/>
        <rFont val="Calibri"/>
        <family val="2"/>
      </rPr>
      <t>Any adjustment to beginning net position including rounding, prior period adjustments and restatements</t>
    </r>
    <r>
      <rPr>
        <sz val="11"/>
        <color theme="1"/>
        <rFont val="Calibri"/>
        <family val="2"/>
        <scheme val="minor"/>
      </rPr>
      <t xml:space="preserve">.  </t>
    </r>
    <r>
      <rPr>
        <sz val="11"/>
        <color indexed="60"/>
        <rFont val="Calibri"/>
        <family val="2"/>
      </rPr>
      <t xml:space="preserve"> (Increases to net position are positive; decreases to net position are negative)</t>
    </r>
  </si>
  <si>
    <r>
      <rPr>
        <u/>
        <sz val="11"/>
        <color indexed="8"/>
        <rFont val="Calibri"/>
        <family val="2"/>
      </rPr>
      <t>Total Liabilities payable from restricted assets</t>
    </r>
    <r>
      <rPr>
        <sz val="11"/>
        <color theme="1"/>
        <rFont val="Calibri"/>
        <family val="2"/>
        <scheme val="minor"/>
      </rPr>
      <t xml:space="preserve"> </t>
    </r>
    <r>
      <rPr>
        <sz val="11"/>
        <color indexed="60"/>
        <rFont val="Calibri"/>
        <family val="2"/>
      </rPr>
      <t>(only complete if this is listed in your financial statements for the general fund and the auditor has listed the cash to be used to pay the liabilities as restricted)</t>
    </r>
  </si>
  <si>
    <r>
      <rPr>
        <u/>
        <sz val="11"/>
        <color indexed="8"/>
        <rFont val="Calibri"/>
        <family val="2"/>
      </rPr>
      <t>Total Fund balance</t>
    </r>
    <r>
      <rPr>
        <sz val="11"/>
        <color theme="1"/>
        <rFont val="Calibri"/>
        <family val="2"/>
        <scheme val="minor"/>
      </rPr>
      <t xml:space="preserve"> </t>
    </r>
    <r>
      <rPr>
        <sz val="11"/>
        <color indexed="60"/>
        <rFont val="Calibri"/>
        <family val="2"/>
      </rPr>
      <t>(enter fund deficits as negative)</t>
    </r>
  </si>
  <si>
    <t>Amount of Inventories and Prepaid expenses in current assets</t>
  </si>
  <si>
    <r>
      <rPr>
        <u/>
        <sz val="11"/>
        <color indexed="8"/>
        <rFont val="Calibri"/>
        <family val="2"/>
      </rPr>
      <t>Total Net position, Unrestricted</t>
    </r>
    <r>
      <rPr>
        <sz val="11"/>
        <color theme="1"/>
        <rFont val="Calibri"/>
        <family val="2"/>
        <scheme val="minor"/>
      </rPr>
      <t xml:space="preserve"> - </t>
    </r>
    <r>
      <rPr>
        <sz val="11"/>
        <color indexed="60"/>
        <rFont val="Calibri"/>
        <family val="2"/>
      </rPr>
      <t>enter negative unrestricted net position as a negative</t>
    </r>
  </si>
  <si>
    <r>
      <rPr>
        <u/>
        <sz val="11"/>
        <color indexed="8"/>
        <rFont val="Calibri"/>
        <family val="2"/>
      </rPr>
      <t>Total all non-operating expenses</t>
    </r>
    <r>
      <rPr>
        <sz val="11"/>
        <color theme="1"/>
        <rFont val="Calibri"/>
        <family val="2"/>
        <scheme val="minor"/>
      </rPr>
      <t xml:space="preserve">. </t>
    </r>
    <r>
      <rPr>
        <sz val="11"/>
        <color indexed="60"/>
        <rFont val="Calibri"/>
        <family val="2"/>
      </rPr>
      <t xml:space="preserve"> 
</t>
    </r>
    <r>
      <rPr>
        <b/>
        <sz val="11"/>
        <color indexed="8"/>
        <rFont val="Calibri"/>
        <family val="2"/>
      </rPr>
      <t>Include</t>
    </r>
    <r>
      <rPr>
        <sz val="11"/>
        <color indexed="8"/>
        <rFont val="Calibri"/>
        <family val="2"/>
      </rPr>
      <t xml:space="preserve"> any </t>
    </r>
    <r>
      <rPr>
        <b/>
        <sz val="11"/>
        <color indexed="8"/>
        <rFont val="Calibri"/>
        <family val="2"/>
      </rPr>
      <t>negative</t>
    </r>
    <r>
      <rPr>
        <sz val="11"/>
        <color indexed="8"/>
        <rFont val="Calibri"/>
        <family val="2"/>
      </rPr>
      <t xml:space="preserve"> special, extraordinary, or capital contribution.</t>
    </r>
  </si>
  <si>
    <r>
      <rPr>
        <u/>
        <sz val="11"/>
        <color indexed="8"/>
        <rFont val="Calibri"/>
        <family val="2"/>
      </rPr>
      <t>Total all non-operating expenses</t>
    </r>
    <r>
      <rPr>
        <sz val="11"/>
        <color theme="1"/>
        <rFont val="Calibri"/>
        <family val="2"/>
        <scheme val="minor"/>
      </rPr>
      <t xml:space="preserve">. </t>
    </r>
    <r>
      <rPr>
        <sz val="11"/>
        <color indexed="60"/>
        <rFont val="Calibri"/>
        <family val="2"/>
      </rPr>
      <t xml:space="preserve"> 
</t>
    </r>
    <r>
      <rPr>
        <b/>
        <sz val="11"/>
        <color indexed="8"/>
        <rFont val="Calibri"/>
        <family val="2"/>
      </rPr>
      <t>Include</t>
    </r>
    <r>
      <rPr>
        <sz val="11"/>
        <color indexed="8"/>
        <rFont val="Calibri"/>
        <family val="2"/>
      </rPr>
      <t xml:space="preserve"> </t>
    </r>
    <r>
      <rPr>
        <b/>
        <sz val="11"/>
        <color indexed="8"/>
        <rFont val="Calibri"/>
        <family val="2"/>
      </rPr>
      <t>negative</t>
    </r>
    <r>
      <rPr>
        <sz val="11"/>
        <color indexed="8"/>
        <rFont val="Calibri"/>
        <family val="2"/>
      </rPr>
      <t xml:space="preserve"> special, extraordinary, or capital contribution.</t>
    </r>
  </si>
  <si>
    <r>
      <rPr>
        <u/>
        <sz val="11"/>
        <color indexed="8"/>
        <rFont val="Calibri"/>
        <family val="2"/>
      </rPr>
      <t xml:space="preserve">Total Cash flow from </t>
    </r>
    <r>
      <rPr>
        <b/>
        <u/>
        <sz val="11"/>
        <color indexed="8"/>
        <rFont val="Calibri"/>
        <family val="2"/>
      </rPr>
      <t>operating</t>
    </r>
    <r>
      <rPr>
        <u/>
        <sz val="11"/>
        <color indexed="8"/>
        <rFont val="Calibri"/>
        <family val="2"/>
      </rPr>
      <t xml:space="preserve"> activities</t>
    </r>
    <r>
      <rPr>
        <sz val="11"/>
        <color theme="1"/>
        <rFont val="Calibri"/>
        <family val="2"/>
        <scheme val="minor"/>
      </rPr>
      <t xml:space="preserve">  - </t>
    </r>
    <r>
      <rPr>
        <sz val="11"/>
        <color indexed="60"/>
        <rFont val="Calibri"/>
        <family val="2"/>
      </rPr>
      <t>(Enter negative cash flows as negative)</t>
    </r>
  </si>
  <si>
    <r>
      <rPr>
        <u/>
        <sz val="11"/>
        <color indexed="8"/>
        <rFont val="Calibri"/>
        <family val="2"/>
      </rPr>
      <t xml:space="preserve">Cash flow from </t>
    </r>
    <r>
      <rPr>
        <b/>
        <u/>
        <sz val="11"/>
        <color indexed="8"/>
        <rFont val="Calibri"/>
        <family val="2"/>
      </rPr>
      <t>operating</t>
    </r>
    <r>
      <rPr>
        <u/>
        <sz val="11"/>
        <color indexed="8"/>
        <rFont val="Calibri"/>
        <family val="2"/>
      </rPr>
      <t xml:space="preserve"> activities</t>
    </r>
    <r>
      <rPr>
        <sz val="11"/>
        <color theme="1"/>
        <rFont val="Calibri"/>
        <family val="2"/>
        <scheme val="minor"/>
      </rPr>
      <t xml:space="preserve"> - </t>
    </r>
    <r>
      <rPr>
        <sz val="11"/>
        <color indexed="60"/>
        <rFont val="Calibri"/>
        <family val="2"/>
      </rPr>
      <t>(enter negative cash flows as negative)</t>
    </r>
  </si>
  <si>
    <t>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t>
  </si>
  <si>
    <t>Debt Refunding - Net refunding proceeds against debt payoff and if negative place results on this line.</t>
  </si>
  <si>
    <t xml:space="preserve">All other items on this statement that were not included in total revenues, total expenditures, transfers in or out, or proceeds from long-term debt above.  </t>
  </si>
  <si>
    <t>Debt Refunding - Net refunding proceeds against debt payoff and if positive place results on this line.</t>
  </si>
  <si>
    <t>Electric - Total Transfers Out(to all funds)</t>
  </si>
  <si>
    <t>Fund Statements - all Governmental Funds</t>
  </si>
  <si>
    <t>Information</t>
  </si>
  <si>
    <t>If your unit is not on the Drop Down list in cell D2 please select the blank space at the top of the drop down list in cell D2 and enter your units name here and complete the worksheet</t>
  </si>
  <si>
    <t>Unit paid to Officers under LEO</t>
  </si>
  <si>
    <t xml:space="preserve">OPEB 
1-implicit rate only  
2-no benefit 
3-benfit 
4- state health plan  </t>
  </si>
  <si>
    <r>
      <rPr>
        <u/>
        <sz val="11"/>
        <color indexed="8"/>
        <rFont val="Calibri"/>
        <family val="2"/>
      </rPr>
      <t>Amount of Transfers from the Electric Fund to the General Fund</t>
    </r>
    <r>
      <rPr>
        <sz val="11"/>
        <color theme="1"/>
        <rFont val="Calibri"/>
        <family val="2"/>
        <scheme val="minor"/>
      </rPr>
      <t xml:space="preserve">  </t>
    </r>
    <r>
      <rPr>
        <sz val="11"/>
        <color indexed="60"/>
        <rFont val="Calibri"/>
        <family val="2"/>
      </rPr>
      <t xml:space="preserve">(Enter as positive)
</t>
    </r>
    <r>
      <rPr>
        <b/>
        <sz val="11"/>
        <rFont val="Calibri"/>
        <family val="2"/>
      </rPr>
      <t>Include</t>
    </r>
    <r>
      <rPr>
        <sz val="11"/>
        <rFont val="Calibri"/>
        <family val="2"/>
      </rPr>
      <t>:  Payment in Lieu of Taxes (PILOT)</t>
    </r>
  </si>
  <si>
    <t>Law Enforcement Officers - Actuarial value of Assets</t>
  </si>
  <si>
    <t>Pension Notes</t>
  </si>
  <si>
    <r>
      <rPr>
        <u/>
        <sz val="11"/>
        <color indexed="8"/>
        <rFont val="Calibri"/>
        <family val="2"/>
      </rPr>
      <t>Charges for services</t>
    </r>
    <r>
      <rPr>
        <sz val="11"/>
        <color theme="1"/>
        <rFont val="Calibri"/>
        <family val="2"/>
        <scheme val="minor"/>
      </rPr>
      <t xml:space="preserve">. 
</t>
    </r>
    <r>
      <rPr>
        <b/>
        <sz val="11"/>
        <color indexed="8"/>
        <rFont val="Calibri"/>
        <family val="2"/>
      </rPr>
      <t>Exclude</t>
    </r>
    <r>
      <rPr>
        <sz val="11"/>
        <color theme="1"/>
        <rFont val="Calibri"/>
        <family val="2"/>
        <scheme val="minor"/>
      </rPr>
      <t xml:space="preserve"> tap, capacity fees and other misc. income .</t>
    </r>
  </si>
  <si>
    <t>Note this number is adjusted for any negative internal balances</t>
  </si>
  <si>
    <t>Formula Results</t>
  </si>
  <si>
    <r>
      <t xml:space="preserve">Tax collection rate- Total Levy UNIT-WIDE
</t>
    </r>
    <r>
      <rPr>
        <b/>
        <sz val="11"/>
        <color indexed="8"/>
        <rFont val="Calibri"/>
        <family val="2"/>
      </rPr>
      <t>Exclude</t>
    </r>
    <r>
      <rPr>
        <sz val="11"/>
        <color theme="1"/>
        <rFont val="Calibri"/>
        <family val="2"/>
        <scheme val="minor"/>
      </rPr>
      <t xml:space="preserve"> supplemental taxes
(</t>
    </r>
    <r>
      <rPr>
        <sz val="11"/>
        <color indexed="60"/>
        <rFont val="Calibri"/>
        <family val="2"/>
      </rPr>
      <t>Enter as a percentage with two decimal places)</t>
    </r>
  </si>
  <si>
    <r>
      <rPr>
        <u/>
        <sz val="11"/>
        <rFont val="Calibri"/>
        <family val="2"/>
      </rPr>
      <t>Tax collection rate - Excluding Registered motor vehicles</t>
    </r>
    <r>
      <rPr>
        <u/>
        <sz val="11"/>
        <color indexed="60"/>
        <rFont val="Calibri"/>
        <family val="2"/>
      </rPr>
      <t xml:space="preserve">
</t>
    </r>
    <r>
      <rPr>
        <b/>
        <sz val="11"/>
        <rFont val="Calibri"/>
        <family val="2"/>
      </rPr>
      <t>Exclude</t>
    </r>
    <r>
      <rPr>
        <sz val="11"/>
        <rFont val="Calibri"/>
        <family val="2"/>
      </rPr>
      <t xml:space="preserve"> supplemental taxes</t>
    </r>
    <r>
      <rPr>
        <sz val="11"/>
        <color indexed="60"/>
        <rFont val="Calibri"/>
        <family val="2"/>
      </rPr>
      <t xml:space="preserve">
(Enter as a percentage with two decimal places)</t>
    </r>
  </si>
  <si>
    <r>
      <t xml:space="preserve">Tax collection rate - Registered motor vehicles
</t>
    </r>
    <r>
      <rPr>
        <b/>
        <sz val="11"/>
        <color indexed="8"/>
        <rFont val="Calibri"/>
        <family val="2"/>
      </rPr>
      <t>Exclude</t>
    </r>
    <r>
      <rPr>
        <sz val="11"/>
        <color theme="1"/>
        <rFont val="Calibri"/>
        <family val="2"/>
        <scheme val="minor"/>
      </rPr>
      <t xml:space="preserve"> supplemental taxes
</t>
    </r>
    <r>
      <rPr>
        <sz val="11"/>
        <color indexed="60"/>
        <rFont val="Calibri"/>
        <family val="2"/>
      </rPr>
      <t>(Enter as a percentage with two decimal places)</t>
    </r>
  </si>
  <si>
    <t>If unit does not answer you do not have to pursue</t>
  </si>
  <si>
    <t>GW-positive internal balance</t>
  </si>
  <si>
    <t>GW-negative internal balance</t>
  </si>
  <si>
    <t>Gov Acc Dep - Capital Assets</t>
  </si>
  <si>
    <t xml:space="preserve">WS Cap Asset - Land &amp; other Non-Construction </t>
  </si>
  <si>
    <t>WS Cap Asset - Construction in Progress</t>
  </si>
  <si>
    <t>Electric Cap Asset - Gross Value of Depreciable Capital Assets</t>
  </si>
  <si>
    <t>Electric Acc Dep - Capital Assets</t>
  </si>
  <si>
    <t>WS-EF- Total LT Debt (ST &amp;LT; normal exclusions)</t>
  </si>
  <si>
    <t>WS-revenues and other financing sources over expenditures and other uses-excl. transfers, capital Cont.</t>
  </si>
  <si>
    <t>If unit did not answer you do not need to pursue.</t>
  </si>
  <si>
    <t>Error Amounts</t>
  </si>
  <si>
    <t>Error Count</t>
  </si>
  <si>
    <t xml:space="preserve">Review Summary </t>
  </si>
  <si>
    <t>Review Summary; Electric Memo</t>
  </si>
  <si>
    <r>
      <rPr>
        <u/>
        <sz val="11"/>
        <color indexed="8"/>
        <rFont val="Calibri"/>
        <family val="2"/>
      </rPr>
      <t>Cash and Investment</t>
    </r>
    <r>
      <rPr>
        <sz val="11"/>
        <color indexed="8"/>
        <rFont val="Calibri"/>
        <family val="2"/>
      </rPr>
      <t xml:space="preserve"> - </t>
    </r>
    <r>
      <rPr>
        <sz val="11"/>
        <color indexed="60"/>
        <rFont val="Calibri"/>
        <family val="2"/>
      </rPr>
      <t>Please list the book value of any unspent debt proceeds (bonds, installment, etc.) in any funds as of June 30.  This information may be on the face of your statements or in the notes</t>
    </r>
  </si>
  <si>
    <t>Advance To: Interfund loan receivable-portion of repayment plan longer than 12 months</t>
  </si>
  <si>
    <r>
      <rPr>
        <u/>
        <sz val="11"/>
        <rFont val="Calibri"/>
        <family val="2"/>
      </rPr>
      <t>Water Sewer - Advance To:</t>
    </r>
    <r>
      <rPr>
        <sz val="11"/>
        <rFont val="Calibri"/>
        <family val="2"/>
      </rPr>
      <t xml:space="preserve">
Interfund loan receivable-portion of repayment plan longer than 12 months</t>
    </r>
  </si>
  <si>
    <r>
      <rPr>
        <u/>
        <sz val="11"/>
        <rFont val="Calibri"/>
        <family val="2"/>
      </rPr>
      <t xml:space="preserve">Water Sewer - Advance From: 
</t>
    </r>
    <r>
      <rPr>
        <sz val="11"/>
        <rFont val="Calibri"/>
        <family val="2"/>
      </rPr>
      <t>Interfund loan Payable-portion of repayment plan longer than 12 months</t>
    </r>
  </si>
  <si>
    <r>
      <rPr>
        <u/>
        <sz val="11"/>
        <rFont val="Calibri"/>
        <family val="2"/>
      </rPr>
      <t>Electric Fund - Advance From:</t>
    </r>
    <r>
      <rPr>
        <sz val="11"/>
        <rFont val="Calibri"/>
        <family val="2"/>
      </rPr>
      <t xml:space="preserve">
Interfund loans payable-portion of repayment plan longer than 12 months</t>
    </r>
  </si>
  <si>
    <t>GF-Advance To - Asset</t>
  </si>
  <si>
    <t>WS -  Advance To - Asset</t>
  </si>
  <si>
    <t>WS - Advance From - Liability</t>
  </si>
  <si>
    <t>EF - Advance To - Asset</t>
  </si>
  <si>
    <t>EF - Advance from - Liability</t>
  </si>
  <si>
    <t>use on upload template</t>
  </si>
  <si>
    <t>Gen Fund - Total Expenditures</t>
  </si>
  <si>
    <t>Gen Fund - Proceeds from LTD</t>
  </si>
  <si>
    <t>CCH 548</t>
  </si>
  <si>
    <t>CCH 549</t>
  </si>
  <si>
    <t>Debt Service payments made from Bond investments</t>
  </si>
  <si>
    <t>CCH 550</t>
  </si>
  <si>
    <t>CCH 551</t>
  </si>
  <si>
    <t>CCH 552</t>
  </si>
  <si>
    <t>CCH 553</t>
  </si>
  <si>
    <t>Single Audit Only - total amount of federal awards and grants expended as found on SEFSA</t>
  </si>
  <si>
    <t>CCH 554</t>
  </si>
  <si>
    <t>Single Audit Only - Total amount of federal awards and grants that were audited as major as found on SEFSA</t>
  </si>
  <si>
    <t>CCH 555</t>
  </si>
  <si>
    <t>Single Audit Only - total amount of state awards and grants expended as found on SEFSA</t>
  </si>
  <si>
    <t>CCH 556</t>
  </si>
  <si>
    <t>Single Audit Only - Total amount of state awards and grants that were audited as major as found on SEFSA</t>
  </si>
  <si>
    <t>CCH 557</t>
  </si>
  <si>
    <t>CCH 558</t>
  </si>
  <si>
    <t>CCH 559</t>
  </si>
  <si>
    <t>CCH 560</t>
  </si>
  <si>
    <t>CCH 561</t>
  </si>
  <si>
    <t>CCH 562</t>
  </si>
  <si>
    <t>CCH 563</t>
  </si>
  <si>
    <t>CCH 564</t>
  </si>
  <si>
    <t>CCH 565</t>
  </si>
  <si>
    <t>CCH 566</t>
  </si>
  <si>
    <t>CCH 567</t>
  </si>
  <si>
    <t>CCH 568</t>
  </si>
  <si>
    <t>CCH 569</t>
  </si>
  <si>
    <t>CCH 570</t>
  </si>
  <si>
    <t>CCH 571</t>
  </si>
  <si>
    <t>CCH 572</t>
  </si>
  <si>
    <t>CCH 573</t>
  </si>
  <si>
    <t>CCH 574</t>
  </si>
  <si>
    <t>CCH 992</t>
  </si>
  <si>
    <t>Fiscal Review</t>
  </si>
  <si>
    <t>Operations</t>
  </si>
  <si>
    <t>Government Wide Statements - Statement of Activities  - Business Type Activities Column</t>
  </si>
  <si>
    <t>Reporting</t>
  </si>
  <si>
    <t>Statement of Activities - Business Activities</t>
  </si>
  <si>
    <t>Total Expenses - Exclude Transfers</t>
  </si>
  <si>
    <r>
      <rPr>
        <u/>
        <sz val="11"/>
        <color indexed="8"/>
        <rFont val="Calibri"/>
        <family val="2"/>
      </rPr>
      <t xml:space="preserve">Total Change in net position Business Type </t>
    </r>
    <r>
      <rPr>
        <sz val="11"/>
        <color theme="1"/>
        <rFont val="Calibri"/>
        <family val="2"/>
        <scheme val="minor"/>
      </rPr>
      <t xml:space="preserve">
</t>
    </r>
    <r>
      <rPr>
        <sz val="11"/>
        <color indexed="60"/>
        <rFont val="Calibri"/>
        <family val="2"/>
      </rPr>
      <t>(Increase in net position is recorded as a positive and a decrease in net position is recorded as a negative)</t>
    </r>
  </si>
  <si>
    <t>Business Type - Total Expenses</t>
  </si>
  <si>
    <t>Business Type - Change in Net Position</t>
  </si>
  <si>
    <t>Reviewer if you need to change what the unit entered, do so directly in cell to the right.  Enter "1" to the right if the unit has defined benefit other than the ones adm.   Leave blank if the unit does not answer</t>
  </si>
  <si>
    <t>Indicate if your water/sewer system:
50 - Became Operational
51 - Ceased Operations
52 - No Change</t>
  </si>
  <si>
    <t>50 - Became Operational</t>
  </si>
  <si>
    <t>51 - Ceased Operations</t>
  </si>
  <si>
    <t>52 - No Change</t>
  </si>
  <si>
    <t>Status of Water Sewer</t>
  </si>
  <si>
    <t>Gen Fund - Current Liabilities</t>
  </si>
  <si>
    <t>C-EF- Current Assets (unrestricted, excl. inventory and prepaids)</t>
  </si>
  <si>
    <t>C-EF Current Assets (unrestricted, incl. inventory and prepaids)</t>
  </si>
  <si>
    <t>GF- Total expenditures</t>
  </si>
  <si>
    <t>GF- Proceeds from all LT debt issuance (COPs, IPs, Notes, CLs, etc.)</t>
  </si>
  <si>
    <t>C-EF- Change in Net Assets</t>
  </si>
  <si>
    <t>Hospital-EF - Patient A/Rec, net</t>
  </si>
  <si>
    <t>Hospital-EF- Total Gross Capital Assets (BS), w/o acc. dep.</t>
  </si>
  <si>
    <t xml:space="preserve">Hospital-EF- Unrestricted Fund Equity/Net Assets </t>
  </si>
  <si>
    <t>WS - Total Current Assets</t>
  </si>
  <si>
    <t>WS - Select Current Liabilities</t>
  </si>
  <si>
    <t>E-EF- Current Assets (unrestricted, excl. inventory and prepaids)</t>
  </si>
  <si>
    <t>Electric - Total Current Assets</t>
  </si>
  <si>
    <t>E-EF- Net Transfers In(Out)- with GF only</t>
  </si>
  <si>
    <t>E-EF- Gross Capital Assets</t>
  </si>
  <si>
    <t>Hospital-EF - Total Operating Revenues</t>
  </si>
  <si>
    <t xml:space="preserve">Hospital-EF- Total Operating Expenses. May include Interest Exp. </t>
  </si>
  <si>
    <t>WS Cap Asset - Land &amp; other Non-Construction</t>
  </si>
  <si>
    <t>WS-EF- Accumulated Infrastructure Deprec Expense</t>
  </si>
  <si>
    <t>Gov - Select Current Liabilities</t>
  </si>
  <si>
    <t>GA- Total Program revenues (SOA)</t>
  </si>
  <si>
    <t>GA- Total Net transfers in(out) (SOA)</t>
  </si>
  <si>
    <t>WS-EF- Total depreciable capital assets, gross</t>
  </si>
  <si>
    <t>WS-EF- Total Accum Deprec on all capital assets.</t>
  </si>
  <si>
    <t>GF- Restricted cash &amp; investments</t>
  </si>
  <si>
    <t>CCH 575</t>
  </si>
  <si>
    <t>CCH 576</t>
  </si>
  <si>
    <t>Yes  or "1" indicates unit has defined benefit other than the ones adm. By the state</t>
  </si>
  <si>
    <t>CCH 577</t>
  </si>
  <si>
    <t>WS-Advance From - Liability</t>
  </si>
  <si>
    <t>CCH 578</t>
  </si>
  <si>
    <t>WS-Advance To - Asset</t>
  </si>
  <si>
    <t>CCH 579</t>
  </si>
  <si>
    <t>EF-Advance From - Liability</t>
  </si>
  <si>
    <t>CCH 580</t>
  </si>
  <si>
    <t>EF-Advance To - Asset</t>
  </si>
  <si>
    <t>CCH 581</t>
  </si>
  <si>
    <t>TDA- Government Wide current and long-term debt</t>
  </si>
  <si>
    <t>CCH 582</t>
  </si>
  <si>
    <t>Bus- Total Expenses</t>
  </si>
  <si>
    <t>CCH 583</t>
  </si>
  <si>
    <t>Bus-Total Revenues</t>
  </si>
  <si>
    <t>CCH 584</t>
  </si>
  <si>
    <t>County only-timber receipts sent to the schools</t>
  </si>
  <si>
    <t>CCH 585</t>
  </si>
  <si>
    <t>GF - Advance from</t>
  </si>
  <si>
    <t>CCH 586</t>
  </si>
  <si>
    <t>Local Curr Exp trx to Fund 8</t>
  </si>
  <si>
    <t>CCH 587</t>
  </si>
  <si>
    <t>Capital Outlay trx to Fund 8</t>
  </si>
  <si>
    <t>CCH 588</t>
  </si>
  <si>
    <t>County-supplemental school tax reported in Agency fund</t>
  </si>
  <si>
    <t>CCH 589</t>
  </si>
  <si>
    <t xml:space="preserve">This is a description question that is retained on the data input tab - This information is not uploaded to CCH or our data base </t>
  </si>
  <si>
    <t>CCH 590</t>
  </si>
  <si>
    <t>Statement of Activities                               (all governmental and business funds)</t>
  </si>
  <si>
    <r>
      <t xml:space="preserve">Amount of interest income and investment income recognized as revenue in your audit report for all governmental and proprietary funds.  </t>
    </r>
    <r>
      <rPr>
        <sz val="11"/>
        <color indexed="60"/>
        <rFont val="Calibri"/>
        <family val="2"/>
      </rPr>
      <t xml:space="preserve">In the past we have asked you to adjust this number, but this year we would like the number as it appears on your Statement of Activities </t>
    </r>
    <r>
      <rPr>
        <u/>
        <sz val="11"/>
        <color indexed="60"/>
        <rFont val="Calibri"/>
        <family val="2"/>
      </rPr>
      <t>without</t>
    </r>
    <r>
      <rPr>
        <sz val="11"/>
        <color indexed="60"/>
        <rFont val="Calibri"/>
        <family val="2"/>
      </rPr>
      <t xml:space="preserve"> adjustment.</t>
    </r>
  </si>
  <si>
    <r>
      <t xml:space="preserve">Record any </t>
    </r>
    <r>
      <rPr>
        <b/>
        <u/>
        <sz val="11"/>
        <color indexed="8"/>
        <rFont val="Calibri"/>
        <family val="2"/>
      </rPr>
      <t>positive</t>
    </r>
    <r>
      <rPr>
        <u/>
        <sz val="11"/>
        <color indexed="8"/>
        <rFont val="Calibri"/>
        <family val="2"/>
      </rPr>
      <t xml:space="preserve"> Internal balances on the net position statements that appear in the Asset Section of the Net Position Statement
</t>
    </r>
  </si>
  <si>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</si>
  <si>
    <t>Only for Review Summary</t>
  </si>
  <si>
    <t>https://www.nctreasurer.com/slg/lfm/financial-analysis/Pages/Analysis-by-Population.aspx</t>
  </si>
  <si>
    <r>
      <t>Record any</t>
    </r>
    <r>
      <rPr>
        <b/>
        <u/>
        <sz val="11"/>
        <color indexed="8"/>
        <rFont val="Calibri"/>
        <family val="2"/>
      </rPr>
      <t xml:space="preserve"> negative</t>
    </r>
    <r>
      <rPr>
        <u/>
        <sz val="11"/>
        <color indexed="8"/>
        <rFont val="Calibri"/>
        <family val="2"/>
      </rPr>
      <t xml:space="preserve"> Internal balances on the net position statements that appear in the Asset Section of the Net Position Statement.
</t>
    </r>
    <r>
      <rPr>
        <b/>
        <sz val="11"/>
        <color indexed="60"/>
        <rFont val="Calibri"/>
        <family val="2"/>
      </rPr>
      <t xml:space="preserve">
Enter as a positive</t>
    </r>
    <r>
      <rPr>
        <u/>
        <sz val="11"/>
        <color indexed="8"/>
        <rFont val="Calibri"/>
        <family val="2"/>
      </rPr>
      <t xml:space="preserve">
</t>
    </r>
  </si>
  <si>
    <r>
      <t xml:space="preserve">Long-Term Liability Note - </t>
    </r>
    <r>
      <rPr>
        <b/>
        <sz val="10"/>
        <color indexed="8"/>
        <rFont val="Century Schoolbook"/>
        <family val="1"/>
      </rPr>
      <t>Governmental Activities</t>
    </r>
  </si>
  <si>
    <t>Interest income from statement of activities</t>
  </si>
  <si>
    <t>Long-Term Liability Note - Governmental Activities</t>
  </si>
  <si>
    <r>
      <rPr>
        <u/>
        <sz val="11"/>
        <color indexed="8"/>
        <rFont val="Calibri"/>
        <family val="2"/>
      </rPr>
      <t>Any adjustment to beginning fund balance including rounding, prior period adjustments and restatements.</t>
    </r>
    <r>
      <rPr>
        <sz val="11"/>
        <color theme="1"/>
        <rFont val="Calibri"/>
        <family val="2"/>
        <scheme val="minor"/>
      </rPr>
      <t xml:space="preserve">  </t>
    </r>
    <r>
      <rPr>
        <sz val="11"/>
        <color indexed="60"/>
        <rFont val="Calibri"/>
        <family val="2"/>
      </rPr>
      <t xml:space="preserve"> (Amounts that increase fund balance are recorded as positive and amounts that decrease fund balance are recorded as negative)</t>
    </r>
  </si>
  <si>
    <t>Amount the unit paid out in benefits under LEO special separation allowance to retired law enforcement officers this fiscal year if you report under GASB 68 or GASB 73.</t>
  </si>
  <si>
    <t>The total LEO pension liability if you report under GASB 68 or GASB 73.</t>
  </si>
  <si>
    <t>Total LEO pension liability under GASB 68 or 73</t>
  </si>
  <si>
    <t>Unit paid to Officers under LEO under 68 or 73</t>
  </si>
  <si>
    <t>LEO Plan fiduciary net position</t>
  </si>
  <si>
    <t>Unit Contact Question</t>
  </si>
  <si>
    <t>Interest income from statement of activitites</t>
  </si>
  <si>
    <t>https://efc.sog.unc.edu/reslib/item/north-carolina-water-and-wastewater-rates-dashboard#</t>
  </si>
  <si>
    <r>
      <t>Total Net Position, Unrestricted -</t>
    </r>
    <r>
      <rPr>
        <u/>
        <sz val="11"/>
        <color indexed="60"/>
        <rFont val="Calibri"/>
        <family val="2"/>
      </rPr>
      <t xml:space="preserve"> enter negative unrestricted net position as a negative)</t>
    </r>
  </si>
  <si>
    <t>If you have LEO pension assets and are reporting under GASB 68 please enter "Plan Fiduciary Net Position" which can be found on your RSI schedules and the Notes.</t>
  </si>
  <si>
    <t>Health benefits - total OPEB liability</t>
  </si>
  <si>
    <t>Health benefits- OPEB plan fiduciary net position</t>
  </si>
  <si>
    <t>Vision benefits - total OPEB liability</t>
  </si>
  <si>
    <t>Vision benefits - OPEB plan fiduciary net position</t>
  </si>
  <si>
    <t>Dental benefits - OPEB plan fiduciary net position</t>
  </si>
  <si>
    <t>Other benefits - total OPEB liability</t>
  </si>
  <si>
    <t>Other benefits - OPEB plan fiduciary net position</t>
  </si>
  <si>
    <t xml:space="preserve">For Internal Control Uses Only:
1) NO IC Issues
2) Immaterial IC Issues
3) Unit Visit needed, no UL
4) Unit Letter for IC
5) Consider placing/remaining on Unit Assistance List
6) Consider taking off Unit Assistance List
7) Communication to DPI
</t>
  </si>
  <si>
    <t>Unit was issued:
1) No UL
2) No UL but visit is needed
3) UL with response
4) UL no response required
5) SUL requiring written response
6) Communication to DPI</t>
  </si>
  <si>
    <t>OPEB
 Note or RSI</t>
  </si>
  <si>
    <t>Financial opinion - enter "1" for clean Opinion or "2" for other than clean opinion</t>
  </si>
  <si>
    <t>Dental benefits - total OPEB liability</t>
  </si>
  <si>
    <t>Notes or formulas</t>
  </si>
  <si>
    <t>OPEB
RSI</t>
  </si>
  <si>
    <t>LEO
RSI</t>
  </si>
  <si>
    <t>Do you expect to issue debt requiring LGC approval within 12 months from the date that the audit is submitted - select "1" for year and "2" for no</t>
  </si>
  <si>
    <t>Do you expect to issue debt requiring LGC approval within 12 months from the date that the audit is submitted - select "1" for yes and "2" for no</t>
  </si>
  <si>
    <t>Debt Issued within next 12 months</t>
  </si>
  <si>
    <t>Data Import</t>
  </si>
  <si>
    <t>#VALUE!</t>
  </si>
  <si>
    <t/>
  </si>
  <si>
    <t>If you have LEO pension assets and are reporting under GASB 68 please enter "Plan Fiduciary Net Position" which can be found on your RSI schedules.</t>
  </si>
  <si>
    <t>Health benefits - plan's fiduary net postion as a % of total OPEB liability</t>
  </si>
  <si>
    <t>Vision benefits - plan's fiduary net postion as a % of total OPEB liability</t>
  </si>
  <si>
    <t>Dental benefits - plan's fiduary net postion as a % of total OPEB liability</t>
  </si>
  <si>
    <t>Other benefits - plan's fiduary net postion as a % of total OPEB liability</t>
  </si>
  <si>
    <t>LEOSSA – What is the plan’s fiduciary net position as a percentage of the total pension liability?  Please enter as percentage value; for example, 83.5% should be entered as 83.5.  If assets have not been set aside in a trust, please enter 0.0</t>
  </si>
  <si>
    <t>LEO - plan's fiduary net position as a % of total pension liability</t>
  </si>
  <si>
    <t>FS., OPEB  note or RSI</t>
  </si>
  <si>
    <t>Compliance opinion - enter "1" for clean Opinion or "2" for other than clean opinion</t>
  </si>
  <si>
    <t>FS., Pension note or RSI</t>
  </si>
  <si>
    <t>Notes to the Financial Statements - Pension Note</t>
  </si>
  <si>
    <t>Year 2018</t>
  </si>
  <si>
    <t>Net OPEB Liability (RHBF)</t>
  </si>
  <si>
    <r>
      <t xml:space="preserve">Unit's Share of Net Pension Liability ($s)
- unit of government is a participating employer in the State's </t>
    </r>
    <r>
      <rPr>
        <b/>
        <sz val="11"/>
        <color theme="1"/>
        <rFont val="Calibri"/>
        <family val="2"/>
        <scheme val="minor"/>
      </rPr>
      <t>TSERS</t>
    </r>
    <r>
      <rPr>
        <sz val="11"/>
        <color theme="1"/>
        <rFont val="Calibri"/>
        <family val="2"/>
        <scheme val="minor"/>
      </rPr>
      <t xml:space="preserve"> (Teachers' and State Employees' Retirement System) or the </t>
    </r>
    <r>
      <rPr>
        <b/>
        <sz val="11"/>
        <color theme="1"/>
        <rFont val="Calibri"/>
        <family val="2"/>
        <scheme val="minor"/>
      </rPr>
      <t>LGERS</t>
    </r>
    <r>
      <rPr>
        <sz val="11"/>
        <color theme="1"/>
        <rFont val="Calibri"/>
        <family val="2"/>
        <scheme val="minor"/>
      </rPr>
      <t xml:space="preserve"> (Local Governmental Employees' Retirement System).  </t>
    </r>
  </si>
  <si>
    <t>FS., OPEB note or RSI</t>
  </si>
  <si>
    <t>Does the County collect real estate property taxes on your behalf? Select "1" for "yes and "2" for "No"</t>
  </si>
  <si>
    <t>Not loaded to CCH</t>
  </si>
  <si>
    <t>County collects real estate property on your behalf</t>
  </si>
  <si>
    <t>Net Pension Liability</t>
  </si>
  <si>
    <t>Determination of Fiscal Health</t>
  </si>
  <si>
    <t>Fund Balance, Unassigned</t>
  </si>
  <si>
    <t>This information was not collected in 2019</t>
  </si>
  <si>
    <t>Debt Service Fund</t>
  </si>
  <si>
    <t>Please enter the Total Fund Balance for any Debt Service Funds</t>
  </si>
  <si>
    <t>Water Sewer Net Position Statement</t>
  </si>
  <si>
    <t>Total Revenue</t>
  </si>
  <si>
    <t>General Fund:</t>
  </si>
  <si>
    <t>Total Expenditures</t>
  </si>
  <si>
    <t>Increase (decrease) in Fund Balance</t>
  </si>
  <si>
    <t>Transfers-In</t>
  </si>
  <si>
    <t>Transfers-Out</t>
  </si>
  <si>
    <t>Cash</t>
  </si>
  <si>
    <t>Total Fund Balance</t>
  </si>
  <si>
    <t>Quick Ratio</t>
  </si>
  <si>
    <t>506+536</t>
  </si>
  <si>
    <t>Electric Fund</t>
  </si>
  <si>
    <t>Water Sewer All Funds:</t>
  </si>
  <si>
    <t>Total Operating Revenues</t>
  </si>
  <si>
    <t>Total Operating Expenditures</t>
  </si>
  <si>
    <t>Increase (decrease) in operating revenues</t>
  </si>
  <si>
    <t>84-85</t>
  </si>
  <si>
    <t>93-94</t>
  </si>
  <si>
    <t>Important Ratios:</t>
  </si>
  <si>
    <t>General fund:</t>
  </si>
  <si>
    <t>Available Fund Balance</t>
  </si>
  <si>
    <t>Current Assets</t>
  </si>
  <si>
    <t>Current Liabilities</t>
  </si>
  <si>
    <t>Cash Flow from Operations</t>
  </si>
  <si>
    <t>Debt Principal and Interest</t>
  </si>
  <si>
    <t>Cash Flow less Debt Service</t>
  </si>
  <si>
    <t>Additional Information:</t>
  </si>
  <si>
    <t>Electric Fund:</t>
  </si>
  <si>
    <t>Water Sewer Funds:</t>
  </si>
  <si>
    <t>Water and Sewer Operations - If unit maintains separate funds please combine all water, sewer, and wastewater funds into one activity for purposes of this worksheet.  Exclude stormwater funds.  Only fill out this section if receiving operating revenues or paying operating expenditures. Eliminate transfers within this activity group.</t>
  </si>
  <si>
    <t>Current Liabilities - bond anticipation notes</t>
  </si>
  <si>
    <t xml:space="preserve">Current Liabilities - closure/Postclosure </t>
  </si>
  <si>
    <t>Current Liabilities - OPEB</t>
  </si>
  <si>
    <t>Current Liabilities - current liabilities payable from restricted assets</t>
  </si>
  <si>
    <t>Current Liabilities - current pension liabilities</t>
  </si>
  <si>
    <t>Current Liabilities - current compensated absences</t>
  </si>
  <si>
    <t>WS-Current Liabilities - current pension liabilities</t>
  </si>
  <si>
    <t>WS-Current Liabilities - current liabilities payable from restricted assets</t>
  </si>
  <si>
    <t>Total Current Liabilities including current portion of long-term debt</t>
  </si>
  <si>
    <t>WS - Total Current Liabilities including current portion of long-term debt</t>
  </si>
  <si>
    <t>WS-Current Liabilities - bond anticipation notes</t>
  </si>
  <si>
    <t>WS-Current Liabilities - current compensated absences</t>
  </si>
  <si>
    <t>WS-Current Liabilities - OPEB</t>
  </si>
  <si>
    <t>Electric - Total Current Liabilities including current portion of long-term debt</t>
  </si>
  <si>
    <t>Electric-Current Liabilities - bond anticipation notes</t>
  </si>
  <si>
    <t>Electric-Current Liabilities - current compensated absences</t>
  </si>
  <si>
    <t>Electric-Current Liabilities - current pension liabilities</t>
  </si>
  <si>
    <t>Electric-Current Liabilities - current liabilities payable from restricted assets</t>
  </si>
  <si>
    <t>Electric-Current Liabilities - OPEB</t>
  </si>
  <si>
    <t xml:space="preserve"> GF - Fund balance, Assigned </t>
  </si>
  <si>
    <t>GF - Fund Balance, Unassigned</t>
  </si>
  <si>
    <t>Debt Service Funds Total Fund Balance</t>
  </si>
  <si>
    <t>Acct #</t>
  </si>
  <si>
    <r>
      <rPr>
        <u/>
        <sz val="11"/>
        <color indexed="8"/>
        <rFont val="Calibri"/>
        <family val="2"/>
      </rPr>
      <t xml:space="preserve">Amount of Water Sewer revenues and other financing sources over expenditures and other uses
</t>
    </r>
    <r>
      <rPr>
        <b/>
        <u/>
        <sz val="11"/>
        <color indexed="8"/>
        <rFont val="Calibri"/>
        <family val="2"/>
      </rPr>
      <t xml:space="preserve">Exclude:  All transfers and capital contributions
Exclude:  Capital Project funds
</t>
    </r>
    <r>
      <rPr>
        <sz val="11"/>
        <color indexed="60"/>
        <rFont val="Calibri"/>
        <family val="2"/>
      </rPr>
      <t>This schedule is usually found behind the notes and should be entered as a positive or negative as indicated on your audit report</t>
    </r>
  </si>
  <si>
    <t>Fund balance, Assigned (total of all assigned components)</t>
  </si>
  <si>
    <r>
      <rPr>
        <u/>
        <sz val="11"/>
        <color indexed="8"/>
        <rFont val="Calibri"/>
        <family val="2"/>
      </rPr>
      <t>Current Liabilities</t>
    </r>
    <r>
      <rPr>
        <sz val="11"/>
        <color rgb="FFFF0000"/>
        <rFont val="Calibri"/>
        <family val="2"/>
        <scheme val="minor"/>
      </rPr>
      <t xml:space="preserve"> (as reported on the Balance Sheet)</t>
    </r>
    <r>
      <rPr>
        <sz val="11"/>
        <color theme="1"/>
        <rFont val="Calibri"/>
        <family val="2"/>
        <scheme val="minor"/>
      </rPr>
      <t xml:space="preserve">
</t>
    </r>
    <r>
      <rPr>
        <b/>
        <sz val="11"/>
        <color indexed="8"/>
        <rFont val="Calibri"/>
        <family val="2"/>
      </rPr>
      <t>Exclude</t>
    </r>
    <r>
      <rPr>
        <sz val="11"/>
        <color indexed="60"/>
        <rFont val="Calibri"/>
        <family val="2"/>
      </rPr>
      <t xml:space="preserve"> </t>
    </r>
    <r>
      <rPr>
        <sz val="11"/>
        <color indexed="8"/>
        <rFont val="Calibri"/>
        <family val="2"/>
      </rPr>
      <t xml:space="preserve">all deferred inflows. 
</t>
    </r>
    <r>
      <rPr>
        <b/>
        <sz val="11"/>
        <color indexed="8"/>
        <rFont val="Calibri"/>
        <family val="2"/>
      </rPr>
      <t>Include</t>
    </r>
    <r>
      <rPr>
        <sz val="11"/>
        <color indexed="8"/>
        <rFont val="Calibri"/>
        <family val="2"/>
      </rPr>
      <t xml:space="preserve"> advance from(long-term portion of interfund loans)</t>
    </r>
  </si>
  <si>
    <t>Available Fund Balance / Total Expenditures and Transfers-out</t>
  </si>
  <si>
    <t>Amount of the General Fund Balance appropriated in next year's budget. As reported on the General Fund Balance Sheet.</t>
  </si>
  <si>
    <r>
      <rPr>
        <b/>
        <sz val="9"/>
        <color indexed="8"/>
        <rFont val="Century Schoolbook"/>
        <family val="1"/>
      </rPr>
      <t>Water Sewer</t>
    </r>
    <r>
      <rPr>
        <sz val="9"/>
        <color indexed="8"/>
        <rFont val="Century Schoolbook"/>
        <family val="1"/>
      </rPr>
      <t xml:space="preserve"> - Disclosed in the Notes or in the recently approved Budget for next year.</t>
    </r>
  </si>
  <si>
    <t>Municipalities</t>
  </si>
  <si>
    <t>The LGC is normally concerned about units with a Quick Ratio below 1</t>
  </si>
  <si>
    <t>The LGC is normally concerned about units with a negative cash flow from Operations</t>
  </si>
  <si>
    <t>Unit Data From Audit Worksheet</t>
  </si>
  <si>
    <t>Cherokee</t>
  </si>
  <si>
    <t>Chowan</t>
  </si>
  <si>
    <t>Durham</t>
  </si>
  <si>
    <t>Gaston</t>
  </si>
  <si>
    <t>Henderson</t>
  </si>
  <si>
    <t>Macon</t>
  </si>
  <si>
    <t>McDowell</t>
  </si>
  <si>
    <t>Mecklenburg</t>
  </si>
  <si>
    <t xml:space="preserve">New Hanover </t>
  </si>
  <si>
    <t>Pitt</t>
  </si>
  <si>
    <t>Rockingham</t>
  </si>
  <si>
    <t>Rutherford</t>
  </si>
  <si>
    <t>Wake</t>
  </si>
  <si>
    <t>Chapel Hill</t>
  </si>
  <si>
    <t>Charlotte</t>
  </si>
  <si>
    <t>Durham City</t>
  </si>
  <si>
    <t>Fuquay Varina</t>
  </si>
  <si>
    <t>Greensboro</t>
  </si>
  <si>
    <t>Greenville</t>
  </si>
  <si>
    <t>High Point</t>
  </si>
  <si>
    <t>Wake Forest</t>
  </si>
  <si>
    <t>Wilmington</t>
  </si>
  <si>
    <t>Winston-Salem</t>
  </si>
  <si>
    <t>Unit #</t>
  </si>
  <si>
    <t>CCH # 647</t>
  </si>
  <si>
    <t xml:space="preserve"> (506+536-4-5-6)+647</t>
  </si>
  <si>
    <t>MANDATORY</t>
  </si>
  <si>
    <t>All Fields Must Be Completed</t>
  </si>
  <si>
    <t>Title of Official</t>
  </si>
  <si>
    <t>Date                        (Enter as "MM/DD/YYYY")</t>
  </si>
  <si>
    <t>Telephone number</t>
  </si>
  <si>
    <t>E-mail address</t>
  </si>
  <si>
    <t>Total FB for Debt Service Funds</t>
  </si>
  <si>
    <t>GF  FBA</t>
  </si>
  <si>
    <t>GF Exp and Tran out</t>
  </si>
  <si>
    <t>GF FBA% of Exp</t>
  </si>
  <si>
    <t>Electric cash flow less debt service</t>
  </si>
  <si>
    <t>(506+536-4-5-6)+647</t>
  </si>
  <si>
    <t>WS debt service</t>
  </si>
  <si>
    <t>100+98</t>
  </si>
  <si>
    <t>55-100-98</t>
  </si>
  <si>
    <t>44-510</t>
  </si>
  <si>
    <t>WS Current asset</t>
  </si>
  <si>
    <t>(506+536-4-5-6)+647/(532+20+509-533-508)</t>
  </si>
  <si>
    <t>532+20+509-533-508</t>
  </si>
  <si>
    <t>Total Expenditures + Transfers-out to all funds less bond proceeds</t>
  </si>
  <si>
    <t>331+89</t>
  </si>
  <si>
    <t>WS Days in Sales</t>
  </si>
  <si>
    <t xml:space="preserve">Electric Days in Sales </t>
  </si>
  <si>
    <t>81*365/88</t>
  </si>
  <si>
    <t>91*365/97</t>
  </si>
  <si>
    <t>FORMULAS</t>
  </si>
  <si>
    <t>NOTES</t>
  </si>
  <si>
    <t>First name of finance officer or interim finance officer (please enter “vacant” for first or last name if the position is currently vacant)</t>
  </si>
  <si>
    <t>Data not collected in 2019</t>
  </si>
  <si>
    <t>Last name of finance officer or interim finance officer (please enter “vacant” for first or last name if the position is currently vacant)</t>
  </si>
  <si>
    <t>Has the finance officer been formally appointed by the local government, public authority, or designated official?  (Y/N)</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</si>
  <si>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</si>
  <si>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</si>
  <si>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Permanent</t>
  </si>
  <si>
    <t>REQUIRED</t>
  </si>
  <si>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t>
  </si>
  <si>
    <t>RSS-Accounts used to calculate the RSS are shaded in Green</t>
  </si>
  <si>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entury Schoolbook"/>
        <family val="1"/>
      </rPr>
      <t>Please record the numbers in the shaded column F.  Please enter all numbers as positive</t>
    </r>
    <r>
      <rPr>
        <sz val="12"/>
        <color indexed="8"/>
        <rFont val="Century Schoolbook"/>
        <family val="1"/>
      </rPr>
      <t xml:space="preserve"> unless specifically stated otherwise in the description of the amount requested.  </t>
    </r>
  </si>
  <si>
    <t>The LGC is normally concerned about units with a negative cash flow from operation less debt service</t>
  </si>
  <si>
    <t>Days sales in Receivables</t>
  </si>
  <si>
    <t>This information was not collected in this format in 2019</t>
  </si>
  <si>
    <t>WS-Total Current Assets as presented on the Statement of Net Position</t>
  </si>
  <si>
    <t>532+509+20-533-508</t>
  </si>
  <si>
    <t>(506+536-4-5-6)+647/(532+509+20-533-508)</t>
  </si>
  <si>
    <t>2020 Current formulas</t>
  </si>
  <si>
    <t>Descriptions - 2020</t>
  </si>
  <si>
    <t>Total Current assets.  
Exclude any current assets identified as restricted.
Exclude "Advance To": portion of interfund loan with repayment longer than 12 months.</t>
  </si>
  <si>
    <t xml:space="preserve">Total Current assets as listed on the WS New Position Statement.  </t>
  </si>
  <si>
    <t>GW - Total Current Liabilities including current portion of long-term debt</t>
  </si>
  <si>
    <t>GW-Current Liabilities - bond anticipation notes</t>
  </si>
  <si>
    <t>GW -Current Liabilities - current compensated absences</t>
  </si>
  <si>
    <t>GW-Current Liabilities - current pension liabilities</t>
  </si>
  <si>
    <t>GW-Current Liabilities - current liabilities payable from restricted assets</t>
  </si>
  <si>
    <t>GW-Current Liabilities - OPEB</t>
  </si>
  <si>
    <t>Total Fund Balance for all Debt Service Funds</t>
  </si>
  <si>
    <t>never collected before</t>
  </si>
  <si>
    <t>Debt Service Funds Total Fund Balance
FBA for the general fund now adds total fund balance for debt service to the FBA for calculating FBA as a % of expenditures.  The Total FB for Debt Service funds was loaded for prior years also so the formula should change for all years presented</t>
  </si>
  <si>
    <t>Current liabilities.  
Include:   Current liabilities and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</si>
  <si>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=633-634-635-636-637-638-578</t>
  </si>
  <si>
    <t>Current liabilities.  
Include: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</si>
  <si>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639-640-641-642-643-644-580</t>
  </si>
  <si>
    <t>580</t>
  </si>
  <si>
    <t>On the above formulas you will have to be careful on the positive and negative formulas for internal balance on the data import tab.</t>
  </si>
  <si>
    <t>Units that have a Tourism Development Authority reported in their audit report</t>
  </si>
  <si>
    <t>Do you use prepared food/occupancy tax revenue stream to support debt?  Select "1" for Yes and "2" for No</t>
  </si>
  <si>
    <t>Electric-Any current assets that are restricted (Cash, Accounts Rec., ect.) and included in account 657 above</t>
  </si>
  <si>
    <t>Total OPEB benefits - total OPEB liability
If you do not provide benefit, please enter 0</t>
  </si>
  <si>
    <t>Total OPEB benefits- OPEB plan fiduciary net position
If no fiduciary net position, enter 0</t>
  </si>
  <si>
    <t>Total OPEB benefits - What is the plan’s fiduciary net position as a percentage of the total OPEB liability?  Please enter as percentage value; for example, 83.5% should be entered as 83.5.  If assets have not been set aside in a trust, please enter 0.0</t>
  </si>
  <si>
    <r>
      <rPr>
        <u/>
        <sz val="11"/>
        <color indexed="8"/>
        <rFont val="Calibri"/>
        <family val="2"/>
      </rPr>
      <t>Total Current assets as listed on the Electric Net Position Statement</t>
    </r>
    <r>
      <rPr>
        <sz val="11"/>
        <color indexed="8"/>
        <rFont val="Calibri"/>
        <family val="2"/>
      </rPr>
      <t xml:space="preserve">.  
</t>
    </r>
  </si>
  <si>
    <t xml:space="preserve">Total Current assets as listed on the Electric Net Position Statement.  
</t>
  </si>
  <si>
    <t>Unit was issued:
1) No UL
2) No UL but visit is needed
3) UL with response
4) SUL requiring written response
5) Communication to DPI</t>
  </si>
  <si>
    <t>Business Rules:</t>
  </si>
  <si>
    <t>   AuditYear (D2)</t>
  </si>
  <si>
    <t>      Is Number.</t>
  </si>
  <si>
    <t>      = 4 Digits.</t>
  </si>
  <si>
    <t>   UnitCode (L Column Value when J Column Value = 999)</t>
  </si>
  <si>
    <t>      999 Found in Column.</t>
  </si>
  <si>
    <t>      &lt;= 8 Characters.</t>
  </si>
  <si>
    <t>      Exists in Unit table.</t>
  </si>
  <si>
    <t>   Data Evaluated from Row 5 to Row ? (Where Column J = 999)</t>
  </si>
  <si>
    <t>      Blank Rows</t>
  </si>
  <si>
    <t>         Allows 1 Blank Row only.</t>
  </si>
  <si>
    <t>      Account Number (J Column)</t>
  </si>
  <si>
    <t>         &lt;= 25 Characters.</t>
  </si>
  <si>
    <t>         No Duplicates.</t>
  </si>
  <si>
    <t>         Exists in Account Table (IntergovernmentalData).</t>
  </si>
  <si>
    <t>      Account Amount (L Column)</t>
  </si>
  <si>
    <t>         &lt;=500 Characters.</t>
  </si>
  <si>
    <t>         Not Blank/Minus/Comma when Required.</t>
  </si>
  <si>
    <t>         Data Type validated.</t>
  </si>
  <si>
    <t> File Drop</t>
  </si>
  <si>
    <t>=========</t>
  </si>
  <si>
    <t>Test Location: \\dst-flsp4A\Share\lgc\publish\AFIRTest\CCH_UploadTest</t>
  </si>
  <si>
    <t>Production Location: \\dst-flsp4A\Share\LGC\publish\AFIRProduction\CCH_Upload</t>
  </si>
  <si>
    <t>File Pickup Time: 8PM</t>
  </si>
  <si>
    <t>File Uploaded to Database Time: 9PM</t>
  </si>
  <si>
    <t>Formula Data Recalculated Time: 12AM</t>
  </si>
  <si>
    <t>English Version</t>
  </si>
  <si>
    <t>The Import tab is the only tab that the sequel interface will access – the entire file is dropped in the folder</t>
  </si>
  <si>
    <t>The Fiscal year is coded in 4 digits to cell D2</t>
  </si>
  <si>
    <t>Unit Code is found in Column L when J=999 – must always be the last field</t>
  </si>
  <si>
    <t>Data starts in Row 5 Column J</t>
  </si>
  <si>
    <t>A blank row is not counted as a row – shading counts as not blank</t>
  </si>
  <si>
    <t>column J has a limit of 25 characters</t>
  </si>
  <si>
    <t>Column L has a limit of 500 characters</t>
  </si>
  <si>
    <t>If second, third, etc. file for the same unit is placed in folder the original data is written over.</t>
  </si>
  <si>
    <t>The program does not read column K</t>
  </si>
  <si>
    <t>If the chart of accounts is changed then it must be uploaded again</t>
  </si>
  <si>
    <t>unit code-unit description-data type(text, numeric, date)-required or blank</t>
  </si>
  <si>
    <t>Year 2019</t>
  </si>
  <si>
    <t>OPEB-Plan's fiduciary net position as a % of total OPEB liability</t>
  </si>
  <si>
    <t>Do you use prepared food/occupancy tax revenue stream to support debt.  Yes =1 No=2</t>
  </si>
  <si>
    <t>51-331-89</t>
  </si>
  <si>
    <t>654-655-579-510</t>
  </si>
  <si>
    <t>657-658-581-511</t>
  </si>
  <si>
    <t>633-634-635-636-637-638-578</t>
  </si>
  <si>
    <r>
      <rPr>
        <u/>
        <sz val="11"/>
        <color indexed="8"/>
        <rFont val="Calibri"/>
        <family val="2"/>
      </rPr>
      <t xml:space="preserve">Unearned revenues that were included in current liabilities in your audit report or entered in acct # 626 above. </t>
    </r>
    <r>
      <rPr>
        <sz val="11"/>
        <color theme="1"/>
        <rFont val="Calibri"/>
        <family val="2"/>
        <scheme val="minor"/>
      </rPr>
      <t xml:space="preserve">
</t>
    </r>
    <r>
      <rPr>
        <b/>
        <sz val="11"/>
        <color indexed="8"/>
        <rFont val="Calibri"/>
        <family val="2"/>
      </rPr>
      <t xml:space="preserve">Exclude - </t>
    </r>
    <r>
      <rPr>
        <sz val="11"/>
        <color theme="1"/>
        <rFont val="Calibri"/>
        <family val="2"/>
        <scheme val="minor"/>
      </rPr>
      <t>unearned revenues that are listed in deferred inflows.</t>
    </r>
  </si>
  <si>
    <t>The account upload file can now be placed in IT file location along with regular file uploads</t>
  </si>
  <si>
    <t>You can now drop the Chart of Accounts data in the same folder and it will be loaded.  :)</t>
  </si>
  <si>
    <t>I load at 1:15PM and 8:30PM before the CCH loads at 1:30PM and 9:00PM in Test.</t>
  </si>
  <si>
    <t>Requirements</t>
  </si>
  <si>
    <t>==========</t>
  </si>
  <si>
    <t>FileName: YYYYChartOfAccounts.xlsx</t>
  </si>
  <si>
    <t xml:space="preserve">   Where YYYY is the 4 Digit Audit Year.  Ex: 2020ChartofAccounts.xlsx.</t>
  </si>
  <si>
    <t>SheetName: Sheet1</t>
  </si>
  <si>
    <t>Column A: Account Number</t>
  </si>
  <si>
    <t>Column B: Account Description</t>
  </si>
  <si>
    <t>Column C: Account Value Data Type: Numeric, Text, Date Column D: Account Value Required (Not Blank): Required, Empty Cell Value</t>
  </si>
  <si>
    <t>(654-655-579-510)/(633-634-635-636-637-638-578)</t>
  </si>
  <si>
    <t>657-658-581-511/(639-640-641-642-643-644-580)</t>
  </si>
  <si>
    <t>Prior CCH Account #</t>
  </si>
  <si>
    <t>Descriptions of prior number</t>
  </si>
  <si>
    <t>GW-Gov - replace 336</t>
  </si>
  <si>
    <t>Current liabilities
Include:   Current liabilities and current portion of long-term debt. 
Exclude:   Bond Anticipation Notes
                    Compensated  Absences
                    Pension liabilities
                    Liabilities payable from restricted assets
                    Other post employment liabilities (OPEB)
                    Deferred inflows.</t>
  </si>
  <si>
    <t>626-627-628-629-630-631  We have deliberately not included 632 (closure/postclosure liabilities) since if they are in current liabilities they will be paid out and should be included in current liabilities</t>
  </si>
  <si>
    <t>Water Sewer Replace 44</t>
  </si>
  <si>
    <t>654-655-579</t>
  </si>
  <si>
    <t>WS-Any current assets that are restricted (Cash, Accounts Rec., deliberately.) and included in account 654 above</t>
  </si>
  <si>
    <t xml:space="preserve">Water Sewer - replace 45 </t>
  </si>
  <si>
    <t>Electric - replace 47</t>
  </si>
  <si>
    <t>657-658-581</t>
  </si>
  <si>
    <r>
      <rPr>
        <u/>
        <sz val="11"/>
        <rFont val="Calibri"/>
        <family val="2"/>
      </rPr>
      <t>Electric Fund - Advance To:</t>
    </r>
    <r>
      <rPr>
        <sz val="11"/>
        <rFont val="Calibri"/>
        <family val="2"/>
      </rPr>
      <t xml:space="preserve">
Interfund loan receivable-portion of repayment plan longer than 12 months</t>
    </r>
  </si>
  <si>
    <t>Electric replace 48</t>
  </si>
  <si>
    <t>The following are not changes to the formulas but changes that might need to be made to the formulas - Example we are no longer using account 336 beginning in 2020.  If you encounter a formula using 336 you must change it by deleting the 336 and adding (26-627-628-629-630-631) in its place</t>
  </si>
  <si>
    <r>
      <t xml:space="preserve">Please enter any bond anticipation notes that are classified as current liabilities and included in account 633 above </t>
    </r>
    <r>
      <rPr>
        <sz val="11"/>
        <color theme="5" tint="-0.249977111117893"/>
        <rFont val="Calibri"/>
        <family val="2"/>
      </rPr>
      <t>(amounts entered should agree to the current amount included in the changes to long-term debt note)</t>
    </r>
  </si>
  <si>
    <r>
      <t xml:space="preserve">Please enter any compensated absences that are classified as current liabilities and included in account 633 above </t>
    </r>
    <r>
      <rPr>
        <sz val="11"/>
        <color theme="5" tint="-0.249977111117893"/>
        <rFont val="Calibri"/>
        <family val="2"/>
      </rPr>
      <t>(amounts entered should agree to the current amount included in the changes to long-term debt note)</t>
    </r>
  </si>
  <si>
    <r>
      <t xml:space="preserve">Please enter any pension liabilities that are classified as current liabilities and included in account 633 above </t>
    </r>
    <r>
      <rPr>
        <sz val="11"/>
        <color theme="5" tint="-0.249977111117893"/>
        <rFont val="Calibri"/>
        <family val="2"/>
      </rPr>
      <t>(amounts entered should agree to the current amount included in the changes to long-term debt note)</t>
    </r>
  </si>
  <si>
    <r>
      <t xml:space="preserve">Please enter any OPEB liabilities that are classified as current liabilities and included in account 633 above </t>
    </r>
    <r>
      <rPr>
        <sz val="11"/>
        <color theme="5" tint="-0.249977111117893"/>
        <rFont val="Calibri"/>
        <family val="2"/>
      </rPr>
      <t>(amounts entered should agree to the current amount included in the changes to long-term debt note)</t>
    </r>
  </si>
  <si>
    <t>Please enter any current liabilities that are payable from restricted assets and included in account 633 above.</t>
  </si>
  <si>
    <t>Unearned revenue (arising from cash receipts) that were included in Current Liabilities in the question in account 633 above.</t>
  </si>
  <si>
    <r>
      <t xml:space="preserve">Please enter any bond anticipation notes that are classified as current liabilities and included in account 639 above </t>
    </r>
    <r>
      <rPr>
        <sz val="11"/>
        <color theme="5" tint="-0.249977111117893"/>
        <rFont val="Calibri"/>
        <family val="2"/>
      </rPr>
      <t>(amounts entered should agree to the current amount included in the changes to long-term debt note)</t>
    </r>
  </si>
  <si>
    <r>
      <t xml:space="preserve">Please enter any compensated absences that are classified as current liabilities and included in account 639 above </t>
    </r>
    <r>
      <rPr>
        <sz val="11"/>
        <color theme="5" tint="-0.249977111117893"/>
        <rFont val="Calibri"/>
        <family val="2"/>
      </rPr>
      <t>(amounts entered should agree to the current amount included in the changes to long-term debt note)</t>
    </r>
  </si>
  <si>
    <r>
      <t xml:space="preserve">Please enter any pension liabilities that are classified as current liabilities and included account in 639 above </t>
    </r>
    <r>
      <rPr>
        <sz val="11"/>
        <color theme="5" tint="-0.249977111117893"/>
        <rFont val="Calibri"/>
        <family val="2"/>
      </rPr>
      <t>(amounts entered should agree to the current amount included in the changes to long-term debt note)</t>
    </r>
  </si>
  <si>
    <t xml:space="preserve">Please enter any current liabilities that are payable from restricted assets and included in account 639 above. </t>
  </si>
  <si>
    <r>
      <t xml:space="preserve">Please enter any OPEB liabilities that are classified as current liabilities and included in account 639 above </t>
    </r>
    <r>
      <rPr>
        <sz val="11"/>
        <color theme="5" tint="-0.249977111117893"/>
        <rFont val="Calibri"/>
        <family val="2"/>
      </rPr>
      <t>(amounts entered should agree to the current amount included in the changes to long-term debt note)</t>
    </r>
  </si>
  <si>
    <t>Unearned revenue (arising from cash receipts) that were included in Current Liabilities in account 639 above.</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</si>
  <si>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</si>
  <si>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</si>
  <si>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</si>
  <si>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r>
      <t xml:space="preserve">Please enter any bond anticipation notes that are classified as current liabilities and included in account 626 above </t>
    </r>
    <r>
      <rPr>
        <sz val="11"/>
        <color theme="5" tint="-0.249977111117893"/>
        <rFont val="Calibri"/>
        <family val="2"/>
      </rPr>
      <t>(amounts entered should agree to the current amount included in the changes to long-term debt note)</t>
    </r>
  </si>
  <si>
    <r>
      <t xml:space="preserve">Please enter any compensated absences that are classified as current liabilities and included in account 626 above </t>
    </r>
    <r>
      <rPr>
        <sz val="11"/>
        <color theme="5" tint="-0.249977111117893"/>
        <rFont val="Calibri"/>
        <family val="2"/>
      </rPr>
      <t>(amounts entered should agree to the current amount included in the changes to long-term debt note)</t>
    </r>
  </si>
  <si>
    <r>
      <t xml:space="preserve">Please enter any pension liabilities that are classified as current liabilities and included in account 626 above </t>
    </r>
    <r>
      <rPr>
        <sz val="11"/>
        <color theme="5" tint="-0.249977111117893"/>
        <rFont val="Calibri"/>
        <family val="2"/>
      </rPr>
      <t>(amounts entered should agree to the current amount included in the changes to long-term debt note)</t>
    </r>
  </si>
  <si>
    <t>Please enter any current liabilities that are payable from restricted assets and included in account 626 above</t>
  </si>
  <si>
    <r>
      <t xml:space="preserve">Please enter any OPEB liabilities that are classified as current liabilities and included in account 626 above </t>
    </r>
    <r>
      <rPr>
        <sz val="11"/>
        <color theme="5" tint="-0.249977111117893"/>
        <rFont val="Calibri"/>
        <family val="2"/>
      </rPr>
      <t>(amounts entered should agree to the current amount included in the changes to long-term debt note)</t>
    </r>
  </si>
  <si>
    <r>
      <t xml:space="preserve">Please enter any landfill closure/postclosure liabilities that are classified as current liabilities and included in account 626 above </t>
    </r>
    <r>
      <rPr>
        <sz val="11"/>
        <color theme="5" tint="-0.249977111117893"/>
        <rFont val="Calibri"/>
        <family val="2"/>
      </rPr>
      <t>(amounts entered should agree to the current amount included in the changes to long-term debt note)</t>
    </r>
  </si>
  <si>
    <t>Errors :  The cell to the left indicates the number of error messages on the data input tab</t>
  </si>
  <si>
    <t xml:space="preserve"> Statement of Cash Flows</t>
  </si>
  <si>
    <t>Verification of Unit Data from Audit Worksheet by Finance Officer</t>
  </si>
  <si>
    <t>By submitting the Unit Data from Audit to the Local Government Commission, the Finance Officer or Interim Finance Officer is verifying that the data contained in this report was prepared in accordance with the instructions and agrees to the unit's audited financial statements.</t>
  </si>
  <si>
    <t>The Official should be the Finance Officer or interim Finance Officer as designated by the Board.</t>
  </si>
  <si>
    <t>Name of Finance Officer</t>
  </si>
  <si>
    <t>Capital</t>
  </si>
  <si>
    <t>Interim</t>
  </si>
  <si>
    <t>Vacant</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</si>
  <si>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</si>
  <si>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</si>
  <si>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</si>
  <si>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</si>
  <si>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</si>
  <si>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 xml:space="preserve">Has the finance officer or interim finance officer submitted (or has ensured the submission of) all required and applicable reports, including but not limited to, the annual audit report (N.C.G.S. 159-34), the semi-annual report on cash and investments (“LGC-203”)(N.C.G.S. 159-33), and the annual financial information report (“AFIR”)(N.C.G.S. 159-33.1) during the fiscal year corresponding to the audit report being submitted. (Y/N)
</t>
  </si>
  <si>
    <t>Fair Bluff</t>
  </si>
  <si>
    <t>Fairmont</t>
  </si>
  <si>
    <t>Fairview</t>
  </si>
  <si>
    <t>Faison</t>
  </si>
  <si>
    <t>Faith</t>
  </si>
  <si>
    <t>Falcon</t>
  </si>
  <si>
    <t>Falkland</t>
  </si>
  <si>
    <t>Fallston</t>
  </si>
  <si>
    <t>Farmville</t>
  </si>
  <si>
    <t>Fayetteville</t>
  </si>
  <si>
    <t>Flat Rock</t>
  </si>
  <si>
    <t>Fletcher</t>
  </si>
  <si>
    <t>Fontana Dam</t>
  </si>
  <si>
    <t>Forest City</t>
  </si>
  <si>
    <t>Forest Hills</t>
  </si>
  <si>
    <t>Fountain</t>
  </si>
  <si>
    <t>Four Oaks</t>
  </si>
  <si>
    <t>Foxfire Village</t>
  </si>
  <si>
    <t>Franklin</t>
  </si>
  <si>
    <t>Franklinton</t>
  </si>
  <si>
    <t>Fremont</t>
  </si>
  <si>
    <t>Fuquay-Varina</t>
  </si>
  <si>
    <t>Gamewell</t>
  </si>
  <si>
    <t>Garland</t>
  </si>
  <si>
    <t>Garner</t>
  </si>
  <si>
    <t>Garysburg</t>
  </si>
  <si>
    <t>Gastonia</t>
  </si>
  <si>
    <t>Gatesville</t>
  </si>
  <si>
    <t>Gibson</t>
  </si>
  <si>
    <t>Gibsonville</t>
  </si>
  <si>
    <t>Glen Alpine</t>
  </si>
  <si>
    <t>Godwin</t>
  </si>
  <si>
    <t>Goldsboro</t>
  </si>
  <si>
    <t>Goldston</t>
  </si>
  <si>
    <t>Graham</t>
  </si>
  <si>
    <t>Grandfather Village</t>
  </si>
  <si>
    <t>Granite Falls</t>
  </si>
  <si>
    <t>Granite Quarry</t>
  </si>
  <si>
    <t>Grantsboro</t>
  </si>
  <si>
    <t>Green Level</t>
  </si>
  <si>
    <t>Greenevers</t>
  </si>
  <si>
    <t>Grifton</t>
  </si>
  <si>
    <t>Grimesland</t>
  </si>
  <si>
    <t>Grover</t>
  </si>
  <si>
    <t>Halifax</t>
  </si>
  <si>
    <t>Hamilton</t>
  </si>
  <si>
    <t>Hamlet</t>
  </si>
  <si>
    <t>Harmony</t>
  </si>
  <si>
    <t>Harrells</t>
  </si>
  <si>
    <t>Harrellsville</t>
  </si>
  <si>
    <t>Harrisburg</t>
  </si>
  <si>
    <t>Hassell</t>
  </si>
  <si>
    <t>Havelock</t>
  </si>
  <si>
    <t>Haw River</t>
  </si>
  <si>
    <t>Hayesville</t>
  </si>
  <si>
    <t>Hemby Bridge</t>
  </si>
  <si>
    <t>Hendersonville</t>
  </si>
  <si>
    <t>Hertford</t>
  </si>
  <si>
    <t>Hickory</t>
  </si>
  <si>
    <t>High Shoals</t>
  </si>
  <si>
    <t>Highlands</t>
  </si>
  <si>
    <t>Hildebran</t>
  </si>
  <si>
    <t>Hillsborough</t>
  </si>
  <si>
    <t>Hobgood</t>
  </si>
  <si>
    <t>Hoffman</t>
  </si>
  <si>
    <t>Holden Beach</t>
  </si>
  <si>
    <t>Holly Ridge</t>
  </si>
  <si>
    <t>Holly Springs</t>
  </si>
  <si>
    <t>Hookerton</t>
  </si>
  <si>
    <t>Hope Mills</t>
  </si>
  <si>
    <t>Hot Springs</t>
  </si>
  <si>
    <t>Hudson</t>
  </si>
  <si>
    <t>Huntersville</t>
  </si>
  <si>
    <t>Hospital-EF- Change in Net Assets</t>
  </si>
  <si>
    <t>OPEB- Annual Expenses</t>
  </si>
  <si>
    <t>Did unit raise Water Sewer rates during the audited fiscal period? - answer Yes or No</t>
  </si>
  <si>
    <t>Did unit raise Water Sewer rates during the budget year following the audited fiscal year? - answer Yes or No</t>
  </si>
  <si>
    <t>Amount employer expends for any retiree health care premiums or retiree health care cost.</t>
  </si>
  <si>
    <t>Amount of the General Fund Balance appropriated in next year's budget</t>
  </si>
  <si>
    <t>Amount of Water Sewer revenues and other financing sources over expenditures and other uses</t>
  </si>
  <si>
    <t>Amount of the Water Sewer Fund Balance appropriated in next year's budget</t>
  </si>
  <si>
    <t>Amount of interest income and investment income recognized as revenue in your audit report for all governmental and proprietary funds.</t>
  </si>
  <si>
    <t>Supplemental School Tax</t>
  </si>
  <si>
    <t xml:space="preserve">Indicate if the Unit does not pay any portion of the retiree's cost other than implicit rate subsidy (1), does not have a plan (2),  has an OPEB plan for which the unit pays at least a portion of retiree’s health care cost (3) or is part of the State Health System (4).  </t>
  </si>
  <si>
    <t>The Unfunded actuarially accrued liability for the unit's Leo benefit.</t>
  </si>
  <si>
    <t>Internal Control-
1) no IC issues 
2)Immaterial 
3) Unit letter for IC 
4) Unit visit for IC</t>
  </si>
  <si>
    <t>LGC Records indicate that your unit has an operational Water and/or Sewer system and needs to complete the Water Sewer Questions</t>
  </si>
  <si>
    <t>For Internal Control Issues Only
1) no IC issues 
2)Immaterial IC issues
3) Unit letter for IC 
4) Consider placing on Unit Assistance List due to IC issues
5) Communication with DPI</t>
  </si>
  <si>
    <t xml:space="preserve">In your professional opinion do you believe the unit of government can best be served by:
1 - No UL
2 - UL requiring a written response from the unit
3 - UL no written  response required from unit - schedule a staff followup
4-  UL requires a written reponse from unit and a staff followup
5 - Special unit letter requiring a written response
6- Communication to DPI
</t>
  </si>
  <si>
    <t xml:space="preserve">Unit's Share of Net Pension Liability ($s)
- unit of government is a participating employer in the State's TSERS (Teachers' and State Employees' Retirement System) or the LGERS (Local Governmental Employees' Retirement System).  </t>
  </si>
  <si>
    <t>Franklinville</t>
  </si>
  <si>
    <r>
      <t xml:space="preserve">Indicate if the </t>
    </r>
    <r>
      <rPr>
        <b/>
        <sz val="11"/>
        <color indexed="8"/>
        <rFont val="Calibri"/>
        <family val="2"/>
      </rPr>
      <t xml:space="preserve">Unit </t>
    </r>
    <r>
      <rPr>
        <sz val="11"/>
        <color indexed="8"/>
        <rFont val="Calibri"/>
        <family val="2"/>
      </rPr>
      <t xml:space="preserve">does not pay any portion of the retiree's cost other than implicit rate subsidy (1), does not have a plan (2),  has an OPEB plan for which the </t>
    </r>
    <r>
      <rPr>
        <b/>
        <sz val="11"/>
        <color indexed="8"/>
        <rFont val="Calibri"/>
        <family val="2"/>
      </rPr>
      <t>unit</t>
    </r>
    <r>
      <rPr>
        <sz val="11"/>
        <color indexed="8"/>
        <rFont val="Calibri"/>
        <family val="2"/>
      </rPr>
      <t xml:space="preserve"> pays at least a portion of retiree’s health care cost (3) or is part of the State Health System (4).  </t>
    </r>
  </si>
  <si>
    <r>
      <rPr>
        <b/>
        <sz val="11"/>
        <color indexed="8"/>
        <rFont val="Calibri"/>
        <family val="2"/>
      </rPr>
      <t>Single Audit Only</t>
    </r>
    <r>
      <rPr>
        <sz val="11"/>
        <color indexed="8"/>
        <rFont val="Century Schoolbook"/>
        <family val="2"/>
      </rPr>
      <t xml:space="preserve"> - total amount of federal awards and grants expended as found on SEFSA</t>
    </r>
  </si>
  <si>
    <r>
      <rPr>
        <b/>
        <sz val="11"/>
        <color indexed="8"/>
        <rFont val="Calibri"/>
        <family val="2"/>
      </rPr>
      <t>Single Audit Only</t>
    </r>
    <r>
      <rPr>
        <sz val="11"/>
        <color indexed="8"/>
        <rFont val="Century Schoolbook"/>
        <family val="2"/>
      </rPr>
      <t xml:space="preserve"> - Total amount of federal awards and grants that were audited as major as found on SEFSA</t>
    </r>
  </si>
  <si>
    <r>
      <rPr>
        <b/>
        <sz val="11"/>
        <color indexed="8"/>
        <rFont val="Calibri"/>
        <family val="2"/>
      </rPr>
      <t>Single Audit Only</t>
    </r>
    <r>
      <rPr>
        <sz val="11"/>
        <color indexed="8"/>
        <rFont val="Century Schoolbook"/>
        <family val="2"/>
      </rPr>
      <t xml:space="preserve"> - total amount of state awards and grants expended as found on SEFSA</t>
    </r>
  </si>
  <si>
    <r>
      <rPr>
        <b/>
        <sz val="11"/>
        <color indexed="8"/>
        <rFont val="Calibri"/>
        <family val="2"/>
      </rPr>
      <t>Single Audit Only</t>
    </r>
    <r>
      <rPr>
        <sz val="11"/>
        <color indexed="8"/>
        <rFont val="Century Schoolbook"/>
        <family val="2"/>
      </rPr>
      <t xml:space="preserve"> - Total amount of state awards and grants that were audited as major as found on SEFSA</t>
    </r>
  </si>
  <si>
    <t>This field must be completed in order to process your audit report</t>
  </si>
  <si>
    <t>https://files.nc.gov/nctreasurer/documents/files/SLGFD/Memos/2020-09.pdf</t>
  </si>
  <si>
    <t>If you appropriated General Fund Balance in your 2020 budget and your "change in fund balance": (row 70 above) is negative, please select from the drop down box in column F either "operations" or "capital", whichever best describes what the fund balance was used for.  If you select "Capital" please briefly describe in column G to the right the capital items.</t>
  </si>
  <si>
    <t>Dashboard; Determination of Fiscal Health</t>
  </si>
  <si>
    <t>WS-Any current assets that are restricted (Cash, Accounts Rec., etc..) and included in account 654 above</t>
  </si>
  <si>
    <t>Electric-Any current assets that are restricted (Cash, Accounts Rec., etc..) and included in account 657 above</t>
  </si>
  <si>
    <r>
      <rPr>
        <u/>
        <sz val="11"/>
        <rFont val="Calibri"/>
        <family val="2"/>
      </rPr>
      <t>Please enter the Net Current year's levy for property excluding registered motor vehicles</t>
    </r>
    <r>
      <rPr>
        <sz val="11"/>
        <rFont val="Calibri"/>
        <family val="2"/>
      </rPr>
      <t xml:space="preserve">-- </t>
    </r>
    <r>
      <rPr>
        <sz val="11"/>
        <color indexed="60"/>
        <rFont val="Calibri"/>
        <family val="2"/>
      </rPr>
      <t>(after adjusting for discoveries and abatements)</t>
    </r>
    <r>
      <rPr>
        <sz val="11"/>
        <rFont val="Calibri"/>
        <family val="2"/>
      </rPr>
      <t xml:space="preserve">
</t>
    </r>
    <r>
      <rPr>
        <b/>
        <sz val="11"/>
        <rFont val="Calibri"/>
        <family val="2"/>
      </rPr>
      <t>Exclude</t>
    </r>
    <r>
      <rPr>
        <sz val="11"/>
        <rFont val="Calibri"/>
        <family val="2"/>
      </rPr>
      <t xml:space="preserve"> Supplemental Taxes</t>
    </r>
  </si>
  <si>
    <t>WS-Any current assets that are restricted (Cash, Accounts Rec., etc..)</t>
  </si>
  <si>
    <t>LEO - plan's fiduciary net position as a % of total pension liability</t>
  </si>
  <si>
    <r>
      <t>Date on which the local government, public authority, or designated official appointed the finance officer?</t>
    </r>
    <r>
      <rPr>
        <b/>
        <sz val="11"/>
        <color theme="5" tint="-0.249977111117893"/>
        <rFont val="Calibri"/>
        <family val="2"/>
        <scheme val="minor"/>
      </rPr>
      <t xml:space="preserve"> (If the date of appointment by the board is difficult to find you may enter January 1 and the year)</t>
    </r>
    <r>
      <rPr>
        <sz val="11"/>
        <color theme="1"/>
        <rFont val="Calibri"/>
        <family val="2"/>
        <scheme val="minor"/>
      </rPr>
      <t xml:space="preserve">      </t>
    </r>
    <r>
      <rPr>
        <b/>
        <sz val="11"/>
        <color theme="1"/>
        <rFont val="Calibri"/>
        <family val="2"/>
        <scheme val="minor"/>
      </rPr>
      <t>Date Format  MM/DD/YYYY</t>
    </r>
  </si>
  <si>
    <r>
      <t xml:space="preserve">Unit's share of RHBF Net OPEB Liability ($s)
- unit of government is a participating employer in the </t>
    </r>
    <r>
      <rPr>
        <b/>
        <sz val="11"/>
        <color theme="1"/>
        <rFont val="Calibri"/>
        <family val="2"/>
        <scheme val="minor"/>
      </rPr>
      <t>State's RHBF</t>
    </r>
    <r>
      <rPr>
        <sz val="11"/>
        <color theme="1"/>
        <rFont val="Calibri"/>
        <family val="2"/>
        <scheme val="minor"/>
      </rPr>
      <t xml:space="preserve"> (Retiree Health Benefit Fund)</t>
    </r>
  </si>
  <si>
    <t>Single Audit Only - Type of compliance report(s) issued:  #1- all unmodified; #2- at least one other (qualified, adverse)</t>
  </si>
  <si>
    <t>Single Audit Only - Coronavirus Relief Fund expenditures (21.019)</t>
  </si>
  <si>
    <t xml:space="preserve">Single Audit Only - Other CARES Act /Coronavirus funding </t>
  </si>
  <si>
    <t>The below information must be completed 
in order to process your audit report.</t>
  </si>
  <si>
    <t>Data used in the worksheet was taken from data submitted from prior years data input worksheets.   If your audit reports were not received and reviewed by our office at the time when this worksheet was created, data from that fiscal year will not be available on this analysis tab.</t>
  </si>
  <si>
    <r>
      <rPr>
        <u/>
        <sz val="11"/>
        <color indexed="8"/>
        <rFont val="Calibri"/>
        <family val="2"/>
      </rPr>
      <t>Total Current assets as listed on the WS Net Position Statement</t>
    </r>
    <r>
      <rPr>
        <sz val="11"/>
        <color indexed="8"/>
        <rFont val="Calibri"/>
        <family val="2"/>
      </rPr>
      <t xml:space="preserve">.  
</t>
    </r>
  </si>
  <si>
    <t>If unit is an employer participant in one of the State Cost Sharing Plans rows 171 - 173 should be blank.  Unless they have an additional single employer plan.</t>
  </si>
  <si>
    <t>Net OPEB Liability RHBF</t>
  </si>
  <si>
    <r>
      <rPr>
        <u/>
        <sz val="11"/>
        <color indexed="8"/>
        <rFont val="Calibri"/>
        <family val="2"/>
      </rPr>
      <t xml:space="preserve">Total Current liabilities </t>
    </r>
    <r>
      <rPr>
        <u/>
        <sz val="11"/>
        <color rgb="FFFF0000"/>
        <rFont val="Calibri"/>
        <family val="2"/>
      </rPr>
      <t>(as reported on Statement of Net Position)</t>
    </r>
    <r>
      <rPr>
        <sz val="11"/>
        <color indexed="8"/>
        <rFont val="Calibri"/>
        <family val="2"/>
      </rPr>
      <t xml:space="preserve">
</t>
    </r>
    <r>
      <rPr>
        <b/>
        <sz val="11"/>
        <color indexed="8"/>
        <rFont val="Calibri"/>
        <family val="2"/>
      </rPr>
      <t>Include:</t>
    </r>
    <r>
      <rPr>
        <sz val="11"/>
        <color indexed="8"/>
        <rFont val="Calibri"/>
        <family val="2"/>
      </rPr>
      <t xml:space="preserve">   Current liabilities including current portion of long-term debt.  </t>
    </r>
    <r>
      <rPr>
        <b/>
        <sz val="11"/>
        <color rgb="FF000000"/>
        <rFont val="Calibri"/>
        <family val="2"/>
      </rPr>
      <t>Deferred inflows should not be included in Current Liabilities</t>
    </r>
    <r>
      <rPr>
        <sz val="11"/>
        <color indexed="8"/>
        <rFont val="Calibri"/>
        <family val="2"/>
      </rPr>
      <t xml:space="preserve">           
</t>
    </r>
  </si>
  <si>
    <r>
      <rPr>
        <u/>
        <sz val="11"/>
        <color indexed="8"/>
        <rFont val="Calibri"/>
        <family val="2"/>
      </rPr>
      <t>Current liabilities</t>
    </r>
    <r>
      <rPr>
        <u/>
        <sz val="11"/>
        <color rgb="FFFF0000"/>
        <rFont val="Calibri"/>
        <family val="2"/>
      </rPr>
      <t xml:space="preserve"> (as reported on the Statement of Fund Net Position)</t>
    </r>
    <r>
      <rPr>
        <sz val="11"/>
        <color indexed="8"/>
        <rFont val="Calibri"/>
        <family val="2"/>
      </rPr>
      <t xml:space="preserve">
</t>
    </r>
    <r>
      <rPr>
        <b/>
        <sz val="11"/>
        <color indexed="8"/>
        <rFont val="Calibri"/>
        <family val="2"/>
      </rPr>
      <t>Include:</t>
    </r>
    <r>
      <rPr>
        <sz val="11"/>
        <color indexed="8"/>
        <rFont val="Calibri"/>
        <family val="2"/>
      </rPr>
      <t xml:space="preserve">   Current liabilities including current portion of long-term debt.  </t>
    </r>
    <r>
      <rPr>
        <b/>
        <sz val="11"/>
        <color rgb="FF000000"/>
        <rFont val="Calibri"/>
        <family val="2"/>
      </rPr>
      <t>Deferred inflows should not be included in Current Liabilities</t>
    </r>
    <r>
      <rPr>
        <sz val="11"/>
        <color indexed="8"/>
        <rFont val="Calibri"/>
        <family val="2"/>
      </rPr>
      <t xml:space="preserve">          
</t>
    </r>
  </si>
  <si>
    <r>
      <rPr>
        <u/>
        <sz val="11"/>
        <color indexed="8"/>
        <rFont val="Calibri"/>
        <family val="2"/>
      </rPr>
      <t xml:space="preserve">Current liabilities </t>
    </r>
    <r>
      <rPr>
        <u/>
        <sz val="11"/>
        <color rgb="FFFF0000"/>
        <rFont val="Calibri"/>
        <family val="2"/>
      </rPr>
      <t>(as reported on the Statement of Fund Net Position)</t>
    </r>
    <r>
      <rPr>
        <sz val="11"/>
        <color indexed="8"/>
        <rFont val="Calibri"/>
        <family val="2"/>
      </rPr>
      <t xml:space="preserve">
</t>
    </r>
    <r>
      <rPr>
        <b/>
        <sz val="11"/>
        <color indexed="8"/>
        <rFont val="Calibri"/>
        <family val="2"/>
      </rPr>
      <t>Include:</t>
    </r>
    <r>
      <rPr>
        <sz val="11"/>
        <color indexed="8"/>
        <rFont val="Calibri"/>
        <family val="2"/>
      </rPr>
      <t xml:space="preserve">   Current liabilities including current portion of long-term debt.  </t>
    </r>
    <r>
      <rPr>
        <b/>
        <sz val="11"/>
        <color rgb="FF000000"/>
        <rFont val="Calibri"/>
        <family val="2"/>
      </rPr>
      <t>Deferred inflows should not be included in Current Liabilities</t>
    </r>
    <r>
      <rPr>
        <sz val="11"/>
        <color indexed="8"/>
        <rFont val="Calibri"/>
        <family val="2"/>
      </rPr>
      <t xml:space="preserve">     </t>
    </r>
  </si>
  <si>
    <r>
      <rPr>
        <u/>
        <sz val="11"/>
        <color indexed="8"/>
        <rFont val="Calibri"/>
        <family val="2"/>
        <scheme val="minor"/>
      </rPr>
      <t>Total current and non-current portion of Debt</t>
    </r>
    <r>
      <rPr>
        <sz val="11"/>
        <color theme="1"/>
        <rFont val="Calibri"/>
        <family val="2"/>
        <scheme val="minor"/>
      </rPr>
      <t xml:space="preserve">. 
</t>
    </r>
    <r>
      <rPr>
        <b/>
        <sz val="11"/>
        <color indexed="8"/>
        <rFont val="Calibri"/>
        <family val="2"/>
        <scheme val="minor"/>
      </rPr>
      <t xml:space="preserve">Include:  </t>
    </r>
    <r>
      <rPr>
        <sz val="11"/>
        <color indexed="8"/>
        <rFont val="Calibri"/>
        <family val="2"/>
        <scheme val="minor"/>
      </rPr>
      <t>Bonds, b</t>
    </r>
    <r>
      <rPr>
        <sz val="11"/>
        <color theme="1"/>
        <rFont val="Calibri"/>
        <family val="2"/>
        <scheme val="minor"/>
      </rPr>
      <t>ond anticipation notes, 
                 Capital leases,
                 Premiums and discounts,
                 Installment purchases.</t>
    </r>
    <r>
      <rPr>
        <b/>
        <sz val="11"/>
        <color indexed="8"/>
        <rFont val="Calibri"/>
        <family val="2"/>
        <scheme val="minor"/>
      </rPr>
      <t xml:space="preserve"> 
Exclude:</t>
    </r>
    <r>
      <rPr>
        <sz val="11"/>
        <color theme="1"/>
        <rFont val="Calibri"/>
        <family val="2"/>
        <scheme val="minor"/>
      </rPr>
      <t xml:space="preserve"> Compensated absences, 
                 Pensions, 
                 Other post-employment benefits (OPEB), 
                 Debt </t>
    </r>
    <r>
      <rPr>
        <u/>
        <sz val="11"/>
        <color indexed="8"/>
        <rFont val="Calibri"/>
        <family val="2"/>
        <scheme val="minor"/>
      </rPr>
      <t>within</t>
    </r>
    <r>
      <rPr>
        <sz val="11"/>
        <color theme="1"/>
        <rFont val="Calibri"/>
        <family val="2"/>
        <scheme val="minor"/>
      </rPr>
      <t xml:space="preserve"> the primary government, 
                 Amounts due to participants from
                        internal service funds, 
                 Landfill closure/postclosure liability, 
                 Any other debt not directly related to 
                        long-term contracts.</t>
    </r>
  </si>
  <si>
    <t>Introduction to the Unit Data from Audit Worksheet and the 3-Year Analysis Worksheet</t>
  </si>
  <si>
    <r>
      <rPr>
        <b/>
        <i/>
        <sz val="12"/>
        <rFont val="Cambria"/>
        <family val="1"/>
      </rPr>
      <t xml:space="preserve">Unit Data from Audit Worksheet </t>
    </r>
    <r>
      <rPr>
        <i/>
        <sz val="12"/>
        <rFont val="Cambria"/>
        <family val="1"/>
      </rPr>
      <t xml:space="preserve">- The </t>
    </r>
    <r>
      <rPr>
        <i/>
        <sz val="12"/>
        <color rgb="FFFF0000"/>
        <rFont val="Cambria"/>
        <family val="1"/>
      </rPr>
      <t xml:space="preserve">self-reported </t>
    </r>
    <r>
      <rPr>
        <i/>
        <sz val="12"/>
        <rFont val="Cambria"/>
        <family val="1"/>
      </rPr>
      <t xml:space="preserve">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 xml:space="preserve">Accuracy in completion of data is important for your local government.  </t>
    </r>
  </si>
  <si>
    <r>
      <t xml:space="preserve">3-Year Analysis Worksheet - </t>
    </r>
    <r>
      <rPr>
        <i/>
        <sz val="12"/>
        <rFont val="Cambria"/>
        <family val="1"/>
      </rPr>
      <t xml:space="preserve">The </t>
    </r>
    <r>
      <rPr>
        <i/>
        <sz val="12"/>
        <color rgb="FFFF0000"/>
        <rFont val="Cambria"/>
        <family val="1"/>
      </rPr>
      <t>self-reported</t>
    </r>
    <r>
      <rPr>
        <i/>
        <sz val="12"/>
        <rFont val="Cambria"/>
        <family val="1"/>
      </rPr>
      <t xml:space="preserve"> financial data uses past and current performance to identify changes and trends that will affect the operations of a unit of government.  Financial measures may be used to evaluate your performance to other comparable  units of governments. </t>
    </r>
  </si>
  <si>
    <t>Important Notes to the Preparer</t>
  </si>
  <si>
    <r>
      <t xml:space="preserve">All information provided is </t>
    </r>
    <r>
      <rPr>
        <sz val="12"/>
        <color rgb="FFFF0000"/>
        <rFont val="Century Schoolbook"/>
        <family val="1"/>
      </rPr>
      <t xml:space="preserve">self-reported </t>
    </r>
    <r>
      <rPr>
        <sz val="12"/>
        <color theme="1"/>
        <rFont val="Century Schoolbook"/>
        <family val="1"/>
      </rPr>
      <t xml:space="preserve">by the units of local government.  The staff of the State and Local Government Fiscal Management Section does NOT recalculate and is not responsible for incorrectly reported amounts. </t>
    </r>
  </si>
  <si>
    <t>The Unit Data from Audit Worksheet contains edits that will display error messages if these edit tests are not passed.  Please make sure that your worksheet is error free.  The worksheet may be returned to the unit to correct any errors that have not been resolved.</t>
  </si>
  <si>
    <t>New for Fiscal 2020</t>
  </si>
  <si>
    <t>Data documenting the unit's compliance with General Statue 159-25 is captured in account numbers 947, 948, 949, 950, 952, 954, 956, and 958.</t>
  </si>
  <si>
    <r>
      <t xml:space="preserve">The </t>
    </r>
    <r>
      <rPr>
        <i/>
        <sz val="12"/>
        <color theme="1"/>
        <rFont val="Century Schoolbook"/>
        <family val="1"/>
      </rPr>
      <t xml:space="preserve">3-Year Analysis </t>
    </r>
    <r>
      <rPr>
        <sz val="12"/>
        <color theme="1"/>
        <rFont val="Century Schoolbook"/>
        <family val="1"/>
      </rPr>
      <t xml:space="preserve">worksheet has been included using </t>
    </r>
    <r>
      <rPr>
        <sz val="12"/>
        <color rgb="FFFF0000"/>
        <rFont val="Century Schoolbook"/>
        <family val="1"/>
      </rPr>
      <t>self-reported</t>
    </r>
    <r>
      <rPr>
        <sz val="12"/>
        <color theme="1"/>
        <rFont val="Century Schoolbook"/>
        <family val="1"/>
      </rPr>
      <t xml:space="preserve"> financial information that is intended to aid the auditor and local government in identifying important trends as well as potential strengths and weaknesses.  The Year 2020 column automatically populates when the Unit Data from Audit Worksheet is completed.</t>
    </r>
  </si>
  <si>
    <r>
      <t xml:space="preserve">The </t>
    </r>
    <r>
      <rPr>
        <i/>
        <sz val="12"/>
        <color theme="1"/>
        <rFont val="Century Schoolbook"/>
        <family val="1"/>
      </rPr>
      <t>Average FBA</t>
    </r>
    <r>
      <rPr>
        <sz val="12"/>
        <color theme="1"/>
        <rFont val="Century Schoolbook"/>
        <family val="1"/>
      </rPr>
      <t xml:space="preserve"> worksheet provides the General Fund Average FBA and the FBA % as a Percentage of  Average Expenditures by population group based on audit reports submitted for fiscal year ended as of 6/30/2019.</t>
    </r>
  </si>
  <si>
    <t>Links to Websites that provide financial data and ratios for Municipalities and Counties</t>
  </si>
  <si>
    <t>Instructions for the Unit Data from Audit Worksheet</t>
  </si>
  <si>
    <r>
      <t xml:space="preserve">The Unit Data from Audit Worksheet must be completed using your audited financial statements and submitted with the audit report to the Local Government Commission.  This worksheet is designed so that each unit should be able to complete it in less than an hour, if they have a completed audit report.  Units can always choose to outsource the completion of this worksheet but it must be certified by the finance officer.  The worksheet must be </t>
    </r>
    <r>
      <rPr>
        <b/>
        <sz val="12"/>
        <color indexed="8"/>
        <rFont val="Century Schoolbook"/>
        <family val="1"/>
      </rPr>
      <t>submitted with the unit’s audit report</t>
    </r>
    <r>
      <rPr>
        <sz val="12"/>
        <color indexed="8"/>
        <rFont val="Century Schoolbook"/>
        <family val="1"/>
      </rPr>
      <t>.</t>
    </r>
  </si>
  <si>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</si>
  <si>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If you have any questions, please call 919-814-4299.</t>
  </si>
  <si>
    <t xml:space="preserve">Date       </t>
  </si>
  <si>
    <t>Unit Code must be completed</t>
  </si>
  <si>
    <t xml:space="preserve">The self-reported information below is intended to aid the Auditor and Local Government in identifying trends and potential strengths and weaknesses. It might also help to detect a keying error made on the Unit Data from Audit Worksheet.   If the information below shows unexpected results, the auditor should verify the data entered into the Unit Data from Audit Worksheet, since it is the source of the data.  Accounts numbers are provided for each piece of data or ratio used in the calculation of the issue in column F (FORMULAS).  These account numbers are found in column A (Acct #) on the Unit Data from Audit Worksheet tab.   If the data is still producing negative trends after verifying the data, then the unit needs to address the fiscal weakness and develop a fiscal plan that will correct the fiscal weakness.  Revising the current budget and future budgets is normally the major tools used to do this along with any necessary fee revisions.  </t>
  </si>
  <si>
    <t xml:space="preserve">These formulas are used to calculate various ratios.  The numbers used in the formula are taken directly from the Unit Data from Audit Worksheet tab.  The formulas below show the LGC account number for each data element that is listed in Column A on the Unit Data from Audit Worksheet tab.  </t>
  </si>
  <si>
    <r>
      <t xml:space="preserve">The chart below shows the average fund balance available for the general fund by population group and the average fund balance as a percentage of average expenditures by population group.  If you are unsure of your population group, please click on the link below and it will take you to the </t>
    </r>
    <r>
      <rPr>
        <b/>
        <i/>
        <sz val="14"/>
        <color theme="0"/>
        <rFont val="Calibri"/>
        <family val="2"/>
        <scheme val="minor"/>
      </rPr>
      <t>Management of Cash and Taxes and Fund Balance Available</t>
    </r>
    <r>
      <rPr>
        <b/>
        <sz val="14"/>
        <color theme="0"/>
        <rFont val="Calibri"/>
        <family val="2"/>
        <scheme val="minor"/>
      </rPr>
      <t xml:space="preserve"> memo. </t>
    </r>
  </si>
  <si>
    <t>Grantsburg</t>
  </si>
  <si>
    <t>Fund balance, No spendable-  inventory/prepaids/etc.</t>
  </si>
  <si>
    <r>
      <rPr>
        <u/>
        <sz val="11"/>
        <rFont val="Calibri"/>
        <family val="2"/>
      </rPr>
      <t>Total Proceeds from all long-term debt issuances</t>
    </r>
    <r>
      <rPr>
        <sz val="11"/>
        <rFont val="Calibri"/>
        <family val="2"/>
      </rPr>
      <t xml:space="preserve"> 
</t>
    </r>
    <r>
      <rPr>
        <b/>
        <sz val="11"/>
        <rFont val="Calibri"/>
        <family val="2"/>
      </rPr>
      <t xml:space="preserve">Exclude </t>
    </r>
    <r>
      <rPr>
        <sz val="11"/>
        <rFont val="Calibri"/>
        <family val="2"/>
      </rPr>
      <t>proceeds from refunding's</t>
    </r>
  </si>
  <si>
    <t>Hamby Bridge</t>
  </si>
  <si>
    <t>Has the finance officer or interim finance officer submitted (or ensured or confirmed submission of) all required and applicable reports including but not limited to  the FY2019 annual audit report (N.C.G.S. 159-34), the semi-annual report on cash and investments (LGC-203) due July 25, 2019 and January 25, 2020 (N.C.G.S. 159-33), and the annual financial information report (AFIR) due by counites and municipalities October 31, 2019 (N.C.G.S. 159-33.1), and any other reports due  during the fiscal year corresponding to the audit report being submitted? (Y/N)</t>
  </si>
  <si>
    <r>
      <t xml:space="preserve">The data provided in the </t>
    </r>
    <r>
      <rPr>
        <i/>
        <sz val="12"/>
        <color theme="1"/>
        <rFont val="Century Schoolbook"/>
        <family val="1"/>
      </rPr>
      <t xml:space="preserve">Unit Data from Audit Worksheet </t>
    </r>
    <r>
      <rPr>
        <sz val="12"/>
        <color theme="1"/>
        <rFont val="Century Schoolbook"/>
        <family val="1"/>
      </rPr>
      <t xml:space="preserve">now requires a certification by the Finance Officer that is located at the end of the worksheet in account numbers 960, 962, 964, 966, and 968.  </t>
    </r>
  </si>
  <si>
    <r>
      <t xml:space="preserve">The </t>
    </r>
    <r>
      <rPr>
        <i/>
        <sz val="12"/>
        <color theme="1"/>
        <rFont val="Century Schoolbook"/>
        <family val="1"/>
      </rPr>
      <t>Resubmission Form</t>
    </r>
    <r>
      <rPr>
        <sz val="12"/>
        <color theme="1"/>
        <rFont val="Century Schoolbook"/>
        <family val="1"/>
      </rPr>
      <t xml:space="preserve"> is replacing prior years' </t>
    </r>
    <r>
      <rPr>
        <i/>
        <sz val="12"/>
        <color theme="1"/>
        <rFont val="Century Schoolbook"/>
        <family val="1"/>
      </rPr>
      <t xml:space="preserve">Audit Report Reissued Form. </t>
    </r>
    <r>
      <rPr>
        <sz val="12"/>
        <color theme="1"/>
        <rFont val="Century Schoolbook"/>
        <family val="1"/>
      </rPr>
      <t xml:space="preserve">The </t>
    </r>
    <r>
      <rPr>
        <i/>
        <sz val="12"/>
        <color theme="1"/>
        <rFont val="Century Schoolbook"/>
        <family val="1"/>
      </rPr>
      <t>Resubmission Form</t>
    </r>
    <r>
      <rPr>
        <sz val="12"/>
        <color theme="1"/>
        <rFont val="Century Schoolbook"/>
        <family val="1"/>
      </rPr>
      <t xml:space="preserve"> 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</si>
  <si>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https://www.nctreasurer.com/state-and-local-government-finance-division/local-government-commission/submitting-your-audit</t>
  </si>
  <si>
    <t>Version Date 9/17/2020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</si>
</sst>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1">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_);[Red]\(0\)"/>
    <numFmt numFmtId="167" formatCode="_(&quot;$&quot;* #,##0_);_(&quot;$&quot;* \(#,##0\);_(&quot;$&quot;* &quot;-&quot;??_);_(@_)"/>
    <numFmt numFmtId="168" formatCode="0.0"/>
    <numFmt numFmtId="169" formatCode="0_);\(0\)"/>
    <numFmt numFmtId="170" formatCode="0.00_);\(0.00\)"/>
    <numFmt numFmtId="171" formatCode="0.0_);\(0.0\)"/>
    <numFmt numFmtId="172" formatCode="_(* #,##0.0000_);_(* \(#,##0.0000\);_(* &quot;-&quot;??_);_(@_)"/>
    <numFmt numFmtId="173" formatCode="#,##0.0000_);[Red]\(#,##0.0000\)"/>
    <numFmt numFmtId="174" formatCode="#,##0.0_);\(#,##0.0\)"/>
    <numFmt numFmtId="175" formatCode="#,##0.0000_);\(#,##0.0000\)"/>
    <numFmt numFmtId="176" formatCode="_(* #,##0.00_);_(* \(#,##0.00\);_(* &quot;-&quot;_);_(@_)"/>
    <numFmt numFmtId="177" formatCode="_(* #,##0.00%_);[Red]_(* \(#,##0.00%\);_(0.00%_);@"/>
    <numFmt numFmtId="178" formatCode="m/d/yy;@"/>
    <numFmt numFmtId="179" formatCode="mm/dd/yyyy"/>
    <numFmt numFmtId="180" formatCode="#,##0.0"/>
    <numFmt numFmtId="181" formatCode="0.0000"/>
  </numFmts>
  <fonts count="205"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b/>
      <sz val="9"/>
      <color indexed="8"/>
      <name val="Calibri"/>
      <family val="2"/>
    </font>
    <font>
      <u/>
      <sz val="11"/>
      <color indexed="8"/>
      <name val="Calibri"/>
      <family val="2"/>
    </font>
    <font>
      <sz val="11"/>
      <name val="Calibri"/>
      <family val="2"/>
    </font>
    <font>
      <b/>
      <sz val="11"/>
      <name val="Calibri"/>
      <family val="2"/>
    </font>
    <font>
      <sz val="11"/>
      <name val="Century Schoolbook"/>
      <family val="1"/>
    </font>
    <font>
      <sz val="11"/>
      <color indexed="62"/>
      <name val="Calibri"/>
      <family val="2"/>
    </font>
    <font>
      <sz val="11"/>
      <color indexed="60"/>
      <name val="Calibri"/>
      <family val="2"/>
    </font>
    <font>
      <sz val="10"/>
      <name val="Times New Roman"/>
      <family val="1"/>
    </font>
    <font>
      <sz val="12"/>
      <color indexed="8"/>
      <name val="Century Schoolbook"/>
      <family val="1"/>
    </font>
    <font>
      <b/>
      <sz val="12"/>
      <color indexed="8"/>
      <name val="Century Schoolbook"/>
      <family val="1"/>
    </font>
    <font>
      <sz val="14"/>
      <color indexed="8"/>
      <name val="Century Schoolbook"/>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0"/>
      <name val="Century Schoolbook"/>
      <family val="1"/>
    </font>
    <font>
      <sz val="10"/>
      <color indexed="8"/>
      <name val="Times New Roman"/>
      <family val="1"/>
    </font>
    <font>
      <sz val="12"/>
      <name val="Garamond"/>
      <family val="1"/>
    </font>
    <font>
      <sz val="12"/>
      <name val="Garamond"/>
      <family val="1"/>
    </font>
    <font>
      <u/>
      <sz val="10"/>
      <color indexed="12"/>
      <name val="Arial"/>
      <family val="2"/>
    </font>
    <font>
      <sz val="10"/>
      <name val="Arial"/>
      <family val="2"/>
    </font>
    <font>
      <sz val="11"/>
      <color indexed="8"/>
      <name val="Century Schoolbook"/>
      <family val="1"/>
    </font>
    <font>
      <b/>
      <sz val="11"/>
      <color indexed="8"/>
      <name val="Century Schoolbook"/>
      <family val="1"/>
    </font>
    <font>
      <sz val="9"/>
      <color indexed="8"/>
      <name val="Century Schoolbook"/>
      <family val="1"/>
    </font>
    <font>
      <sz val="9"/>
      <color indexed="8"/>
      <name val="Calibri"/>
      <family val="2"/>
    </font>
    <font>
      <b/>
      <sz val="11"/>
      <name val="Century Schoolbook"/>
      <family val="1"/>
    </font>
    <font>
      <b/>
      <u/>
      <sz val="11"/>
      <color indexed="8"/>
      <name val="Calibri"/>
      <family val="2"/>
    </font>
    <font>
      <u/>
      <sz val="11"/>
      <name val="Calibri"/>
      <family val="2"/>
    </font>
    <font>
      <b/>
      <sz val="9"/>
      <color indexed="8"/>
      <name val="Century Schoolbook"/>
      <family val="1"/>
    </font>
    <font>
      <sz val="9"/>
      <name val="Century Schoolbook"/>
      <family val="1"/>
    </font>
    <font>
      <b/>
      <sz val="11"/>
      <color indexed="60"/>
      <name val="Century Schoolbook"/>
      <family val="1"/>
    </font>
    <font>
      <b/>
      <sz val="10"/>
      <color indexed="8"/>
      <name val="Century Schoolbook"/>
      <family val="1"/>
    </font>
    <font>
      <sz val="9"/>
      <color indexed="60"/>
      <name val="Calibri"/>
      <family val="2"/>
    </font>
    <font>
      <sz val="8"/>
      <name val="Arial"/>
      <family val="2"/>
    </font>
    <font>
      <sz val="10"/>
      <name val="Arial"/>
      <family val="2"/>
    </font>
    <font>
      <sz val="12"/>
      <name val="Garamond"/>
      <family val="1"/>
    </font>
    <font>
      <u/>
      <sz val="11"/>
      <color indexed="60"/>
      <name val="Calibri"/>
      <family val="2"/>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b/>
      <sz val="11"/>
      <color indexed="60"/>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b/>
      <sz val="9"/>
      <color rgb="FFFF0000"/>
      <name val="Calibri"/>
      <family val="2"/>
      <scheme val="minor"/>
    </font>
    <font>
      <sz val="11"/>
      <color rgb="FF0070C0"/>
      <name val="Calibri"/>
      <family val="2"/>
      <scheme val="minor"/>
    </font>
    <font>
      <sz val="11"/>
      <color theme="1"/>
      <name val="Century Schoolbook"/>
      <family val="1"/>
    </font>
    <font>
      <sz val="11"/>
      <name val="Calibri"/>
      <family val="2"/>
      <scheme val="minor"/>
    </font>
    <font>
      <sz val="14"/>
      <color theme="1"/>
      <name val="Calibri"/>
      <family val="2"/>
      <scheme val="minor"/>
    </font>
    <font>
      <b/>
      <sz val="11"/>
      <color theme="1"/>
      <name val="Century Schoolbook"/>
      <family val="1"/>
    </font>
    <font>
      <b/>
      <sz val="20"/>
      <color theme="1"/>
      <name val="Calibri"/>
      <family val="2"/>
      <scheme val="minor"/>
    </font>
    <font>
      <sz val="12"/>
      <color theme="1"/>
      <name val="Century Schoolbook"/>
      <family val="1"/>
    </font>
    <font>
      <sz val="14"/>
      <name val="Calibri"/>
      <family val="2"/>
      <scheme val="minor"/>
    </font>
    <font>
      <b/>
      <sz val="24"/>
      <color theme="2"/>
      <name val="Century Schoolbook"/>
      <family val="1"/>
    </font>
    <font>
      <b/>
      <sz val="9"/>
      <color theme="1"/>
      <name val="Calibri"/>
      <family val="2"/>
      <scheme val="minor"/>
    </font>
    <font>
      <b/>
      <sz val="16"/>
      <color theme="1"/>
      <name val="Calibri"/>
      <family val="2"/>
      <scheme val="minor"/>
    </font>
    <font>
      <sz val="24"/>
      <color theme="0"/>
      <name val="Century Schoolbook"/>
      <family val="1"/>
    </font>
    <font>
      <b/>
      <sz val="48"/>
      <color theme="0"/>
      <name val="Century Schoolbook"/>
      <family val="1"/>
    </font>
    <font>
      <b/>
      <sz val="10"/>
      <color theme="1"/>
      <name val="Calibri"/>
      <family val="2"/>
      <scheme val="minor"/>
    </font>
    <font>
      <sz val="24"/>
      <color theme="2"/>
      <name val="Century Schoolbook"/>
      <family val="1"/>
    </font>
    <font>
      <b/>
      <sz val="12"/>
      <color theme="0"/>
      <name val="Calibri"/>
      <family val="2"/>
      <scheme val="minor"/>
    </font>
    <font>
      <b/>
      <sz val="12"/>
      <color theme="1"/>
      <name val="Calibri"/>
      <family val="2"/>
      <scheme val="minor"/>
    </font>
    <font>
      <sz val="10"/>
      <color theme="1"/>
      <name val="Calibri"/>
      <family val="2"/>
      <scheme val="minor"/>
    </font>
    <font>
      <sz val="10"/>
      <color theme="1"/>
      <name val="Century Schoolbook"/>
      <family val="1"/>
    </font>
    <font>
      <b/>
      <u/>
      <sz val="12"/>
      <color theme="1"/>
      <name val="Times New Roman"/>
      <family val="1"/>
    </font>
    <font>
      <u/>
      <sz val="11"/>
      <color theme="1"/>
      <name val="Calibri"/>
      <family val="2"/>
      <scheme val="minor"/>
    </font>
    <font>
      <b/>
      <u/>
      <sz val="16"/>
      <color theme="1"/>
      <name val="Times New Roman"/>
      <family val="1"/>
    </font>
    <font>
      <b/>
      <sz val="10"/>
      <color theme="1"/>
      <name val="Times New Roman"/>
      <family val="1"/>
    </font>
    <font>
      <b/>
      <u/>
      <sz val="10"/>
      <color theme="1"/>
      <name val="Times New Roman"/>
      <family val="1"/>
    </font>
    <font>
      <sz val="10"/>
      <color theme="1"/>
      <name val="Times New Roman"/>
      <family val="1"/>
    </font>
    <font>
      <b/>
      <sz val="11"/>
      <color theme="1"/>
      <name val="Wingdings"/>
      <charset val="2"/>
    </font>
    <font>
      <u/>
      <sz val="10"/>
      <color theme="1"/>
      <name val="Times New Roman"/>
      <family val="1"/>
    </font>
    <font>
      <sz val="11"/>
      <color indexed="9"/>
      <name val="Calibri"/>
      <family val="2"/>
      <scheme val="minor"/>
    </font>
    <font>
      <b/>
      <sz val="11"/>
      <color theme="1"/>
      <name val="Garamond"/>
      <family val="1"/>
    </font>
    <font>
      <sz val="11"/>
      <color theme="1"/>
      <name val="Calibri"/>
      <family val="2"/>
    </font>
    <font>
      <sz val="8"/>
      <name val="Calibri"/>
      <family val="2"/>
      <scheme val="minor"/>
    </font>
    <font>
      <b/>
      <sz val="9"/>
      <color theme="1"/>
      <name val="Century Schoolbook"/>
      <family val="1"/>
    </font>
    <font>
      <sz val="11"/>
      <color rgb="FFC00000"/>
      <name val="Calibri"/>
      <family val="2"/>
      <scheme val="minor"/>
    </font>
    <font>
      <b/>
      <sz val="11"/>
      <color rgb="FFC00000"/>
      <name val="Century Schoolbook"/>
      <family val="1"/>
    </font>
    <font>
      <sz val="9"/>
      <color theme="1"/>
      <name val="Century Schoolbook"/>
      <family val="1"/>
    </font>
    <font>
      <sz val="8"/>
      <color theme="1"/>
      <name val="Century Schoolbook"/>
      <family val="1"/>
    </font>
    <font>
      <sz val="8"/>
      <color theme="1"/>
      <name val="Calibri"/>
      <family val="2"/>
      <scheme val="minor"/>
    </font>
    <font>
      <b/>
      <sz val="11"/>
      <name val="Calibri"/>
      <family val="2"/>
      <scheme val="minor"/>
    </font>
    <font>
      <b/>
      <sz val="11"/>
      <color indexed="8"/>
      <name val="Calibri"/>
      <family val="2"/>
      <scheme val="minor"/>
    </font>
    <font>
      <b/>
      <sz val="18"/>
      <color theme="1"/>
      <name val="Calibri"/>
      <family val="2"/>
      <scheme val="minor"/>
    </font>
    <font>
      <sz val="12"/>
      <color rgb="FFFF0000"/>
      <name val="Calibri"/>
      <family val="2"/>
      <scheme val="minor"/>
    </font>
    <font>
      <u/>
      <sz val="11"/>
      <color theme="1"/>
      <name val="Century Schoolbook"/>
      <family val="1"/>
    </font>
    <font>
      <sz val="10"/>
      <color rgb="FFFF0000"/>
      <name val="Calibri"/>
      <family val="2"/>
      <scheme val="minor"/>
    </font>
    <font>
      <u/>
      <sz val="11"/>
      <color theme="5" tint="-0.249977111117893"/>
      <name val="Calibri"/>
      <family val="2"/>
      <scheme val="minor"/>
    </font>
    <font>
      <b/>
      <sz val="8"/>
      <color theme="1"/>
      <name val="Calibri"/>
      <family val="2"/>
      <scheme val="minor"/>
    </font>
    <font>
      <sz val="11"/>
      <color indexed="8"/>
      <name val="Calibri"/>
      <family val="2"/>
      <scheme val="minor"/>
    </font>
    <font>
      <sz val="28"/>
      <color theme="1"/>
      <name val="Calibri"/>
      <family val="2"/>
      <scheme val="minor"/>
    </font>
    <font>
      <sz val="9"/>
      <name val="Calibri"/>
      <family val="2"/>
      <scheme val="minor"/>
    </font>
    <font>
      <sz val="9"/>
      <color rgb="FFFF0000"/>
      <name val="Calibri"/>
      <family val="2"/>
      <scheme val="minor"/>
    </font>
    <font>
      <b/>
      <i/>
      <u/>
      <sz val="10"/>
      <color theme="1"/>
      <name val="Times New Roman"/>
      <family val="1"/>
    </font>
    <font>
      <sz val="8"/>
      <name val="Arial"/>
      <family val="2"/>
    </font>
    <font>
      <sz val="10"/>
      <name val="Arial"/>
      <family val="2"/>
    </font>
    <font>
      <sz val="12"/>
      <name val="Garamond"/>
      <family val="1"/>
    </font>
    <font>
      <b/>
      <sz val="11"/>
      <color rgb="FF000000"/>
      <name val="Calibri"/>
      <family val="2"/>
    </font>
    <font>
      <b/>
      <sz val="14"/>
      <color theme="9" tint="-0.249977111117893"/>
      <name val="Calibri"/>
      <family val="2"/>
      <scheme val="minor"/>
    </font>
    <font>
      <b/>
      <sz val="14"/>
      <color rgb="FF0070C0"/>
      <name val="Calibri"/>
      <family val="2"/>
      <scheme val="minor"/>
    </font>
    <font>
      <sz val="11"/>
      <color rgb="FFFF0000"/>
      <name val="Calibri"/>
      <family val="2"/>
      <scheme val="minor"/>
    </font>
    <font>
      <sz val="11"/>
      <color theme="5" tint="-0.249977111117893"/>
      <name val="Calibri"/>
      <family val="2"/>
    </font>
    <font>
      <sz val="24"/>
      <color rgb="FFFF0000"/>
      <name val="Calibri"/>
      <family val="2"/>
      <scheme val="minor"/>
    </font>
    <font>
      <sz val="18"/>
      <color theme="1"/>
      <name val="Calibri"/>
      <family val="2"/>
      <scheme val="minor"/>
    </font>
    <font>
      <u/>
      <sz val="11"/>
      <color rgb="FFFF0000"/>
      <name val="Calibri"/>
      <family val="2"/>
    </font>
    <font>
      <b/>
      <sz val="11"/>
      <color rgb="FFFF0000"/>
      <name val="Calibri"/>
      <family val="2"/>
      <scheme val="minor"/>
    </font>
    <font>
      <sz val="12"/>
      <color rgb="FFFF0000"/>
      <name val="Century Schoolbook"/>
      <family val="1"/>
    </font>
    <font>
      <i/>
      <sz val="12"/>
      <name val="Cambria"/>
      <family val="1"/>
    </font>
    <font>
      <b/>
      <sz val="14"/>
      <color theme="0"/>
      <name val="Calibri"/>
      <family val="2"/>
      <scheme val="minor"/>
    </font>
    <font>
      <b/>
      <sz val="24"/>
      <color theme="8" tint="-0.249977111117893"/>
      <name val="Calibri"/>
      <family val="2"/>
      <scheme val="minor"/>
    </font>
    <font>
      <b/>
      <i/>
      <sz val="14"/>
      <color theme="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4"/>
      <color rgb="FF000000"/>
      <name val="Calibri"/>
      <family val="2"/>
    </font>
    <font>
      <sz val="11"/>
      <color rgb="FF000000"/>
      <name val="Calibri"/>
      <family val="2"/>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1"/>
      <color rgb="FF000000"/>
      <name val="Calibri"/>
      <family val="2"/>
      <scheme val="minor"/>
    </font>
    <font>
      <sz val="9"/>
      <color theme="1"/>
      <name val="Century Schoolbook"/>
      <family val="2"/>
    </font>
    <font>
      <b/>
      <sz val="14"/>
      <color rgb="FFFF0000"/>
      <name val="Calibri"/>
      <family val="2"/>
      <scheme val="minor"/>
    </font>
    <font>
      <sz val="8"/>
      <color rgb="FFFF0000"/>
      <name val="Calibri"/>
      <family val="2"/>
      <scheme val="minor"/>
    </font>
    <font>
      <b/>
      <sz val="11"/>
      <color rgb="FFFF0000"/>
      <name val="Century Schoolbook"/>
      <family val="1"/>
    </font>
    <font>
      <b/>
      <sz val="16"/>
      <color theme="1"/>
      <name val="Century Schoolbook"/>
      <family val="1"/>
    </font>
    <font>
      <b/>
      <sz val="11"/>
      <color theme="5" tint="-0.249977111117893"/>
      <name val="Calibri"/>
      <family val="2"/>
      <scheme val="minor"/>
    </font>
    <font>
      <i/>
      <sz val="12"/>
      <color theme="1"/>
      <name val="Century Schoolbook"/>
      <family val="1"/>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sz val="12"/>
      <color rgb="FF000000"/>
      <name val="Courier New"/>
      <family val="3"/>
    </font>
    <font>
      <b/>
      <sz val="8"/>
      <color theme="0"/>
      <name val="Calibri"/>
      <family val="2"/>
      <scheme val="minor"/>
    </font>
    <font>
      <b/>
      <sz val="10"/>
      <color theme="1"/>
      <name val="Century Schoolbook"/>
      <family val="2"/>
    </font>
    <font>
      <b/>
      <sz val="10"/>
      <color indexed="8"/>
      <name val="Calibri"/>
      <family val="2"/>
      <scheme val="minor"/>
    </font>
    <font>
      <b/>
      <sz val="10"/>
      <color indexed="8"/>
      <name val="Century Schoolbook"/>
      <family val="2"/>
    </font>
    <font>
      <sz val="8"/>
      <name val="Arial"/>
      <family val="2"/>
    </font>
    <font>
      <sz val="10"/>
      <name val="Arial"/>
      <family val="2"/>
    </font>
    <font>
      <sz val="12"/>
      <name val="Garamond"/>
      <family val="1"/>
    </font>
    <font>
      <u/>
      <sz val="11"/>
      <color indexed="8"/>
      <name val="Calibri"/>
      <family val="2"/>
      <scheme val="minor"/>
    </font>
    <font>
      <sz val="18"/>
      <color theme="0"/>
      <name val="Calibri"/>
      <family val="2"/>
      <scheme val="minor"/>
    </font>
    <font>
      <b/>
      <i/>
      <sz val="12"/>
      <name val="Cambria"/>
      <family val="1"/>
    </font>
    <font>
      <i/>
      <sz val="12"/>
      <color rgb="FFFF0000"/>
      <name val="Cambria"/>
      <family val="1"/>
    </font>
    <font>
      <i/>
      <u/>
      <sz val="12"/>
      <color rgb="FFFF0000"/>
      <name val="Cambria"/>
      <family val="1"/>
    </font>
    <font>
      <b/>
      <i/>
      <sz val="14"/>
      <color theme="0"/>
      <name val="Cambria"/>
      <family val="1"/>
    </font>
    <font>
      <i/>
      <sz val="14"/>
      <color theme="0"/>
      <name val="Century Schoolbook"/>
      <family val="1"/>
    </font>
    <font>
      <i/>
      <sz val="14"/>
      <color theme="0"/>
      <name val="Cambria"/>
      <family val="1"/>
    </font>
    <font>
      <sz val="12"/>
      <color theme="0"/>
      <name val="Century Schoolbook"/>
      <family val="1"/>
    </font>
  </fonts>
  <fills count="81">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FFFF"/>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theme="8"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1" tint="0.49998474074526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6" tint="-0.249977111117893"/>
        <bgColor indexed="64"/>
      </patternFill>
    </fill>
    <fill>
      <patternFill patternType="solid">
        <fgColor theme="5" tint="0.39997558519241921"/>
        <bgColor indexed="64"/>
      </patternFill>
    </fill>
  </fills>
  <borders count="6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top style="double">
        <color indexed="64"/>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3" tint="0.59999389629810485"/>
      </left>
      <right style="thin">
        <color theme="3" tint="0.59996337778862885"/>
      </right>
      <top style="thin">
        <color theme="3" tint="0.59996337778862885"/>
      </top>
      <bottom style="thin">
        <color theme="3" tint="0.59996337778862885"/>
      </bottom>
      <diagonal/>
    </border>
    <border>
      <left style="thin">
        <color indexed="64"/>
      </left>
      <right style="thin">
        <color theme="3" tint="0.59996337778862885"/>
      </right>
      <top style="thin">
        <color theme="3" tint="0.59996337778862885"/>
      </top>
      <bottom style="thin">
        <color theme="3" tint="0.59996337778862885"/>
      </bottom>
      <diagonal/>
    </border>
    <border>
      <left style="thin">
        <color indexed="44"/>
      </left>
      <right style="thin">
        <color indexed="44"/>
      </right>
      <top style="thin">
        <color indexed="44"/>
      </top>
      <bottom style="thin">
        <color indexed="4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3" tint="0.59996337778862885"/>
      </right>
      <top/>
      <bottom/>
      <diagonal/>
    </border>
    <border>
      <left style="thin">
        <color theme="3" tint="0.59996337778862885"/>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tint="0.59996337778862885"/>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diagonal/>
    </border>
    <border>
      <left/>
      <right/>
      <top style="thin">
        <color theme="3" tint="0.59996337778862885"/>
      </top>
      <bottom style="thin">
        <color theme="3" tint="0.59996337778862885"/>
      </bottom>
      <diagonal/>
    </border>
    <border>
      <left/>
      <right/>
      <top style="thin">
        <color theme="3" tint="0.59996337778862885"/>
      </top>
      <bottom/>
      <diagonal/>
    </border>
  </borders>
  <cellStyleXfs count="30304">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5" fillId="6"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5" fillId="3"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5" fillId="15" borderId="1" applyNumberFormat="0" applyAlignment="0" applyProtection="0"/>
    <xf numFmtId="0" fontId="25" fillId="15" borderId="1" applyNumberFormat="0" applyAlignment="0" applyProtection="0"/>
    <xf numFmtId="0" fontId="16" fillId="7" borderId="2" applyNumberFormat="0" applyAlignment="0" applyProtection="0"/>
    <xf numFmtId="0" fontId="16" fillId="7" borderId="2" applyNumberFormat="0" applyAlignment="0" applyProtection="0"/>
    <xf numFmtId="43" fontId="5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28" fillId="0" borderId="0" applyFont="0" applyFill="0" applyBorder="0" applyAlignment="0" applyProtection="0"/>
    <xf numFmtId="43" fontId="27" fillId="0" borderId="0" applyFont="0" applyFill="0" applyBorder="0" applyAlignment="0" applyProtection="0"/>
    <xf numFmtId="43" fontId="28" fillId="0" borderId="0" applyFont="0" applyFill="0" applyBorder="0" applyAlignment="0" applyProtection="0"/>
    <xf numFmtId="43" fontId="2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4"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54" fillId="0" borderId="0" applyFont="0" applyFill="0" applyBorder="0" applyAlignment="0" applyProtection="0"/>
    <xf numFmtId="43" fontId="5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4"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4"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1" fillId="0" borderId="3" applyNumberFormat="0" applyFill="0" applyAlignment="0" applyProtection="0"/>
    <xf numFmtId="0" fontId="21" fillId="0" borderId="3" applyNumberFormat="0" applyFill="0" applyAlignment="0" applyProtection="0"/>
    <xf numFmtId="0" fontId="22" fillId="0" borderId="4" applyNumberFormat="0" applyFill="0" applyAlignment="0" applyProtection="0"/>
    <xf numFmtId="0" fontId="22" fillId="0" borderId="4" applyNumberFormat="0" applyFill="0" applyAlignment="0" applyProtection="0"/>
    <xf numFmtId="0" fontId="23" fillId="0" borderId="5" applyNumberFormat="0" applyFill="0" applyAlignment="0" applyProtection="0"/>
    <xf numFmtId="0" fontId="23" fillId="0" borderId="5"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9" fillId="12" borderId="1" applyNumberFormat="0" applyAlignment="0" applyProtection="0"/>
    <xf numFmtId="0" fontId="9" fillId="12" borderId="1" applyNumberFormat="0" applyAlignment="0" applyProtection="0"/>
    <xf numFmtId="0" fontId="26" fillId="0" borderId="6" applyNumberFormat="0" applyFill="0" applyAlignment="0" applyProtection="0"/>
    <xf numFmtId="0" fontId="26" fillId="0" borderId="6" applyNumberFormat="0" applyFill="0" applyAlignment="0" applyProtection="0"/>
    <xf numFmtId="0" fontId="10" fillId="19" borderId="0" applyNumberFormat="0" applyBorder="0" applyAlignment="0" applyProtection="0"/>
    <xf numFmtId="0" fontId="10" fillId="19"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5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6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27" fillId="0" borderId="0"/>
    <xf numFmtId="0" fontId="28" fillId="0" borderId="0"/>
    <xf numFmtId="0" fontId="27" fillId="0" borderId="0"/>
    <xf numFmtId="0" fontId="51" fillId="0" borderId="0"/>
    <xf numFmtId="0" fontId="27" fillId="0" borderId="0"/>
    <xf numFmtId="0" fontId="27" fillId="0" borderId="0"/>
    <xf numFmtId="0" fontId="27" fillId="0" borderId="0"/>
    <xf numFmtId="0" fontId="47" fillId="0" borderId="0"/>
    <xf numFmtId="0" fontId="27" fillId="0" borderId="0"/>
    <xf numFmtId="0" fontId="27" fillId="0" borderId="0"/>
    <xf numFmtId="0" fontId="51" fillId="0" borderId="0"/>
    <xf numFmtId="0" fontId="27" fillId="0" borderId="0"/>
    <xf numFmtId="0" fontId="51" fillId="0" borderId="0"/>
    <xf numFmtId="0" fontId="27" fillId="0" borderId="0"/>
    <xf numFmtId="0" fontId="27" fillId="0" borderId="0"/>
    <xf numFmtId="0" fontId="27" fillId="0" borderId="0"/>
    <xf numFmtId="0" fontId="27" fillId="0" borderId="0"/>
    <xf numFmtId="0" fontId="51" fillId="0" borderId="0"/>
    <xf numFmtId="0" fontId="27" fillId="0" borderId="0"/>
    <xf numFmtId="0" fontId="51" fillId="0" borderId="0"/>
    <xf numFmtId="0" fontId="27" fillId="0" borderId="0"/>
    <xf numFmtId="0" fontId="27" fillId="0" borderId="0"/>
    <xf numFmtId="0" fontId="27" fillId="0" borderId="0"/>
    <xf numFmtId="0" fontId="51" fillId="0" borderId="0"/>
    <xf numFmtId="0" fontId="27" fillId="0" borderId="0"/>
    <xf numFmtId="0" fontId="27" fillId="0" borderId="0"/>
    <xf numFmtId="0" fontId="27" fillId="0" borderId="0"/>
    <xf numFmtId="0" fontId="27" fillId="0" borderId="0"/>
    <xf numFmtId="0" fontId="27" fillId="0" borderId="0"/>
    <xf numFmtId="0" fontId="51" fillId="0" borderId="0"/>
    <xf numFmtId="0" fontId="27" fillId="0" borderId="0"/>
    <xf numFmtId="0" fontId="51" fillId="0" borderId="0"/>
    <xf numFmtId="0" fontId="27" fillId="0" borderId="0"/>
    <xf numFmtId="0" fontId="27" fillId="0" borderId="0"/>
    <xf numFmtId="0" fontId="27" fillId="0" borderId="0"/>
    <xf numFmtId="0" fontId="27" fillId="0" borderId="0"/>
    <xf numFmtId="0" fontId="27" fillId="0" borderId="0"/>
    <xf numFmtId="0" fontId="51" fillId="0" borderId="0"/>
    <xf numFmtId="0" fontId="27" fillId="0" borderId="0"/>
    <xf numFmtId="0" fontId="51" fillId="0" borderId="0"/>
    <xf numFmtId="0" fontId="27" fillId="0" borderId="0"/>
    <xf numFmtId="0" fontId="27" fillId="0" borderId="0"/>
    <xf numFmtId="0" fontId="27" fillId="0" borderId="0"/>
    <xf numFmtId="0" fontId="27" fillId="0" borderId="0"/>
    <xf numFmtId="0" fontId="1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8"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28" fillId="0" borderId="0"/>
    <xf numFmtId="0" fontId="34" fillId="0" borderId="0"/>
    <xf numFmtId="0" fontId="19" fillId="0" borderId="0"/>
    <xf numFmtId="0" fontId="48"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27" fillId="0" borderId="0"/>
    <xf numFmtId="0" fontId="27" fillId="0" borderId="0"/>
    <xf numFmtId="0" fontId="19" fillId="0" borderId="0"/>
    <xf numFmtId="0" fontId="48"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7" fillId="0" borderId="0"/>
    <xf numFmtId="0" fontId="19" fillId="0" borderId="0"/>
    <xf numFmtId="0" fontId="19" fillId="0" borderId="0"/>
    <xf numFmtId="0" fontId="27"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51" fillId="0" borderId="0"/>
    <xf numFmtId="0" fontId="27" fillId="0" borderId="0"/>
    <xf numFmtId="0" fontId="27" fillId="0" borderId="0"/>
    <xf numFmtId="0" fontId="47" fillId="0" borderId="0"/>
    <xf numFmtId="0" fontId="27" fillId="0" borderId="0"/>
    <xf numFmtId="0" fontId="27" fillId="0" borderId="0"/>
    <xf numFmtId="0" fontId="51" fillId="0" borderId="0"/>
    <xf numFmtId="0" fontId="27" fillId="0" borderId="0"/>
    <xf numFmtId="0" fontId="51" fillId="0" borderId="0"/>
    <xf numFmtId="0" fontId="27" fillId="0" borderId="0"/>
    <xf numFmtId="0" fontId="27" fillId="0" borderId="0"/>
    <xf numFmtId="0" fontId="27" fillId="0" borderId="0"/>
    <xf numFmtId="0" fontId="27" fillId="0" borderId="0"/>
    <xf numFmtId="0" fontId="51" fillId="0" borderId="0"/>
    <xf numFmtId="0" fontId="27" fillId="0" borderId="0"/>
    <xf numFmtId="0" fontId="27" fillId="0" borderId="0"/>
    <xf numFmtId="0" fontId="27" fillId="0" borderId="0"/>
    <xf numFmtId="0" fontId="27" fillId="0" borderId="0"/>
    <xf numFmtId="0" fontId="51" fillId="0" borderId="0"/>
    <xf numFmtId="0" fontId="27" fillId="0" borderId="0"/>
    <xf numFmtId="0" fontId="27" fillId="0" borderId="0"/>
    <xf numFmtId="0" fontId="27" fillId="0" borderId="0"/>
    <xf numFmtId="0" fontId="51" fillId="0" borderId="0"/>
    <xf numFmtId="0" fontId="27" fillId="0" borderId="0"/>
    <xf numFmtId="0" fontId="27" fillId="0" borderId="0"/>
    <xf numFmtId="0" fontId="27" fillId="0" borderId="0"/>
    <xf numFmtId="0" fontId="27" fillId="0" borderId="0"/>
    <xf numFmtId="0" fontId="27" fillId="0" borderId="0"/>
    <xf numFmtId="0" fontId="27" fillId="0" borderId="0"/>
    <xf numFmtId="0" fontId="51" fillId="0" borderId="0"/>
    <xf numFmtId="0" fontId="27" fillId="0" borderId="0"/>
    <xf numFmtId="0" fontId="5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51" fillId="0" borderId="0"/>
    <xf numFmtId="0" fontId="51" fillId="0" borderId="0"/>
    <xf numFmtId="0" fontId="27" fillId="0" borderId="0"/>
    <xf numFmtId="0" fontId="27" fillId="0" borderId="0"/>
    <xf numFmtId="0" fontId="27" fillId="0" borderId="0"/>
    <xf numFmtId="0" fontId="27" fillId="0" borderId="0"/>
    <xf numFmtId="0" fontId="57" fillId="0" borderId="0"/>
    <xf numFmtId="0" fontId="51" fillId="0" borderId="0"/>
    <xf numFmtId="0" fontId="27" fillId="0" borderId="0"/>
    <xf numFmtId="0" fontId="27" fillId="0" borderId="0"/>
    <xf numFmtId="0" fontId="57" fillId="0" borderId="0"/>
    <xf numFmtId="0" fontId="19" fillId="0" borderId="0"/>
    <xf numFmtId="0" fontId="19" fillId="0" borderId="0"/>
    <xf numFmtId="0" fontId="57" fillId="0" borderId="0"/>
    <xf numFmtId="0" fontId="27" fillId="0" borderId="0"/>
    <xf numFmtId="0" fontId="27" fillId="0" borderId="0"/>
    <xf numFmtId="0" fontId="27" fillId="0" borderId="0"/>
    <xf numFmtId="0" fontId="57" fillId="0" borderId="0"/>
    <xf numFmtId="0" fontId="57" fillId="0" borderId="0"/>
    <xf numFmtId="0" fontId="57" fillId="0" borderId="0"/>
    <xf numFmtId="0" fontId="27" fillId="0" borderId="0"/>
    <xf numFmtId="0" fontId="57" fillId="0" borderId="0"/>
    <xf numFmtId="0" fontId="2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1" fillId="0" borderId="0"/>
    <xf numFmtId="0" fontId="27" fillId="0" borderId="0"/>
    <xf numFmtId="0" fontId="2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27" fillId="0" borderId="0"/>
    <xf numFmtId="0" fontId="19" fillId="0" borderId="0"/>
    <xf numFmtId="0" fontId="19" fillId="0" borderId="0"/>
    <xf numFmtId="0" fontId="32" fillId="0" borderId="0"/>
    <xf numFmtId="0" fontId="31" fillId="0" borderId="0"/>
    <xf numFmtId="0" fontId="31" fillId="0" borderId="0"/>
    <xf numFmtId="0" fontId="52" fillId="0" borderId="0"/>
    <xf numFmtId="0" fontId="19" fillId="0" borderId="0"/>
    <xf numFmtId="0" fontId="19" fillId="0" borderId="0"/>
    <xf numFmtId="0" fontId="19" fillId="0" borderId="0"/>
    <xf numFmtId="0" fontId="19" fillId="0" borderId="0"/>
    <xf numFmtId="0" fontId="34" fillId="0" borderId="0"/>
    <xf numFmtId="0" fontId="19" fillId="0" borderId="0"/>
    <xf numFmtId="0" fontId="48"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48"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27" fillId="0" borderId="0"/>
    <xf numFmtId="0" fontId="52" fillId="0" borderId="0"/>
    <xf numFmtId="0" fontId="19" fillId="0" borderId="0"/>
    <xf numFmtId="0" fontId="19" fillId="0" borderId="0"/>
    <xf numFmtId="0" fontId="19" fillId="0" borderId="0"/>
    <xf numFmtId="0" fontId="19"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2" fillId="0" borderId="0"/>
    <xf numFmtId="0" fontId="31" fillId="0" borderId="0"/>
    <xf numFmtId="0" fontId="49" fillId="0" borderId="0"/>
    <xf numFmtId="0" fontId="31" fillId="0" borderId="0"/>
    <xf numFmtId="0" fontId="31" fillId="0" borderId="0"/>
    <xf numFmtId="0" fontId="53" fillId="0" borderId="0"/>
    <xf numFmtId="0" fontId="31" fillId="0" borderId="0"/>
    <xf numFmtId="0" fontId="53" fillId="0" borderId="0"/>
    <xf numFmtId="0" fontId="31" fillId="0" borderId="0"/>
    <xf numFmtId="0" fontId="31" fillId="0" borderId="0"/>
    <xf numFmtId="0" fontId="31" fillId="0" borderId="0"/>
    <xf numFmtId="0" fontId="31" fillId="0" borderId="0"/>
    <xf numFmtId="0" fontId="53" fillId="0" borderId="0"/>
    <xf numFmtId="0" fontId="31" fillId="0" borderId="0"/>
    <xf numFmtId="0" fontId="53" fillId="0" borderId="0"/>
    <xf numFmtId="0" fontId="31" fillId="0" borderId="0"/>
    <xf numFmtId="0" fontId="31" fillId="0" borderId="0"/>
    <xf numFmtId="0" fontId="31" fillId="0" borderId="0"/>
    <xf numFmtId="0" fontId="53" fillId="0" borderId="0"/>
    <xf numFmtId="0" fontId="31" fillId="0" borderId="0"/>
    <xf numFmtId="0" fontId="31" fillId="0" borderId="0"/>
    <xf numFmtId="0" fontId="31" fillId="0" borderId="0"/>
    <xf numFmtId="0" fontId="31" fillId="0" borderId="0"/>
    <xf numFmtId="0" fontId="31" fillId="0" borderId="0"/>
    <xf numFmtId="0" fontId="53" fillId="0" borderId="0"/>
    <xf numFmtId="0" fontId="31" fillId="0" borderId="0"/>
    <xf numFmtId="0" fontId="53" fillId="0" borderId="0"/>
    <xf numFmtId="0" fontId="31" fillId="0" borderId="0"/>
    <xf numFmtId="0" fontId="31" fillId="0" borderId="0"/>
    <xf numFmtId="0" fontId="31" fillId="0" borderId="0"/>
    <xf numFmtId="0" fontId="31"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53" fillId="0" borderId="0"/>
    <xf numFmtId="0" fontId="53" fillId="0" borderId="0"/>
    <xf numFmtId="0" fontId="31" fillId="0" borderId="0"/>
    <xf numFmtId="0" fontId="31" fillId="0" borderId="0"/>
    <xf numFmtId="0" fontId="31" fillId="0" borderId="0"/>
    <xf numFmtId="0" fontId="31" fillId="0" borderId="0"/>
    <xf numFmtId="0" fontId="57" fillId="0" borderId="0"/>
    <xf numFmtId="0" fontId="53" fillId="0" borderId="0"/>
    <xf numFmtId="0" fontId="31" fillId="0" borderId="0"/>
    <xf numFmtId="0" fontId="57" fillId="0" borderId="0"/>
    <xf numFmtId="0" fontId="31" fillId="0" borderId="0"/>
    <xf numFmtId="0" fontId="57" fillId="0" borderId="0"/>
    <xf numFmtId="0" fontId="31" fillId="0" borderId="0"/>
    <xf numFmtId="0" fontId="31" fillId="0" borderId="0"/>
    <xf numFmtId="0" fontId="31" fillId="0" borderId="0"/>
    <xf numFmtId="0" fontId="31" fillId="0" borderId="0"/>
    <xf numFmtId="0" fontId="31" fillId="0" borderId="0"/>
    <xf numFmtId="0" fontId="57" fillId="0" borderId="0"/>
    <xf numFmtId="0" fontId="57" fillId="0" borderId="0"/>
    <xf numFmtId="0" fontId="57" fillId="0" borderId="0"/>
    <xf numFmtId="0" fontId="31" fillId="0" borderId="0"/>
    <xf numFmtId="0" fontId="57" fillId="0" borderId="0"/>
    <xf numFmtId="0" fontId="57" fillId="0" borderId="0"/>
    <xf numFmtId="0" fontId="31" fillId="0" borderId="0"/>
    <xf numFmtId="0" fontId="57" fillId="0" borderId="0"/>
    <xf numFmtId="0" fontId="57" fillId="0" borderId="0"/>
    <xf numFmtId="0" fontId="57" fillId="0" borderId="0"/>
    <xf numFmtId="0" fontId="53" fillId="0" borderId="0"/>
    <xf numFmtId="0" fontId="31" fillId="0" borderId="0"/>
    <xf numFmtId="0" fontId="31"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58" fillId="0" borderId="0"/>
    <xf numFmtId="0" fontId="58" fillId="0" borderId="0"/>
    <xf numFmtId="0" fontId="57" fillId="0" borderId="0"/>
    <xf numFmtId="0" fontId="57" fillId="0" borderId="0"/>
    <xf numFmtId="0" fontId="57" fillId="0" borderId="0"/>
    <xf numFmtId="0" fontId="57" fillId="0" borderId="0"/>
    <xf numFmtId="0" fontId="57" fillId="0" borderId="0"/>
    <xf numFmtId="0" fontId="58" fillId="0" borderId="0"/>
    <xf numFmtId="3" fontId="11" fillId="0" borderId="0"/>
    <xf numFmtId="0" fontId="19" fillId="5" borderId="7" applyNumberFormat="0" applyFont="0" applyAlignment="0" applyProtection="0"/>
    <xf numFmtId="0" fontId="19" fillId="5" borderId="7" applyNumberFormat="0" applyFont="0" applyAlignment="0" applyProtection="0"/>
    <xf numFmtId="0" fontId="52" fillId="5" borderId="7" applyNumberFormat="0" applyFont="0" applyAlignment="0" applyProtection="0"/>
    <xf numFmtId="0" fontId="19" fillId="5" borderId="7" applyNumberFormat="0" applyFont="0" applyAlignment="0" applyProtection="0"/>
    <xf numFmtId="0" fontId="19" fillId="5" borderId="7" applyNumberFormat="0" applyFont="0" applyAlignment="0" applyProtection="0"/>
    <xf numFmtId="0" fontId="18" fillId="15" borderId="8" applyNumberFormat="0" applyAlignment="0" applyProtection="0"/>
    <xf numFmtId="0" fontId="18" fillId="15" borderId="8" applyNumberFormat="0" applyAlignment="0" applyProtection="0"/>
    <xf numFmtId="9" fontId="32" fillId="0" borderId="0" applyFont="0" applyFill="0" applyBorder="0" applyAlignment="0" applyProtection="0"/>
    <xf numFmtId="9" fontId="31" fillId="0" borderId="0" applyFont="0" applyFill="0" applyBorder="0" applyAlignment="0" applyProtection="0"/>
    <xf numFmtId="9" fontId="58" fillId="0" borderId="0" applyFont="0" applyFill="0" applyBorder="0" applyAlignment="0" applyProtection="0"/>
    <xf numFmtId="9" fontId="57" fillId="0" borderId="0" applyFont="0" applyFill="0" applyBorder="0" applyAlignment="0" applyProtection="0"/>
    <xf numFmtId="0" fontId="20" fillId="0" borderId="0" applyNumberFormat="0" applyFill="0" applyBorder="0" applyAlignment="0" applyProtection="0"/>
    <xf numFmtId="0" fontId="62" fillId="20" borderId="0" applyFont="0" applyBorder="0" applyAlignment="0">
      <alignment horizontal="center" wrapText="1"/>
    </xf>
    <xf numFmtId="0" fontId="62" fillId="20" borderId="0" applyFont="0" applyBorder="0" applyAlignment="0">
      <alignment horizontal="center" wrapText="1"/>
    </xf>
    <xf numFmtId="0" fontId="55"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9" fillId="0" borderId="0"/>
    <xf numFmtId="0" fontId="2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5" fillId="20" borderId="0" applyFont="0" applyBorder="0" applyAlignment="0">
      <alignment horizontal="center" wrapText="1"/>
    </xf>
    <xf numFmtId="0" fontId="55" fillId="20" borderId="0" applyFont="0" applyBorder="0" applyAlignment="0">
      <alignment horizontal="center" wrapText="1"/>
    </xf>
    <xf numFmtId="0" fontId="55" fillId="20" borderId="0" applyFont="0" applyBorder="0" applyAlignment="0">
      <alignment horizontal="center" wrapText="1"/>
    </xf>
    <xf numFmtId="0" fontId="55"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3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7" fillId="0" borderId="0"/>
    <xf numFmtId="0" fontId="118" fillId="0" borderId="0"/>
    <xf numFmtId="0" fontId="118" fillId="0" borderId="0"/>
    <xf numFmtId="0" fontId="117" fillId="0" borderId="0"/>
    <xf numFmtId="0" fontId="118" fillId="0" borderId="0"/>
    <xf numFmtId="0" fontId="118" fillId="0" borderId="0"/>
    <xf numFmtId="0" fontId="119" fillId="0" borderId="0"/>
    <xf numFmtId="0" fontId="118"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7"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8" fillId="0" borderId="0"/>
    <xf numFmtId="0" fontId="119"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43" fontId="58"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27" fillId="0" borderId="0"/>
    <xf numFmtId="0" fontId="27" fillId="0" borderId="0"/>
    <xf numFmtId="0" fontId="27" fillId="0" borderId="0"/>
    <xf numFmtId="0" fontId="2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7" fillId="0" borderId="0"/>
    <xf numFmtId="0" fontId="27" fillId="0" borderId="0"/>
    <xf numFmtId="0" fontId="2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7" fillId="0" borderId="0"/>
    <xf numFmtId="0" fontId="31" fillId="0" borderId="0"/>
    <xf numFmtId="0" fontId="31" fillId="0" borderId="0"/>
    <xf numFmtId="0" fontId="31"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5" borderId="7" applyNumberFormat="0" applyFont="0" applyAlignment="0" applyProtection="0"/>
    <xf numFmtId="0" fontId="19"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27" fillId="0" borderId="0"/>
    <xf numFmtId="44" fontId="1" fillId="0" borderId="0" applyFont="0" applyFill="0" applyBorder="0" applyAlignment="0" applyProtection="0"/>
    <xf numFmtId="44"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1" fillId="0" borderId="0"/>
    <xf numFmtId="43" fontId="1" fillId="0" borderId="0" applyFont="0" applyFill="0" applyBorder="0" applyAlignment="0" applyProtection="0"/>
    <xf numFmtId="43" fontId="1" fillId="0" borderId="0" applyFont="0" applyFill="0" applyBorder="0" applyAlignment="0" applyProtection="0"/>
    <xf numFmtId="0" fontId="58"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8" fillId="0" borderId="0"/>
    <xf numFmtId="0" fontId="117" fillId="0" borderId="0"/>
    <xf numFmtId="0" fontId="117"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8" fillId="5" borderId="7" applyNumberFormat="0" applyFont="0" applyAlignment="0" applyProtection="0"/>
    <xf numFmtId="44" fontId="57" fillId="0" borderId="0" applyFont="0" applyFill="0" applyBorder="0" applyAlignment="0" applyProtection="0"/>
    <xf numFmtId="44" fontId="57" fillId="0" borderId="0" applyFont="0" applyFill="0" applyBorder="0" applyAlignment="0" applyProtection="0"/>
    <xf numFmtId="0" fontId="19" fillId="0" borderId="0"/>
    <xf numFmtId="0" fontId="117" fillId="0" borderId="0"/>
    <xf numFmtId="43" fontId="57" fillId="0" borderId="0" applyFont="0" applyFill="0" applyBorder="0" applyAlignment="0" applyProtection="0"/>
    <xf numFmtId="44" fontId="57" fillId="0" borderId="0" applyFont="0" applyFill="0" applyBorder="0" applyAlignment="0" applyProtection="0"/>
    <xf numFmtId="0" fontId="19" fillId="0" borderId="0"/>
    <xf numFmtId="43" fontId="57" fillId="0" borderId="0" applyFont="0" applyFill="0" applyBorder="0" applyAlignment="0" applyProtection="0"/>
    <xf numFmtId="0" fontId="27" fillId="0" borderId="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0" fontId="27" fillId="0" borderId="0"/>
    <xf numFmtId="0" fontId="27" fillId="0" borderId="0"/>
    <xf numFmtId="0" fontId="19"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27" fillId="0" borderId="0"/>
    <xf numFmtId="0" fontId="57" fillId="0" borderId="0"/>
    <xf numFmtId="0" fontId="57" fillId="0" borderId="0"/>
    <xf numFmtId="43" fontId="5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2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7" fillId="0" borderId="0"/>
    <xf numFmtId="0" fontId="117" fillId="0" borderId="0"/>
    <xf numFmtId="0" fontId="117" fillId="0" borderId="0"/>
    <xf numFmtId="0" fontId="117" fillId="0" borderId="0"/>
    <xf numFmtId="0" fontId="117" fillId="0" borderId="0"/>
    <xf numFmtId="0" fontId="19" fillId="0" borderId="0"/>
    <xf numFmtId="0" fontId="117" fillId="0" borderId="0"/>
    <xf numFmtId="0" fontId="11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57" fillId="0" borderId="0"/>
    <xf numFmtId="0" fontId="57" fillId="0" borderId="0"/>
    <xf numFmtId="0" fontId="31" fillId="0" borderId="0"/>
    <xf numFmtId="0" fontId="57" fillId="0" borderId="0"/>
    <xf numFmtId="0" fontId="57" fillId="0" borderId="0"/>
    <xf numFmtId="0" fontId="57" fillId="0" borderId="0"/>
    <xf numFmtId="0" fontId="117" fillId="0" borderId="0"/>
    <xf numFmtId="0" fontId="57" fillId="0" borderId="0"/>
    <xf numFmtId="0" fontId="57" fillId="0" borderId="0"/>
    <xf numFmtId="0" fontId="57" fillId="0" borderId="0"/>
    <xf numFmtId="0" fontId="57" fillId="0" borderId="0"/>
    <xf numFmtId="0" fontId="57"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7"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57" fillId="0" borderId="0"/>
    <xf numFmtId="0" fontId="57" fillId="0" borderId="0"/>
    <xf numFmtId="0" fontId="57" fillId="0" borderId="0"/>
    <xf numFmtId="0" fontId="57" fillId="0" borderId="0"/>
    <xf numFmtId="0" fontId="57" fillId="0" borderId="0"/>
    <xf numFmtId="0" fontId="19" fillId="0" borderId="0"/>
    <xf numFmtId="0" fontId="119" fillId="0" borderId="0"/>
    <xf numFmtId="0" fontId="119" fillId="0" borderId="0"/>
    <xf numFmtId="0" fontId="119" fillId="0" borderId="0"/>
    <xf numFmtId="0" fontId="119" fillId="0" borderId="0"/>
    <xf numFmtId="0" fontId="119"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9" fillId="0" borderId="0"/>
    <xf numFmtId="0" fontId="119" fillId="0" borderId="0"/>
    <xf numFmtId="0" fontId="57" fillId="0" borderId="0"/>
    <xf numFmtId="0" fontId="57" fillId="0" borderId="0"/>
    <xf numFmtId="0" fontId="57" fillId="0" borderId="0"/>
    <xf numFmtId="0" fontId="57" fillId="0" borderId="0"/>
    <xf numFmtId="0" fontId="119"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57" fillId="0" borderId="0"/>
    <xf numFmtId="0" fontId="31" fillId="0" borderId="0"/>
    <xf numFmtId="0" fontId="11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9"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19" fillId="0" borderId="0"/>
    <xf numFmtId="0" fontId="118" fillId="0" borderId="0"/>
    <xf numFmtId="0" fontId="19" fillId="0" borderId="0"/>
    <xf numFmtId="0" fontId="19" fillId="0" borderId="0"/>
    <xf numFmtId="0" fontId="19"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19" fillId="0" borderId="0"/>
    <xf numFmtId="0" fontId="31" fillId="0" borderId="0"/>
    <xf numFmtId="0" fontId="19" fillId="0" borderId="0"/>
    <xf numFmtId="0" fontId="19" fillId="0" borderId="0"/>
    <xf numFmtId="44" fontId="57" fillId="0" borderId="0" applyFont="0" applyFill="0" applyBorder="0" applyAlignment="0" applyProtection="0"/>
    <xf numFmtId="0" fontId="31" fillId="0" borderId="0"/>
    <xf numFmtId="0" fontId="19" fillId="0" borderId="0"/>
    <xf numFmtId="0" fontId="19" fillId="0" borderId="0"/>
    <xf numFmtId="0" fontId="27" fillId="0" borderId="0"/>
    <xf numFmtId="0" fontId="19" fillId="0" borderId="0"/>
    <xf numFmtId="43" fontId="57" fillId="0" borderId="0" applyFont="0" applyFill="0" applyBorder="0" applyAlignment="0" applyProtection="0"/>
    <xf numFmtId="0" fontId="27" fillId="0" borderId="0"/>
    <xf numFmtId="0" fontId="19" fillId="0" borderId="0"/>
    <xf numFmtId="43" fontId="57" fillId="0" borderId="0" applyFont="0" applyFill="0" applyBorder="0" applyAlignment="0" applyProtection="0"/>
    <xf numFmtId="0" fontId="19" fillId="0" borderId="0"/>
    <xf numFmtId="0" fontId="27" fillId="0" borderId="0"/>
    <xf numFmtId="0" fontId="27" fillId="0" borderId="0"/>
    <xf numFmtId="43" fontId="57" fillId="0" borderId="0" applyFont="0" applyFill="0" applyBorder="0" applyAlignment="0" applyProtection="0"/>
    <xf numFmtId="0" fontId="2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119" fillId="0" borderId="0"/>
    <xf numFmtId="0" fontId="19" fillId="0" borderId="0"/>
    <xf numFmtId="0" fontId="19" fillId="0" borderId="0"/>
    <xf numFmtId="43" fontId="57" fillId="0" borderId="0" applyFont="0" applyFill="0" applyBorder="0" applyAlignment="0" applyProtection="0"/>
    <xf numFmtId="43" fontId="57" fillId="0" borderId="0" applyFont="0" applyFill="0" applyBorder="0" applyAlignment="0" applyProtection="0"/>
    <xf numFmtId="0" fontId="31" fillId="0" borderId="0"/>
    <xf numFmtId="43" fontId="57" fillId="0" borderId="0" applyFont="0" applyFill="0" applyBorder="0" applyAlignment="0" applyProtection="0"/>
    <xf numFmtId="0" fontId="19" fillId="0" borderId="0"/>
    <xf numFmtId="0" fontId="27" fillId="0" borderId="0"/>
    <xf numFmtId="0" fontId="27" fillId="0" borderId="0"/>
    <xf numFmtId="0" fontId="19" fillId="0" borderId="0"/>
    <xf numFmtId="0" fontId="31" fillId="0" borderId="0"/>
    <xf numFmtId="0" fontId="27" fillId="0" borderId="0"/>
    <xf numFmtId="0" fontId="27" fillId="0" borderId="0"/>
    <xf numFmtId="0" fontId="19" fillId="0" borderId="0"/>
    <xf numFmtId="44" fontId="57" fillId="0" borderId="0" applyFont="0" applyFill="0" applyBorder="0" applyAlignment="0" applyProtection="0"/>
    <xf numFmtId="44" fontId="57" fillId="0" borderId="0" applyFont="0" applyFill="0" applyBorder="0" applyAlignment="0" applyProtection="0"/>
    <xf numFmtId="43" fontId="58" fillId="0" borderId="0" applyFont="0" applyFill="0" applyBorder="0" applyAlignment="0" applyProtection="0"/>
    <xf numFmtId="0" fontId="31" fillId="0" borderId="0"/>
    <xf numFmtId="43" fontId="57" fillId="0" borderId="0" applyFont="0" applyFill="0" applyBorder="0" applyAlignment="0" applyProtection="0"/>
    <xf numFmtId="43" fontId="57" fillId="0" borderId="0" applyFont="0" applyFill="0" applyBorder="0" applyAlignment="0" applyProtection="0"/>
    <xf numFmtId="0" fontId="19" fillId="0" borderId="0"/>
    <xf numFmtId="0" fontId="19" fillId="0" borderId="0"/>
    <xf numFmtId="0" fontId="31" fillId="0" borderId="0"/>
    <xf numFmtId="43" fontId="57" fillId="0" borderId="0" applyFont="0" applyFill="0" applyBorder="0" applyAlignment="0" applyProtection="0"/>
    <xf numFmtId="44" fontId="57" fillId="0" borderId="0" applyFont="0" applyFill="0" applyBorder="0" applyAlignment="0" applyProtection="0"/>
    <xf numFmtId="0" fontId="19" fillId="0" borderId="0"/>
    <xf numFmtId="0" fontId="118" fillId="0" borderId="0"/>
    <xf numFmtId="0" fontId="27" fillId="0" borderId="0"/>
    <xf numFmtId="44" fontId="57" fillId="0" borderId="0" applyFont="0" applyFill="0" applyBorder="0" applyAlignment="0" applyProtection="0"/>
    <xf numFmtId="9" fontId="57" fillId="0" borderId="0" applyFont="0" applyFill="0" applyBorder="0" applyAlignment="0" applyProtection="0"/>
    <xf numFmtId="0" fontId="27" fillId="0" borderId="0"/>
    <xf numFmtId="0" fontId="31" fillId="0" borderId="0"/>
    <xf numFmtId="0" fontId="19" fillId="0" borderId="0"/>
    <xf numFmtId="0" fontId="19" fillId="0" borderId="0"/>
    <xf numFmtId="0" fontId="31" fillId="0" borderId="0"/>
    <xf numFmtId="0" fontId="19" fillId="0" borderId="0"/>
    <xf numFmtId="0" fontId="19" fillId="0" borderId="0"/>
    <xf numFmtId="0" fontId="19" fillId="0" borderId="0"/>
    <xf numFmtId="0" fontId="19" fillId="0" borderId="0"/>
    <xf numFmtId="0" fontId="27" fillId="0" borderId="0"/>
    <xf numFmtId="0" fontId="27" fillId="0" borderId="0"/>
    <xf numFmtId="0" fontId="19" fillId="0" borderId="0"/>
    <xf numFmtId="0" fontId="27" fillId="0" borderId="0"/>
    <xf numFmtId="0" fontId="19" fillId="0" borderId="0"/>
    <xf numFmtId="0" fontId="27" fillId="0" borderId="0"/>
    <xf numFmtId="0" fontId="19" fillId="0" borderId="0"/>
    <xf numFmtId="0" fontId="19" fillId="0" borderId="0"/>
    <xf numFmtId="0" fontId="31" fillId="0" borderId="0"/>
    <xf numFmtId="0" fontId="19" fillId="0" borderId="0"/>
    <xf numFmtId="0" fontId="19" fillId="0" borderId="0"/>
    <xf numFmtId="0" fontId="19" fillId="0" borderId="0"/>
    <xf numFmtId="0" fontId="19" fillId="0" borderId="0"/>
    <xf numFmtId="0" fontId="27" fillId="0" borderId="0"/>
    <xf numFmtId="0" fontId="19" fillId="0" borderId="0"/>
    <xf numFmtId="0" fontId="19" fillId="0" borderId="0"/>
    <xf numFmtId="0" fontId="19" fillId="0" borderId="0"/>
    <xf numFmtId="0" fontId="19" fillId="0" borderId="0"/>
    <xf numFmtId="0" fontId="27" fillId="0" borderId="0"/>
    <xf numFmtId="0" fontId="27" fillId="0" borderId="0"/>
    <xf numFmtId="0" fontId="27" fillId="0" borderId="0"/>
    <xf numFmtId="0" fontId="27" fillId="0" borderId="0"/>
    <xf numFmtId="0" fontId="19" fillId="0" borderId="0"/>
    <xf numFmtId="0" fontId="19" fillId="0" borderId="0"/>
    <xf numFmtId="0" fontId="19" fillId="0" borderId="0"/>
    <xf numFmtId="0" fontId="19" fillId="0" borderId="0"/>
    <xf numFmtId="0" fontId="27" fillId="0" borderId="0"/>
    <xf numFmtId="0" fontId="19" fillId="0" borderId="0"/>
    <xf numFmtId="0" fontId="19" fillId="0" borderId="0"/>
    <xf numFmtId="0" fontId="27" fillId="0" borderId="0"/>
    <xf numFmtId="0" fontId="19" fillId="0" borderId="0"/>
    <xf numFmtId="0" fontId="19" fillId="0" borderId="0"/>
    <xf numFmtId="0" fontId="19" fillId="0" borderId="0"/>
    <xf numFmtId="0" fontId="27" fillId="0" borderId="0"/>
    <xf numFmtId="0" fontId="19" fillId="0" borderId="0"/>
    <xf numFmtId="0" fontId="27" fillId="0" borderId="0"/>
    <xf numFmtId="0" fontId="19" fillId="0" borderId="0"/>
    <xf numFmtId="0" fontId="27" fillId="0" borderId="0"/>
    <xf numFmtId="0" fontId="31" fillId="0" borderId="0"/>
    <xf numFmtId="0" fontId="19" fillId="0" borderId="0"/>
    <xf numFmtId="0" fontId="27" fillId="0" borderId="0"/>
    <xf numFmtId="0" fontId="31" fillId="0" borderId="0"/>
    <xf numFmtId="0" fontId="19" fillId="0" borderId="0"/>
    <xf numFmtId="0" fontId="19" fillId="0" borderId="0"/>
    <xf numFmtId="0" fontId="19" fillId="0" borderId="0"/>
    <xf numFmtId="0" fontId="19" fillId="0" borderId="0"/>
    <xf numFmtId="0" fontId="19" fillId="0" borderId="0"/>
    <xf numFmtId="0" fontId="19" fillId="0" borderId="0"/>
    <xf numFmtId="0" fontId="27" fillId="0" borderId="0"/>
    <xf numFmtId="0" fontId="19" fillId="0" borderId="0"/>
    <xf numFmtId="0" fontId="31" fillId="0" borderId="0"/>
    <xf numFmtId="0" fontId="27" fillId="0" borderId="0"/>
    <xf numFmtId="0" fontId="19" fillId="0" borderId="0"/>
    <xf numFmtId="0" fontId="19" fillId="0" borderId="0"/>
    <xf numFmtId="0" fontId="31" fillId="0" borderId="0"/>
    <xf numFmtId="0" fontId="27" fillId="0" borderId="0"/>
    <xf numFmtId="0" fontId="19" fillId="0" borderId="0"/>
    <xf numFmtId="0" fontId="19" fillId="0" borderId="0"/>
    <xf numFmtId="0" fontId="27" fillId="0" borderId="0"/>
    <xf numFmtId="0" fontId="31" fillId="0" borderId="0"/>
    <xf numFmtId="0" fontId="19" fillId="0" borderId="0"/>
    <xf numFmtId="0" fontId="27" fillId="0" borderId="0"/>
    <xf numFmtId="0" fontId="31" fillId="0" borderId="0"/>
    <xf numFmtId="0" fontId="19" fillId="0" borderId="0"/>
    <xf numFmtId="0" fontId="19" fillId="0" borderId="0"/>
    <xf numFmtId="0" fontId="19" fillId="0" borderId="0"/>
    <xf numFmtId="0" fontId="27" fillId="0" borderId="0"/>
    <xf numFmtId="0" fontId="31" fillId="0" borderId="0"/>
    <xf numFmtId="0" fontId="31" fillId="0" borderId="0"/>
    <xf numFmtId="0" fontId="19" fillId="0" borderId="0"/>
    <xf numFmtId="0" fontId="19" fillId="0" borderId="0"/>
    <xf numFmtId="0" fontId="27" fillId="0" borderId="0"/>
    <xf numFmtId="0" fontId="19" fillId="0" borderId="0"/>
    <xf numFmtId="0" fontId="27" fillId="0" borderId="0"/>
    <xf numFmtId="0" fontId="19" fillId="0" borderId="0"/>
    <xf numFmtId="0" fontId="27" fillId="0" borderId="0"/>
    <xf numFmtId="0" fontId="19" fillId="0" borderId="0"/>
    <xf numFmtId="0" fontId="27" fillId="0" borderId="0"/>
    <xf numFmtId="0" fontId="27" fillId="0" borderId="0"/>
    <xf numFmtId="0" fontId="19" fillId="0" borderId="0"/>
    <xf numFmtId="0" fontId="19" fillId="0" borderId="0"/>
    <xf numFmtId="0" fontId="19" fillId="0" borderId="0"/>
    <xf numFmtId="0" fontId="31" fillId="0" borderId="0"/>
    <xf numFmtId="0" fontId="31" fillId="0" borderId="0"/>
    <xf numFmtId="0" fontId="19" fillId="0" borderId="0"/>
    <xf numFmtId="0" fontId="27" fillId="0" borderId="0"/>
    <xf numFmtId="0" fontId="27" fillId="0" borderId="0"/>
    <xf numFmtId="0" fontId="19" fillId="0" borderId="0"/>
    <xf numFmtId="0" fontId="19" fillId="0" borderId="0"/>
    <xf numFmtId="0" fontId="19" fillId="0" borderId="0"/>
    <xf numFmtId="0" fontId="27" fillId="0" borderId="0"/>
    <xf numFmtId="0" fontId="27" fillId="0" borderId="0"/>
    <xf numFmtId="0" fontId="31" fillId="0" borderId="0"/>
    <xf numFmtId="0" fontId="19" fillId="5" borderId="7" applyNumberFormat="0" applyFont="0" applyAlignment="0" applyProtection="0"/>
    <xf numFmtId="0" fontId="19" fillId="0" borderId="0"/>
    <xf numFmtId="0" fontId="19" fillId="0" borderId="0"/>
    <xf numFmtId="0" fontId="19" fillId="0" borderId="0"/>
    <xf numFmtId="0" fontId="19" fillId="0" borderId="0"/>
    <xf numFmtId="0" fontId="31" fillId="0" borderId="0"/>
    <xf numFmtId="0" fontId="31" fillId="0" borderId="0"/>
    <xf numFmtId="0" fontId="19" fillId="0" borderId="0"/>
    <xf numFmtId="0" fontId="19" fillId="0" borderId="0"/>
    <xf numFmtId="0" fontId="31" fillId="0" borderId="0"/>
    <xf numFmtId="0" fontId="27" fillId="0" borderId="0"/>
    <xf numFmtId="0" fontId="19" fillId="5" borderId="7" applyNumberFormat="0" applyFont="0" applyAlignment="0" applyProtection="0"/>
    <xf numFmtId="0" fontId="19" fillId="0" borderId="0"/>
    <xf numFmtId="0" fontId="27" fillId="0" borderId="0"/>
    <xf numFmtId="0" fontId="19" fillId="0" borderId="0"/>
    <xf numFmtId="0" fontId="27" fillId="0" borderId="0"/>
    <xf numFmtId="0" fontId="27" fillId="0" borderId="0"/>
    <xf numFmtId="0" fontId="27" fillId="0" borderId="0"/>
    <xf numFmtId="0" fontId="19" fillId="0" borderId="0"/>
    <xf numFmtId="0" fontId="19" fillId="0" borderId="0"/>
    <xf numFmtId="0" fontId="27" fillId="0" borderId="0"/>
    <xf numFmtId="0" fontId="19" fillId="0" borderId="0"/>
    <xf numFmtId="0" fontId="31" fillId="0" borderId="0"/>
    <xf numFmtId="0" fontId="27" fillId="0" borderId="0"/>
    <xf numFmtId="0" fontId="19" fillId="0" borderId="0"/>
    <xf numFmtId="0" fontId="19" fillId="0" borderId="0"/>
    <xf numFmtId="0" fontId="27" fillId="0" borderId="0"/>
    <xf numFmtId="0" fontId="27" fillId="0" borderId="0"/>
    <xf numFmtId="0" fontId="31" fillId="0" borderId="0"/>
    <xf numFmtId="0" fontId="27" fillId="0" borderId="0"/>
    <xf numFmtId="0" fontId="31" fillId="0" borderId="0"/>
    <xf numFmtId="0" fontId="19" fillId="0" borderId="0"/>
    <xf numFmtId="0" fontId="19" fillId="0" borderId="0"/>
    <xf numFmtId="0" fontId="31" fillId="0" borderId="0"/>
    <xf numFmtId="0" fontId="27" fillId="0" borderId="0"/>
    <xf numFmtId="0" fontId="19" fillId="0" borderId="0"/>
    <xf numFmtId="0" fontId="134" fillId="0" borderId="47" applyNumberFormat="0" applyFill="0" applyAlignment="0" applyProtection="0"/>
    <xf numFmtId="0" fontId="135" fillId="0" borderId="48" applyNumberFormat="0" applyFill="0" applyAlignment="0" applyProtection="0"/>
    <xf numFmtId="0" fontId="136" fillId="0" borderId="49" applyNumberFormat="0" applyFill="0" applyAlignment="0" applyProtection="0"/>
    <xf numFmtId="0" fontId="136" fillId="0" borderId="0" applyNumberFormat="0" applyFill="0" applyBorder="0" applyAlignment="0" applyProtection="0"/>
    <xf numFmtId="0" fontId="137" fillId="38" borderId="0" applyNumberFormat="0" applyBorder="0" applyAlignment="0" applyProtection="0"/>
    <xf numFmtId="0" fontId="138" fillId="39" borderId="0" applyNumberFormat="0" applyBorder="0" applyAlignment="0" applyProtection="0"/>
    <xf numFmtId="0" fontId="139" fillId="41" borderId="50" applyNumberFormat="0" applyAlignment="0" applyProtection="0"/>
    <xf numFmtId="0" fontId="140" fillId="42" borderId="51" applyNumberFormat="0" applyAlignment="0" applyProtection="0"/>
    <xf numFmtId="0" fontId="141" fillId="42" borderId="50" applyNumberFormat="0" applyAlignment="0" applyProtection="0"/>
    <xf numFmtId="0" fontId="142" fillId="0" borderId="52" applyNumberFormat="0" applyFill="0" applyAlignment="0" applyProtection="0"/>
    <xf numFmtId="0" fontId="143" fillId="43" borderId="53" applyNumberFormat="0" applyAlignment="0" applyProtection="0"/>
    <xf numFmtId="0" fontId="123" fillId="0" borderId="0" applyNumberFormat="0" applyFill="0" applyBorder="0" applyAlignment="0" applyProtection="0"/>
    <xf numFmtId="0" fontId="63" fillId="0" borderId="55" applyNumberFormat="0" applyFill="0" applyAlignment="0" applyProtection="0"/>
    <xf numFmtId="0" fontId="144" fillId="45" borderId="0" applyNumberFormat="0" applyBorder="0" applyAlignment="0" applyProtection="0"/>
    <xf numFmtId="0" fontId="144" fillId="46" borderId="0" applyNumberFormat="0" applyBorder="0" applyAlignment="0" applyProtection="0"/>
    <xf numFmtId="0" fontId="144" fillId="47" borderId="0" applyNumberFormat="0" applyBorder="0" applyAlignment="0" applyProtection="0"/>
    <xf numFmtId="0" fontId="144" fillId="48" borderId="0" applyNumberFormat="0" applyBorder="0" applyAlignment="0" applyProtection="0"/>
    <xf numFmtId="0" fontId="144" fillId="49" borderId="0" applyNumberFormat="0" applyBorder="0" applyAlignment="0" applyProtection="0"/>
    <xf numFmtId="0" fontId="144" fillId="50" borderId="0" applyNumberFormat="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2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0" fontId="57" fillId="0" borderId="0"/>
    <xf numFmtId="0" fontId="31"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43" fontId="54"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9"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9"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155" fillId="40" borderId="0" applyNumberFormat="0" applyBorder="0" applyAlignment="0" applyProtection="0"/>
    <xf numFmtId="0" fontId="57" fillId="44" borderId="54" applyNumberFormat="0" applyFont="0" applyAlignment="0" applyProtection="0"/>
    <xf numFmtId="40" fontId="148" fillId="0" borderId="17">
      <alignment horizontal="right"/>
    </xf>
    <xf numFmtId="0" fontId="149" fillId="0" borderId="0">
      <alignment horizontal="left"/>
    </xf>
    <xf numFmtId="49" fontId="19" fillId="0" borderId="0"/>
    <xf numFmtId="0" fontId="149" fillId="0" borderId="0">
      <alignment horizontal="left"/>
    </xf>
    <xf numFmtId="177" fontId="148" fillId="0" borderId="17">
      <alignment horizontal="right"/>
    </xf>
    <xf numFmtId="49" fontId="148" fillId="0" borderId="0">
      <alignment horizontal="right"/>
    </xf>
    <xf numFmtId="40" fontId="19" fillId="0" borderId="0">
      <alignment horizontal="right"/>
    </xf>
    <xf numFmtId="49" fontId="19" fillId="0" borderId="0">
      <alignment horizontal="left"/>
    </xf>
    <xf numFmtId="40" fontId="19" fillId="0" borderId="0"/>
    <xf numFmtId="49" fontId="19" fillId="0" borderId="0">
      <alignment horizontal="left"/>
    </xf>
    <xf numFmtId="177" fontId="19" fillId="0" borderId="0">
      <alignment horizontal="right"/>
    </xf>
    <xf numFmtId="49" fontId="19" fillId="0" borderId="0"/>
    <xf numFmtId="49" fontId="147" fillId="51" borderId="0">
      <alignment horizontal="right" vertical="center"/>
    </xf>
    <xf numFmtId="49" fontId="147" fillId="51" borderId="0">
      <alignment horizontal="left" vertical="center"/>
    </xf>
    <xf numFmtId="49" fontId="147" fillId="51" borderId="0">
      <alignment horizontal="center" vertical="center"/>
    </xf>
    <xf numFmtId="49" fontId="147" fillId="51" borderId="0">
      <alignment horizontal="center" vertical="center"/>
    </xf>
    <xf numFmtId="49" fontId="147" fillId="51" borderId="0">
      <alignment horizontal="right" vertical="center"/>
    </xf>
    <xf numFmtId="40" fontId="147" fillId="51" borderId="0">
      <alignment horizontal="right"/>
    </xf>
    <xf numFmtId="49" fontId="147" fillId="51" borderId="0">
      <alignment horizontal="center" vertical="center"/>
    </xf>
    <xf numFmtId="40" fontId="19" fillId="0" borderId="0"/>
    <xf numFmtId="0" fontId="19" fillId="0" borderId="0">
      <alignment horizontal="left"/>
    </xf>
    <xf numFmtId="49" fontId="19" fillId="0" borderId="0"/>
    <xf numFmtId="49" fontId="19" fillId="0" borderId="0">
      <alignment horizontal="center" vertical="center"/>
    </xf>
    <xf numFmtId="177" fontId="19" fillId="0" borderId="0">
      <alignment horizontal="right"/>
    </xf>
    <xf numFmtId="49" fontId="19" fillId="0" borderId="0"/>
    <xf numFmtId="49" fontId="147" fillId="51" borderId="0">
      <alignment horizontal="center" vertical="center"/>
    </xf>
    <xf numFmtId="49" fontId="147" fillId="51" borderId="0">
      <alignment horizontal="center" vertical="center"/>
    </xf>
    <xf numFmtId="177" fontId="147" fillId="51" borderId="0">
      <alignment horizontal="center" vertical="center"/>
    </xf>
    <xf numFmtId="49" fontId="147" fillId="51" borderId="0">
      <alignment horizontal="right"/>
    </xf>
    <xf numFmtId="40" fontId="148" fillId="0" borderId="19">
      <alignment horizontal="right"/>
    </xf>
    <xf numFmtId="0" fontId="149" fillId="0" borderId="0">
      <alignment horizontal="left"/>
    </xf>
    <xf numFmtId="49" fontId="19" fillId="0" borderId="0"/>
    <xf numFmtId="0" fontId="149" fillId="0" borderId="0">
      <alignment horizontal="left"/>
    </xf>
    <xf numFmtId="177" fontId="148" fillId="0" borderId="19">
      <alignment horizontal="right"/>
    </xf>
    <xf numFmtId="49" fontId="148" fillId="0" borderId="0">
      <alignment horizontal="right"/>
    </xf>
    <xf numFmtId="49" fontId="19" fillId="0" borderId="0"/>
    <xf numFmtId="49" fontId="19" fillId="0" borderId="0"/>
    <xf numFmtId="40" fontId="148" fillId="0" borderId="14">
      <alignment horizontal="right"/>
    </xf>
    <xf numFmtId="49" fontId="148" fillId="0" borderId="0">
      <alignment horizontal="left"/>
    </xf>
    <xf numFmtId="49" fontId="19" fillId="0" borderId="0"/>
    <xf numFmtId="49" fontId="148" fillId="0" borderId="0">
      <alignment horizontal="left"/>
    </xf>
    <xf numFmtId="177" fontId="148" fillId="0" borderId="14">
      <alignment horizontal="right"/>
    </xf>
    <xf numFmtId="49" fontId="148" fillId="0" borderId="0">
      <alignment horizontal="right"/>
    </xf>
    <xf numFmtId="49" fontId="147" fillId="51" borderId="0">
      <alignment horizontal="center" vertical="center"/>
    </xf>
    <xf numFmtId="49" fontId="147" fillId="51" borderId="0">
      <alignment horizontal="center" vertical="center"/>
    </xf>
    <xf numFmtId="49" fontId="147" fillId="51" borderId="0">
      <alignment horizontal="center" vertical="center"/>
    </xf>
    <xf numFmtId="49" fontId="147" fillId="51" borderId="0">
      <alignment horizontal="center" vertical="center"/>
    </xf>
    <xf numFmtId="49" fontId="147" fillId="51" borderId="0">
      <alignment horizontal="center" vertical="center"/>
    </xf>
    <xf numFmtId="49" fontId="147" fillId="51" borderId="0">
      <alignment horizontal="center" vertical="center"/>
    </xf>
    <xf numFmtId="49" fontId="147" fillId="51" borderId="0">
      <alignment horizontal="center" vertical="center"/>
    </xf>
    <xf numFmtId="49" fontId="147" fillId="51" borderId="0">
      <alignment horizontal="center" vertical="center"/>
    </xf>
    <xf numFmtId="49" fontId="147" fillId="51" borderId="0">
      <alignment horizontal="center" vertical="center"/>
    </xf>
    <xf numFmtId="49" fontId="19" fillId="0" borderId="0"/>
    <xf numFmtId="49" fontId="19" fillId="0" borderId="0"/>
    <xf numFmtId="49" fontId="19" fillId="0" borderId="0"/>
    <xf numFmtId="49" fontId="19" fillId="0" borderId="0"/>
    <xf numFmtId="49" fontId="19" fillId="0" borderId="0"/>
    <xf numFmtId="49" fontId="19" fillId="0" borderId="0"/>
    <xf numFmtId="0" fontId="148" fillId="52" borderId="0">
      <alignment horizontal="center" vertical="center"/>
    </xf>
    <xf numFmtId="49" fontId="19" fillId="52" borderId="0">
      <alignment horizontal="left" vertical="center"/>
    </xf>
    <xf numFmtId="49" fontId="148" fillId="52" borderId="0">
      <alignment horizontal="center" vertical="center"/>
    </xf>
    <xf numFmtId="0" fontId="148" fillId="53" borderId="0">
      <alignment horizontal="left"/>
    </xf>
    <xf numFmtId="49" fontId="19" fillId="0" borderId="0"/>
    <xf numFmtId="0" fontId="148" fillId="53" borderId="0">
      <alignment horizontal="left"/>
    </xf>
    <xf numFmtId="40" fontId="148" fillId="0" borderId="0">
      <alignment horizontal="right"/>
    </xf>
    <xf numFmtId="49" fontId="147" fillId="51" borderId="0"/>
    <xf numFmtId="49" fontId="147" fillId="51" borderId="0"/>
    <xf numFmtId="49" fontId="19" fillId="0" borderId="0"/>
    <xf numFmtId="0" fontId="150" fillId="54" borderId="0" applyFont="0" applyFill="0">
      <alignment horizontal="left" vertical="top" wrapText="1"/>
    </xf>
    <xf numFmtId="40" fontId="150" fillId="0" borderId="0"/>
    <xf numFmtId="40" fontId="150" fillId="0" borderId="0"/>
    <xf numFmtId="0" fontId="150" fillId="0" borderId="0">
      <alignment horizontal="left"/>
    </xf>
    <xf numFmtId="0" fontId="150" fillId="0" borderId="0">
      <alignment horizontal="center"/>
    </xf>
    <xf numFmtId="0" fontId="151" fillId="0" borderId="0">
      <alignment horizontal="center"/>
    </xf>
    <xf numFmtId="0" fontId="152" fillId="51" borderId="0">
      <alignment horizontal="left"/>
    </xf>
    <xf numFmtId="0" fontId="152" fillId="51" borderId="0">
      <alignment horizontal="left"/>
    </xf>
    <xf numFmtId="0" fontId="151" fillId="0" borderId="0">
      <alignment horizontal="center"/>
    </xf>
    <xf numFmtId="40" fontId="153" fillId="0" borderId="18"/>
    <xf numFmtId="40" fontId="153" fillId="0" borderId="18"/>
    <xf numFmtId="0" fontId="153" fillId="0" borderId="0"/>
    <xf numFmtId="0" fontId="153" fillId="0" borderId="0"/>
    <xf numFmtId="0" fontId="151" fillId="0" borderId="0">
      <alignment horizontal="center"/>
    </xf>
    <xf numFmtId="0" fontId="154" fillId="55" borderId="0">
      <alignment horizontal="left"/>
    </xf>
    <xf numFmtId="0" fontId="154" fillId="55" borderId="0">
      <alignment horizontal="left"/>
    </xf>
    <xf numFmtId="40" fontId="148" fillId="0" borderId="0">
      <alignment horizontal="right"/>
    </xf>
    <xf numFmtId="0" fontId="149" fillId="0" borderId="0">
      <alignment horizontal="left"/>
    </xf>
    <xf numFmtId="49" fontId="19" fillId="0" borderId="0"/>
    <xf numFmtId="0" fontId="149" fillId="0" borderId="0">
      <alignment horizontal="left"/>
    </xf>
    <xf numFmtId="177" fontId="148" fillId="0" borderId="0">
      <alignment horizontal="right"/>
    </xf>
    <xf numFmtId="49" fontId="148" fillId="0" borderId="0" applyBorder="0">
      <alignment horizontal="right"/>
    </xf>
    <xf numFmtId="0" fontId="19" fillId="0" borderId="0"/>
    <xf numFmtId="49" fontId="156" fillId="54" borderId="0">
      <alignment horizontal="left"/>
    </xf>
    <xf numFmtId="49" fontId="156" fillId="54" borderId="0">
      <alignment horizontal="left"/>
    </xf>
    <xf numFmtId="0" fontId="157" fillId="54" borderId="0">
      <alignment horizontal="left"/>
    </xf>
    <xf numFmtId="178" fontId="157" fillId="54" borderId="0">
      <alignment horizontal="left"/>
    </xf>
    <xf numFmtId="40" fontId="148" fillId="0" borderId="0">
      <alignment horizontal="right"/>
    </xf>
    <xf numFmtId="49" fontId="158" fillId="54" borderId="0">
      <alignment horizontal="left"/>
    </xf>
    <xf numFmtId="49" fontId="158" fillId="54" borderId="0">
      <alignment horizontal="left"/>
    </xf>
    <xf numFmtId="49" fontId="19" fillId="0" borderId="0"/>
    <xf numFmtId="40" fontId="148" fillId="0" borderId="14">
      <alignment horizontal="right"/>
    </xf>
    <xf numFmtId="49" fontId="148" fillId="0" borderId="0">
      <alignment horizontal="left"/>
    </xf>
    <xf numFmtId="49" fontId="19" fillId="0" borderId="0"/>
    <xf numFmtId="49" fontId="148" fillId="0" borderId="0">
      <alignment horizontal="left"/>
    </xf>
    <xf numFmtId="177" fontId="148" fillId="0" borderId="14">
      <alignment horizontal="right"/>
    </xf>
    <xf numFmtId="49" fontId="148" fillId="0" borderId="0">
      <alignment horizontal="right"/>
    </xf>
    <xf numFmtId="40" fontId="148" fillId="0" borderId="14">
      <alignment horizontal="right"/>
    </xf>
    <xf numFmtId="0" fontId="148" fillId="53" borderId="0">
      <alignment horizontal="left"/>
    </xf>
    <xf numFmtId="49" fontId="19" fillId="0" borderId="0"/>
    <xf numFmtId="0" fontId="148" fillId="53" borderId="0">
      <alignment horizontal="left"/>
    </xf>
    <xf numFmtId="177" fontId="148" fillId="0" borderId="14">
      <alignment horizontal="right"/>
    </xf>
    <xf numFmtId="49" fontId="148" fillId="0" borderId="0">
      <alignment horizontal="right"/>
    </xf>
    <xf numFmtId="0" fontId="153" fillId="0" borderId="0"/>
    <xf numFmtId="40" fontId="150" fillId="0" borderId="18"/>
    <xf numFmtId="40" fontId="150" fillId="0" borderId="18"/>
    <xf numFmtId="0" fontId="150" fillId="0" borderId="0"/>
    <xf numFmtId="0" fontId="150" fillId="0" borderId="0"/>
    <xf numFmtId="40" fontId="150" fillId="0" borderId="0"/>
    <xf numFmtId="179" fontId="150" fillId="0" borderId="0"/>
    <xf numFmtId="40" fontId="150" fillId="0" borderId="0"/>
    <xf numFmtId="0" fontId="150" fillId="0" borderId="0"/>
    <xf numFmtId="0" fontId="150" fillId="0" borderId="0"/>
    <xf numFmtId="40" fontId="148" fillId="0" borderId="18">
      <alignment horizontal="right"/>
    </xf>
    <xf numFmtId="49" fontId="148" fillId="0" borderId="0">
      <alignment horizontal="left"/>
    </xf>
    <xf numFmtId="49" fontId="19" fillId="0" borderId="0"/>
    <xf numFmtId="49" fontId="148" fillId="0" borderId="0">
      <alignment horizontal="left"/>
    </xf>
    <xf numFmtId="177" fontId="148" fillId="0" borderId="18">
      <alignment horizontal="right"/>
    </xf>
    <xf numFmtId="49" fontId="148" fillId="0" borderId="0">
      <alignment horizontal="right"/>
    </xf>
    <xf numFmtId="0" fontId="57" fillId="0" borderId="0"/>
    <xf numFmtId="0" fontId="58" fillId="0" borderId="0"/>
    <xf numFmtId="43" fontId="58"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9"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9"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9"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44" borderId="54" applyNumberFormat="0" applyFont="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5" fillId="4"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19"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19" fillId="0" borderId="0"/>
    <xf numFmtId="44" fontId="57" fillId="0" borderId="0" applyFont="0" applyFill="0" applyBorder="0" applyAlignment="0" applyProtection="0"/>
    <xf numFmtId="0" fontId="19" fillId="0" borderId="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31"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2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2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31"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19"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8"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19"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8"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15" fillId="11" borderId="0" applyNumberFormat="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15" fillId="4"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19"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19"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15" fillId="4"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27" fillId="0" borderId="0"/>
    <xf numFmtId="0" fontId="57" fillId="0" borderId="0"/>
    <xf numFmtId="0" fontId="57" fillId="0" borderId="0"/>
    <xf numFmtId="44" fontId="57" fillId="0" borderId="0" applyFont="0" applyFill="0" applyBorder="0" applyAlignment="0" applyProtection="0"/>
    <xf numFmtId="0" fontId="57" fillId="0" borderId="0"/>
    <xf numFmtId="0" fontId="2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8" fillId="0" borderId="0"/>
    <xf numFmtId="0" fontId="19"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19" fillId="0" borderId="0"/>
    <xf numFmtId="0" fontId="31"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43" fontId="58"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19"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19" fillId="0" borderId="0"/>
    <xf numFmtId="0" fontId="57" fillId="0" borderId="0"/>
    <xf numFmtId="0" fontId="57" fillId="0" borderId="0"/>
    <xf numFmtId="0" fontId="57" fillId="0" borderId="0"/>
    <xf numFmtId="43" fontId="57" fillId="0" borderId="0" applyFont="0" applyFill="0" applyBorder="0" applyAlignment="0" applyProtection="0"/>
    <xf numFmtId="0" fontId="2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19" fillId="0" borderId="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2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8"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15" fillId="13"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15" fillId="7" borderId="0" applyNumberFormat="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19"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2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2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19"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31"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31" fillId="0" borderId="0"/>
    <xf numFmtId="0" fontId="57" fillId="0" borderId="0"/>
    <xf numFmtId="0" fontId="57" fillId="0" borderId="0"/>
    <xf numFmtId="0" fontId="57" fillId="0" borderId="0"/>
    <xf numFmtId="0" fontId="57" fillId="0" borderId="0"/>
    <xf numFmtId="0" fontId="57" fillId="0" borderId="0"/>
    <xf numFmtId="0" fontId="15" fillId="8"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19"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19" fillId="0" borderId="0"/>
    <xf numFmtId="0" fontId="57" fillId="0" borderId="0"/>
    <xf numFmtId="0" fontId="31"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19"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15" fillId="11"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15" fillId="4" borderId="0" applyNumberFormat="0" applyBorder="0" applyAlignment="0" applyProtection="0"/>
    <xf numFmtId="0" fontId="57" fillId="0" borderId="0"/>
    <xf numFmtId="0" fontId="57" fillId="0" borderId="0"/>
    <xf numFmtId="0" fontId="57" fillId="0" borderId="0"/>
    <xf numFmtId="0" fontId="57" fillId="0" borderId="0"/>
    <xf numFmtId="0" fontId="19" fillId="0" borderId="0"/>
    <xf numFmtId="0" fontId="57" fillId="0" borderId="0"/>
    <xf numFmtId="43" fontId="57" fillId="0" borderId="0" applyFont="0" applyFill="0" applyBorder="0" applyAlignment="0" applyProtection="0"/>
    <xf numFmtId="0" fontId="57" fillId="0" borderId="0"/>
    <xf numFmtId="0" fontId="19"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4"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9"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15" fillId="4"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15" fillId="13" borderId="0" applyNumberFormat="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9"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19" fillId="0" borderId="0"/>
    <xf numFmtId="0" fontId="57" fillId="0" borderId="0"/>
    <xf numFmtId="9"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19"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2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31"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0" fontId="19"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8"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9" fontId="58" fillId="0" borderId="0" applyFont="0" applyFill="0" applyBorder="0" applyAlignment="0" applyProtection="0"/>
    <xf numFmtId="0" fontId="19"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19" fillId="0" borderId="0"/>
    <xf numFmtId="0" fontId="57" fillId="0" borderId="0"/>
    <xf numFmtId="0" fontId="57" fillId="0" borderId="0"/>
    <xf numFmtId="44" fontId="57" fillId="0" borderId="0" applyFont="0" applyFill="0" applyBorder="0" applyAlignment="0" applyProtection="0"/>
    <xf numFmtId="0" fontId="57" fillId="0" borderId="0"/>
    <xf numFmtId="0" fontId="31" fillId="0" borderId="0"/>
    <xf numFmtId="0" fontId="19"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27" fillId="0" borderId="0"/>
    <xf numFmtId="0" fontId="31"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19" fillId="0" borderId="0"/>
    <xf numFmtId="0" fontId="57" fillId="0" borderId="0"/>
    <xf numFmtId="44" fontId="57" fillId="0" borderId="0" applyFont="0" applyFill="0" applyBorder="0" applyAlignment="0" applyProtection="0"/>
    <xf numFmtId="9" fontId="54" fillId="0" borderId="0" applyFont="0" applyFill="0" applyBorder="0" applyAlignment="0" applyProtection="0"/>
    <xf numFmtId="0" fontId="31"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5" fillId="20" borderId="0" applyFont="0" applyBorder="0" applyAlignment="0">
      <alignment horizontal="center" wrapText="1"/>
    </xf>
    <xf numFmtId="0" fontId="57" fillId="0" borderId="0"/>
    <xf numFmtId="43" fontId="1" fillId="0" borderId="0" applyFont="0" applyFill="0" applyBorder="0" applyAlignment="0" applyProtection="0"/>
    <xf numFmtId="44" fontId="57" fillId="0" borderId="0" applyFont="0" applyFill="0" applyBorder="0" applyAlignment="0" applyProtection="0"/>
    <xf numFmtId="0" fontId="19"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19"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19"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2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2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19" fillId="0" borderId="0"/>
    <xf numFmtId="0" fontId="57" fillId="0" borderId="0"/>
    <xf numFmtId="0" fontId="57" fillId="0" borderId="0"/>
    <xf numFmtId="43" fontId="57" fillId="0" borderId="0" applyFont="0" applyFill="0" applyBorder="0" applyAlignment="0" applyProtection="0"/>
    <xf numFmtId="0" fontId="57" fillId="0" borderId="0"/>
    <xf numFmtId="43" fontId="58"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19" fillId="0" borderId="0"/>
    <xf numFmtId="0" fontId="57" fillId="0" borderId="0"/>
    <xf numFmtId="0" fontId="57" fillId="0" borderId="0"/>
    <xf numFmtId="43" fontId="1" fillId="0" borderId="0" applyFont="0" applyFill="0" applyBorder="0" applyAlignment="0" applyProtection="0"/>
    <xf numFmtId="0" fontId="57" fillId="0" borderId="0"/>
    <xf numFmtId="0" fontId="2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19"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19"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27" fillId="0" borderId="0"/>
    <xf numFmtId="0" fontId="57" fillId="0" borderId="0"/>
    <xf numFmtId="0" fontId="57" fillId="0" borderId="0"/>
    <xf numFmtId="0" fontId="57" fillId="0" borderId="0"/>
    <xf numFmtId="0" fontId="27" fillId="0" borderId="0"/>
    <xf numFmtId="44" fontId="1"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27" fillId="0" borderId="0"/>
    <xf numFmtId="0" fontId="57" fillId="0" borderId="0"/>
    <xf numFmtId="0" fontId="57" fillId="0" borderId="0"/>
    <xf numFmtId="0" fontId="19"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15" fillId="8"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15" fillId="13" borderId="0" applyNumberFormat="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19"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19"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19" fillId="0" borderId="0"/>
    <xf numFmtId="0" fontId="57" fillId="0" borderId="0"/>
    <xf numFmtId="44" fontId="57" fillId="0" borderId="0" applyFont="0" applyFill="0" applyBorder="0" applyAlignment="0" applyProtection="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0" fontId="19"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31" fillId="0" borderId="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15" fillId="4" borderId="0" applyNumberFormat="0" applyBorder="0" applyAlignment="0" applyProtection="0"/>
    <xf numFmtId="0" fontId="57" fillId="0" borderId="0"/>
    <xf numFmtId="0" fontId="2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15" fillId="8" borderId="0" applyNumberFormat="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31" fillId="0" borderId="0"/>
    <xf numFmtId="0" fontId="57" fillId="0" borderId="0"/>
    <xf numFmtId="43" fontId="58"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31" fillId="0" borderId="0"/>
    <xf numFmtId="0" fontId="31"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31"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4"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19"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2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31"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19"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19"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31"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54"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2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19" fillId="0" borderId="0"/>
    <xf numFmtId="0" fontId="19" fillId="0" borderId="0"/>
    <xf numFmtId="43" fontId="57" fillId="0" borderId="0" applyFont="0" applyFill="0" applyBorder="0" applyAlignment="0" applyProtection="0"/>
    <xf numFmtId="0" fontId="15" fillId="7" borderId="0" applyNumberFormat="0" applyBorder="0" applyAlignment="0" applyProtection="0"/>
    <xf numFmtId="0" fontId="57" fillId="0" borderId="0"/>
    <xf numFmtId="0" fontId="15" fillId="11" borderId="0" applyNumberFormat="0" applyBorder="0" applyAlignment="0" applyProtection="0"/>
    <xf numFmtId="0" fontId="57" fillId="0" borderId="0"/>
    <xf numFmtId="0" fontId="27" fillId="0" borderId="0"/>
    <xf numFmtId="44" fontId="57" fillId="0" borderId="0" applyFont="0" applyFill="0" applyBorder="0" applyAlignment="0" applyProtection="0"/>
    <xf numFmtId="0" fontId="19" fillId="0" borderId="0"/>
    <xf numFmtId="44" fontId="57" fillId="0" borderId="0" applyFont="0" applyFill="0" applyBorder="0" applyAlignment="0" applyProtection="0"/>
    <xf numFmtId="43" fontId="57" fillId="0" borderId="0" applyFont="0" applyFill="0" applyBorder="0" applyAlignment="0" applyProtection="0"/>
    <xf numFmtId="0" fontId="31" fillId="0" borderId="0"/>
    <xf numFmtId="0" fontId="57" fillId="0" borderId="0"/>
    <xf numFmtId="0" fontId="57" fillId="0" borderId="0"/>
    <xf numFmtId="0" fontId="57" fillId="0" borderId="0"/>
    <xf numFmtId="0" fontId="57" fillId="0" borderId="0"/>
    <xf numFmtId="0" fontId="27" fillId="0" borderId="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31"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43" fontId="57" fillId="0" borderId="0" applyFont="0" applyFill="0" applyBorder="0" applyAlignment="0" applyProtection="0"/>
    <xf numFmtId="0" fontId="57" fillId="0" borderId="0"/>
    <xf numFmtId="0" fontId="19" fillId="0" borderId="0"/>
    <xf numFmtId="0" fontId="19" fillId="0" borderId="0"/>
    <xf numFmtId="43" fontId="58"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15" fillId="7" borderId="0" applyNumberFormat="0" applyBorder="0" applyAlignment="0" applyProtection="0"/>
    <xf numFmtId="0" fontId="19" fillId="0" borderId="0"/>
    <xf numFmtId="0" fontId="62" fillId="20" borderId="0" applyFont="0" applyBorder="0" applyAlignment="0">
      <alignment horizontal="center" wrapText="1"/>
    </xf>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43" fontId="57" fillId="0" borderId="0" applyFont="0" applyFill="0" applyBorder="0" applyAlignment="0" applyProtection="0"/>
    <xf numFmtId="0" fontId="31" fillId="0" borderId="0"/>
    <xf numFmtId="0" fontId="27" fillId="0" borderId="0"/>
    <xf numFmtId="0" fontId="19" fillId="0" borderId="0"/>
    <xf numFmtId="0" fontId="19"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2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19"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27" fillId="0" borderId="0"/>
    <xf numFmtId="0" fontId="57" fillId="0" borderId="0"/>
    <xf numFmtId="0" fontId="19" fillId="0" borderId="0"/>
    <xf numFmtId="0" fontId="57" fillId="0" borderId="0"/>
    <xf numFmtId="0" fontId="57" fillId="0" borderId="0"/>
    <xf numFmtId="0" fontId="57" fillId="0" borderId="0"/>
    <xf numFmtId="0" fontId="57" fillId="0" borderId="0"/>
    <xf numFmtId="0" fontId="27" fillId="0" borderId="0"/>
    <xf numFmtId="0" fontId="27" fillId="0" borderId="0"/>
    <xf numFmtId="0" fontId="57" fillId="0" borderId="0"/>
    <xf numFmtId="0" fontId="57" fillId="0" borderId="0"/>
    <xf numFmtId="0" fontId="57" fillId="0" borderId="0"/>
    <xf numFmtId="43" fontId="1" fillId="0" borderId="0" applyFont="0" applyFill="0" applyBorder="0" applyAlignment="0" applyProtection="0"/>
    <xf numFmtId="0" fontId="19" fillId="0" borderId="0"/>
    <xf numFmtId="43" fontId="57" fillId="0" borderId="0" applyFont="0" applyFill="0" applyBorder="0" applyAlignment="0" applyProtection="0"/>
    <xf numFmtId="0" fontId="2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19" fillId="0" borderId="0"/>
    <xf numFmtId="43" fontId="57" fillId="0" borderId="0" applyFont="0" applyFill="0" applyBorder="0" applyAlignment="0" applyProtection="0"/>
    <xf numFmtId="43" fontId="57" fillId="0" borderId="0" applyFont="0" applyFill="0" applyBorder="0" applyAlignment="0" applyProtection="0"/>
    <xf numFmtId="0" fontId="2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19" fillId="0" borderId="0"/>
    <xf numFmtId="43" fontId="57" fillId="0" borderId="0" applyFont="0" applyFill="0" applyBorder="0" applyAlignment="0" applyProtection="0"/>
    <xf numFmtId="0" fontId="57" fillId="0" borderId="0"/>
    <xf numFmtId="0" fontId="57" fillId="0" borderId="0"/>
    <xf numFmtId="0" fontId="2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43" fontId="58"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27" fillId="0" borderId="0"/>
    <xf numFmtId="0" fontId="31" fillId="0" borderId="0"/>
    <xf numFmtId="44" fontId="58" fillId="0" borderId="0" applyFont="0" applyFill="0" applyBorder="0" applyAlignment="0" applyProtection="0"/>
    <xf numFmtId="43" fontId="57" fillId="0" borderId="0" applyFont="0" applyFill="0" applyBorder="0" applyAlignment="0" applyProtection="0"/>
    <xf numFmtId="0" fontId="27" fillId="0" borderId="0"/>
    <xf numFmtId="0" fontId="19"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0" fontId="19" fillId="0" borderId="0"/>
    <xf numFmtId="0" fontId="27" fillId="0" borderId="0"/>
    <xf numFmtId="0" fontId="57" fillId="0" borderId="0"/>
    <xf numFmtId="44" fontId="1"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62" fillId="20" borderId="0" applyFont="0" applyBorder="0" applyAlignment="0">
      <alignment horizontal="center" wrapText="1"/>
    </xf>
    <xf numFmtId="0" fontId="31" fillId="0" borderId="0"/>
    <xf numFmtId="0" fontId="19" fillId="0" borderId="0"/>
    <xf numFmtId="43" fontId="1" fillId="0" borderId="0" applyFont="0" applyFill="0" applyBorder="0" applyAlignment="0" applyProtection="0"/>
    <xf numFmtId="0" fontId="57" fillId="0" borderId="0"/>
    <xf numFmtId="0" fontId="19"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27" fillId="0" borderId="0"/>
    <xf numFmtId="0" fontId="19" fillId="0" borderId="0"/>
    <xf numFmtId="0" fontId="57" fillId="0" borderId="0"/>
    <xf numFmtId="0" fontId="55" fillId="20" borderId="0" applyFont="0" applyBorder="0" applyAlignment="0">
      <alignment horizontal="center" wrapText="1"/>
    </xf>
    <xf numFmtId="0" fontId="57" fillId="0" borderId="0"/>
    <xf numFmtId="0" fontId="57" fillId="0" borderId="0"/>
    <xf numFmtId="0" fontId="1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57" fillId="0" borderId="0"/>
    <xf numFmtId="0" fontId="57" fillId="0" borderId="0"/>
    <xf numFmtId="0" fontId="57" fillId="0" borderId="0"/>
    <xf numFmtId="43" fontId="54" fillId="0" borderId="0" applyFont="0" applyFill="0" applyBorder="0" applyAlignment="0" applyProtection="0"/>
    <xf numFmtId="0" fontId="57" fillId="0" borderId="0"/>
    <xf numFmtId="0" fontId="19" fillId="0" borderId="0"/>
    <xf numFmtId="44" fontId="1" fillId="0" borderId="0" applyFont="0" applyFill="0" applyBorder="0" applyAlignment="0" applyProtection="0"/>
    <xf numFmtId="0" fontId="19" fillId="0" borderId="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31"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19" fillId="0" borderId="0"/>
    <xf numFmtId="0" fontId="19" fillId="0" borderId="0"/>
    <xf numFmtId="0" fontId="27" fillId="0" borderId="0"/>
    <xf numFmtId="0" fontId="57" fillId="0" borderId="0"/>
    <xf numFmtId="0" fontId="27" fillId="0" borderId="0"/>
    <xf numFmtId="0" fontId="19"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19" fillId="0" borderId="0"/>
    <xf numFmtId="0" fontId="27" fillId="0" borderId="0"/>
    <xf numFmtId="43" fontId="57" fillId="0" borderId="0" applyFont="0" applyFill="0" applyBorder="0" applyAlignment="0" applyProtection="0"/>
    <xf numFmtId="0" fontId="57" fillId="0" borderId="0"/>
    <xf numFmtId="0" fontId="57" fillId="0" borderId="0"/>
    <xf numFmtId="0" fontId="19" fillId="0" borderId="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9"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9"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2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9" fontId="1" fillId="0" borderId="0" applyFont="0" applyFill="0" applyBorder="0" applyAlignment="0" applyProtection="0"/>
    <xf numFmtId="0" fontId="2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0" fontId="19"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4"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31" fillId="0" borderId="0"/>
    <xf numFmtId="0" fontId="19"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43" fontId="54"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27" fillId="0" borderId="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31"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57" fillId="0" borderId="0" applyFont="0" applyFill="0" applyBorder="0" applyAlignment="0" applyProtection="0"/>
    <xf numFmtId="0" fontId="19"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31"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27" fillId="0" borderId="0"/>
    <xf numFmtId="44"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4" fontId="1" fillId="0" borderId="0" applyFont="0" applyFill="0" applyBorder="0" applyAlignment="0" applyProtection="0"/>
    <xf numFmtId="0" fontId="57" fillId="0" borderId="0"/>
    <xf numFmtId="44"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2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43" fontId="58"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54"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4"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31"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44" fontId="1"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9"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9"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4" fontId="54"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44" fontId="1" fillId="0" borderId="0" applyFont="0" applyFill="0" applyBorder="0" applyAlignment="0" applyProtection="0"/>
    <xf numFmtId="44" fontId="57"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27" fillId="0" borderId="0"/>
    <xf numFmtId="0" fontId="19" fillId="0" borderId="0"/>
    <xf numFmtId="0" fontId="19" fillId="0" borderId="0"/>
    <xf numFmtId="0" fontId="27" fillId="0" borderId="0"/>
    <xf numFmtId="0" fontId="19" fillId="0" borderId="0"/>
    <xf numFmtId="0" fontId="19" fillId="0" borderId="0"/>
    <xf numFmtId="0" fontId="31"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44" fontId="1" fillId="0" borderId="0" applyFont="0" applyFill="0" applyBorder="0" applyAlignment="0" applyProtection="0"/>
    <xf numFmtId="44" fontId="1" fillId="0" borderId="0" applyFont="0" applyFill="0" applyBorder="0" applyAlignment="0" applyProtection="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31"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31"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31"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4" fontId="1"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4"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4"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54"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9"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4"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19"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9"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31"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57" fillId="0" borderId="0"/>
    <xf numFmtId="44"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43" fontId="54"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2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43" fontId="54"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4"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44" borderId="54" applyNumberFormat="0" applyFont="0" applyAlignment="0" applyProtection="0"/>
    <xf numFmtId="0" fontId="159" fillId="0" borderId="0" applyNumberFormat="0" applyFill="0" applyBorder="0" applyAlignment="0" applyProtection="0"/>
    <xf numFmtId="0" fontId="57" fillId="56" borderId="0" applyNumberFormat="0" applyBorder="0" applyAlignment="0" applyProtection="0"/>
    <xf numFmtId="0" fontId="57" fillId="57" borderId="0" applyNumberFormat="0" applyBorder="0" applyAlignment="0" applyProtection="0"/>
    <xf numFmtId="0" fontId="57" fillId="59" borderId="0" applyNumberFormat="0" applyBorder="0" applyAlignment="0" applyProtection="0"/>
    <xf numFmtId="0" fontId="57" fillId="60" borderId="0" applyNumberFormat="0" applyBorder="0" applyAlignment="0" applyProtection="0"/>
    <xf numFmtId="0" fontId="57" fillId="62" borderId="0" applyNumberFormat="0" applyBorder="0" applyAlignment="0" applyProtection="0"/>
    <xf numFmtId="0" fontId="57" fillId="63" borderId="0" applyNumberFormat="0" applyBorder="0" applyAlignment="0" applyProtection="0"/>
    <xf numFmtId="0" fontId="57" fillId="65" borderId="0" applyNumberFormat="0" applyBorder="0" applyAlignment="0" applyProtection="0"/>
    <xf numFmtId="0" fontId="57" fillId="66" borderId="0" applyNumberFormat="0" applyBorder="0" applyAlignment="0" applyProtection="0"/>
    <xf numFmtId="0" fontId="57" fillId="68" borderId="0" applyNumberFormat="0" applyBorder="0" applyAlignment="0" applyProtection="0"/>
    <xf numFmtId="0" fontId="57" fillId="69" borderId="0" applyNumberFormat="0" applyBorder="0" applyAlignment="0" applyProtection="0"/>
    <xf numFmtId="0" fontId="57" fillId="71" borderId="0" applyNumberFormat="0" applyBorder="0" applyAlignment="0" applyProtection="0"/>
    <xf numFmtId="0" fontId="57" fillId="72" borderId="0" applyNumberFormat="0" applyBorder="0" applyAlignment="0" applyProtection="0"/>
    <xf numFmtId="0" fontId="58" fillId="56" borderId="0" applyNumberFormat="0" applyBorder="0" applyAlignment="0" applyProtection="0"/>
    <xf numFmtId="0" fontId="58" fillId="59" borderId="0" applyNumberFormat="0" applyBorder="0" applyAlignment="0" applyProtection="0"/>
    <xf numFmtId="0" fontId="58" fillId="62" borderId="0" applyNumberFormat="0" applyBorder="0" applyAlignment="0" applyProtection="0"/>
    <xf numFmtId="0" fontId="58" fillId="65" borderId="0" applyNumberFormat="0" applyBorder="0" applyAlignment="0" applyProtection="0"/>
    <xf numFmtId="0" fontId="58" fillId="68" borderId="0" applyNumberFormat="0" applyBorder="0" applyAlignment="0" applyProtection="0"/>
    <xf numFmtId="0" fontId="58" fillId="71" borderId="0" applyNumberFormat="0" applyBorder="0" applyAlignment="0" applyProtection="0"/>
    <xf numFmtId="0" fontId="58" fillId="57" borderId="0" applyNumberFormat="0" applyBorder="0" applyAlignment="0" applyProtection="0"/>
    <xf numFmtId="0" fontId="58" fillId="60" borderId="0" applyNumberFormat="0" applyBorder="0" applyAlignment="0" applyProtection="0"/>
    <xf numFmtId="0" fontId="58" fillId="63" borderId="0" applyNumberFormat="0" applyBorder="0" applyAlignment="0" applyProtection="0"/>
    <xf numFmtId="0" fontId="58" fillId="66" borderId="0" applyNumberFormat="0" applyBorder="0" applyAlignment="0" applyProtection="0"/>
    <xf numFmtId="0" fontId="58" fillId="69" borderId="0" applyNumberFormat="0" applyBorder="0" applyAlignment="0" applyProtection="0"/>
    <xf numFmtId="0" fontId="58" fillId="72" borderId="0" applyNumberFormat="0" applyBorder="0" applyAlignment="0" applyProtection="0"/>
    <xf numFmtId="0" fontId="144" fillId="58" borderId="0" applyNumberFormat="0" applyBorder="0" applyAlignment="0" applyProtection="0"/>
    <xf numFmtId="0" fontId="160" fillId="58" borderId="0" applyNumberFormat="0" applyBorder="0" applyAlignment="0" applyProtection="0"/>
    <xf numFmtId="0" fontId="144" fillId="61" borderId="0" applyNumberFormat="0" applyBorder="0" applyAlignment="0" applyProtection="0"/>
    <xf numFmtId="0" fontId="160" fillId="61" borderId="0" applyNumberFormat="0" applyBorder="0" applyAlignment="0" applyProtection="0"/>
    <xf numFmtId="0" fontId="144" fillId="64" borderId="0" applyNumberFormat="0" applyBorder="0" applyAlignment="0" applyProtection="0"/>
    <xf numFmtId="0" fontId="160" fillId="64" borderId="0" applyNumberFormat="0" applyBorder="0" applyAlignment="0" applyProtection="0"/>
    <xf numFmtId="0" fontId="144" fillId="67" borderId="0" applyNumberFormat="0" applyBorder="0" applyAlignment="0" applyProtection="0"/>
    <xf numFmtId="0" fontId="160" fillId="67" borderId="0" applyNumberFormat="0" applyBorder="0" applyAlignment="0" applyProtection="0"/>
    <xf numFmtId="0" fontId="144" fillId="70" borderId="0" applyNumberFormat="0" applyBorder="0" applyAlignment="0" applyProtection="0"/>
    <xf numFmtId="0" fontId="160" fillId="70" borderId="0" applyNumberFormat="0" applyBorder="0" applyAlignment="0" applyProtection="0"/>
    <xf numFmtId="0" fontId="144" fillId="73" borderId="0" applyNumberFormat="0" applyBorder="0" applyAlignment="0" applyProtection="0"/>
    <xf numFmtId="0" fontId="160" fillId="73"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8" borderId="0" applyNumberFormat="0" applyBorder="0" applyAlignment="0" applyProtection="0"/>
    <xf numFmtId="0" fontId="160" fillId="48"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1" fillId="39" borderId="0" applyNumberFormat="0" applyBorder="0" applyAlignment="0" applyProtection="0"/>
    <xf numFmtId="0" fontId="162" fillId="42" borderId="50" applyNumberFormat="0" applyAlignment="0" applyProtection="0"/>
    <xf numFmtId="0" fontId="163" fillId="43" borderId="53"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7" fillId="0" borderId="0" applyFont="0" applyFill="0" applyBorder="0" applyAlignment="0" applyProtection="0"/>
    <xf numFmtId="43" fontId="19" fillId="0" borderId="0" applyFont="0" applyFill="0" applyBorder="0" applyAlignment="0" applyProtection="0"/>
    <xf numFmtId="43" fontId="58" fillId="0" borderId="0" applyFont="0" applyFill="0" applyBorder="0" applyAlignment="0" applyProtection="0"/>
    <xf numFmtId="0" fontId="164" fillId="0" borderId="0" applyNumberFormat="0" applyFill="0" applyBorder="0" applyAlignment="0" applyProtection="0"/>
    <xf numFmtId="0" fontId="165" fillId="38" borderId="0" applyNumberFormat="0" applyBorder="0" applyAlignment="0" applyProtection="0"/>
    <xf numFmtId="0" fontId="166" fillId="0" borderId="47" applyNumberFormat="0" applyFill="0" applyAlignment="0" applyProtection="0"/>
    <xf numFmtId="0" fontId="167" fillId="0" borderId="4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168" fillId="0" borderId="49" applyNumberFormat="0" applyFill="0" applyAlignment="0" applyProtection="0"/>
    <xf numFmtId="0" fontId="168" fillId="0" borderId="0" applyNumberFormat="0" applyFill="0" applyBorder="0" applyAlignment="0" applyProtection="0"/>
    <xf numFmtId="0" fontId="169" fillId="41" borderId="50" applyNumberFormat="0" applyAlignment="0" applyProtection="0"/>
    <xf numFmtId="0" fontId="170" fillId="0" borderId="52" applyNumberFormat="0" applyFill="0" applyAlignment="0" applyProtection="0"/>
    <xf numFmtId="0" fontId="171" fillId="40" borderId="0" applyNumberFormat="0" applyBorder="0" applyAlignment="0" applyProtection="0"/>
    <xf numFmtId="0" fontId="11" fillId="0" borderId="0"/>
    <xf numFmtId="0" fontId="58" fillId="0" borderId="0"/>
    <xf numFmtId="0" fontId="58" fillId="0" borderId="0"/>
    <xf numFmtId="0" fontId="58" fillId="0" borderId="0"/>
    <xf numFmtId="0" fontId="58" fillId="0" borderId="0"/>
    <xf numFmtId="0" fontId="11" fillId="0" borderId="0"/>
    <xf numFmtId="0" fontId="11" fillId="0" borderId="0"/>
    <xf numFmtId="0" fontId="19" fillId="0" borderId="0"/>
    <xf numFmtId="0" fontId="27" fillId="0" borderId="0"/>
    <xf numFmtId="0" fontId="19" fillId="0" borderId="0"/>
    <xf numFmtId="0" fontId="58" fillId="0" borderId="0"/>
    <xf numFmtId="0" fontId="57" fillId="0" borderId="0"/>
    <xf numFmtId="0" fontId="19" fillId="0" borderId="0"/>
    <xf numFmtId="0" fontId="57" fillId="0" borderId="0"/>
    <xf numFmtId="0" fontId="19" fillId="0" borderId="0"/>
    <xf numFmtId="0" fontId="19" fillId="0" borderId="0"/>
    <xf numFmtId="0" fontId="19" fillId="0" borderId="0"/>
    <xf numFmtId="0" fontId="19" fillId="0" borderId="0"/>
    <xf numFmtId="0" fontId="19" fillId="0" borderId="0"/>
    <xf numFmtId="0" fontId="58" fillId="44" borderId="54" applyNumberFormat="0" applyFont="0" applyAlignment="0" applyProtection="0"/>
    <xf numFmtId="0" fontId="172" fillId="42" borderId="51" applyNumberFormat="0" applyAlignment="0" applyProtection="0"/>
    <xf numFmtId="9" fontId="11" fillId="0" borderId="0" applyFont="0" applyFill="0" applyBorder="0" applyAlignment="0" applyProtection="0"/>
    <xf numFmtId="0" fontId="173" fillId="0" borderId="0" applyNumberFormat="0" applyFill="0" applyBorder="0" applyAlignment="0" applyProtection="0"/>
    <xf numFmtId="0" fontId="174" fillId="0" borderId="55" applyNumberFormat="0" applyFill="0" applyAlignment="0" applyProtection="0"/>
    <xf numFmtId="0" fontId="175" fillId="0" borderId="0" applyNumberFormat="0" applyFill="0" applyBorder="0" applyAlignment="0" applyProtection="0"/>
    <xf numFmtId="0" fontId="184" fillId="0" borderId="0"/>
    <xf numFmtId="43" fontId="185" fillId="0" borderId="0" applyFont="0" applyFill="0" applyBorder="0" applyAlignment="0" applyProtection="0"/>
    <xf numFmtId="0" fontId="185"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11" fillId="0" borderId="0"/>
    <xf numFmtId="0" fontId="186" fillId="0" borderId="0" applyNumberFormat="0" applyFill="0" applyBorder="0" applyAlignment="0" applyProtection="0">
      <alignment vertical="top"/>
      <protection locked="0"/>
    </xf>
    <xf numFmtId="0" fontId="187" fillId="0" borderId="0" applyNumberFormat="0" applyFill="0" applyBorder="0" applyAlignment="0" applyProtection="0"/>
    <xf numFmtId="0" fontId="117" fillId="0" borderId="0"/>
    <xf numFmtId="0" fontId="117" fillId="0" borderId="0"/>
    <xf numFmtId="0" fontId="117" fillId="0" borderId="0"/>
    <xf numFmtId="0" fontId="118" fillId="0" borderId="0"/>
    <xf numFmtId="0" fontId="118" fillId="0" borderId="0"/>
    <xf numFmtId="0" fontId="118" fillId="0" borderId="0"/>
    <xf numFmtId="0" fontId="118" fillId="0" borderId="0"/>
    <xf numFmtId="0" fontId="118" fillId="0" borderId="0"/>
    <xf numFmtId="0" fontId="117" fillId="0" borderId="0"/>
    <xf numFmtId="0" fontId="118" fillId="0" borderId="0"/>
    <xf numFmtId="0" fontId="118" fillId="0" borderId="0"/>
    <xf numFmtId="0" fontId="118" fillId="0" borderId="0"/>
    <xf numFmtId="0" fontId="118" fillId="0" borderId="0"/>
    <xf numFmtId="0" fontId="118" fillId="0" borderId="0"/>
    <xf numFmtId="0" fontId="119" fillId="0" borderId="0"/>
    <xf numFmtId="0" fontId="119" fillId="0" borderId="0"/>
    <xf numFmtId="0" fontId="57" fillId="0" borderId="0"/>
    <xf numFmtId="43" fontId="57" fillId="0" borderId="0" applyFont="0" applyFill="0" applyBorder="0" applyAlignment="0" applyProtection="0"/>
    <xf numFmtId="0" fontId="57" fillId="0" borderId="0"/>
    <xf numFmtId="0" fontId="19" fillId="0" borderId="0"/>
    <xf numFmtId="0" fontId="19" fillId="0" borderId="0"/>
    <xf numFmtId="0" fontId="27" fillId="0" borderId="0"/>
    <xf numFmtId="0" fontId="19" fillId="0" borderId="0"/>
    <xf numFmtId="0" fontId="19" fillId="0" borderId="0"/>
    <xf numFmtId="0" fontId="19" fillId="0" borderId="0"/>
    <xf numFmtId="0" fontId="19" fillId="0" borderId="0"/>
    <xf numFmtId="0" fontId="31" fillId="0" borderId="0"/>
    <xf numFmtId="0" fontId="19" fillId="0" borderId="0"/>
    <xf numFmtId="0" fontId="27" fillId="0" borderId="0"/>
    <xf numFmtId="43" fontId="11" fillId="0" borderId="0" applyFont="0" applyFill="0" applyBorder="0" applyAlignment="0" applyProtection="0"/>
    <xf numFmtId="43" fontId="1" fillId="0" borderId="0" applyFont="0" applyFill="0" applyBorder="0" applyAlignment="0" applyProtection="0"/>
    <xf numFmtId="0" fontId="58" fillId="0" borderId="0"/>
    <xf numFmtId="0" fontId="19" fillId="0" borderId="0"/>
    <xf numFmtId="0" fontId="19" fillId="0" borderId="0"/>
    <xf numFmtId="0" fontId="57" fillId="0" borderId="0"/>
    <xf numFmtId="0" fontId="19" fillId="0" borderId="0"/>
    <xf numFmtId="0" fontId="27" fillId="0" borderId="0"/>
    <xf numFmtId="0" fontId="31" fillId="0" borderId="0"/>
    <xf numFmtId="0" fontId="19" fillId="0" borderId="0"/>
    <xf numFmtId="0" fontId="19" fillId="0" borderId="0"/>
    <xf numFmtId="0" fontId="27" fillId="0" borderId="0"/>
    <xf numFmtId="0" fontId="185" fillId="0" borderId="0"/>
    <xf numFmtId="0" fontId="19" fillId="0" borderId="0"/>
    <xf numFmtId="0" fontId="185" fillId="0" borderId="0"/>
    <xf numFmtId="0" fontId="27" fillId="0" borderId="0"/>
    <xf numFmtId="0" fontId="27" fillId="0" borderId="0"/>
    <xf numFmtId="0" fontId="2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1" fillId="0" borderId="0"/>
    <xf numFmtId="0" fontId="31" fillId="0" borderId="0"/>
    <xf numFmtId="0" fontId="57" fillId="0" borderId="0"/>
    <xf numFmtId="0" fontId="193" fillId="0" borderId="0"/>
    <xf numFmtId="0" fontId="194" fillId="0" borderId="0"/>
    <xf numFmtId="0" fontId="194" fillId="0" borderId="0"/>
    <xf numFmtId="0" fontId="193" fillId="0" borderId="0"/>
    <xf numFmtId="0" fontId="194" fillId="0" borderId="0"/>
    <xf numFmtId="0" fontId="194" fillId="0" borderId="0"/>
    <xf numFmtId="0" fontId="195" fillId="0" borderId="0"/>
    <xf numFmtId="0" fontId="194" fillId="5" borderId="7" applyNumberFormat="0" applyFont="0" applyAlignment="0" applyProtection="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3"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4" fillId="0" borderId="0"/>
    <xf numFmtId="0" fontId="195"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4" fillId="0" borderId="0"/>
    <xf numFmtId="0" fontId="193" fillId="0" borderId="0"/>
    <xf numFmtId="0" fontId="193"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4" fillId="5" borderId="7" applyNumberFormat="0" applyFont="0" applyAlignment="0" applyProtection="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3"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4" fillId="0" borderId="0"/>
    <xf numFmtId="0" fontId="195" fillId="0" borderId="0"/>
    <xf numFmtId="0" fontId="194" fillId="0" borderId="0"/>
    <xf numFmtId="0" fontId="195" fillId="0" borderId="0"/>
    <xf numFmtId="0" fontId="194" fillId="0" borderId="0"/>
    <xf numFmtId="43" fontId="57" fillId="0" borderId="0" applyFont="0" applyFill="0" applyBorder="0" applyAlignment="0" applyProtection="0"/>
    <xf numFmtId="9"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193" fillId="0" borderId="0"/>
    <xf numFmtId="0" fontId="193" fillId="0" borderId="0"/>
    <xf numFmtId="0" fontId="194" fillId="0" borderId="0"/>
    <xf numFmtId="0" fontId="194" fillId="0" borderId="0"/>
    <xf numFmtId="0" fontId="194" fillId="0" borderId="0"/>
    <xf numFmtId="0" fontId="194" fillId="0" borderId="0"/>
    <xf numFmtId="0" fontId="195"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9" fontId="57" fillId="0" borderId="0" applyFont="0" applyFill="0" applyBorder="0" applyAlignment="0" applyProtection="0"/>
    <xf numFmtId="0" fontId="27" fillId="0" borderId="0"/>
    <xf numFmtId="0" fontId="31" fillId="0" borderId="0"/>
    <xf numFmtId="0" fontId="193" fillId="0" borderId="0"/>
    <xf numFmtId="0" fontId="193" fillId="0" borderId="0"/>
    <xf numFmtId="0" fontId="193" fillId="0" borderId="0"/>
    <xf numFmtId="0" fontId="193"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3" fillId="0" borderId="0"/>
    <xf numFmtId="0" fontId="193" fillId="0" borderId="0"/>
    <xf numFmtId="0" fontId="193" fillId="0" borderId="0"/>
    <xf numFmtId="0" fontId="193"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5" fillId="0" borderId="0"/>
    <xf numFmtId="0" fontId="195" fillId="0" borderId="0"/>
    <xf numFmtId="0" fontId="195" fillId="0" borderId="0"/>
    <xf numFmtId="0" fontId="195" fillId="0" borderId="0"/>
    <xf numFmtId="0" fontId="57" fillId="0" borderId="0"/>
    <xf numFmtId="43" fontId="57" fillId="0" borderId="0" applyFont="0" applyFill="0" applyBorder="0" applyAlignment="0" applyProtection="0"/>
    <xf numFmtId="0" fontId="193" fillId="0" borderId="0"/>
    <xf numFmtId="0" fontId="194" fillId="0" borderId="0"/>
    <xf numFmtId="0" fontId="194" fillId="0" borderId="0"/>
    <xf numFmtId="0" fontId="193" fillId="0" borderId="0"/>
    <xf numFmtId="0" fontId="193" fillId="0" borderId="0"/>
    <xf numFmtId="0" fontId="194" fillId="0" borderId="0"/>
    <xf numFmtId="0" fontId="194" fillId="0" borderId="0"/>
    <xf numFmtId="0" fontId="194" fillId="0" borderId="0"/>
    <xf numFmtId="0" fontId="195" fillId="0" borderId="0"/>
    <xf numFmtId="0" fontId="195" fillId="0" borderId="0"/>
    <xf numFmtId="43" fontId="57" fillId="0" borderId="0" applyFont="0" applyFill="0" applyBorder="0" applyAlignment="0" applyProtection="0"/>
    <xf numFmtId="44" fontId="5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9"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62" fillId="20" borderId="0" applyFont="0" applyBorder="0" applyAlignment="0">
      <alignment horizontal="center" wrapText="1"/>
    </xf>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31"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44" fontId="58" fillId="0" borderId="0" applyFont="0" applyFill="0" applyBorder="0" applyAlignment="0" applyProtection="0"/>
    <xf numFmtId="43" fontId="58" fillId="0" borderId="0" applyFont="0" applyFill="0" applyBorder="0" applyAlignment="0" applyProtection="0"/>
    <xf numFmtId="0" fontId="27" fillId="0" borderId="0"/>
    <xf numFmtId="43" fontId="58" fillId="0" borderId="0" applyFont="0" applyFill="0" applyBorder="0" applyAlignment="0" applyProtection="0"/>
    <xf numFmtId="43" fontId="58" fillId="0" borderId="0" applyFont="0" applyFill="0" applyBorder="0" applyAlignment="0" applyProtection="0"/>
    <xf numFmtId="9" fontId="58" fillId="0" borderId="0" applyFont="0" applyFill="0" applyBorder="0" applyAlignment="0" applyProtection="0"/>
    <xf numFmtId="43" fontId="5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62" fillId="20" borderId="0" applyFont="0" applyBorder="0" applyAlignment="0">
      <alignment horizontal="center" wrapText="1"/>
    </xf>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193" fillId="0" borderId="0"/>
    <xf numFmtId="0" fontId="194" fillId="0" borderId="0"/>
    <xf numFmtId="0" fontId="195" fillId="0" borderId="0"/>
    <xf numFmtId="0" fontId="31"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9"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cellStyleXfs>
  <cellXfs count="955">
    <xf numFmtId="0" fontId="0" fillId="0" borderId="0" xfId="0"/>
    <xf numFmtId="0" fontId="0" fillId="0" borderId="0" xfId="0" applyProtection="1"/>
    <xf numFmtId="0" fontId="0" fillId="0" borderId="0" xfId="0" applyFill="1" applyAlignment="1" applyProtection="1">
      <alignment horizontal="center"/>
    </xf>
    <xf numFmtId="0" fontId="0" fillId="0" borderId="0" xfId="0" applyAlignment="1" applyProtection="1">
      <alignment wrapText="1"/>
    </xf>
    <xf numFmtId="0" fontId="0" fillId="0" borderId="0" xfId="0" applyFill="1" applyProtection="1"/>
    <xf numFmtId="0" fontId="64" fillId="21" borderId="10" xfId="0" applyFont="1" applyFill="1" applyBorder="1" applyAlignment="1" applyProtection="1">
      <alignment horizontal="center" wrapText="1"/>
    </xf>
    <xf numFmtId="164" fontId="63" fillId="0" borderId="0" xfId="439" applyNumberFormat="1" applyFont="1" applyFill="1" applyAlignment="1" applyProtection="1">
      <alignment horizontal="center" wrapText="1"/>
    </xf>
    <xf numFmtId="41" fontId="65" fillId="0" borderId="0" xfId="0" applyNumberFormat="1" applyFont="1" applyFill="1" applyAlignment="1" applyProtection="1">
      <alignment wrapText="1"/>
    </xf>
    <xf numFmtId="41" fontId="65" fillId="0" borderId="0" xfId="0" applyNumberFormat="1" applyFont="1" applyAlignment="1" applyProtection="1">
      <alignment wrapText="1"/>
    </xf>
    <xf numFmtId="164" fontId="63" fillId="22" borderId="0" xfId="439" applyNumberFormat="1" applyFont="1" applyFill="1" applyAlignment="1" applyProtection="1">
      <alignment horizontal="center" wrapText="1"/>
    </xf>
    <xf numFmtId="41" fontId="65" fillId="21" borderId="11" xfId="0" applyNumberFormat="1" applyFont="1" applyFill="1" applyBorder="1" applyAlignment="1" applyProtection="1">
      <alignment wrapText="1"/>
    </xf>
    <xf numFmtId="41" fontId="65" fillId="21" borderId="12" xfId="0" applyNumberFormat="1" applyFont="1" applyFill="1" applyBorder="1" applyAlignment="1" applyProtection="1">
      <alignment wrapText="1"/>
    </xf>
    <xf numFmtId="0" fontId="0" fillId="21" borderId="0" xfId="0" applyFill="1" applyAlignment="1" applyProtection="1">
      <alignment wrapText="1"/>
    </xf>
    <xf numFmtId="0" fontId="0" fillId="0" borderId="0" xfId="0" applyAlignment="1" applyProtection="1">
      <alignment wrapText="1"/>
      <protection locked="0"/>
    </xf>
    <xf numFmtId="0" fontId="67" fillId="0" borderId="0" xfId="0" applyFont="1" applyProtection="1"/>
    <xf numFmtId="0" fontId="0" fillId="0" borderId="0" xfId="0" applyAlignment="1" applyProtection="1">
      <protection locked="0"/>
    </xf>
    <xf numFmtId="0" fontId="62" fillId="0" borderId="0" xfId="0" applyFont="1" applyFill="1" applyBorder="1" applyAlignment="1" applyProtection="1">
      <alignment horizontal="center"/>
    </xf>
    <xf numFmtId="0" fontId="0" fillId="0" borderId="0" xfId="0" applyFill="1" applyAlignment="1" applyProtection="1">
      <alignment wrapText="1"/>
      <protection locked="0"/>
    </xf>
    <xf numFmtId="0" fontId="68" fillId="21" borderId="10" xfId="0" applyFont="1" applyFill="1" applyBorder="1" applyAlignment="1" applyProtection="1">
      <alignment horizontal="center" vertical="center" wrapText="1"/>
    </xf>
    <xf numFmtId="0" fontId="68" fillId="0" borderId="0" xfId="0" applyFont="1" applyAlignment="1" applyProtection="1">
      <alignment horizontal="center" vertical="center"/>
    </xf>
    <xf numFmtId="0" fontId="68" fillId="21" borderId="13" xfId="0" applyFont="1" applyFill="1" applyBorder="1" applyAlignment="1" applyProtection="1">
      <alignment horizontal="left" vertical="center"/>
    </xf>
    <xf numFmtId="0" fontId="0" fillId="0" borderId="0" xfId="0" applyNumberFormat="1" applyFill="1" applyAlignment="1" applyProtection="1">
      <alignment horizontal="left" vertical="center" wrapText="1" indent="6"/>
    </xf>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0" fillId="0" borderId="0" xfId="0" applyNumberFormat="1" applyFont="1" applyFill="1" applyAlignment="1" applyProtection="1">
      <alignment horizontal="left" vertical="center" wrapText="1" indent="6"/>
    </xf>
    <xf numFmtId="0" fontId="0" fillId="0" borderId="0" xfId="0" applyAlignment="1" applyProtection="1">
      <alignment vertical="center"/>
    </xf>
    <xf numFmtId="0" fontId="70" fillId="21" borderId="0" xfId="0" applyFont="1" applyFill="1" applyBorder="1" applyProtection="1"/>
    <xf numFmtId="0" fontId="68" fillId="21" borderId="15" xfId="0" applyFont="1" applyFill="1" applyBorder="1" applyAlignment="1" applyProtection="1">
      <alignment horizontal="left" vertical="center"/>
    </xf>
    <xf numFmtId="0" fontId="71" fillId="0" borderId="0" xfId="0" applyFont="1" applyFill="1" applyBorder="1" applyAlignment="1" applyProtection="1">
      <alignment horizontal="left" vertical="center"/>
    </xf>
    <xf numFmtId="0" fontId="0" fillId="0" borderId="0" xfId="0" applyAlignment="1" applyProtection="1">
      <alignment vertical="center"/>
      <protection locked="0"/>
    </xf>
    <xf numFmtId="0" fontId="0" fillId="0" borderId="0" xfId="0" applyProtection="1">
      <protection locked="0"/>
    </xf>
    <xf numFmtId="38" fontId="69" fillId="0" borderId="0" xfId="439" applyNumberFormat="1" applyFont="1" applyFill="1" applyAlignment="1" applyProtection="1">
      <alignment horizontal="center" vertical="center" wrapText="1"/>
    </xf>
    <xf numFmtId="0" fontId="72" fillId="0" borderId="0" xfId="0" applyFont="1" applyAlignment="1" applyProtection="1">
      <alignment horizontal="right"/>
    </xf>
    <xf numFmtId="0" fontId="68" fillId="21" borderId="0" xfId="0" applyFont="1" applyFill="1" applyBorder="1" applyAlignment="1" applyProtection="1">
      <alignment horizontal="center" vertical="center" wrapText="1"/>
    </xf>
    <xf numFmtId="0" fontId="64" fillId="21" borderId="0" xfId="0" applyFont="1" applyFill="1" applyBorder="1" applyAlignment="1" applyProtection="1">
      <alignment horizontal="center" wrapText="1"/>
    </xf>
    <xf numFmtId="0" fontId="59" fillId="0" borderId="0" xfId="611" applyAlignment="1">
      <alignment vertical="center"/>
    </xf>
    <xf numFmtId="0" fontId="73" fillId="0" borderId="0" xfId="0" applyFont="1" applyAlignment="1">
      <alignment vertical="center"/>
    </xf>
    <xf numFmtId="0" fontId="0" fillId="23" borderId="0" xfId="0" applyFill="1" applyProtection="1"/>
    <xf numFmtId="40" fontId="74" fillId="21" borderId="16" xfId="0" applyNumberFormat="1" applyFont="1" applyFill="1" applyBorder="1" applyProtection="1"/>
    <xf numFmtId="0" fontId="71" fillId="0" borderId="0" xfId="0" applyFont="1" applyFill="1" applyAlignment="1" applyProtection="1">
      <alignment horizontal="center" vertical="center"/>
    </xf>
    <xf numFmtId="0" fontId="75" fillId="22" borderId="0" xfId="0" applyFont="1" applyFill="1" applyAlignment="1" applyProtection="1">
      <alignment horizontal="left" vertical="center"/>
    </xf>
    <xf numFmtId="0" fontId="76" fillId="24" borderId="10" xfId="0" applyFont="1" applyFill="1" applyBorder="1" applyAlignment="1" applyProtection="1">
      <alignment horizontal="center" wrapText="1"/>
    </xf>
    <xf numFmtId="0" fontId="65" fillId="0" borderId="0" xfId="0" applyFont="1" applyAlignment="1" applyProtection="1">
      <alignment horizontal="left" wrapText="1"/>
    </xf>
    <xf numFmtId="0" fontId="65" fillId="0" borderId="0" xfId="0" applyFont="1" applyAlignment="1" applyProtection="1">
      <alignment horizontal="left" vertical="center" wrapText="1"/>
    </xf>
    <xf numFmtId="0" fontId="65" fillId="24" borderId="0" xfId="0" applyFont="1" applyFill="1" applyBorder="1" applyAlignment="1" applyProtection="1">
      <alignment horizontal="left" wrapText="1"/>
    </xf>
    <xf numFmtId="0" fontId="63" fillId="0" borderId="0" xfId="0" applyFont="1" applyAlignment="1" applyProtection="1">
      <alignment horizontal="center"/>
    </xf>
    <xf numFmtId="0" fontId="77" fillId="21" borderId="10" xfId="0" applyFont="1" applyFill="1" applyBorder="1" applyAlignment="1" applyProtection="1">
      <alignment horizontal="center" wrapText="1"/>
    </xf>
    <xf numFmtId="164" fontId="69" fillId="22" borderId="0" xfId="439" applyNumberFormat="1" applyFont="1" applyFill="1" applyProtection="1"/>
    <xf numFmtId="0" fontId="78" fillId="22" borderId="0" xfId="0" applyFont="1" applyFill="1" applyAlignment="1" applyProtection="1">
      <alignment vertical="center"/>
    </xf>
    <xf numFmtId="0" fontId="79" fillId="22" borderId="0" xfId="0" applyFont="1" applyFill="1" applyAlignment="1" applyProtection="1">
      <alignment vertical="center"/>
    </xf>
    <xf numFmtId="0" fontId="80" fillId="0" borderId="0" xfId="0" applyFont="1" applyFill="1" applyAlignment="1" applyProtection="1">
      <alignment horizontal="center" vertical="center" wrapText="1"/>
    </xf>
    <xf numFmtId="167" fontId="63" fillId="23" borderId="0" xfId="545" applyNumberFormat="1" applyFont="1" applyFill="1" applyProtection="1"/>
    <xf numFmtId="0" fontId="81" fillId="22" borderId="0" xfId="0" applyFont="1" applyFill="1" applyAlignment="1" applyProtection="1">
      <alignment vertical="center"/>
      <protection locked="0"/>
    </xf>
    <xf numFmtId="0" fontId="0" fillId="21" borderId="0" xfId="0" applyFill="1" applyProtection="1"/>
    <xf numFmtId="0" fontId="0" fillId="0" borderId="0" xfId="0" applyFill="1" applyBorder="1" applyAlignment="1" applyProtection="1">
      <alignment horizontal="center"/>
    </xf>
    <xf numFmtId="0" fontId="0" fillId="0" borderId="0" xfId="0" applyFill="1" applyBorder="1" applyProtection="1"/>
    <xf numFmtId="0" fontId="0" fillId="0" borderId="0" xfId="0" applyBorder="1" applyProtection="1"/>
    <xf numFmtId="0" fontId="82" fillId="25" borderId="0" xfId="0" applyFont="1" applyFill="1" applyAlignment="1" applyProtection="1">
      <alignment horizontal="center" wrapText="1"/>
    </xf>
    <xf numFmtId="0" fontId="83" fillId="21" borderId="10" xfId="0" applyFont="1" applyFill="1" applyBorder="1" applyAlignment="1" applyProtection="1">
      <alignment horizontal="center" wrapText="1"/>
    </xf>
    <xf numFmtId="0" fontId="83" fillId="21" borderId="0" xfId="0" applyFont="1" applyFill="1" applyBorder="1" applyAlignment="1" applyProtection="1">
      <alignment horizontal="center" wrapText="1"/>
    </xf>
    <xf numFmtId="0" fontId="84" fillId="0" borderId="0" xfId="0" applyFont="1" applyBorder="1" applyAlignment="1" applyProtection="1">
      <alignment wrapText="1"/>
    </xf>
    <xf numFmtId="0" fontId="0" fillId="0" borderId="0" xfId="0" applyFont="1" applyAlignment="1" applyProtection="1">
      <alignment wrapText="1"/>
      <protection locked="0"/>
    </xf>
    <xf numFmtId="0" fontId="0" fillId="0" borderId="0" xfId="0" applyFont="1" applyFill="1" applyProtection="1"/>
    <xf numFmtId="0" fontId="85" fillId="0" borderId="0" xfId="0" applyFont="1" applyAlignment="1" applyProtection="1">
      <alignment horizontal="center" vertical="center" wrapText="1"/>
    </xf>
    <xf numFmtId="0" fontId="29" fillId="0" borderId="0" xfId="0" applyFont="1" applyFill="1" applyAlignment="1" applyProtection="1">
      <alignment horizontal="center" vertical="center" wrapText="1"/>
    </xf>
    <xf numFmtId="0" fontId="85" fillId="0" borderId="0" xfId="0" applyFont="1" applyAlignment="1" applyProtection="1">
      <alignment horizontal="center" vertical="center"/>
    </xf>
    <xf numFmtId="0" fontId="0" fillId="0" borderId="0" xfId="0" applyAlignment="1" applyProtection="1">
      <alignment wrapText="1"/>
      <protection locked="0"/>
    </xf>
    <xf numFmtId="0" fontId="0" fillId="0" borderId="0" xfId="0"/>
    <xf numFmtId="0" fontId="0" fillId="0" borderId="0" xfId="0" applyProtection="1"/>
    <xf numFmtId="41" fontId="66" fillId="0" borderId="0" xfId="0" applyNumberFormat="1" applyFont="1" applyFill="1" applyAlignment="1" applyProtection="1">
      <alignment wrapText="1"/>
    </xf>
    <xf numFmtId="0" fontId="58" fillId="0" borderId="0" xfId="682"/>
    <xf numFmtId="0" fontId="86" fillId="26" borderId="0" xfId="682" applyFont="1" applyFill="1"/>
    <xf numFmtId="0" fontId="58" fillId="26" borderId="0" xfId="682" applyFill="1"/>
    <xf numFmtId="0" fontId="87" fillId="26" borderId="0" xfId="682" applyFont="1" applyFill="1"/>
    <xf numFmtId="0" fontId="87" fillId="0" borderId="0" xfId="682" applyFont="1" applyFill="1"/>
    <xf numFmtId="0" fontId="88" fillId="0" borderId="0" xfId="682" applyFont="1"/>
    <xf numFmtId="0" fontId="88" fillId="0" borderId="0" xfId="682" applyFont="1" applyAlignment="1">
      <alignment vertical="center"/>
    </xf>
    <xf numFmtId="0" fontId="89" fillId="0" borderId="17" xfId="682" applyFont="1" applyBorder="1" applyAlignment="1">
      <alignment horizontal="center"/>
    </xf>
    <xf numFmtId="0" fontId="89" fillId="0" borderId="14" xfId="682" applyFont="1" applyBorder="1" applyAlignment="1">
      <alignment horizontal="center" vertical="center" wrapText="1"/>
    </xf>
    <xf numFmtId="0" fontId="90" fillId="0" borderId="0" xfId="682" applyFont="1"/>
    <xf numFmtId="0" fontId="91" fillId="0" borderId="0" xfId="682" applyFont="1"/>
    <xf numFmtId="167" fontId="30" fillId="26" borderId="0" xfId="546" applyNumberFormat="1" applyFont="1" applyFill="1"/>
    <xf numFmtId="167" fontId="91" fillId="0" borderId="0" xfId="546" applyNumberFormat="1" applyFont="1"/>
    <xf numFmtId="38" fontId="30" fillId="26" borderId="0" xfId="682" applyNumberFormat="1" applyFont="1" applyFill="1"/>
    <xf numFmtId="38" fontId="91" fillId="0" borderId="0" xfId="682" applyNumberFormat="1" applyFont="1"/>
    <xf numFmtId="38" fontId="91" fillId="26" borderId="0" xfId="682" applyNumberFormat="1" applyFont="1" applyFill="1"/>
    <xf numFmtId="38" fontId="91" fillId="26" borderId="17" xfId="449" applyNumberFormat="1" applyFont="1" applyFill="1" applyBorder="1"/>
    <xf numFmtId="38" fontId="91" fillId="0" borderId="0" xfId="449" applyNumberFormat="1" applyFont="1"/>
    <xf numFmtId="0" fontId="92" fillId="0" borderId="0" xfId="682" applyFont="1"/>
    <xf numFmtId="0" fontId="89" fillId="27" borderId="0" xfId="682" applyFont="1" applyFill="1"/>
    <xf numFmtId="0" fontId="58" fillId="27" borderId="0" xfId="682" applyFill="1"/>
    <xf numFmtId="0" fontId="91" fillId="27" borderId="0" xfId="682" applyFont="1" applyFill="1"/>
    <xf numFmtId="167" fontId="89" fillId="27" borderId="0" xfId="546" applyNumberFormat="1" applyFont="1" applyFill="1"/>
    <xf numFmtId="167" fontId="91" fillId="27" borderId="0" xfId="546" applyNumberFormat="1" applyFont="1" applyFill="1"/>
    <xf numFmtId="164" fontId="91" fillId="26" borderId="17" xfId="449" applyNumberFormat="1" applyFont="1" applyFill="1" applyBorder="1"/>
    <xf numFmtId="164" fontId="91" fillId="0" borderId="0" xfId="449" applyNumberFormat="1" applyFont="1"/>
    <xf numFmtId="0" fontId="90" fillId="0" borderId="0" xfId="682" applyFont="1" applyAlignment="1">
      <alignment vertical="center"/>
    </xf>
    <xf numFmtId="0" fontId="93" fillId="0" borderId="0" xfId="682" applyFont="1"/>
    <xf numFmtId="38" fontId="91" fillId="26" borderId="0" xfId="449" applyNumberFormat="1" applyFont="1" applyFill="1"/>
    <xf numFmtId="167" fontId="89" fillId="27" borderId="18" xfId="546" applyNumberFormat="1" applyFont="1" applyFill="1" applyBorder="1"/>
    <xf numFmtId="167" fontId="91" fillId="26" borderId="19" xfId="546" applyNumberFormat="1" applyFont="1" applyFill="1" applyBorder="1"/>
    <xf numFmtId="0" fontId="89" fillId="0" borderId="0" xfId="682" applyFont="1"/>
    <xf numFmtId="167" fontId="89" fillId="0" borderId="20" xfId="546" applyNumberFormat="1" applyFont="1" applyBorder="1"/>
    <xf numFmtId="0" fontId="89" fillId="0" borderId="0" xfId="682" applyFont="1" applyAlignment="1">
      <alignment horizontal="center"/>
    </xf>
    <xf numFmtId="167" fontId="30" fillId="0" borderId="0" xfId="546" applyNumberFormat="1" applyFont="1" applyFill="1"/>
    <xf numFmtId="38" fontId="30" fillId="0" borderId="0" xfId="449" applyNumberFormat="1" applyFont="1" applyFill="1"/>
    <xf numFmtId="38" fontId="30" fillId="0" borderId="17" xfId="449" applyNumberFormat="1" applyFont="1" applyFill="1" applyBorder="1"/>
    <xf numFmtId="167" fontId="91" fillId="0" borderId="19" xfId="546" applyNumberFormat="1" applyFont="1" applyBorder="1"/>
    <xf numFmtId="0" fontId="63" fillId="0" borderId="0" xfId="682" applyFont="1"/>
    <xf numFmtId="10" fontId="89" fillId="0" borderId="19" xfId="682" applyNumberFormat="1" applyFont="1" applyBorder="1"/>
    <xf numFmtId="164" fontId="57" fillId="0" borderId="0" xfId="439" applyNumberFormat="1" applyFont="1"/>
    <xf numFmtId="40" fontId="94" fillId="0" borderId="0" xfId="0" applyNumberFormat="1" applyFont="1"/>
    <xf numFmtId="0" fontId="83" fillId="0" borderId="0" xfId="0" applyFont="1"/>
    <xf numFmtId="2" fontId="0" fillId="0" borderId="0" xfId="0" applyNumberFormat="1"/>
    <xf numFmtId="38" fontId="30" fillId="26" borderId="0" xfId="0" applyNumberFormat="1" applyFont="1" applyFill="1"/>
    <xf numFmtId="38" fontId="30" fillId="26" borderId="17" xfId="0" applyNumberFormat="1" applyFont="1" applyFill="1" applyBorder="1"/>
    <xf numFmtId="0" fontId="83" fillId="0" borderId="0" xfId="0" applyFont="1" applyAlignment="1" applyProtection="1">
      <alignment wrapText="1"/>
      <protection locked="0"/>
    </xf>
    <xf numFmtId="0" fontId="77" fillId="21" borderId="0" xfId="0" applyFont="1" applyFill="1" applyBorder="1" applyAlignment="1" applyProtection="1">
      <alignment horizontal="center"/>
    </xf>
    <xf numFmtId="0" fontId="58" fillId="0" borderId="0" xfId="682"/>
    <xf numFmtId="0" fontId="95" fillId="0" borderId="0" xfId="682" applyFont="1" applyFill="1" applyAlignment="1">
      <alignment wrapText="1"/>
    </xf>
    <xf numFmtId="166" fontId="70" fillId="21" borderId="16" xfId="0" applyNumberFormat="1" applyFont="1" applyFill="1" applyBorder="1" applyProtection="1"/>
    <xf numFmtId="0" fontId="68" fillId="21" borderId="16" xfId="0" applyFont="1" applyFill="1" applyBorder="1" applyAlignment="1" applyProtection="1">
      <alignment horizontal="left" vertical="center"/>
    </xf>
    <xf numFmtId="0" fontId="68" fillId="21" borderId="0" xfId="0" applyFont="1" applyFill="1" applyBorder="1" applyAlignment="1" applyProtection="1">
      <alignment horizontal="left" vertical="center"/>
    </xf>
    <xf numFmtId="0" fontId="96" fillId="0" borderId="0" xfId="0" applyFont="1" applyFill="1" applyAlignment="1" applyProtection="1">
      <alignment horizontal="left" vertical="center" wrapText="1"/>
    </xf>
    <xf numFmtId="0" fontId="0" fillId="28" borderId="0" xfId="0" applyFill="1" applyAlignment="1" applyProtection="1">
      <alignment vertical="center"/>
    </xf>
    <xf numFmtId="0" fontId="8" fillId="28" borderId="0" xfId="0" applyFont="1" applyFill="1" applyAlignment="1" applyProtection="1">
      <alignment horizontal="left" vertical="center"/>
    </xf>
    <xf numFmtId="0" fontId="0" fillId="28" borderId="0" xfId="0" applyNumberFormat="1" applyFill="1" applyAlignment="1" applyProtection="1">
      <alignment wrapText="1"/>
    </xf>
    <xf numFmtId="164" fontId="0" fillId="28" borderId="0" xfId="0" applyNumberFormat="1" applyFill="1" applyAlignment="1" applyProtection="1">
      <alignment vertical="center"/>
    </xf>
    <xf numFmtId="0" fontId="70" fillId="28" borderId="0" xfId="0" applyNumberFormat="1" applyFont="1" applyFill="1" applyAlignment="1" applyProtection="1">
      <alignment vertical="center" wrapText="1"/>
    </xf>
    <xf numFmtId="0" fontId="96" fillId="0" borderId="0" xfId="0" applyNumberFormat="1" applyFont="1" applyFill="1" applyAlignment="1" applyProtection="1">
      <alignment vertical="center" wrapText="1"/>
    </xf>
    <xf numFmtId="0" fontId="87" fillId="0" borderId="0" xfId="0" applyFont="1" applyFill="1" applyAlignment="1" applyProtection="1">
      <alignment vertical="center" wrapText="1"/>
    </xf>
    <xf numFmtId="0" fontId="39" fillId="28" borderId="0" xfId="0" applyFont="1" applyFill="1" applyAlignment="1" applyProtection="1">
      <alignment horizontal="left" vertical="center"/>
    </xf>
    <xf numFmtId="0" fontId="63" fillId="28" borderId="0" xfId="0" applyNumberFormat="1" applyFont="1" applyFill="1" applyAlignment="1" applyProtection="1">
      <alignment vertical="center" wrapText="1"/>
    </xf>
    <xf numFmtId="0" fontId="43" fillId="0" borderId="0" xfId="0" applyFont="1" applyFill="1" applyAlignment="1" applyProtection="1">
      <alignment horizontal="center" vertical="center" wrapText="1"/>
    </xf>
    <xf numFmtId="0" fontId="6" fillId="0" borderId="0" xfId="0" applyFont="1" applyFill="1" applyAlignment="1" applyProtection="1">
      <alignment vertical="center" wrapText="1"/>
      <protection hidden="1"/>
    </xf>
    <xf numFmtId="0" fontId="71" fillId="28" borderId="0" xfId="0" applyFont="1" applyFill="1" applyAlignment="1" applyProtection="1">
      <alignment vertical="center"/>
    </xf>
    <xf numFmtId="0" fontId="64" fillId="28" borderId="0" xfId="0" applyFont="1" applyFill="1" applyAlignment="1" applyProtection="1">
      <alignment vertical="center" wrapText="1"/>
    </xf>
    <xf numFmtId="0" fontId="0" fillId="0" borderId="0" xfId="0" applyNumberFormat="1" applyFont="1" applyFill="1" applyAlignment="1" applyProtection="1">
      <alignment vertical="center" wrapText="1"/>
    </xf>
    <xf numFmtId="0" fontId="68" fillId="28" borderId="0" xfId="0" applyFont="1" applyFill="1" applyAlignment="1" applyProtection="1">
      <alignment vertical="center"/>
    </xf>
    <xf numFmtId="0" fontId="87" fillId="0" borderId="0" xfId="0" applyNumberFormat="1" applyFont="1" applyFill="1" applyBorder="1" applyAlignment="1" applyProtection="1">
      <alignment vertical="center" wrapText="1"/>
    </xf>
    <xf numFmtId="0" fontId="0" fillId="0" borderId="0" xfId="0" applyNumberFormat="1" applyFont="1" applyFill="1" applyAlignment="1" applyProtection="1">
      <alignment horizontal="left" vertical="center" wrapText="1"/>
    </xf>
    <xf numFmtId="0" fontId="96" fillId="0" borderId="0" xfId="0" applyNumberFormat="1" applyFont="1" applyFill="1" applyAlignment="1" applyProtection="1">
      <alignment horizontal="left" vertical="center" wrapText="1"/>
    </xf>
    <xf numFmtId="164" fontId="57" fillId="28" borderId="0" xfId="439" applyNumberFormat="1" applyFont="1" applyFill="1" applyAlignment="1" applyProtection="1">
      <alignment vertical="center"/>
    </xf>
    <xf numFmtId="0" fontId="0" fillId="28" borderId="0" xfId="0" applyFont="1" applyFill="1" applyAlignment="1" applyProtection="1">
      <alignment vertical="center"/>
    </xf>
    <xf numFmtId="0" fontId="64" fillId="28" borderId="0" xfId="0" applyFont="1" applyFill="1" applyAlignment="1" applyProtection="1">
      <alignment horizontal="left" vertical="center" wrapText="1"/>
    </xf>
    <xf numFmtId="38" fontId="97" fillId="28" borderId="0" xfId="439" applyNumberFormat="1" applyFont="1" applyFill="1" applyAlignment="1" applyProtection="1">
      <alignment horizontal="center" vertical="center" wrapText="1"/>
    </xf>
    <xf numFmtId="0" fontId="98" fillId="0" borderId="0" xfId="0" applyFont="1" applyAlignment="1" applyProtection="1">
      <alignment horizontal="center" vertical="center" wrapText="1"/>
    </xf>
    <xf numFmtId="164" fontId="57" fillId="28" borderId="0" xfId="439" applyNumberFormat="1" applyFont="1" applyFill="1" applyProtection="1"/>
    <xf numFmtId="0" fontId="0" fillId="0" borderId="0" xfId="0" applyFill="1" applyAlignment="1" applyProtection="1">
      <alignment wrapText="1"/>
      <protection locked="0"/>
    </xf>
    <xf numFmtId="0" fontId="85" fillId="0" borderId="0" xfId="0" applyFont="1" applyFill="1" applyAlignment="1" applyProtection="1">
      <alignment horizontal="center" vertical="center" wrapText="1"/>
    </xf>
    <xf numFmtId="0" fontId="99" fillId="0" borderId="0" xfId="0" applyNumberFormat="1" applyFont="1" applyFill="1" applyAlignment="1" applyProtection="1">
      <alignment vertical="center" wrapText="1"/>
    </xf>
    <xf numFmtId="38" fontId="69" fillId="28" borderId="0" xfId="439" applyNumberFormat="1" applyFont="1" applyFill="1" applyProtection="1"/>
    <xf numFmtId="41" fontId="66" fillId="28" borderId="0" xfId="0" applyNumberFormat="1" applyFont="1" applyFill="1" applyAlignment="1" applyProtection="1">
      <alignment wrapText="1"/>
    </xf>
    <xf numFmtId="0" fontId="0" fillId="28" borderId="0" xfId="0" applyNumberFormat="1" applyFill="1" applyAlignment="1" applyProtection="1">
      <alignment vertical="center" wrapText="1"/>
    </xf>
    <xf numFmtId="0" fontId="64" fillId="28" borderId="0" xfId="0" applyFont="1" applyFill="1" applyAlignment="1" applyProtection="1">
      <alignment vertical="center"/>
    </xf>
    <xf numFmtId="0" fontId="100" fillId="28" borderId="0" xfId="0" applyFont="1" applyFill="1" applyAlignment="1" applyProtection="1">
      <alignment horizontal="left" vertical="center"/>
    </xf>
    <xf numFmtId="3" fontId="6" fillId="0" borderId="0" xfId="1540" applyFont="1" applyFill="1" applyAlignment="1" applyProtection="1">
      <alignment vertical="center" wrapText="1"/>
    </xf>
    <xf numFmtId="3" fontId="41" fillId="0" borderId="0" xfId="1540" applyFont="1" applyFill="1" applyAlignment="1" applyProtection="1">
      <alignment vertical="center" wrapText="1"/>
    </xf>
    <xf numFmtId="0" fontId="101" fillId="0" borderId="0" xfId="0" applyFont="1" applyAlignment="1" applyProtection="1">
      <alignment horizontal="center" vertical="center" wrapText="1"/>
    </xf>
    <xf numFmtId="0" fontId="68" fillId="28" borderId="0" xfId="0" applyFont="1" applyFill="1" applyAlignment="1" applyProtection="1">
      <alignment horizontal="left" vertical="center"/>
    </xf>
    <xf numFmtId="0" fontId="71" fillId="28" borderId="0" xfId="0" applyFont="1" applyFill="1" applyAlignment="1" applyProtection="1">
      <alignment horizontal="left" vertical="center"/>
    </xf>
    <xf numFmtId="0" fontId="64" fillId="28" borderId="0" xfId="0" applyFont="1" applyFill="1" applyAlignment="1" applyProtection="1"/>
    <xf numFmtId="0" fontId="0" fillId="0" borderId="0" xfId="0" applyNumberFormat="1" applyFill="1" applyAlignment="1" applyProtection="1">
      <alignment wrapText="1"/>
    </xf>
    <xf numFmtId="0" fontId="102" fillId="0" borderId="0" xfId="0" applyFont="1" applyAlignment="1" applyProtection="1">
      <alignment horizontal="center" vertical="center" wrapText="1"/>
    </xf>
    <xf numFmtId="0" fontId="0" fillId="0" borderId="0" xfId="0" applyNumberFormat="1" applyFill="1" applyAlignment="1" applyProtection="1">
      <alignment vertical="center" wrapText="1"/>
    </xf>
    <xf numFmtId="0" fontId="64" fillId="0" borderId="0" xfId="0" applyNumberFormat="1" applyFont="1" applyFill="1" applyAlignment="1" applyProtection="1">
      <alignment wrapText="1"/>
    </xf>
    <xf numFmtId="0" fontId="64" fillId="22" borderId="0" xfId="0" applyNumberFormat="1" applyFont="1" applyFill="1" applyAlignment="1" applyProtection="1">
      <alignment wrapText="1"/>
    </xf>
    <xf numFmtId="0" fontId="0" fillId="0" borderId="0" xfId="0" applyNumberFormat="1" applyFill="1" applyAlignment="1" applyProtection="1">
      <alignment horizontal="left" vertical="center" wrapText="1" indent="3"/>
    </xf>
    <xf numFmtId="0" fontId="0" fillId="0" borderId="14" xfId="0" applyNumberFormat="1" applyFill="1" applyBorder="1" applyAlignment="1" applyProtection="1">
      <alignment horizontal="left" vertical="center" wrapText="1" indent="3"/>
    </xf>
    <xf numFmtId="0" fontId="0" fillId="0" borderId="14" xfId="0" applyNumberFormat="1" applyFill="1" applyBorder="1" applyAlignment="1" applyProtection="1">
      <alignment horizontal="left" vertical="center" wrapText="1" indent="6"/>
    </xf>
    <xf numFmtId="0" fontId="0" fillId="0" borderId="14" xfId="0" applyNumberFormat="1" applyFill="1" applyBorder="1" applyAlignment="1" applyProtection="1">
      <alignment vertical="center" wrapText="1"/>
    </xf>
    <xf numFmtId="0" fontId="63" fillId="0" borderId="0" xfId="0" applyNumberFormat="1" applyFont="1" applyFill="1" applyAlignment="1" applyProtection="1">
      <alignment horizontal="left" vertical="center" wrapText="1" indent="3"/>
    </xf>
    <xf numFmtId="0" fontId="64" fillId="0" borderId="0" xfId="0" applyNumberFormat="1" applyFont="1" applyFill="1" applyAlignment="1" applyProtection="1">
      <alignment vertical="center" wrapText="1"/>
    </xf>
    <xf numFmtId="0" fontId="87" fillId="0" borderId="0" xfId="0" applyNumberFormat="1" applyFont="1" applyFill="1" applyAlignment="1" applyProtection="1">
      <alignment horizontal="left" vertical="center" wrapText="1"/>
    </xf>
    <xf numFmtId="0" fontId="87" fillId="0" borderId="0" xfId="0" applyNumberFormat="1" applyFont="1" applyFill="1" applyAlignment="1" applyProtection="1">
      <alignment vertical="center" wrapText="1"/>
    </xf>
    <xf numFmtId="0" fontId="87" fillId="0" borderId="0" xfId="0" applyNumberFormat="1" applyFont="1" applyFill="1" applyAlignment="1" applyProtection="1">
      <alignment horizontal="left" vertical="center" wrapText="1" indent="3"/>
    </xf>
    <xf numFmtId="0" fontId="87" fillId="0" borderId="14" xfId="0" applyNumberFormat="1" applyFont="1" applyFill="1" applyBorder="1" applyAlignment="1" applyProtection="1">
      <alignment horizontal="left" vertical="center" wrapText="1" indent="3"/>
    </xf>
    <xf numFmtId="0" fontId="87" fillId="0" borderId="0" xfId="0" applyNumberFormat="1" applyFont="1" applyFill="1" applyAlignment="1" applyProtection="1">
      <alignment horizontal="left" vertical="center" wrapText="1" indent="6"/>
    </xf>
    <xf numFmtId="0" fontId="68" fillId="0" borderId="0" xfId="0" applyFont="1" applyFill="1" applyAlignment="1" applyProtection="1">
      <alignment horizontal="center" vertical="center"/>
    </xf>
    <xf numFmtId="0" fontId="68" fillId="22" borderId="0" xfId="0" applyFont="1" applyFill="1" applyAlignment="1" applyProtection="1">
      <alignment horizontal="center" vertical="center"/>
    </xf>
    <xf numFmtId="0" fontId="68" fillId="0" borderId="14" xfId="0" applyFont="1" applyFill="1" applyBorder="1" applyAlignment="1" applyProtection="1">
      <alignment horizontal="center" vertical="center"/>
    </xf>
    <xf numFmtId="0" fontId="101" fillId="0" borderId="0" xfId="0" applyFont="1" applyFill="1" applyAlignment="1" applyProtection="1">
      <alignment horizontal="center" vertical="center" wrapText="1"/>
    </xf>
    <xf numFmtId="0" fontId="101" fillId="0" borderId="0" xfId="0" applyFont="1" applyFill="1" applyAlignment="1" applyProtection="1">
      <alignment horizontal="center" vertical="center"/>
    </xf>
    <xf numFmtId="0" fontId="102" fillId="0" borderId="0" xfId="0" applyFont="1" applyFill="1" applyAlignment="1" applyProtection="1">
      <alignment horizontal="center" vertical="center" wrapText="1"/>
    </xf>
    <xf numFmtId="0" fontId="102" fillId="0" borderId="0" xfId="0" applyFont="1" applyFill="1" applyAlignment="1" applyProtection="1">
      <alignment horizontal="center" vertical="center"/>
    </xf>
    <xf numFmtId="0" fontId="70" fillId="21" borderId="16" xfId="0" applyNumberFormat="1" applyFont="1" applyFill="1" applyBorder="1" applyAlignment="1" applyProtection="1">
      <alignment horizontal="center"/>
    </xf>
    <xf numFmtId="38" fontId="0" fillId="0" borderId="0" xfId="0" applyNumberFormat="1" applyProtection="1"/>
    <xf numFmtId="0" fontId="0" fillId="0" borderId="0" xfId="0" applyNumberFormat="1" applyFont="1" applyFill="1" applyAlignment="1" applyProtection="1">
      <alignment horizontal="center" vertical="center"/>
    </xf>
    <xf numFmtId="0" fontId="0" fillId="0" borderId="0" xfId="0" applyNumberFormat="1" applyFont="1" applyAlignment="1" applyProtection="1">
      <alignment horizontal="center" vertical="center"/>
    </xf>
    <xf numFmtId="0" fontId="69" fillId="0" borderId="0" xfId="0" applyNumberFormat="1" applyFont="1" applyFill="1" applyAlignment="1" applyProtection="1">
      <alignment horizontal="center" vertical="center"/>
    </xf>
    <xf numFmtId="0" fontId="0" fillId="0" borderId="0" xfId="0" applyNumberFormat="1" applyFont="1" applyFill="1" applyAlignment="1" applyProtection="1">
      <alignment horizontal="center"/>
    </xf>
    <xf numFmtId="164" fontId="0" fillId="0" borderId="0" xfId="0" applyNumberFormat="1" applyFill="1" applyAlignment="1" applyProtection="1">
      <alignment wrapText="1"/>
      <protection locked="0"/>
    </xf>
    <xf numFmtId="164" fontId="0" fillId="0" borderId="0" xfId="0" applyNumberFormat="1" applyAlignment="1" applyProtection="1">
      <alignment wrapText="1"/>
      <protection locked="0"/>
    </xf>
    <xf numFmtId="40" fontId="69" fillId="0" borderId="0" xfId="439" applyNumberFormat="1" applyFont="1" applyFill="1" applyAlignment="1" applyProtection="1">
      <alignment horizontal="center" vertical="center" wrapText="1"/>
    </xf>
    <xf numFmtId="173" fontId="69" fillId="0" borderId="0" xfId="439" applyNumberFormat="1" applyFont="1" applyFill="1" applyAlignment="1" applyProtection="1">
      <alignment horizontal="center" vertical="center" wrapText="1"/>
    </xf>
    <xf numFmtId="0" fontId="0" fillId="0" borderId="23" xfId="0" applyFont="1" applyFill="1" applyBorder="1" applyAlignment="1" applyProtection="1">
      <alignment vertical="center" wrapText="1"/>
    </xf>
    <xf numFmtId="164" fontId="103" fillId="23" borderId="23" xfId="439" applyNumberFormat="1" applyFont="1" applyFill="1" applyBorder="1" applyAlignment="1" applyProtection="1">
      <alignment horizontal="center" vertical="center" wrapText="1"/>
    </xf>
    <xf numFmtId="0" fontId="0" fillId="22" borderId="0" xfId="0" applyFont="1" applyFill="1" applyBorder="1" applyAlignment="1" applyProtection="1">
      <alignment vertical="center"/>
    </xf>
    <xf numFmtId="0" fontId="0" fillId="22" borderId="0" xfId="0" applyFill="1" applyBorder="1" applyProtection="1"/>
    <xf numFmtId="0" fontId="104" fillId="0" borderId="25" xfId="0" applyNumberFormat="1" applyFont="1" applyFill="1" applyBorder="1" applyAlignment="1" applyProtection="1">
      <alignment horizontal="center" vertical="center"/>
    </xf>
    <xf numFmtId="0" fontId="105" fillId="0" borderId="25" xfId="0" applyNumberFormat="1" applyFont="1" applyFill="1" applyBorder="1" applyAlignment="1" applyProtection="1">
      <alignment horizontal="center" vertical="center"/>
    </xf>
    <xf numFmtId="0" fontId="63" fillId="23" borderId="25" xfId="0" applyNumberFormat="1" applyFont="1" applyFill="1" applyBorder="1" applyAlignment="1" applyProtection="1">
      <alignment horizontal="center" vertical="center"/>
    </xf>
    <xf numFmtId="0" fontId="63" fillId="0" borderId="25" xfId="0" applyNumberFormat="1" applyFont="1" applyFill="1" applyBorder="1" applyAlignment="1" applyProtection="1">
      <alignment horizontal="center" vertical="center"/>
    </xf>
    <xf numFmtId="0" fontId="63" fillId="0" borderId="26" xfId="0" applyNumberFormat="1" applyFont="1" applyFill="1" applyBorder="1" applyAlignment="1" applyProtection="1">
      <alignment horizontal="center" vertical="center"/>
    </xf>
    <xf numFmtId="0" fontId="80" fillId="24" borderId="21" xfId="0" applyFont="1" applyFill="1" applyBorder="1" applyAlignment="1" applyProtection="1">
      <alignment horizontal="center" vertical="center" wrapText="1"/>
    </xf>
    <xf numFmtId="0" fontId="0" fillId="22" borderId="28" xfId="0" applyFill="1" applyBorder="1" applyAlignment="1" applyProtection="1">
      <alignment vertical="center"/>
    </xf>
    <xf numFmtId="164" fontId="103" fillId="0" borderId="29" xfId="439" applyNumberFormat="1" applyFont="1" applyFill="1" applyBorder="1" applyAlignment="1" applyProtection="1">
      <alignment horizontal="center" vertical="center" wrapText="1"/>
    </xf>
    <xf numFmtId="0" fontId="0" fillId="0" borderId="30" xfId="0" applyFont="1" applyFill="1" applyBorder="1" applyAlignment="1" applyProtection="1">
      <alignment vertical="center" wrapText="1"/>
    </xf>
    <xf numFmtId="0" fontId="0" fillId="22" borderId="30" xfId="0" applyFill="1" applyBorder="1" applyAlignment="1" applyProtection="1">
      <alignment vertical="center"/>
    </xf>
    <xf numFmtId="0" fontId="0" fillId="22" borderId="23" xfId="0" applyFill="1" applyBorder="1" applyAlignment="1" applyProtection="1">
      <alignment vertical="center"/>
      <protection locked="0"/>
    </xf>
    <xf numFmtId="172" fontId="103" fillId="0" borderId="23" xfId="439" applyNumberFormat="1" applyFont="1" applyFill="1" applyBorder="1" applyAlignment="1" applyProtection="1">
      <alignment horizontal="center" vertical="center" wrapText="1"/>
    </xf>
    <xf numFmtId="0" fontId="0" fillId="23" borderId="25" xfId="0" applyNumberFormat="1" applyFill="1" applyBorder="1" applyAlignment="1" applyProtection="1">
      <alignment horizontal="left" vertical="center" wrapText="1"/>
    </xf>
    <xf numFmtId="3" fontId="6" fillId="0" borderId="23" xfId="1540" applyFont="1" applyFill="1" applyBorder="1" applyAlignment="1" applyProtection="1">
      <alignment vertical="center" wrapText="1"/>
    </xf>
    <xf numFmtId="0" fontId="103" fillId="0" borderId="23" xfId="439" applyNumberFormat="1" applyFont="1" applyFill="1" applyBorder="1" applyAlignment="1" applyProtection="1">
      <alignment horizontal="center" vertical="center" wrapText="1"/>
    </xf>
    <xf numFmtId="164" fontId="103" fillId="0" borderId="23" xfId="439" applyNumberFormat="1" applyFont="1" applyFill="1" applyBorder="1" applyAlignment="1" applyProtection="1">
      <alignment horizontal="center" vertical="center" wrapText="1"/>
    </xf>
    <xf numFmtId="0" fontId="0" fillId="0" borderId="31" xfId="0" applyNumberFormat="1" applyFill="1" applyBorder="1" applyAlignment="1" applyProtection="1">
      <alignment horizontal="left" vertical="center" wrapText="1"/>
    </xf>
    <xf numFmtId="0" fontId="64" fillId="24" borderId="0" xfId="0" applyFont="1" applyFill="1" applyBorder="1" applyAlignment="1" applyProtection="1">
      <alignment horizontal="center" vertical="center" wrapText="1"/>
    </xf>
    <xf numFmtId="0" fontId="0" fillId="23" borderId="23" xfId="0" applyNumberFormat="1" applyFill="1" applyBorder="1" applyAlignment="1" applyProtection="1">
      <alignment horizontal="left" vertical="center" wrapText="1"/>
    </xf>
    <xf numFmtId="0" fontId="83" fillId="21" borderId="10" xfId="0" applyFont="1" applyFill="1" applyBorder="1" applyAlignment="1" applyProtection="1">
      <alignment horizontal="center" vertical="center" wrapText="1"/>
    </xf>
    <xf numFmtId="164" fontId="103" fillId="0" borderId="31" xfId="439" applyNumberFormat="1" applyFont="1" applyFill="1" applyBorder="1" applyAlignment="1" applyProtection="1">
      <alignment horizontal="center" vertical="center" wrapText="1"/>
    </xf>
    <xf numFmtId="0" fontId="0" fillId="0" borderId="26" xfId="0" applyNumberFormat="1" applyFill="1" applyBorder="1" applyAlignment="1" applyProtection="1">
      <alignment horizontal="left" vertical="center" wrapText="1"/>
    </xf>
    <xf numFmtId="0" fontId="82" fillId="25" borderId="0" xfId="0" applyFont="1" applyFill="1" applyAlignment="1" applyProtection="1">
      <alignment horizontal="center" vertical="center"/>
    </xf>
    <xf numFmtId="0" fontId="0" fillId="22" borderId="23" xfId="0" applyFill="1" applyBorder="1" applyAlignment="1" applyProtection="1">
      <alignment vertical="center"/>
    </xf>
    <xf numFmtId="0" fontId="0" fillId="0" borderId="23" xfId="0" applyNumberFormat="1" applyFill="1" applyBorder="1" applyAlignment="1" applyProtection="1">
      <alignment horizontal="left" vertical="center" wrapText="1"/>
    </xf>
    <xf numFmtId="0" fontId="0" fillId="0" borderId="0" xfId="0" applyProtection="1"/>
    <xf numFmtId="0" fontId="0" fillId="0" borderId="25" xfId="0" applyNumberFormat="1" applyFill="1" applyBorder="1" applyAlignment="1" applyProtection="1">
      <alignment horizontal="left" vertical="center" wrapText="1"/>
    </xf>
    <xf numFmtId="0" fontId="0" fillId="0" borderId="0" xfId="0" applyAlignment="1" applyProtection="1">
      <alignment vertical="center" wrapText="1"/>
    </xf>
    <xf numFmtId="0" fontId="0" fillId="0" borderId="0" xfId="0" applyAlignment="1" applyProtection="1">
      <alignment horizontal="center" vertical="center"/>
    </xf>
    <xf numFmtId="0" fontId="64" fillId="23" borderId="0" xfId="0" applyFont="1" applyFill="1" applyAlignment="1" applyProtection="1">
      <alignment vertical="center" wrapText="1"/>
    </xf>
    <xf numFmtId="0" fontId="64" fillId="21" borderId="0" xfId="0" applyFont="1" applyFill="1" applyBorder="1" applyAlignment="1" applyProtection="1">
      <alignment horizontal="center" vertical="center" wrapText="1"/>
    </xf>
    <xf numFmtId="0" fontId="0" fillId="0" borderId="31" xfId="0" applyFont="1" applyFill="1" applyBorder="1" applyAlignment="1" applyProtection="1">
      <alignment vertical="center" wrapText="1"/>
    </xf>
    <xf numFmtId="0" fontId="0" fillId="0" borderId="0" xfId="0" applyNumberFormat="1" applyFill="1" applyAlignment="1" applyProtection="1">
      <alignment horizontal="left" vertical="center" wrapText="1"/>
    </xf>
    <xf numFmtId="0" fontId="103" fillId="0" borderId="0" xfId="0" applyFont="1" applyProtection="1"/>
    <xf numFmtId="0" fontId="102" fillId="21" borderId="10" xfId="0" applyFont="1" applyFill="1" applyBorder="1" applyAlignment="1" applyProtection="1">
      <alignment horizontal="center" vertical="center" wrapText="1"/>
    </xf>
    <xf numFmtId="0" fontId="102" fillId="21" borderId="0" xfId="0" applyFont="1" applyFill="1" applyBorder="1" applyAlignment="1" applyProtection="1">
      <alignment horizontal="center" vertical="center" wrapText="1"/>
    </xf>
    <xf numFmtId="0" fontId="103" fillId="0" borderId="23" xfId="0" applyNumberFormat="1" applyFont="1" applyFill="1" applyBorder="1" applyAlignment="1" applyProtection="1">
      <alignment horizontal="left" vertical="center" wrapText="1"/>
    </xf>
    <xf numFmtId="0" fontId="103" fillId="23" borderId="23" xfId="0" applyNumberFormat="1" applyFont="1" applyFill="1" applyBorder="1" applyAlignment="1" applyProtection="1">
      <alignment horizontal="left" vertical="center" wrapText="1"/>
    </xf>
    <xf numFmtId="0" fontId="102" fillId="0" borderId="0" xfId="0" applyFont="1" applyAlignment="1" applyProtection="1">
      <alignment horizontal="center" vertical="center"/>
    </xf>
    <xf numFmtId="0" fontId="103" fillId="0" borderId="31" xfId="0" applyNumberFormat="1" applyFont="1" applyFill="1" applyBorder="1" applyAlignment="1" applyProtection="1">
      <alignment horizontal="left" vertical="center" wrapText="1"/>
    </xf>
    <xf numFmtId="0" fontId="103" fillId="0" borderId="32" xfId="0" applyFont="1" applyFill="1" applyBorder="1" applyAlignment="1">
      <alignment horizontal="center" wrapText="1"/>
    </xf>
    <xf numFmtId="49" fontId="0" fillId="0" borderId="33" xfId="0" applyNumberFormat="1" applyFont="1" applyFill="1" applyBorder="1" applyAlignment="1">
      <alignment horizontal="center"/>
    </xf>
    <xf numFmtId="49" fontId="0" fillId="0" borderId="32" xfId="0" applyNumberFormat="1" applyFont="1" applyFill="1" applyBorder="1" applyAlignment="1">
      <alignment horizontal="center"/>
    </xf>
    <xf numFmtId="0" fontId="0" fillId="0" borderId="0" xfId="0" applyFont="1" applyFill="1" applyAlignment="1" applyProtection="1">
      <alignment vertical="center" wrapText="1"/>
    </xf>
    <xf numFmtId="0" fontId="0" fillId="0" borderId="23" xfId="0" applyNumberFormat="1" applyFill="1" applyBorder="1" applyAlignment="1" applyProtection="1">
      <alignment horizontal="left" vertical="center" wrapText="1"/>
    </xf>
    <xf numFmtId="164" fontId="106" fillId="29" borderId="16" xfId="439" applyNumberFormat="1" applyFont="1" applyFill="1" applyBorder="1" applyAlignment="1" applyProtection="1">
      <alignment horizontal="center" wrapText="1"/>
      <protection locked="0"/>
    </xf>
    <xf numFmtId="164" fontId="103" fillId="0" borderId="23" xfId="439"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69" fillId="0" borderId="0" xfId="439" applyNumberFormat="1" applyFont="1" applyFill="1" applyAlignment="1" applyProtection="1">
      <alignment horizontal="center" vertical="center" wrapText="1"/>
    </xf>
    <xf numFmtId="0" fontId="108" fillId="0" borderId="0" xfId="0" applyNumberFormat="1" applyFont="1" applyFill="1" applyAlignment="1" applyProtection="1">
      <alignment horizontal="left" vertical="center" wrapText="1"/>
    </xf>
    <xf numFmtId="0" fontId="96" fillId="0" borderId="0" xfId="0" applyFont="1" applyFill="1" applyAlignment="1" applyProtection="1">
      <alignment vertical="center" wrapText="1"/>
    </xf>
    <xf numFmtId="0" fontId="83" fillId="21" borderId="22" xfId="0" applyFont="1" applyFill="1" applyBorder="1" applyAlignment="1" applyProtection="1">
      <alignment horizontal="center" wrapText="1"/>
    </xf>
    <xf numFmtId="0" fontId="64" fillId="0" borderId="0" xfId="0" applyFont="1" applyFill="1" applyBorder="1" applyAlignment="1" applyProtection="1">
      <alignment horizontal="center"/>
    </xf>
    <xf numFmtId="0" fontId="110" fillId="0" borderId="0" xfId="0" applyNumberFormat="1" applyFont="1" applyFill="1" applyAlignment="1" applyProtection="1">
      <alignment vertical="center" wrapText="1"/>
    </xf>
    <xf numFmtId="0" fontId="80" fillId="0" borderId="0" xfId="0" applyFont="1" applyAlignment="1" applyProtection="1">
      <alignment wrapText="1"/>
    </xf>
    <xf numFmtId="0" fontId="69" fillId="0" borderId="23" xfId="1243" applyFont="1" applyFill="1" applyBorder="1" applyAlignment="1" applyProtection="1">
      <alignment horizontal="left" vertical="center" wrapText="1"/>
    </xf>
    <xf numFmtId="0" fontId="0" fillId="0" borderId="34" xfId="0" applyNumberFormat="1" applyFill="1" applyBorder="1" applyAlignment="1" applyProtection="1">
      <alignment horizontal="left" vertical="center" wrapText="1"/>
    </xf>
    <xf numFmtId="0" fontId="0" fillId="0" borderId="35" xfId="0" applyNumberFormat="1" applyFill="1" applyBorder="1" applyAlignment="1" applyProtection="1">
      <alignment horizontal="left" vertical="center" wrapText="1"/>
    </xf>
    <xf numFmtId="0" fontId="0" fillId="0" borderId="23" xfId="0" applyFill="1" applyBorder="1" applyAlignment="1">
      <alignment vertical="center" wrapText="1"/>
    </xf>
    <xf numFmtId="164" fontId="82" fillId="25" borderId="0" xfId="439" applyNumberFormat="1" applyFont="1" applyFill="1" applyAlignment="1" applyProtection="1">
      <alignment horizontal="center"/>
    </xf>
    <xf numFmtId="0" fontId="111" fillId="0" borderId="0" xfId="0" applyFont="1" applyAlignment="1" applyProtection="1">
      <alignment horizontal="center" vertical="center" wrapText="1"/>
    </xf>
    <xf numFmtId="0" fontId="0" fillId="30" borderId="23" xfId="0" applyFont="1" applyFill="1" applyBorder="1" applyAlignment="1" applyProtection="1">
      <alignment vertical="center" wrapText="1"/>
    </xf>
    <xf numFmtId="164" fontId="103" fillId="22" borderId="23" xfId="439" applyNumberFormat="1" applyFont="1" applyFill="1" applyBorder="1" applyAlignment="1" applyProtection="1">
      <alignment horizontal="center" vertical="center" wrapText="1"/>
    </xf>
    <xf numFmtId="164" fontId="57" fillId="0" borderId="0" xfId="439" applyNumberFormat="1" applyFont="1" applyAlignment="1" applyProtection="1">
      <alignment vertical="center"/>
    </xf>
    <xf numFmtId="0" fontId="80" fillId="30" borderId="25" xfId="0" applyNumberFormat="1" applyFont="1" applyFill="1" applyBorder="1" applyAlignment="1" applyProtection="1">
      <alignment horizontal="center" vertical="center" wrapText="1"/>
    </xf>
    <xf numFmtId="164" fontId="80" fillId="24" borderId="10" xfId="439" applyNumberFormat="1" applyFont="1" applyFill="1" applyBorder="1" applyAlignment="1" applyProtection="1">
      <alignment horizontal="center" wrapText="1"/>
    </xf>
    <xf numFmtId="164" fontId="57" fillId="0" borderId="0" xfId="439" applyNumberFormat="1" applyFont="1" applyProtection="1"/>
    <xf numFmtId="0" fontId="68" fillId="0" borderId="0" xfId="0" applyFont="1" applyFill="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Font="1" applyFill="1" applyAlignment="1" applyProtection="1">
      <alignment vertical="center" wrapText="1"/>
      <protection locked="0"/>
    </xf>
    <xf numFmtId="0" fontId="112" fillId="0" borderId="0" xfId="720" applyNumberFormat="1" applyFont="1" applyFill="1" applyAlignment="1" applyProtection="1">
      <alignment horizontal="left" vertical="center" wrapText="1"/>
    </xf>
    <xf numFmtId="0" fontId="68" fillId="0" borderId="0" xfId="0" applyFont="1" applyFill="1" applyAlignment="1" applyProtection="1">
      <alignment vertical="center" wrapText="1"/>
    </xf>
    <xf numFmtId="3" fontId="8" fillId="0" borderId="0" xfId="1540" applyFont="1" applyFill="1" applyAlignment="1" applyProtection="1">
      <alignment vertical="center" wrapText="1"/>
    </xf>
    <xf numFmtId="0" fontId="68" fillId="0" borderId="0" xfId="0" applyFont="1" applyFill="1" applyAlignment="1" applyProtection="1">
      <alignment vertical="center" wrapText="1"/>
      <protection locked="0"/>
    </xf>
    <xf numFmtId="0" fontId="68" fillId="0" borderId="0" xfId="0" applyFont="1" applyFill="1" applyAlignment="1" applyProtection="1">
      <alignment vertical="center" wrapText="1"/>
      <protection locked="0"/>
    </xf>
    <xf numFmtId="39" fontId="0" fillId="0" borderId="0" xfId="0" applyNumberFormat="1" applyProtection="1"/>
    <xf numFmtId="39" fontId="63" fillId="0" borderId="0" xfId="0" applyNumberFormat="1" applyFont="1" applyAlignment="1" applyProtection="1">
      <alignment horizontal="center"/>
    </xf>
    <xf numFmtId="39" fontId="64" fillId="21" borderId="0" xfId="0" applyNumberFormat="1" applyFont="1" applyFill="1" applyBorder="1" applyAlignment="1" applyProtection="1">
      <alignment horizontal="center" wrapText="1"/>
    </xf>
    <xf numFmtId="39" fontId="103" fillId="0" borderId="29" xfId="439" applyNumberFormat="1" applyFont="1" applyFill="1" applyBorder="1" applyAlignment="1" applyProtection="1">
      <alignment horizontal="center" vertical="center" wrapText="1"/>
    </xf>
    <xf numFmtId="39" fontId="103" fillId="0" borderId="28" xfId="439" applyNumberFormat="1" applyFont="1" applyFill="1" applyBorder="1" applyAlignment="1" applyProtection="1">
      <alignment horizontal="center" vertical="center" wrapText="1"/>
    </xf>
    <xf numFmtId="39" fontId="103" fillId="23" borderId="28" xfId="439" applyNumberFormat="1" applyFont="1" applyFill="1" applyBorder="1" applyAlignment="1" applyProtection="1">
      <alignment horizontal="center" vertical="center" wrapText="1"/>
    </xf>
    <xf numFmtId="39" fontId="0" fillId="22" borderId="28" xfId="0" applyNumberFormat="1" applyFill="1" applyBorder="1" applyAlignment="1" applyProtection="1">
      <alignment vertical="center"/>
    </xf>
    <xf numFmtId="39" fontId="0" fillId="0" borderId="0" xfId="0" applyNumberFormat="1" applyAlignment="1" applyProtection="1">
      <alignment vertical="center"/>
    </xf>
    <xf numFmtId="0" fontId="64" fillId="0" borderId="0" xfId="0" applyFont="1" applyFill="1" applyAlignment="1" applyProtection="1">
      <alignment vertical="center" wrapText="1"/>
    </xf>
    <xf numFmtId="38" fontId="0" fillId="0" borderId="0" xfId="0" applyNumberFormat="1" applyFill="1" applyAlignment="1" applyProtection="1">
      <alignment wrapText="1"/>
      <protection locked="0"/>
    </xf>
    <xf numFmtId="39" fontId="83" fillId="31" borderId="0" xfId="0" applyNumberFormat="1" applyFont="1" applyFill="1" applyBorder="1" applyAlignment="1" applyProtection="1">
      <alignment horizontal="center" wrapText="1"/>
    </xf>
    <xf numFmtId="0" fontId="63" fillId="32" borderId="25" xfId="0" applyNumberFormat="1" applyFont="1" applyFill="1" applyBorder="1" applyAlignment="1" applyProtection="1">
      <alignment horizontal="center" vertical="center"/>
    </xf>
    <xf numFmtId="0" fontId="0" fillId="32" borderId="23" xfId="0" applyFont="1" applyFill="1" applyBorder="1" applyAlignment="1" applyProtection="1">
      <alignment vertical="center" wrapText="1"/>
    </xf>
    <xf numFmtId="0" fontId="111" fillId="32" borderId="0" xfId="0" applyFont="1" applyFill="1" applyAlignment="1" applyProtection="1">
      <alignment horizontal="center" vertical="center" wrapText="1"/>
    </xf>
    <xf numFmtId="164" fontId="103" fillId="0" borderId="23" xfId="439" applyNumberFormat="1" applyFont="1" applyFill="1" applyBorder="1" applyAlignment="1" applyProtection="1">
      <alignment horizontal="center" vertical="center" wrapText="1"/>
    </xf>
    <xf numFmtId="0" fontId="0" fillId="0" borderId="0" xfId="0" applyFill="1" applyProtection="1">
      <protection locked="0"/>
    </xf>
    <xf numFmtId="0" fontId="65" fillId="0" borderId="0" xfId="0" applyFont="1" applyFill="1" applyAlignment="1" applyProtection="1">
      <alignment wrapText="1"/>
      <protection locked="0"/>
    </xf>
    <xf numFmtId="0" fontId="109" fillId="0" borderId="0" xfId="0" applyFont="1" applyFill="1" applyAlignment="1" applyProtection="1">
      <alignment wrapText="1"/>
      <protection locked="0"/>
    </xf>
    <xf numFmtId="0" fontId="107" fillId="0" borderId="0" xfId="0" applyFont="1" applyAlignment="1" applyProtection="1">
      <alignment wrapText="1"/>
      <protection locked="0"/>
    </xf>
    <xf numFmtId="0" fontId="0" fillId="0" borderId="0" xfId="0" applyFont="1" applyProtection="1">
      <protection locked="0"/>
    </xf>
    <xf numFmtId="0" fontId="0" fillId="0" borderId="0" xfId="0" applyAlignment="1" applyProtection="1">
      <alignment horizontal="center"/>
    </xf>
    <xf numFmtId="39" fontId="103" fillId="0" borderId="28" xfId="439" applyNumberFormat="1" applyFont="1" applyFill="1" applyBorder="1" applyAlignment="1" applyProtection="1">
      <alignment horizontal="center" vertical="center" wrapText="1"/>
    </xf>
    <xf numFmtId="0" fontId="84" fillId="0" borderId="25" xfId="0" applyNumberFormat="1" applyFont="1" applyFill="1" applyBorder="1" applyAlignment="1" applyProtection="1">
      <alignment horizontal="left" vertical="center" wrapText="1"/>
    </xf>
    <xf numFmtId="0" fontId="65" fillId="0" borderId="25" xfId="0" applyNumberFormat="1" applyFont="1" applyFill="1" applyBorder="1" applyAlignment="1" applyProtection="1">
      <alignment horizontal="left" vertical="center" wrapText="1"/>
    </xf>
    <xf numFmtId="0" fontId="5" fillId="0" borderId="0" xfId="0" applyNumberFormat="1" applyFont="1" applyFill="1" applyAlignment="1" applyProtection="1">
      <alignment vertical="center" wrapText="1"/>
    </xf>
    <xf numFmtId="0" fontId="69" fillId="0" borderId="0" xfId="0" applyNumberFormat="1" applyFont="1" applyFill="1" applyAlignment="1" applyProtection="1">
      <alignment vertical="center" wrapText="1"/>
    </xf>
    <xf numFmtId="164" fontId="97" fillId="22" borderId="0" xfId="439" applyNumberFormat="1" applyFont="1" applyFill="1" applyAlignment="1" applyProtection="1">
      <alignment horizontal="center" vertical="center" wrapText="1"/>
    </xf>
    <xf numFmtId="0" fontId="68" fillId="0" borderId="0" xfId="0" applyFont="1" applyFill="1" applyBorder="1" applyAlignment="1" applyProtection="1">
      <alignment vertical="center" wrapText="1"/>
    </xf>
    <xf numFmtId="0" fontId="6" fillId="0" borderId="0" xfId="0" applyNumberFormat="1" applyFont="1" applyFill="1" applyAlignment="1" applyProtection="1">
      <alignment vertical="center" wrapText="1"/>
    </xf>
    <xf numFmtId="38" fontId="69" fillId="22" borderId="0" xfId="439" applyNumberFormat="1" applyFont="1" applyFill="1" applyAlignment="1" applyProtection="1">
      <alignment horizontal="center" vertical="center" wrapText="1"/>
    </xf>
    <xf numFmtId="41" fontId="66" fillId="0" borderId="0" xfId="0" applyNumberFormat="1" applyFont="1" applyFill="1" applyBorder="1" applyAlignment="1" applyProtection="1">
      <alignment wrapText="1"/>
      <protection locked="0"/>
    </xf>
    <xf numFmtId="41" fontId="103" fillId="0" borderId="23" xfId="439" applyNumberFormat="1" applyFont="1" applyFill="1" applyBorder="1" applyAlignment="1" applyProtection="1">
      <alignment horizontal="center" vertical="center" wrapText="1"/>
    </xf>
    <xf numFmtId="0" fontId="76" fillId="0" borderId="23" xfId="439" applyNumberFormat="1" applyFont="1" applyFill="1" applyBorder="1" applyAlignment="1" applyProtection="1">
      <alignment horizontal="center" vertical="center" wrapText="1"/>
    </xf>
    <xf numFmtId="41" fontId="114" fillId="0" borderId="0" xfId="0" applyNumberFormat="1" applyFont="1" applyFill="1" applyAlignment="1" applyProtection="1">
      <alignment wrapText="1"/>
    </xf>
    <xf numFmtId="41" fontId="115" fillId="0" borderId="0" xfId="0" applyNumberFormat="1" applyFont="1" applyFill="1" applyAlignment="1" applyProtection="1">
      <alignment wrapText="1"/>
    </xf>
    <xf numFmtId="0" fontId="0" fillId="0" borderId="0" xfId="0" applyProtection="1"/>
    <xf numFmtId="0" fontId="0" fillId="0" borderId="0" xfId="0" applyFill="1" applyProtection="1"/>
    <xf numFmtId="0" fontId="0" fillId="0" borderId="0" xfId="0" applyProtection="1">
      <protection locked="0"/>
    </xf>
    <xf numFmtId="0" fontId="80" fillId="0" borderId="0" xfId="0" applyFont="1" applyFill="1" applyAlignment="1" applyProtection="1">
      <alignment horizontal="center" vertical="center" wrapText="1"/>
    </xf>
    <xf numFmtId="0" fontId="103" fillId="0" borderId="23" xfId="439" applyNumberFormat="1" applyFont="1" applyFill="1" applyBorder="1" applyAlignment="1" applyProtection="1">
      <alignment horizontal="center" vertical="center" wrapText="1"/>
    </xf>
    <xf numFmtId="164" fontId="103" fillId="0" borderId="23" xfId="439" applyNumberFormat="1" applyFont="1" applyFill="1" applyBorder="1" applyAlignment="1" applyProtection="1">
      <alignment horizontal="center" vertical="center" wrapText="1"/>
    </xf>
    <xf numFmtId="0" fontId="0" fillId="0" borderId="0" xfId="0" applyFont="1" applyFill="1" applyAlignment="1" applyProtection="1">
      <alignment vertical="center" wrapText="1"/>
    </xf>
    <xf numFmtId="39" fontId="103" fillId="0" borderId="28" xfId="439" applyNumberFormat="1" applyFont="1" applyFill="1" applyBorder="1" applyAlignment="1" applyProtection="1">
      <alignment horizontal="center" vertical="center" wrapText="1"/>
    </xf>
    <xf numFmtId="0" fontId="0" fillId="0" borderId="0" xfId="0" applyFill="1" applyAlignment="1" applyProtection="1">
      <alignment horizontal="center" vertical="center"/>
    </xf>
    <xf numFmtId="164" fontId="103" fillId="0" borderId="0" xfId="439" applyNumberFormat="1" applyFont="1" applyFill="1" applyBorder="1" applyAlignment="1" applyProtection="1">
      <alignment horizontal="center" vertical="center" wrapText="1"/>
    </xf>
    <xf numFmtId="170" fontId="103" fillId="29" borderId="23" xfId="439" applyNumberFormat="1" applyFont="1" applyFill="1" applyBorder="1" applyAlignment="1" applyProtection="1">
      <alignment horizontal="center" vertical="center" wrapText="1"/>
      <protection locked="0"/>
    </xf>
    <xf numFmtId="164" fontId="103" fillId="0" borderId="23" xfId="439" applyNumberFormat="1" applyFont="1" applyFill="1" applyBorder="1" applyAlignment="1" applyProtection="1">
      <alignment horizontal="center" vertical="center" wrapText="1"/>
    </xf>
    <xf numFmtId="0" fontId="0" fillId="0" borderId="23" xfId="0" applyFont="1" applyFill="1" applyBorder="1" applyAlignment="1" applyProtection="1">
      <alignment vertical="center" wrapText="1"/>
    </xf>
    <xf numFmtId="0" fontId="63" fillId="0" borderId="25" xfId="0" applyNumberFormat="1" applyFont="1" applyFill="1" applyBorder="1" applyAlignment="1" applyProtection="1">
      <alignment horizontal="center" vertical="center"/>
    </xf>
    <xf numFmtId="0" fontId="0" fillId="0" borderId="23" xfId="0" applyNumberFormat="1" applyFill="1" applyBorder="1" applyAlignment="1" applyProtection="1">
      <alignment horizontal="left" vertical="center" wrapText="1"/>
    </xf>
    <xf numFmtId="0" fontId="0" fillId="0" borderId="25" xfId="0" applyNumberFormat="1" applyFill="1" applyBorder="1" applyAlignment="1" applyProtection="1">
      <alignment horizontal="left" vertical="center" wrapText="1"/>
    </xf>
    <xf numFmtId="0" fontId="103" fillId="0" borderId="23" xfId="0" applyNumberFormat="1" applyFont="1" applyFill="1" applyBorder="1" applyAlignment="1" applyProtection="1">
      <alignment horizontal="left" vertical="center" wrapText="1"/>
    </xf>
    <xf numFmtId="164" fontId="103" fillId="0" borderId="0" xfId="439" applyNumberFormat="1" applyFont="1" applyFill="1" applyBorder="1" applyAlignment="1" applyProtection="1">
      <alignment horizontal="center" vertical="center" wrapText="1"/>
    </xf>
    <xf numFmtId="0" fontId="0" fillId="0" borderId="0" xfId="0" applyNumberFormat="1" applyFill="1" applyAlignment="1" applyProtection="1">
      <alignment vertical="center" wrapText="1"/>
    </xf>
    <xf numFmtId="0" fontId="5" fillId="0" borderId="0" xfId="0" applyFont="1" applyFill="1" applyAlignment="1" applyProtection="1">
      <alignment vertical="center" wrapText="1"/>
    </xf>
    <xf numFmtId="0" fontId="68" fillId="0" borderId="0" xfId="0" applyFont="1" applyFill="1" applyAlignment="1" applyProtection="1">
      <alignment horizontal="left" vertical="center"/>
    </xf>
    <xf numFmtId="0" fontId="68" fillId="0" borderId="0" xfId="0" applyFont="1" applyFill="1" applyAlignment="1" applyProtection="1">
      <alignment vertical="center"/>
    </xf>
    <xf numFmtId="0" fontId="0" fillId="0" borderId="0" xfId="0" applyFont="1" applyFill="1" applyBorder="1" applyAlignment="1" applyProtection="1">
      <alignment vertical="center" wrapText="1"/>
    </xf>
    <xf numFmtId="37" fontId="104" fillId="33" borderId="28" xfId="439" applyNumberFormat="1" applyFont="1" applyFill="1" applyBorder="1" applyAlignment="1" applyProtection="1">
      <alignment horizontal="center" vertical="center" wrapText="1"/>
    </xf>
    <xf numFmtId="37" fontId="63" fillId="0" borderId="28" xfId="439" applyNumberFormat="1" applyFont="1" applyFill="1" applyBorder="1" applyAlignment="1" applyProtection="1">
      <alignment horizontal="center" vertical="center" wrapText="1"/>
    </xf>
    <xf numFmtId="37" fontId="104" fillId="0" borderId="28" xfId="439" applyNumberFormat="1" applyFont="1" applyFill="1" applyBorder="1" applyAlignment="1" applyProtection="1">
      <alignment horizontal="center" vertical="center" wrapText="1"/>
    </xf>
    <xf numFmtId="0" fontId="63" fillId="0" borderId="24" xfId="0" applyNumberFormat="1" applyFont="1" applyFill="1" applyBorder="1" applyAlignment="1" applyProtection="1">
      <alignment horizontal="center" vertical="center"/>
    </xf>
    <xf numFmtId="0" fontId="68" fillId="0" borderId="0" xfId="0" applyNumberFormat="1" applyFont="1" applyFill="1" applyAlignment="1" applyProtection="1">
      <alignment horizontal="left" vertical="center" wrapText="1"/>
    </xf>
    <xf numFmtId="0" fontId="0" fillId="34" borderId="25" xfId="0" applyNumberFormat="1" applyFill="1" applyBorder="1" applyAlignment="1" applyProtection="1">
      <alignment horizontal="left" vertical="center" wrapText="1"/>
    </xf>
    <xf numFmtId="0" fontId="103" fillId="34" borderId="23" xfId="0" applyNumberFormat="1" applyFont="1" applyFill="1" applyBorder="1" applyAlignment="1" applyProtection="1">
      <alignment horizontal="left" vertical="center" wrapText="1"/>
    </xf>
    <xf numFmtId="0" fontId="0" fillId="0" borderId="23" xfId="0" applyNumberFormat="1" applyFont="1" applyFill="1" applyBorder="1" applyAlignment="1" applyProtection="1">
      <alignment vertical="center" wrapText="1"/>
    </xf>
    <xf numFmtId="0" fontId="0" fillId="0" borderId="0" xfId="0" applyFont="1" applyFill="1" applyAlignment="1">
      <alignment vertical="center" wrapText="1"/>
    </xf>
    <xf numFmtId="165" fontId="103" fillId="29" borderId="23" xfId="439" applyNumberFormat="1" applyFont="1" applyFill="1" applyBorder="1" applyAlignment="1" applyProtection="1">
      <alignment horizontal="center" vertical="center" wrapText="1"/>
      <protection locked="0"/>
    </xf>
    <xf numFmtId="168" fontId="0" fillId="0" borderId="0" xfId="0" applyNumberFormat="1" applyProtection="1"/>
    <xf numFmtId="0" fontId="0" fillId="35" borderId="0" xfId="0" applyFill="1" applyAlignment="1" applyProtection="1">
      <alignment horizontal="center" vertical="center"/>
    </xf>
    <xf numFmtId="39" fontId="103" fillId="34" borderId="28" xfId="439" applyNumberFormat="1" applyFont="1" applyFill="1" applyBorder="1" applyAlignment="1" applyProtection="1">
      <alignment horizontal="center" vertical="center" wrapText="1"/>
    </xf>
    <xf numFmtId="0" fontId="0" fillId="28" borderId="0" xfId="0" applyNumberFormat="1" applyFont="1" applyFill="1" applyAlignment="1" applyProtection="1">
      <alignment vertical="center" wrapText="1"/>
    </xf>
    <xf numFmtId="41" fontId="115" fillId="28" borderId="0" xfId="0" applyNumberFormat="1" applyFont="1" applyFill="1" applyAlignment="1" applyProtection="1">
      <alignment wrapText="1"/>
    </xf>
    <xf numFmtId="0" fontId="0" fillId="22" borderId="25" xfId="0" applyNumberFormat="1" applyFill="1" applyBorder="1" applyAlignment="1" applyProtection="1">
      <alignment horizontal="left" vertical="center" wrapText="1"/>
    </xf>
    <xf numFmtId="0" fontId="103" fillId="22" borderId="25" xfId="0" applyNumberFormat="1" applyFont="1" applyFill="1" applyBorder="1" applyAlignment="1" applyProtection="1">
      <alignment horizontal="left" vertical="center" wrapText="1"/>
    </xf>
    <xf numFmtId="0" fontId="0" fillId="22" borderId="23" xfId="0" applyNumberFormat="1" applyFill="1" applyBorder="1" applyAlignment="1" applyProtection="1">
      <alignment horizontal="left" vertical="center" wrapText="1"/>
    </xf>
    <xf numFmtId="168" fontId="0" fillId="35" borderId="0" xfId="0" applyNumberFormat="1" applyFill="1" applyAlignment="1" applyProtection="1">
      <alignment wrapText="1"/>
    </xf>
    <xf numFmtId="39" fontId="103" fillId="0" borderId="0" xfId="439" applyNumberFormat="1" applyFont="1" applyFill="1" applyBorder="1" applyAlignment="1" applyProtection="1">
      <alignment horizontal="center" vertical="center" wrapText="1"/>
    </xf>
    <xf numFmtId="168" fontId="0" fillId="0" borderId="0" xfId="0" applyNumberFormat="1" applyFill="1" applyAlignment="1" applyProtection="1">
      <alignment wrapText="1"/>
    </xf>
    <xf numFmtId="164" fontId="0" fillId="0" borderId="0" xfId="0" applyNumberFormat="1" applyFont="1" applyFill="1" applyProtection="1"/>
    <xf numFmtId="164" fontId="103" fillId="34" borderId="23" xfId="439" applyNumberFormat="1" applyFont="1" applyFill="1" applyBorder="1" applyAlignment="1" applyProtection="1">
      <alignment horizontal="center" vertical="center" wrapText="1"/>
    </xf>
    <xf numFmtId="41" fontId="66" fillId="0" borderId="0" xfId="0" applyNumberFormat="1" applyFont="1" applyFill="1" applyAlignment="1" applyProtection="1">
      <alignment wrapText="1"/>
    </xf>
    <xf numFmtId="164" fontId="103" fillId="34" borderId="29" xfId="439" applyNumberFormat="1" applyFont="1" applyFill="1" applyBorder="1" applyAlignment="1" applyProtection="1">
      <alignment horizontal="center" vertical="center" wrapText="1"/>
    </xf>
    <xf numFmtId="3" fontId="0" fillId="0" borderId="0" xfId="0" applyNumberFormat="1" applyFill="1" applyProtection="1"/>
    <xf numFmtId="0" fontId="0" fillId="0" borderId="0" xfId="0" applyFill="1" applyAlignment="1">
      <alignment vertical="center" wrapText="1"/>
    </xf>
    <xf numFmtId="0" fontId="0" fillId="0" borderId="0" xfId="0" applyFill="1"/>
    <xf numFmtId="169" fontId="63" fillId="0" borderId="0" xfId="439" applyNumberFormat="1" applyFont="1" applyFill="1" applyAlignment="1" applyProtection="1">
      <alignment horizontal="center" vertical="center"/>
      <protection locked="0"/>
    </xf>
    <xf numFmtId="38" fontId="69" fillId="0" borderId="14" xfId="439" applyNumberFormat="1" applyFont="1" applyFill="1" applyBorder="1" applyAlignment="1" applyProtection="1">
      <alignment horizontal="center" vertical="center" wrapText="1"/>
    </xf>
    <xf numFmtId="0" fontId="0" fillId="0" borderId="0" xfId="0" applyAlignment="1" applyProtection="1">
      <alignment horizontal="center" vertical="center" wrapText="1"/>
    </xf>
    <xf numFmtId="176" fontId="65" fillId="0" borderId="0" xfId="0" applyNumberFormat="1" applyFont="1" applyAlignment="1" applyProtection="1">
      <alignment wrapText="1"/>
    </xf>
    <xf numFmtId="0" fontId="0" fillId="0" borderId="25" xfId="0" applyNumberFormat="1" applyFill="1" applyBorder="1" applyAlignment="1" applyProtection="1">
      <alignment horizontal="center" vertical="center" wrapText="1"/>
    </xf>
    <xf numFmtId="0" fontId="0" fillId="0" borderId="10" xfId="0" applyFont="1" applyFill="1" applyBorder="1" applyAlignment="1" applyProtection="1">
      <alignment horizontal="left" vertical="center" wrapText="1"/>
    </xf>
    <xf numFmtId="171" fontId="103" fillId="0" borderId="29" xfId="439" applyNumberFormat="1" applyFont="1" applyFill="1" applyBorder="1" applyAlignment="1" applyProtection="1">
      <alignment horizontal="center" vertical="center" wrapText="1"/>
    </xf>
    <xf numFmtId="0" fontId="63" fillId="0" borderId="0" xfId="0" applyFont="1" applyProtection="1"/>
    <xf numFmtId="14" fontId="0" fillId="0" borderId="0" xfId="0" applyNumberFormat="1" applyFill="1" applyProtection="1"/>
    <xf numFmtId="0" fontId="63" fillId="34" borderId="25" xfId="0" applyNumberFormat="1" applyFont="1" applyFill="1" applyBorder="1" applyAlignment="1" applyProtection="1">
      <alignment horizontal="center" vertical="center"/>
    </xf>
    <xf numFmtId="0" fontId="0" fillId="0" borderId="0" xfId="0" applyProtection="1"/>
    <xf numFmtId="41" fontId="65" fillId="0" borderId="0" xfId="439" applyNumberFormat="1" applyFont="1" applyFill="1" applyAlignment="1" applyProtection="1">
      <alignment vertical="center" wrapText="1"/>
    </xf>
    <xf numFmtId="164" fontId="103" fillId="0" borderId="29" xfId="439" applyNumberFormat="1" applyFont="1" applyFill="1" applyBorder="1" applyAlignment="1" applyProtection="1">
      <alignment horizontal="center" vertical="center" wrapText="1"/>
    </xf>
    <xf numFmtId="172" fontId="103" fillId="0" borderId="23" xfId="439" applyNumberFormat="1" applyFont="1" applyFill="1" applyBorder="1" applyAlignment="1" applyProtection="1">
      <alignment horizontal="center" vertical="center" wrapText="1"/>
    </xf>
    <xf numFmtId="164" fontId="103" fillId="0" borderId="23" xfId="439" applyNumberFormat="1" applyFont="1" applyFill="1" applyBorder="1" applyAlignment="1" applyProtection="1">
      <alignment horizontal="center" vertical="center" wrapText="1"/>
    </xf>
    <xf numFmtId="164" fontId="103" fillId="29" borderId="23" xfId="439" applyNumberFormat="1" applyFont="1" applyFill="1" applyBorder="1" applyAlignment="1" applyProtection="1">
      <alignment horizontal="center" vertical="center" wrapText="1"/>
      <protection locked="0"/>
    </xf>
    <xf numFmtId="0" fontId="0" fillId="0" borderId="23" xfId="0" applyNumberFormat="1" applyFill="1" applyBorder="1" applyAlignment="1" applyProtection="1">
      <alignment horizontal="left" vertical="center" wrapText="1"/>
    </xf>
    <xf numFmtId="0" fontId="0" fillId="0" borderId="25" xfId="0" applyNumberFormat="1" applyFill="1" applyBorder="1" applyAlignment="1" applyProtection="1">
      <alignment horizontal="left" vertical="center" wrapText="1"/>
    </xf>
    <xf numFmtId="0" fontId="103" fillId="0" borderId="23" xfId="0" applyNumberFormat="1" applyFont="1" applyFill="1" applyBorder="1" applyAlignment="1" applyProtection="1">
      <alignment horizontal="left" vertical="center" wrapText="1"/>
    </xf>
    <xf numFmtId="0" fontId="68" fillId="0" borderId="0" xfId="0" applyFont="1" applyFill="1" applyAlignment="1" applyProtection="1">
      <alignment vertical="center" wrapText="1"/>
      <protection locked="0"/>
    </xf>
    <xf numFmtId="39" fontId="103" fillId="0" borderId="28" xfId="439" applyNumberFormat="1" applyFont="1" applyFill="1" applyBorder="1" applyAlignment="1" applyProtection="1">
      <alignment horizontal="center" vertical="center" wrapText="1"/>
    </xf>
    <xf numFmtId="0" fontId="63" fillId="0" borderId="24" xfId="0" applyNumberFormat="1" applyFont="1" applyFill="1" applyBorder="1" applyAlignment="1" applyProtection="1">
      <alignment horizontal="center" vertical="center"/>
    </xf>
    <xf numFmtId="40" fontId="0" fillId="0" borderId="0" xfId="0" applyNumberFormat="1"/>
    <xf numFmtId="0" fontId="0" fillId="32" borderId="0" xfId="0" applyFill="1" applyProtection="1"/>
    <xf numFmtId="0" fontId="123" fillId="0" borderId="0" xfId="0" applyFont="1"/>
    <xf numFmtId="0" fontId="0" fillId="0" borderId="0" xfId="0" applyProtection="1"/>
    <xf numFmtId="0" fontId="0" fillId="0" borderId="0" xfId="0" applyFill="1" applyProtection="1"/>
    <xf numFmtId="41" fontId="66" fillId="0" borderId="0" xfId="0" applyNumberFormat="1" applyFont="1" applyFill="1" applyAlignment="1" applyProtection="1">
      <alignment wrapText="1"/>
    </xf>
    <xf numFmtId="0" fontId="0" fillId="0" borderId="0" xfId="0" applyAlignment="1" applyProtection="1">
      <alignment wrapText="1"/>
      <protection locked="0"/>
    </xf>
    <xf numFmtId="0" fontId="0" fillId="0" borderId="0" xfId="0" applyProtection="1">
      <protection locked="0"/>
    </xf>
    <xf numFmtId="38" fontId="69" fillId="0" borderId="0" xfId="439" applyNumberFormat="1" applyFont="1" applyFill="1" applyAlignment="1" applyProtection="1">
      <alignment horizontal="center" vertical="center" wrapText="1"/>
    </xf>
    <xf numFmtId="0" fontId="85" fillId="0" borderId="0" xfId="0" applyFont="1" applyAlignment="1" applyProtection="1">
      <alignment horizontal="center" vertical="center" wrapText="1"/>
    </xf>
    <xf numFmtId="0" fontId="87" fillId="0" borderId="0" xfId="0" applyFont="1" applyFill="1" applyAlignment="1" applyProtection="1">
      <alignment vertical="center" wrapText="1"/>
    </xf>
    <xf numFmtId="0" fontId="85" fillId="0" borderId="0" xfId="0" applyFont="1" applyFill="1" applyAlignment="1" applyProtection="1">
      <alignment horizontal="center" vertical="center" wrapText="1"/>
    </xf>
    <xf numFmtId="0" fontId="101" fillId="0" borderId="0" xfId="0" applyFont="1" applyAlignment="1" applyProtection="1">
      <alignment horizontal="center" vertical="center" wrapText="1"/>
    </xf>
    <xf numFmtId="0" fontId="87" fillId="0" borderId="0" xfId="0" applyNumberFormat="1" applyFont="1" applyFill="1" applyAlignment="1" applyProtection="1">
      <alignment horizontal="left" vertical="center" wrapText="1"/>
    </xf>
    <xf numFmtId="0" fontId="101" fillId="0" borderId="0" xfId="0" applyFont="1" applyFill="1" applyAlignment="1" applyProtection="1">
      <alignment horizontal="center" vertical="center" wrapText="1"/>
    </xf>
    <xf numFmtId="0" fontId="0" fillId="0" borderId="0" xfId="0" applyNumberFormat="1" applyFont="1" applyFill="1" applyAlignment="1" applyProtection="1">
      <alignment horizontal="center" vertical="center"/>
    </xf>
    <xf numFmtId="164" fontId="103" fillId="0" borderId="29" xfId="439" applyNumberFormat="1" applyFont="1" applyFill="1" applyBorder="1" applyAlignment="1" applyProtection="1">
      <alignment horizontal="center" vertical="center" wrapText="1"/>
    </xf>
    <xf numFmtId="164" fontId="57" fillId="0" borderId="28" xfId="439" applyNumberFormat="1" applyFont="1" applyFill="1" applyBorder="1" applyAlignment="1" applyProtection="1">
      <alignment vertical="center"/>
    </xf>
    <xf numFmtId="164" fontId="103" fillId="0" borderId="23" xfId="439" applyNumberFormat="1" applyFont="1" applyFill="1" applyBorder="1" applyAlignment="1" applyProtection="1">
      <alignment horizontal="center" vertical="center" wrapText="1"/>
    </xf>
    <xf numFmtId="0" fontId="0" fillId="0" borderId="23" xfId="0" applyNumberFormat="1" applyFill="1" applyBorder="1" applyAlignment="1" applyProtection="1">
      <alignment horizontal="left" vertical="center" wrapText="1"/>
    </xf>
    <xf numFmtId="0" fontId="0" fillId="0" borderId="25" xfId="0" applyNumberFormat="1" applyFill="1" applyBorder="1" applyAlignment="1" applyProtection="1">
      <alignment horizontal="left" vertical="center" wrapText="1"/>
    </xf>
    <xf numFmtId="0" fontId="103" fillId="0" borderId="23" xfId="0" applyNumberFormat="1" applyFont="1" applyFill="1" applyBorder="1" applyAlignment="1" applyProtection="1">
      <alignment horizontal="left" vertical="center" wrapText="1"/>
    </xf>
    <xf numFmtId="39" fontId="103" fillId="0" borderId="28" xfId="439" applyNumberFormat="1" applyFont="1" applyFill="1" applyBorder="1" applyAlignment="1" applyProtection="1">
      <alignment horizontal="center" vertical="center" wrapText="1"/>
    </xf>
    <xf numFmtId="0" fontId="6" fillId="0" borderId="0" xfId="0" applyNumberFormat="1" applyFont="1" applyFill="1" applyAlignment="1" applyProtection="1">
      <alignment vertical="center" wrapText="1"/>
    </xf>
    <xf numFmtId="0" fontId="0" fillId="0" borderId="0" xfId="0" applyFill="1" applyAlignment="1" applyProtection="1">
      <alignment horizontal="center" vertical="center"/>
    </xf>
    <xf numFmtId="164" fontId="0" fillId="0" borderId="0" xfId="0" applyNumberFormat="1" applyProtection="1"/>
    <xf numFmtId="0" fontId="0" fillId="0" borderId="23" xfId="0" applyFont="1" applyFill="1" applyBorder="1" applyAlignment="1" applyProtection="1">
      <alignment vertical="center" wrapText="1"/>
    </xf>
    <xf numFmtId="0" fontId="63" fillId="0" borderId="25" xfId="0" applyNumberFormat="1" applyFont="1" applyFill="1" applyBorder="1" applyAlignment="1" applyProtection="1">
      <alignment horizontal="center" vertical="center"/>
    </xf>
    <xf numFmtId="0" fontId="0" fillId="0" borderId="23" xfId="0" applyFont="1" applyFill="1" applyBorder="1" applyAlignment="1" applyProtection="1">
      <alignment vertical="center" wrapText="1"/>
      <protection locked="0"/>
    </xf>
    <xf numFmtId="164" fontId="103" fillId="29" borderId="44" xfId="439" applyNumberFormat="1" applyFont="1" applyFill="1" applyBorder="1" applyAlignment="1" applyProtection="1">
      <alignment horizontal="center" vertical="center" wrapText="1"/>
      <protection locked="0"/>
    </xf>
    <xf numFmtId="164" fontId="103" fillId="0" borderId="30" xfId="439" applyNumberFormat="1" applyFont="1" applyFill="1" applyBorder="1" applyAlignment="1" applyProtection="1">
      <alignment horizontal="center" vertical="center" wrapText="1"/>
    </xf>
    <xf numFmtId="39" fontId="103" fillId="0" borderId="27" xfId="439" applyNumberFormat="1" applyFont="1" applyFill="1" applyBorder="1" applyAlignment="1" applyProtection="1">
      <alignment horizontal="center" vertical="center" wrapText="1"/>
    </xf>
    <xf numFmtId="164" fontId="103" fillId="0" borderId="46" xfId="439" applyNumberFormat="1" applyFont="1" applyFill="1" applyBorder="1" applyAlignment="1" applyProtection="1">
      <alignment horizontal="center" vertical="center" wrapText="1"/>
    </xf>
    <xf numFmtId="0" fontId="63" fillId="32" borderId="26" xfId="0" applyNumberFormat="1" applyFont="1" applyFill="1" applyBorder="1" applyAlignment="1" applyProtection="1">
      <alignment horizontal="center" vertical="center"/>
    </xf>
    <xf numFmtId="0" fontId="0" fillId="32" borderId="31" xfId="0" applyFont="1" applyFill="1" applyBorder="1" applyAlignment="1" applyProtection="1">
      <alignment vertical="center" wrapText="1"/>
    </xf>
    <xf numFmtId="164" fontId="103" fillId="29" borderId="45" xfId="439" applyNumberFormat="1" applyFont="1" applyFill="1" applyBorder="1" applyAlignment="1" applyProtection="1">
      <alignment horizontal="center" vertical="center" wrapText="1"/>
      <protection locked="0"/>
    </xf>
    <xf numFmtId="0" fontId="0" fillId="0" borderId="24" xfId="0" applyNumberFormat="1" applyFill="1" applyBorder="1" applyAlignment="1" applyProtection="1">
      <alignment horizontal="left" vertical="center" wrapText="1"/>
    </xf>
    <xf numFmtId="0" fontId="103" fillId="0" borderId="30" xfId="0" applyNumberFormat="1" applyFont="1" applyFill="1" applyBorder="1" applyAlignment="1" applyProtection="1">
      <alignment horizontal="left" vertical="center" wrapText="1"/>
    </xf>
    <xf numFmtId="0" fontId="0" fillId="0" borderId="30" xfId="0" applyNumberFormat="1" applyFill="1" applyBorder="1" applyAlignment="1" applyProtection="1">
      <alignment horizontal="left" vertical="center" wrapText="1"/>
    </xf>
    <xf numFmtId="0" fontId="103" fillId="23" borderId="31" xfId="0" applyNumberFormat="1" applyFont="1" applyFill="1" applyBorder="1" applyAlignment="1" applyProtection="1">
      <alignment horizontal="left" vertical="center" wrapText="1"/>
    </xf>
    <xf numFmtId="0" fontId="0" fillId="23" borderId="31" xfId="0" applyNumberFormat="1" applyFill="1" applyBorder="1" applyAlignment="1" applyProtection="1">
      <alignment horizontal="left" vertical="center" wrapText="1"/>
    </xf>
    <xf numFmtId="0" fontId="103" fillId="23" borderId="31" xfId="439" applyNumberFormat="1" applyFont="1" applyFill="1" applyBorder="1" applyAlignment="1" applyProtection="1">
      <alignment horizontal="center" vertical="center" wrapText="1"/>
    </xf>
    <xf numFmtId="37" fontId="63" fillId="23" borderId="29" xfId="439" applyNumberFormat="1" applyFont="1" applyFill="1" applyBorder="1" applyAlignment="1" applyProtection="1">
      <alignment horizontal="center" vertical="center" wrapText="1"/>
    </xf>
    <xf numFmtId="0" fontId="63" fillId="23" borderId="26" xfId="0" applyNumberFormat="1" applyFont="1" applyFill="1" applyBorder="1" applyAlignment="1" applyProtection="1">
      <alignment horizontal="center" vertical="center"/>
    </xf>
    <xf numFmtId="37" fontId="63" fillId="0" borderId="27" xfId="439" applyNumberFormat="1" applyFont="1" applyFill="1" applyBorder="1" applyAlignment="1" applyProtection="1">
      <alignment horizontal="center" vertical="center" wrapText="1"/>
    </xf>
    <xf numFmtId="0" fontId="125" fillId="0" borderId="0" xfId="0" applyFont="1" applyFill="1" applyProtection="1"/>
    <xf numFmtId="0" fontId="0" fillId="36" borderId="23" xfId="0" applyNumberFormat="1" applyFill="1" applyBorder="1" applyAlignment="1" applyProtection="1">
      <alignment horizontal="left" vertical="center" wrapText="1"/>
    </xf>
    <xf numFmtId="41" fontId="66" fillId="0" borderId="45" xfId="0" applyNumberFormat="1" applyFont="1" applyFill="1" applyBorder="1" applyAlignment="1" applyProtection="1">
      <alignment wrapText="1"/>
    </xf>
    <xf numFmtId="0" fontId="0" fillId="0" borderId="45" xfId="0" applyFill="1" applyBorder="1" applyAlignment="1" applyProtection="1">
      <alignment wrapText="1"/>
      <protection locked="0"/>
    </xf>
    <xf numFmtId="0" fontId="65" fillId="0" borderId="45" xfId="0" applyFont="1" applyFill="1" applyBorder="1" applyAlignment="1" applyProtection="1">
      <alignment wrapText="1"/>
      <protection locked="0"/>
    </xf>
    <xf numFmtId="0" fontId="84" fillId="0" borderId="45" xfId="0" applyFont="1" applyFill="1" applyBorder="1" applyAlignment="1" applyProtection="1">
      <alignment wrapText="1"/>
      <protection locked="0"/>
    </xf>
    <xf numFmtId="0" fontId="37" fillId="0" borderId="0" xfId="0" applyFont="1" applyFill="1" applyAlignment="1" applyProtection="1">
      <alignment horizontal="center" vertical="center" wrapText="1"/>
    </xf>
    <xf numFmtId="0" fontId="126" fillId="0" borderId="0" xfId="0" applyFont="1" applyFill="1" applyProtection="1"/>
    <xf numFmtId="0" fontId="70" fillId="0" borderId="0" xfId="0" applyFont="1" applyFill="1" applyProtection="1"/>
    <xf numFmtId="2" fontId="0" fillId="0" borderId="0" xfId="0" applyNumberFormat="1" applyFill="1" applyProtection="1"/>
    <xf numFmtId="9" fontId="0" fillId="0" borderId="0" xfId="0" applyNumberFormat="1" applyAlignment="1">
      <alignment horizontal="center"/>
    </xf>
    <xf numFmtId="0" fontId="132" fillId="0" borderId="0" xfId="0" applyFont="1"/>
    <xf numFmtId="0" fontId="63" fillId="34" borderId="0" xfId="0" applyFont="1" applyFill="1" applyProtection="1"/>
    <xf numFmtId="0" fontId="0" fillId="34" borderId="0" xfId="0" applyFill="1" applyAlignment="1" applyProtection="1">
      <alignment wrapText="1"/>
    </xf>
    <xf numFmtId="0" fontId="0" fillId="34" borderId="0" xfId="0" applyFill="1" applyProtection="1"/>
    <xf numFmtId="0" fontId="0" fillId="34" borderId="45" xfId="0" applyNumberFormat="1" applyFont="1" applyFill="1" applyBorder="1" applyAlignment="1" applyProtection="1">
      <alignment horizontal="center" vertical="center" wrapText="1"/>
    </xf>
    <xf numFmtId="0" fontId="85" fillId="34" borderId="45" xfId="0" applyFont="1" applyFill="1" applyBorder="1" applyAlignment="1" applyProtection="1">
      <alignment horizontal="center" vertical="center" wrapText="1"/>
    </xf>
    <xf numFmtId="0" fontId="101" fillId="34" borderId="45" xfId="0" applyFont="1" applyFill="1" applyBorder="1" applyAlignment="1" applyProtection="1">
      <alignment horizontal="center" vertical="center" wrapText="1"/>
    </xf>
    <xf numFmtId="0" fontId="1" fillId="34" borderId="45" xfId="0" applyNumberFormat="1" applyFont="1" applyFill="1" applyBorder="1" applyAlignment="1" applyProtection="1">
      <alignment horizontal="left" vertical="center" wrapText="1"/>
    </xf>
    <xf numFmtId="38" fontId="69" fillId="34" borderId="45" xfId="439" applyNumberFormat="1" applyFont="1" applyFill="1" applyBorder="1" applyAlignment="1" applyProtection="1">
      <alignment horizontal="center" vertical="center" wrapText="1"/>
    </xf>
    <xf numFmtId="0" fontId="0" fillId="34" borderId="45" xfId="0" applyNumberFormat="1" applyFont="1" applyFill="1" applyBorder="1" applyAlignment="1" applyProtection="1">
      <alignment horizontal="center" vertical="center"/>
    </xf>
    <xf numFmtId="0" fontId="29" fillId="34" borderId="45" xfId="0" applyFont="1" applyFill="1" applyBorder="1" applyAlignment="1" applyProtection="1">
      <alignment horizontal="center" vertical="center" wrapText="1"/>
    </xf>
    <xf numFmtId="41" fontId="66" fillId="34" borderId="0" xfId="0" applyNumberFormat="1" applyFont="1" applyFill="1" applyAlignment="1" applyProtection="1">
      <alignment wrapText="1"/>
    </xf>
    <xf numFmtId="0" fontId="0" fillId="34" borderId="0" xfId="0" applyNumberFormat="1" applyFont="1" applyFill="1" applyAlignment="1" applyProtection="1">
      <alignment horizontal="left" vertical="center" wrapText="1"/>
    </xf>
    <xf numFmtId="0" fontId="0" fillId="34" borderId="45" xfId="0" applyNumberFormat="1" applyFill="1" applyBorder="1" applyAlignment="1" applyProtection="1">
      <alignment vertical="center" wrapText="1"/>
    </xf>
    <xf numFmtId="164" fontId="0" fillId="0" borderId="45" xfId="0" applyNumberFormat="1" applyFill="1" applyBorder="1" applyAlignment="1" applyProtection="1">
      <alignment wrapText="1"/>
      <protection locked="0"/>
    </xf>
    <xf numFmtId="0" fontId="0" fillId="0" borderId="36" xfId="0" applyNumberFormat="1" applyFont="1" applyFill="1" applyBorder="1" applyAlignment="1" applyProtection="1">
      <alignment horizontal="left" vertical="center" wrapText="1"/>
    </xf>
    <xf numFmtId="0" fontId="0" fillId="0" borderId="36" xfId="0" applyNumberFormat="1" applyFont="1" applyFill="1" applyBorder="1" applyAlignment="1" applyProtection="1">
      <alignment horizontal="center" vertical="center" wrapText="1"/>
    </xf>
    <xf numFmtId="0" fontId="0" fillId="34" borderId="45" xfId="0" applyNumberFormat="1" applyFill="1" applyBorder="1" applyAlignment="1" applyProtection="1">
      <alignment horizontal="left" vertical="center" wrapText="1"/>
    </xf>
    <xf numFmtId="0" fontId="103" fillId="34" borderId="45" xfId="0" applyNumberFormat="1" applyFont="1" applyFill="1" applyBorder="1" applyAlignment="1" applyProtection="1">
      <alignment horizontal="left" vertical="center" wrapText="1"/>
    </xf>
    <xf numFmtId="164" fontId="103" fillId="34" borderId="45" xfId="439" applyNumberFormat="1" applyFont="1" applyFill="1" applyBorder="1" applyAlignment="1" applyProtection="1">
      <alignment horizontal="center" vertical="center" wrapText="1"/>
    </xf>
    <xf numFmtId="39" fontId="103" fillId="34" borderId="45" xfId="439" applyNumberFormat="1" applyFont="1" applyFill="1" applyBorder="1" applyAlignment="1" applyProtection="1">
      <alignment horizontal="center" vertical="center" wrapText="1"/>
    </xf>
    <xf numFmtId="0" fontId="63" fillId="34" borderId="45" xfId="0" applyNumberFormat="1" applyFont="1" applyFill="1" applyBorder="1" applyAlignment="1" applyProtection="1">
      <alignment horizontal="center" vertical="center"/>
    </xf>
    <xf numFmtId="0" fontId="0" fillId="34" borderId="45" xfId="0" applyFont="1" applyFill="1" applyBorder="1" applyAlignment="1" applyProtection="1">
      <alignment vertical="center" wrapText="1"/>
    </xf>
    <xf numFmtId="0" fontId="0" fillId="34" borderId="45" xfId="0" applyFill="1" applyBorder="1" applyProtection="1"/>
    <xf numFmtId="0" fontId="123" fillId="34" borderId="45" xfId="0" applyFont="1" applyFill="1" applyBorder="1"/>
    <xf numFmtId="0" fontId="0" fillId="34" borderId="45" xfId="0" applyFill="1" applyBorder="1" applyAlignment="1" applyProtection="1">
      <alignment horizontal="center" vertical="center"/>
    </xf>
    <xf numFmtId="0" fontId="0" fillId="34" borderId="23" xfId="0" applyNumberFormat="1" applyFill="1" applyBorder="1" applyAlignment="1" applyProtection="1">
      <alignment horizontal="left" vertical="center" wrapText="1"/>
    </xf>
    <xf numFmtId="0" fontId="0" fillId="34" borderId="23" xfId="0" applyFont="1" applyFill="1" applyBorder="1" applyAlignment="1" applyProtection="1">
      <alignment vertical="center" wrapText="1"/>
    </xf>
    <xf numFmtId="0" fontId="63" fillId="34" borderId="43" xfId="0" applyNumberFormat="1" applyFont="1" applyFill="1" applyBorder="1" applyAlignment="1" applyProtection="1">
      <alignment horizontal="center" vertical="center"/>
    </xf>
    <xf numFmtId="0" fontId="0" fillId="0" borderId="0" xfId="0" applyFill="1" applyAlignment="1">
      <alignment horizontal="left" vertical="center" wrapText="1"/>
    </xf>
    <xf numFmtId="37" fontId="57" fillId="0" borderId="28" xfId="439" applyNumberFormat="1" applyFont="1" applyFill="1" applyBorder="1" applyAlignment="1" applyProtection="1">
      <alignment horizontal="center" vertical="center" wrapText="1"/>
    </xf>
    <xf numFmtId="39" fontId="0" fillId="0" borderId="28" xfId="439" applyNumberFormat="1" applyFont="1" applyFill="1" applyBorder="1" applyAlignment="1" applyProtection="1">
      <alignment horizontal="center" vertical="center" wrapText="1"/>
    </xf>
    <xf numFmtId="39" fontId="0" fillId="0" borderId="28" xfId="439" applyNumberFormat="1" applyFont="1" applyFill="1" applyBorder="1" applyAlignment="1" applyProtection="1">
      <alignment vertical="center" wrapText="1"/>
    </xf>
    <xf numFmtId="0" fontId="63" fillId="0" borderId="0" xfId="439" applyNumberFormat="1" applyFont="1" applyAlignment="1">
      <alignment horizontal="center" vertical="center"/>
    </xf>
    <xf numFmtId="164" fontId="0" fillId="0" borderId="0" xfId="439" applyNumberFormat="1" applyFont="1"/>
    <xf numFmtId="0" fontId="145" fillId="0" borderId="0" xfId="0" applyFont="1" applyAlignment="1">
      <alignment vertical="center"/>
    </xf>
    <xf numFmtId="164" fontId="65" fillId="0" borderId="0" xfId="439" applyNumberFormat="1" applyFont="1" applyAlignment="1">
      <alignment horizontal="center" vertical="center" wrapText="1"/>
    </xf>
    <xf numFmtId="0" fontId="65" fillId="0" borderId="0" xfId="0" applyFont="1" applyAlignment="1">
      <alignment horizontal="center" vertical="center" wrapText="1"/>
    </xf>
    <xf numFmtId="0" fontId="146" fillId="0" borderId="0" xfId="0" applyFont="1" applyAlignment="1">
      <alignment vertical="center"/>
    </xf>
    <xf numFmtId="0" fontId="0" fillId="0" borderId="0" xfId="0" applyProtection="1"/>
    <xf numFmtId="0" fontId="0" fillId="0" borderId="0" xfId="0" applyFill="1" applyProtection="1"/>
    <xf numFmtId="0" fontId="0" fillId="0" borderId="0" xfId="0" applyAlignment="1" applyProtection="1">
      <alignment wrapText="1"/>
      <protection locked="0"/>
    </xf>
    <xf numFmtId="0" fontId="0" fillId="0" borderId="0" xfId="0"/>
    <xf numFmtId="0" fontId="0" fillId="0" borderId="0" xfId="0" applyProtection="1"/>
    <xf numFmtId="0" fontId="0" fillId="0" borderId="0" xfId="0" applyFill="1" applyProtection="1"/>
    <xf numFmtId="0" fontId="0" fillId="0" borderId="0" xfId="0" applyAlignment="1" applyProtection="1">
      <alignment wrapText="1"/>
      <protection locked="0"/>
    </xf>
    <xf numFmtId="0" fontId="0" fillId="0" borderId="22" xfId="0" applyBorder="1"/>
    <xf numFmtId="43" fontId="69" fillId="0" borderId="0" xfId="439" applyFont="1" applyFill="1" applyAlignment="1" applyProtection="1">
      <alignment horizontal="center" vertical="center" wrapText="1"/>
    </xf>
    <xf numFmtId="0" fontId="176" fillId="0" borderId="0" xfId="0" applyFont="1"/>
    <xf numFmtId="172" fontId="0" fillId="0" borderId="0" xfId="439" applyNumberFormat="1" applyFont="1"/>
    <xf numFmtId="164" fontId="58" fillId="0" borderId="0" xfId="659" applyNumberFormat="1"/>
    <xf numFmtId="38" fontId="0" fillId="0" borderId="0" xfId="0" applyNumberFormat="1"/>
    <xf numFmtId="37" fontId="65" fillId="0" borderId="45" xfId="0" applyNumberFormat="1" applyFont="1" applyFill="1" applyBorder="1" applyAlignment="1" applyProtection="1">
      <alignment wrapText="1"/>
      <protection locked="0"/>
    </xf>
    <xf numFmtId="38" fontId="69" fillId="0" borderId="0" xfId="439" applyNumberFormat="1" applyFont="1" applyFill="1" applyAlignment="1" applyProtection="1">
      <alignment horizontal="center" vertical="center" wrapText="1"/>
      <protection locked="0"/>
    </xf>
    <xf numFmtId="0" fontId="128" fillId="0" borderId="0" xfId="0" applyFont="1" applyFill="1" applyAlignment="1" applyProtection="1">
      <alignment horizontal="center" wrapText="1"/>
    </xf>
    <xf numFmtId="0" fontId="106" fillId="0" borderId="0" xfId="0" applyFont="1" applyAlignment="1" applyProtection="1">
      <alignment horizontal="center"/>
    </xf>
    <xf numFmtId="0" fontId="63" fillId="0" borderId="0" xfId="0" applyFont="1" applyAlignment="1" applyProtection="1">
      <alignment wrapText="1"/>
    </xf>
    <xf numFmtId="0" fontId="121" fillId="0" borderId="0" xfId="0" applyFont="1" applyProtection="1"/>
    <xf numFmtId="0" fontId="63" fillId="0" borderId="0" xfId="0" applyFont="1" applyAlignment="1" applyProtection="1">
      <alignment horizontal="center" wrapText="1"/>
    </xf>
    <xf numFmtId="0" fontId="122" fillId="0" borderId="0" xfId="0" applyFont="1" applyProtection="1"/>
    <xf numFmtId="0" fontId="63" fillId="26" borderId="0" xfId="0" applyFont="1" applyFill="1" applyAlignment="1" applyProtection="1">
      <alignment horizontal="center"/>
    </xf>
    <xf numFmtId="0" fontId="0" fillId="0" borderId="37" xfId="0" applyBorder="1" applyAlignment="1" applyProtection="1">
      <alignment wrapText="1"/>
    </xf>
    <xf numFmtId="0" fontId="0" fillId="0" borderId="38" xfId="0" applyBorder="1" applyProtection="1"/>
    <xf numFmtId="164" fontId="63" fillId="0" borderId="38" xfId="439" applyNumberFormat="1" applyFont="1" applyBorder="1" applyAlignment="1" applyProtection="1">
      <alignment horizontal="center"/>
    </xf>
    <xf numFmtId="167" fontId="63" fillId="0" borderId="39" xfId="545" applyNumberFormat="1" applyFont="1" applyFill="1" applyBorder="1" applyAlignment="1" applyProtection="1">
      <alignment horizontal="center"/>
    </xf>
    <xf numFmtId="0" fontId="69" fillId="0" borderId="15" xfId="0" applyFont="1" applyFill="1" applyBorder="1" applyAlignment="1" applyProtection="1">
      <alignment wrapText="1"/>
    </xf>
    <xf numFmtId="164" fontId="63" fillId="0" borderId="0" xfId="439" applyNumberFormat="1" applyFont="1" applyBorder="1" applyAlignment="1" applyProtection="1">
      <alignment horizontal="center"/>
    </xf>
    <xf numFmtId="0" fontId="63" fillId="0" borderId="0" xfId="0" quotePrefix="1" applyFont="1" applyAlignment="1" applyProtection="1">
      <alignment horizontal="center" wrapText="1"/>
    </xf>
    <xf numFmtId="0" fontId="0" fillId="0" borderId="16" xfId="0" applyBorder="1" applyProtection="1"/>
    <xf numFmtId="0" fontId="123" fillId="0" borderId="0" xfId="0" applyFont="1" applyFill="1" applyBorder="1" applyAlignment="1" applyProtection="1">
      <alignment wrapText="1"/>
    </xf>
    <xf numFmtId="10" fontId="128" fillId="0" borderId="0" xfId="4688" applyNumberFormat="1" applyFont="1" applyFill="1" applyBorder="1" applyAlignment="1" applyProtection="1">
      <alignment horizontal="left"/>
    </xf>
    <xf numFmtId="10" fontId="63" fillId="0" borderId="0" xfId="4688" applyNumberFormat="1" applyFont="1" applyFill="1" applyBorder="1" applyAlignment="1" applyProtection="1">
      <alignment horizontal="center"/>
    </xf>
    <xf numFmtId="0" fontId="0" fillId="75" borderId="0" xfId="0" applyFill="1" applyProtection="1"/>
    <xf numFmtId="0" fontId="63" fillId="75" borderId="0" xfId="0" applyFont="1" applyFill="1" applyAlignment="1" applyProtection="1">
      <alignment horizontal="center"/>
    </xf>
    <xf numFmtId="0" fontId="63" fillId="75" borderId="0" xfId="0" applyFont="1" applyFill="1" applyAlignment="1" applyProtection="1">
      <alignment horizontal="center" wrapText="1"/>
    </xf>
    <xf numFmtId="0" fontId="63" fillId="75" borderId="0" xfId="0" applyFont="1" applyFill="1" applyAlignment="1" applyProtection="1">
      <alignment horizontal="left" vertical="center" wrapText="1"/>
    </xf>
    <xf numFmtId="0" fontId="63" fillId="0" borderId="0" xfId="0" applyFont="1" applyFill="1" applyAlignment="1" applyProtection="1">
      <alignment horizontal="left" vertical="center" wrapText="1"/>
    </xf>
    <xf numFmtId="0" fontId="0" fillId="0" borderId="37" xfId="0" applyFill="1" applyBorder="1" applyProtection="1"/>
    <xf numFmtId="164" fontId="63" fillId="0" borderId="39" xfId="439" applyNumberFormat="1" applyFont="1" applyBorder="1" applyAlignment="1" applyProtection="1">
      <alignment horizontal="center"/>
    </xf>
    <xf numFmtId="0" fontId="0" fillId="0" borderId="40" xfId="0" applyFill="1" applyBorder="1" applyProtection="1"/>
    <xf numFmtId="0" fontId="0" fillId="0" borderId="41" xfId="0" applyBorder="1" applyProtection="1"/>
    <xf numFmtId="164" fontId="63" fillId="0" borderId="0" xfId="0" applyNumberFormat="1" applyFont="1" applyAlignment="1" applyProtection="1">
      <alignment horizontal="center" wrapText="1"/>
    </xf>
    <xf numFmtId="0" fontId="0" fillId="0" borderId="13" xfId="0" applyFill="1" applyBorder="1" applyProtection="1"/>
    <xf numFmtId="43" fontId="63" fillId="0" borderId="16" xfId="439" applyFont="1" applyBorder="1" applyAlignment="1" applyProtection="1">
      <alignment horizontal="center"/>
    </xf>
    <xf numFmtId="0" fontId="65" fillId="0" borderId="0" xfId="0" applyFont="1" applyFill="1" applyAlignment="1" applyProtection="1">
      <alignment horizontal="left" vertical="center" wrapText="1"/>
    </xf>
    <xf numFmtId="0" fontId="63" fillId="0" borderId="0" xfId="0" applyFont="1" applyFill="1" applyAlignment="1" applyProtection="1">
      <alignment horizontal="center"/>
    </xf>
    <xf numFmtId="167" fontId="63" fillId="0" borderId="16" xfId="545" applyNumberFormat="1" applyFont="1" applyBorder="1" applyAlignment="1" applyProtection="1">
      <alignment horizontal="center"/>
    </xf>
    <xf numFmtId="0" fontId="84" fillId="0" borderId="0" xfId="0" applyFont="1" applyFill="1" applyAlignment="1" applyProtection="1">
      <alignment horizontal="left" vertical="center" wrapText="1"/>
    </xf>
    <xf numFmtId="0" fontId="0" fillId="75" borderId="0" xfId="0" applyFill="1" applyBorder="1" applyProtection="1"/>
    <xf numFmtId="167" fontId="63" fillId="75" borderId="0" xfId="545" applyNumberFormat="1" applyFont="1" applyFill="1" applyBorder="1" applyAlignment="1" applyProtection="1">
      <alignment horizontal="center"/>
    </xf>
    <xf numFmtId="0" fontId="63" fillId="75" borderId="0" xfId="0" quotePrefix="1" applyFont="1" applyFill="1" applyAlignment="1" applyProtection="1">
      <alignment horizontal="center" wrapText="1"/>
    </xf>
    <xf numFmtId="0" fontId="84" fillId="75" borderId="0" xfId="0" applyFont="1" applyFill="1" applyAlignment="1" applyProtection="1">
      <alignment horizontal="left" vertical="center" wrapText="1"/>
    </xf>
    <xf numFmtId="0" fontId="63" fillId="0" borderId="0" xfId="0" applyFont="1" applyFill="1" applyAlignment="1" applyProtection="1">
      <alignment horizontal="center" wrapText="1"/>
    </xf>
    <xf numFmtId="164" fontId="63" fillId="0" borderId="42" xfId="439" applyNumberFormat="1" applyFont="1" applyBorder="1" applyAlignment="1" applyProtection="1">
      <alignment horizontal="center"/>
    </xf>
    <xf numFmtId="43" fontId="63" fillId="0" borderId="11" xfId="439" applyFont="1" applyBorder="1" applyAlignment="1" applyProtection="1">
      <alignment horizontal="center"/>
    </xf>
    <xf numFmtId="167" fontId="63" fillId="22" borderId="0" xfId="545" applyNumberFormat="1" applyFont="1" applyFill="1" applyBorder="1" applyAlignment="1" applyProtection="1">
      <alignment horizontal="center"/>
    </xf>
    <xf numFmtId="167" fontId="63" fillId="0" borderId="0" xfId="545" applyNumberFormat="1" applyFont="1" applyBorder="1" applyAlignment="1" applyProtection="1">
      <alignment horizontal="center"/>
    </xf>
    <xf numFmtId="0" fontId="64" fillId="0" borderId="0" xfId="0" applyFont="1" applyProtection="1"/>
    <xf numFmtId="167" fontId="57" fillId="0" borderId="0" xfId="545" applyNumberFormat="1" applyFont="1" applyProtection="1"/>
    <xf numFmtId="167" fontId="0" fillId="0" borderId="0" xfId="545" applyNumberFormat="1" applyFont="1" applyProtection="1"/>
    <xf numFmtId="0" fontId="0" fillId="0" borderId="0" xfId="0" quotePrefix="1" applyAlignment="1" applyProtection="1">
      <alignment horizontal="center"/>
    </xf>
    <xf numFmtId="0" fontId="0" fillId="0" borderId="0" xfId="0" applyFont="1" applyAlignment="1" applyProtection="1">
      <alignment horizontal="center"/>
    </xf>
    <xf numFmtId="167" fontId="123" fillId="0" borderId="0" xfId="545" applyNumberFormat="1" applyFont="1" applyProtection="1"/>
    <xf numFmtId="0" fontId="0" fillId="0" borderId="0" xfId="0" applyAlignment="1" applyProtection="1">
      <alignment horizontal="left"/>
    </xf>
    <xf numFmtId="164" fontId="178" fillId="21" borderId="12" xfId="439" applyNumberFormat="1" applyFont="1" applyFill="1" applyBorder="1" applyAlignment="1" applyProtection="1">
      <alignment horizontal="center" wrapText="1"/>
    </xf>
    <xf numFmtId="41" fontId="115" fillId="28" borderId="0" xfId="439" applyNumberFormat="1" applyFont="1" applyFill="1" applyAlignment="1" applyProtection="1">
      <alignment wrapText="1"/>
    </xf>
    <xf numFmtId="41" fontId="115" fillId="0" borderId="0" xfId="439" applyNumberFormat="1" applyFont="1" applyFill="1" applyAlignment="1" applyProtection="1">
      <alignment wrapText="1"/>
    </xf>
    <xf numFmtId="41" fontId="66" fillId="28" borderId="0" xfId="439" applyNumberFormat="1" applyFont="1" applyFill="1" applyAlignment="1" applyProtection="1">
      <alignment wrapText="1"/>
    </xf>
    <xf numFmtId="0" fontId="178" fillId="28" borderId="0" xfId="0" applyFont="1" applyFill="1" applyAlignment="1" applyProtection="1">
      <alignment wrapText="1"/>
    </xf>
    <xf numFmtId="0" fontId="178" fillId="28" borderId="0" xfId="0" applyFont="1" applyFill="1" applyAlignment="1" applyProtection="1"/>
    <xf numFmtId="0" fontId="178" fillId="28" borderId="0" xfId="0" applyFont="1" applyFill="1" applyAlignment="1" applyProtection="1">
      <alignment horizontal="left" wrapText="1" indent="2"/>
    </xf>
    <xf numFmtId="0" fontId="178" fillId="0" borderId="0" xfId="0" applyFont="1" applyFill="1" applyAlignment="1" applyProtection="1">
      <alignment horizontal="left" wrapText="1" indent="2"/>
    </xf>
    <xf numFmtId="0" fontId="178" fillId="28" borderId="0" xfId="0" applyFont="1" applyFill="1" applyAlignment="1" applyProtection="1">
      <alignment vertical="center"/>
    </xf>
    <xf numFmtId="0" fontId="123" fillId="0" borderId="0" xfId="0" applyNumberFormat="1" applyFont="1" applyFill="1" applyAlignment="1" applyProtection="1">
      <alignment horizontal="left" vertical="center" wrapText="1" indent="6"/>
    </xf>
    <xf numFmtId="41" fontId="66" fillId="29" borderId="0" xfId="439" applyNumberFormat="1" applyFont="1" applyFill="1" applyAlignment="1" applyProtection="1">
      <alignment horizontal="center" vertical="center" wrapText="1"/>
      <protection locked="0"/>
    </xf>
    <xf numFmtId="39" fontId="179" fillId="35" borderId="0" xfId="439" applyNumberFormat="1" applyFont="1" applyFill="1" applyBorder="1" applyAlignment="1" applyProtection="1">
      <alignment horizontal="center" vertical="center" wrapText="1"/>
    </xf>
    <xf numFmtId="39" fontId="179" fillId="0" borderId="0" xfId="439" applyNumberFormat="1" applyFont="1" applyFill="1" applyBorder="1" applyAlignment="1" applyProtection="1">
      <alignment horizontal="center" vertical="center" wrapText="1"/>
    </xf>
    <xf numFmtId="41" fontId="115" fillId="0" borderId="0" xfId="439" applyNumberFormat="1" applyFont="1" applyFill="1" applyAlignment="1" applyProtection="1">
      <alignment vertical="center" wrapText="1"/>
    </xf>
    <xf numFmtId="0" fontId="180" fillId="28" borderId="0" xfId="0" applyFont="1" applyFill="1" applyAlignment="1" applyProtection="1">
      <alignment horizontal="left" vertical="center"/>
    </xf>
    <xf numFmtId="38" fontId="71" fillId="28" borderId="0" xfId="0" applyNumberFormat="1" applyFont="1" applyFill="1" applyAlignment="1" applyProtection="1">
      <alignment horizontal="left" vertical="center"/>
    </xf>
    <xf numFmtId="0" fontId="0" fillId="28" borderId="0" xfId="0" applyNumberFormat="1" applyFont="1" applyFill="1" applyAlignment="1" applyProtection="1">
      <alignment horizontal="center" vertical="center"/>
    </xf>
    <xf numFmtId="0" fontId="0" fillId="0" borderId="0" xfId="0" applyAlignment="1" applyProtection="1">
      <alignment horizontal="center" vertical="center"/>
    </xf>
    <xf numFmtId="0" fontId="101" fillId="28" borderId="0" xfId="0" applyFont="1" applyFill="1" applyAlignment="1" applyProtection="1">
      <alignment horizontal="center" vertical="center" wrapText="1"/>
    </xf>
    <xf numFmtId="38" fontId="69" fillId="28" borderId="0" xfId="439" applyNumberFormat="1" applyFont="1" applyFill="1" applyAlignment="1" applyProtection="1">
      <alignment horizontal="center" vertical="center" wrapText="1"/>
    </xf>
    <xf numFmtId="41" fontId="65" fillId="28" borderId="0" xfId="439" applyNumberFormat="1" applyFont="1" applyFill="1" applyAlignment="1" applyProtection="1">
      <alignment vertical="center" wrapText="1"/>
    </xf>
    <xf numFmtId="0" fontId="0" fillId="28" borderId="0" xfId="0" applyNumberFormat="1" applyFont="1" applyFill="1" applyAlignment="1" applyProtection="1">
      <alignment horizontal="center" vertical="center"/>
    </xf>
    <xf numFmtId="0" fontId="0" fillId="28" borderId="0" xfId="0" applyFill="1" applyAlignment="1" applyProtection="1">
      <alignment wrapText="1"/>
      <protection locked="0"/>
    </xf>
    <xf numFmtId="0" fontId="181" fillId="28" borderId="0" xfId="0" applyFont="1" applyFill="1" applyAlignment="1" applyProtection="1">
      <alignment horizontal="center" vertical="center" wrapText="1"/>
    </xf>
    <xf numFmtId="0" fontId="0" fillId="28" borderId="0" xfId="0" applyFill="1" applyProtection="1"/>
    <xf numFmtId="0" fontId="39" fillId="28" borderId="0" xfId="0" applyFont="1" applyFill="1" applyAlignment="1" applyProtection="1">
      <alignment vertical="center" wrapText="1"/>
    </xf>
    <xf numFmtId="0" fontId="0" fillId="23" borderId="23" xfId="0" applyFont="1" applyFill="1" applyBorder="1" applyAlignment="1" applyProtection="1">
      <alignment vertical="center" wrapText="1"/>
    </xf>
    <xf numFmtId="0" fontId="64" fillId="24" borderId="0" xfId="439" applyNumberFormat="1" applyFont="1" applyFill="1" applyBorder="1" applyAlignment="1" applyProtection="1">
      <alignment horizontal="center" wrapText="1"/>
    </xf>
    <xf numFmtId="174" fontId="63" fillId="22" borderId="0" xfId="439" applyNumberFormat="1" applyFont="1" applyFill="1" applyAlignment="1" applyProtection="1">
      <alignment horizontal="center" vertical="center"/>
      <protection locked="0"/>
    </xf>
    <xf numFmtId="37" fontId="0" fillId="0" borderId="0" xfId="0" applyNumberFormat="1" applyAlignment="1" applyProtection="1">
      <alignment wrapText="1"/>
      <protection locked="0"/>
    </xf>
    <xf numFmtId="0" fontId="0" fillId="0" borderId="0" xfId="0" applyProtection="1"/>
    <xf numFmtId="41" fontId="66" fillId="0" borderId="0" xfId="0" applyNumberFormat="1" applyFont="1" applyFill="1" applyAlignment="1" applyProtection="1">
      <alignment wrapText="1"/>
    </xf>
    <xf numFmtId="41" fontId="66" fillId="28" borderId="0" xfId="0" applyNumberFormat="1" applyFont="1" applyFill="1" applyAlignment="1" applyProtection="1">
      <alignment wrapText="1"/>
    </xf>
    <xf numFmtId="41" fontId="65" fillId="0" borderId="0" xfId="439" applyNumberFormat="1" applyFont="1" applyFill="1" applyAlignment="1" applyProtection="1">
      <alignment vertical="center" wrapText="1"/>
    </xf>
    <xf numFmtId="41" fontId="115" fillId="0" borderId="0" xfId="0" applyNumberFormat="1" applyFont="1" applyFill="1" applyAlignment="1" applyProtection="1">
      <alignment wrapText="1"/>
    </xf>
    <xf numFmtId="175" fontId="63" fillId="29" borderId="0" xfId="439" applyNumberFormat="1" applyFont="1" applyFill="1" applyAlignment="1" applyProtection="1">
      <alignment horizontal="center" vertical="center"/>
      <protection locked="0"/>
    </xf>
    <xf numFmtId="37" fontId="57" fillId="29" borderId="0" xfId="439" applyNumberFormat="1" applyFont="1" applyFill="1" applyAlignment="1" applyProtection="1">
      <alignment horizontal="center" vertical="center"/>
      <protection locked="0"/>
    </xf>
    <xf numFmtId="169" fontId="63" fillId="29" borderId="0" xfId="439" applyNumberFormat="1" applyFont="1" applyFill="1" applyAlignment="1" applyProtection="1">
      <alignment horizontal="center" vertical="center"/>
      <protection locked="0"/>
    </xf>
    <xf numFmtId="2" fontId="63" fillId="29" borderId="0" xfId="439" applyNumberFormat="1" applyFont="1" applyFill="1" applyAlignment="1" applyProtection="1">
      <alignment horizontal="center" vertical="center"/>
      <protection locked="0"/>
    </xf>
    <xf numFmtId="3" fontId="63" fillId="29" borderId="0" xfId="439" applyNumberFormat="1" applyFont="1" applyFill="1" applyAlignment="1" applyProtection="1">
      <alignment horizontal="center" vertical="center"/>
      <protection locked="0"/>
    </xf>
    <xf numFmtId="41" fontId="66" fillId="0" borderId="0" xfId="0" applyNumberFormat="1" applyFont="1" applyFill="1" applyAlignment="1" applyProtection="1">
      <alignment wrapText="1"/>
    </xf>
    <xf numFmtId="38" fontId="69" fillId="0" borderId="0" xfId="439" applyNumberFormat="1" applyFont="1" applyFill="1" applyAlignment="1" applyProtection="1">
      <alignment horizontal="center" vertical="center" wrapText="1"/>
    </xf>
    <xf numFmtId="0" fontId="123" fillId="0" borderId="0" xfId="0" applyFont="1" applyFill="1"/>
    <xf numFmtId="14" fontId="103" fillId="0" borderId="23" xfId="439" applyNumberFormat="1" applyFont="1" applyFill="1" applyBorder="1" applyAlignment="1" applyProtection="1">
      <alignment horizontal="center" vertical="center" wrapText="1"/>
    </xf>
    <xf numFmtId="167" fontId="63" fillId="0" borderId="42" xfId="545" applyNumberFormat="1" applyFont="1" applyFill="1" applyBorder="1" applyAlignment="1" applyProtection="1">
      <alignment horizontal="center"/>
    </xf>
    <xf numFmtId="167" fontId="63" fillId="0" borderId="11" xfId="545" applyNumberFormat="1" applyFont="1" applyFill="1" applyBorder="1" applyAlignment="1" applyProtection="1">
      <alignment horizontal="center"/>
    </xf>
    <xf numFmtId="167" fontId="0" fillId="0" borderId="0" xfId="545" applyNumberFormat="1" applyFont="1" applyFill="1" applyProtection="1"/>
    <xf numFmtId="173" fontId="69" fillId="22" borderId="0" xfId="439" applyNumberFormat="1" applyFont="1" applyFill="1" applyAlignment="1" applyProtection="1">
      <alignment horizontal="center" vertical="center" wrapText="1"/>
    </xf>
    <xf numFmtId="37" fontId="0" fillId="0" borderId="0" xfId="0" applyNumberFormat="1" applyFont="1" applyFill="1" applyAlignment="1" applyProtection="1">
      <alignment horizontal="center" vertical="center"/>
    </xf>
    <xf numFmtId="164" fontId="103" fillId="34" borderId="45" xfId="439" applyNumberFormat="1" applyFont="1" applyFill="1" applyBorder="1" applyAlignment="1" applyProtection="1">
      <alignment horizontal="center" vertical="center" wrapText="1"/>
      <protection locked="0"/>
    </xf>
    <xf numFmtId="164" fontId="80" fillId="0" borderId="0" xfId="0" applyNumberFormat="1" applyFont="1" applyAlignment="1" applyProtection="1">
      <alignment wrapText="1"/>
    </xf>
    <xf numFmtId="164" fontId="103" fillId="22" borderId="23" xfId="439" applyNumberFormat="1" applyFont="1" applyFill="1" applyBorder="1" applyAlignment="1" applyProtection="1">
      <alignment horizontal="center" vertical="center" wrapText="1"/>
      <protection locked="0"/>
    </xf>
    <xf numFmtId="172" fontId="103" fillId="22" borderId="23" xfId="439" applyNumberFormat="1" applyFont="1" applyFill="1" applyBorder="1" applyAlignment="1" applyProtection="1">
      <alignment horizontal="center" vertical="center" wrapText="1"/>
    </xf>
    <xf numFmtId="39" fontId="103" fillId="22" borderId="28" xfId="439" applyNumberFormat="1" applyFont="1" applyFill="1" applyBorder="1" applyAlignment="1" applyProtection="1">
      <alignment horizontal="center" vertical="center" wrapText="1"/>
    </xf>
    <xf numFmtId="164" fontId="103" fillId="22" borderId="29" xfId="439" applyNumberFormat="1" applyFont="1" applyFill="1" applyBorder="1" applyAlignment="1" applyProtection="1">
      <alignment horizontal="center" vertical="center" wrapText="1"/>
    </xf>
    <xf numFmtId="0" fontId="63" fillId="22" borderId="24" xfId="0" applyNumberFormat="1" applyFont="1" applyFill="1" applyBorder="1" applyAlignment="1" applyProtection="1">
      <alignment horizontal="center" vertical="center"/>
    </xf>
    <xf numFmtId="0" fontId="68" fillId="22" borderId="0" xfId="0" applyFont="1" applyFill="1" applyAlignment="1" applyProtection="1">
      <alignment vertical="center" wrapText="1"/>
      <protection locked="0"/>
    </xf>
    <xf numFmtId="164" fontId="57" fillId="22" borderId="28" xfId="439" applyNumberFormat="1" applyFont="1" applyFill="1" applyBorder="1" applyAlignment="1" applyProtection="1">
      <alignment vertical="center"/>
    </xf>
    <xf numFmtId="0" fontId="0" fillId="22" borderId="0" xfId="0" applyFill="1" applyAlignment="1" applyProtection="1">
      <alignment horizontal="center" vertical="center"/>
    </xf>
    <xf numFmtId="0" fontId="0" fillId="0" borderId="0" xfId="0" applyProtection="1"/>
    <xf numFmtId="0" fontId="0" fillId="0" borderId="0" xfId="0" applyFill="1" applyProtection="1"/>
    <xf numFmtId="41" fontId="66" fillId="0" borderId="0" xfId="0" applyNumberFormat="1" applyFont="1" applyFill="1" applyAlignment="1" applyProtection="1">
      <alignment wrapText="1"/>
    </xf>
    <xf numFmtId="0" fontId="0" fillId="0" borderId="0" xfId="0" applyAlignment="1" applyProtection="1">
      <alignment wrapText="1"/>
      <protection locked="0"/>
    </xf>
    <xf numFmtId="0" fontId="0" fillId="0" borderId="0" xfId="0" applyProtection="1">
      <protection locked="0"/>
    </xf>
    <xf numFmtId="0" fontId="0" fillId="22" borderId="0" xfId="0" applyFill="1" applyBorder="1" applyAlignment="1" applyProtection="1">
      <alignment vertical="center"/>
    </xf>
    <xf numFmtId="0" fontId="63" fillId="0" borderId="25" xfId="0" applyNumberFormat="1" applyFont="1" applyFill="1" applyBorder="1" applyAlignment="1" applyProtection="1">
      <alignment horizontal="center" vertical="center"/>
    </xf>
    <xf numFmtId="164" fontId="103" fillId="0" borderId="29" xfId="439" applyNumberFormat="1" applyFont="1" applyFill="1" applyBorder="1" applyAlignment="1" applyProtection="1">
      <alignment horizontal="center" vertical="center" wrapText="1"/>
    </xf>
    <xf numFmtId="164" fontId="103" fillId="0" borderId="23" xfId="439" applyNumberFormat="1" applyFont="1" applyFill="1" applyBorder="1" applyAlignment="1" applyProtection="1">
      <alignment horizontal="center" vertical="center" wrapText="1"/>
    </xf>
    <xf numFmtId="0" fontId="0" fillId="0" borderId="23" xfId="0" applyNumberFormat="1" applyFill="1" applyBorder="1" applyAlignment="1" applyProtection="1">
      <alignment horizontal="left" vertical="center" wrapText="1"/>
    </xf>
    <xf numFmtId="0" fontId="0" fillId="0" borderId="25" xfId="0" applyNumberFormat="1" applyFill="1" applyBorder="1" applyAlignment="1" applyProtection="1">
      <alignment horizontal="left" vertical="center" wrapText="1"/>
    </xf>
    <xf numFmtId="164" fontId="103" fillId="29" borderId="31" xfId="439" applyNumberFormat="1" applyFont="1" applyFill="1" applyBorder="1" applyAlignment="1" applyProtection="1">
      <alignment horizontal="center" vertical="center" wrapText="1"/>
      <protection locked="0"/>
    </xf>
    <xf numFmtId="0" fontId="103" fillId="0" borderId="23" xfId="0" applyNumberFormat="1" applyFont="1" applyFill="1" applyBorder="1" applyAlignment="1" applyProtection="1">
      <alignment horizontal="left" vertical="center" wrapText="1"/>
    </xf>
    <xf numFmtId="39" fontId="103" fillId="0" borderId="28" xfId="439" applyNumberFormat="1" applyFont="1" applyFill="1" applyBorder="1" applyAlignment="1" applyProtection="1">
      <alignment horizontal="center" vertical="center" wrapText="1"/>
    </xf>
    <xf numFmtId="0" fontId="0" fillId="0" borderId="0" xfId="0" applyFill="1" applyAlignment="1" applyProtection="1">
      <alignment horizontal="center" vertical="center"/>
    </xf>
    <xf numFmtId="37" fontId="63" fillId="29" borderId="0" xfId="439" applyNumberFormat="1" applyFont="1" applyFill="1" applyAlignment="1" applyProtection="1">
      <alignment horizontal="center" vertical="center"/>
      <protection locked="0"/>
    </xf>
    <xf numFmtId="2" fontId="57" fillId="0" borderId="28" xfId="439" applyNumberFormat="1" applyFont="1" applyFill="1" applyBorder="1" applyAlignment="1" applyProtection="1">
      <alignment vertical="center"/>
    </xf>
    <xf numFmtId="0" fontId="0" fillId="0" borderId="0" xfId="0" applyFont="1" applyFill="1" applyBorder="1" applyAlignment="1" applyProtection="1">
      <alignment vertical="center" wrapText="1"/>
    </xf>
    <xf numFmtId="0" fontId="63" fillId="76" borderId="24" xfId="0" applyNumberFormat="1" applyFont="1" applyFill="1" applyBorder="1" applyAlignment="1" applyProtection="1">
      <alignment horizontal="center" vertical="center"/>
    </xf>
    <xf numFmtId="169" fontId="57" fillId="76" borderId="28" xfId="439" applyNumberFormat="1" applyFont="1" applyFill="1" applyBorder="1" applyAlignment="1" applyProtection="1">
      <alignment vertical="center"/>
    </xf>
    <xf numFmtId="0" fontId="0" fillId="0" borderId="0" xfId="0" quotePrefix="1"/>
    <xf numFmtId="0" fontId="77" fillId="0" borderId="0" xfId="0" applyFont="1"/>
    <xf numFmtId="0" fontId="64" fillId="0" borderId="0" xfId="0" applyFont="1" applyAlignment="1">
      <alignment vertical="center"/>
    </xf>
    <xf numFmtId="0" fontId="77" fillId="0" borderId="0" xfId="0" applyFont="1" applyAlignment="1">
      <alignment vertical="center"/>
    </xf>
    <xf numFmtId="0" fontId="64" fillId="0" borderId="0" xfId="0" applyFont="1"/>
    <xf numFmtId="0" fontId="0" fillId="34" borderId="0" xfId="0" applyFont="1" applyFill="1" applyBorder="1" applyAlignment="1" applyProtection="1">
      <alignment vertical="center" wrapText="1"/>
    </xf>
    <xf numFmtId="0" fontId="0" fillId="0" borderId="0" xfId="0"/>
    <xf numFmtId="0" fontId="0" fillId="34" borderId="0" xfId="0" applyFont="1" applyFill="1" applyAlignment="1" applyProtection="1">
      <alignment horizontal="left" vertical="center" wrapText="1"/>
    </xf>
    <xf numFmtId="0" fontId="0" fillId="34" borderId="0" xfId="0" applyFill="1" applyAlignment="1">
      <alignment vertical="center" wrapText="1"/>
    </xf>
    <xf numFmtId="0" fontId="123" fillId="0" borderId="0" xfId="0" applyFont="1"/>
    <xf numFmtId="0" fontId="0" fillId="0" borderId="0" xfId="0" applyAlignment="1">
      <alignment vertical="center"/>
    </xf>
    <xf numFmtId="0" fontId="188" fillId="0" borderId="0" xfId="0" applyFont="1" applyAlignment="1">
      <alignment vertical="center"/>
    </xf>
    <xf numFmtId="0" fontId="0" fillId="0" borderId="0" xfId="0" applyFill="1" applyBorder="1" applyAlignment="1" applyProtection="1">
      <alignment vertical="center"/>
    </xf>
    <xf numFmtId="0" fontId="0" fillId="22" borderId="45" xfId="0" applyFill="1" applyBorder="1" applyAlignment="1" applyProtection="1">
      <alignment vertical="center"/>
    </xf>
    <xf numFmtId="0" fontId="77" fillId="0" borderId="0" xfId="0" applyFont="1" applyAlignment="1" applyProtection="1">
      <alignment horizontal="center"/>
    </xf>
    <xf numFmtId="0" fontId="0" fillId="34" borderId="25" xfId="0" applyNumberFormat="1" applyFont="1" applyFill="1" applyBorder="1" applyAlignment="1" applyProtection="1">
      <alignment horizontal="left" vertical="center" wrapText="1"/>
    </xf>
    <xf numFmtId="0" fontId="0" fillId="34" borderId="23" xfId="0" applyNumberFormat="1" applyFont="1" applyFill="1" applyBorder="1" applyAlignment="1" applyProtection="1">
      <alignment horizontal="left" vertical="center" wrapText="1"/>
    </xf>
    <xf numFmtId="4" fontId="0" fillId="0" borderId="0" xfId="0" applyNumberFormat="1"/>
    <xf numFmtId="0" fontId="0" fillId="0" borderId="0" xfId="0" applyFont="1" applyFill="1" applyBorder="1" applyAlignment="1" applyProtection="1">
      <alignment vertical="center" wrapText="1"/>
    </xf>
    <xf numFmtId="0" fontId="63" fillId="0" borderId="25" xfId="0" applyNumberFormat="1" applyFont="1" applyFill="1" applyBorder="1" applyAlignment="1" applyProtection="1">
      <alignment horizontal="center" vertical="center"/>
    </xf>
    <xf numFmtId="0" fontId="65" fillId="22" borderId="0" xfId="0" applyFont="1" applyFill="1" applyAlignment="1" applyProtection="1">
      <alignment horizontal="left" wrapText="1"/>
    </xf>
    <xf numFmtId="164" fontId="57" fillId="22" borderId="0" xfId="439" applyNumberFormat="1" applyFont="1" applyFill="1" applyProtection="1"/>
    <xf numFmtId="172" fontId="103" fillId="22" borderId="30" xfId="439" applyNumberFormat="1" applyFont="1" applyFill="1" applyBorder="1" applyAlignment="1" applyProtection="1">
      <alignment horizontal="center" vertical="center" wrapText="1"/>
    </xf>
    <xf numFmtId="37" fontId="0" fillId="0" borderId="0" xfId="439" applyNumberFormat="1" applyFont="1"/>
    <xf numFmtId="10" fontId="63" fillId="0" borderId="41" xfId="4688" applyNumberFormat="1" applyFont="1" applyBorder="1" applyAlignment="1" applyProtection="1">
      <alignment horizontal="center"/>
    </xf>
    <xf numFmtId="10" fontId="63" fillId="0" borderId="42" xfId="4688" applyNumberFormat="1" applyFont="1" applyFill="1" applyBorder="1" applyAlignment="1" applyProtection="1">
      <alignment horizontal="center"/>
    </xf>
    <xf numFmtId="0" fontId="63" fillId="75" borderId="0" xfId="0" applyFont="1" applyFill="1" applyBorder="1" applyAlignment="1" applyProtection="1">
      <alignment horizontal="center" wrapText="1"/>
    </xf>
    <xf numFmtId="0" fontId="0" fillId="0" borderId="0" xfId="0" applyBorder="1" applyAlignment="1" applyProtection="1">
      <alignment horizontal="center" vertical="center"/>
    </xf>
    <xf numFmtId="0" fontId="111" fillId="0" borderId="0" xfId="0" applyFont="1" applyFill="1" applyAlignment="1" applyProtection="1">
      <alignment horizontal="center" wrapText="1"/>
    </xf>
    <xf numFmtId="2" fontId="0" fillId="0" borderId="0" xfId="0" applyNumberFormat="1" applyAlignment="1" applyProtection="1">
      <alignment wrapText="1"/>
      <protection locked="0"/>
    </xf>
    <xf numFmtId="0" fontId="0" fillId="0" borderId="0" xfId="0" applyAlignment="1">
      <alignment wrapText="1"/>
    </xf>
    <xf numFmtId="175" fontId="103" fillId="77" borderId="23" xfId="439" applyNumberFormat="1" applyFont="1" applyFill="1" applyBorder="1" applyAlignment="1" applyProtection="1">
      <alignment horizontal="center" vertical="center" wrapText="1"/>
    </xf>
    <xf numFmtId="37" fontId="57" fillId="34" borderId="45" xfId="439" applyNumberFormat="1" applyFont="1" applyFill="1" applyBorder="1" applyAlignment="1" applyProtection="1">
      <alignment vertical="center"/>
    </xf>
    <xf numFmtId="37" fontId="57" fillId="0" borderId="28" xfId="439" applyNumberFormat="1" applyFont="1" applyBorder="1" applyAlignment="1" applyProtection="1">
      <alignment vertical="center"/>
    </xf>
    <xf numFmtId="37" fontId="57" fillId="23" borderId="28" xfId="439" applyNumberFormat="1" applyFont="1" applyFill="1" applyBorder="1" applyAlignment="1" applyProtection="1">
      <alignment vertical="center"/>
    </xf>
    <xf numFmtId="3" fontId="103" fillId="0" borderId="23" xfId="439" applyNumberFormat="1" applyFont="1" applyFill="1" applyBorder="1" applyAlignment="1" applyProtection="1">
      <alignment horizontal="center" vertical="center" wrapText="1"/>
      <protection locked="0"/>
    </xf>
    <xf numFmtId="37" fontId="57" fillId="0" borderId="27" xfId="439" applyNumberFormat="1" applyFont="1" applyFill="1" applyBorder="1" applyAlignment="1" applyProtection="1">
      <alignment vertical="center"/>
    </xf>
    <xf numFmtId="180" fontId="103" fillId="77" borderId="23" xfId="439" applyNumberFormat="1" applyFont="1" applyFill="1" applyBorder="1" applyAlignment="1" applyProtection="1">
      <alignment horizontal="center" vertical="center" wrapText="1"/>
    </xf>
    <xf numFmtId="39" fontId="103" fillId="0" borderId="23" xfId="439" applyNumberFormat="1" applyFont="1" applyFill="1" applyBorder="1" applyAlignment="1" applyProtection="1">
      <alignment horizontal="center" vertical="center" wrapText="1"/>
    </xf>
    <xf numFmtId="37" fontId="57" fillId="34" borderId="29" xfId="439" applyNumberFormat="1" applyFont="1" applyFill="1" applyBorder="1" applyAlignment="1" applyProtection="1">
      <alignment vertical="center"/>
    </xf>
    <xf numFmtId="37" fontId="57" fillId="23" borderId="29" xfId="439" applyNumberFormat="1" applyFont="1" applyFill="1" applyBorder="1" applyAlignment="1" applyProtection="1">
      <alignment vertical="center"/>
    </xf>
    <xf numFmtId="37" fontId="57" fillId="0" borderId="27" xfId="439" applyNumberFormat="1" applyFont="1" applyBorder="1" applyAlignment="1" applyProtection="1">
      <alignment vertical="center"/>
    </xf>
    <xf numFmtId="37" fontId="57" fillId="34" borderId="28" xfId="439" applyNumberFormat="1" applyFont="1" applyFill="1" applyBorder="1" applyAlignment="1" applyProtection="1">
      <alignment vertical="center"/>
    </xf>
    <xf numFmtId="181" fontId="57" fillId="77" borderId="28" xfId="439" applyNumberFormat="1" applyFont="1" applyFill="1" applyBorder="1" applyAlignment="1" applyProtection="1">
      <alignment vertical="center"/>
    </xf>
    <xf numFmtId="38" fontId="69" fillId="0" borderId="0" xfId="439" applyNumberFormat="1" applyFont="1" applyFill="1" applyAlignment="1" applyProtection="1">
      <alignment horizontal="center" vertical="center" wrapText="1"/>
    </xf>
    <xf numFmtId="0" fontId="0" fillId="34" borderId="45" xfId="0" applyFill="1" applyBorder="1" applyProtection="1"/>
    <xf numFmtId="174" fontId="63" fillId="29" borderId="0" xfId="439" applyNumberFormat="1" applyFont="1" applyFill="1" applyAlignment="1" applyProtection="1">
      <alignment horizontal="center" vertical="center"/>
      <protection locked="0"/>
    </xf>
    <xf numFmtId="3" fontId="103" fillId="0" borderId="31" xfId="439" applyNumberFormat="1" applyFont="1" applyFill="1" applyBorder="1" applyAlignment="1" applyProtection="1">
      <alignment horizontal="center" vertical="center" wrapText="1"/>
    </xf>
    <xf numFmtId="37" fontId="57" fillId="0" borderId="46" xfId="439" applyNumberFormat="1" applyFont="1" applyFill="1" applyBorder="1" applyAlignment="1" applyProtection="1">
      <alignment vertical="center"/>
    </xf>
    <xf numFmtId="3" fontId="103" fillId="0" borderId="23" xfId="439" applyNumberFormat="1" applyFont="1" applyFill="1" applyBorder="1" applyAlignment="1" applyProtection="1">
      <alignment horizontal="center" vertical="center" wrapText="1"/>
    </xf>
    <xf numFmtId="37" fontId="57" fillId="0" borderId="28" xfId="439" applyNumberFormat="1" applyFont="1" applyFill="1" applyBorder="1" applyAlignment="1" applyProtection="1">
      <alignment vertical="center"/>
    </xf>
    <xf numFmtId="37" fontId="57" fillId="0" borderId="29" xfId="439" applyNumberFormat="1" applyFont="1" applyBorder="1" applyAlignment="1" applyProtection="1">
      <alignment vertical="center"/>
    </xf>
    <xf numFmtId="3" fontId="103" fillId="34" borderId="23" xfId="439" applyNumberFormat="1" applyFont="1" applyFill="1" applyBorder="1" applyAlignment="1" applyProtection="1">
      <alignment horizontal="center" vertical="center" wrapText="1"/>
    </xf>
    <xf numFmtId="3" fontId="103" fillId="23" borderId="31" xfId="439" applyNumberFormat="1" applyFont="1" applyFill="1" applyBorder="1" applyAlignment="1" applyProtection="1">
      <alignment horizontal="center" vertical="center" wrapText="1"/>
    </xf>
    <xf numFmtId="3" fontId="103" fillId="23" borderId="23" xfId="439" applyNumberFormat="1" applyFont="1" applyFill="1" applyBorder="1" applyAlignment="1" applyProtection="1">
      <alignment horizontal="center" vertical="center" wrapText="1"/>
    </xf>
    <xf numFmtId="3" fontId="103" fillId="34" borderId="45" xfId="439" applyNumberFormat="1" applyFont="1" applyFill="1" applyBorder="1" applyAlignment="1" applyProtection="1">
      <alignment horizontal="center" vertical="center" wrapText="1"/>
    </xf>
    <xf numFmtId="3" fontId="103" fillId="0" borderId="30" xfId="439" applyNumberFormat="1" applyFont="1" applyFill="1" applyBorder="1" applyAlignment="1" applyProtection="1">
      <alignment horizontal="center" vertical="center" wrapText="1"/>
    </xf>
    <xf numFmtId="174" fontId="57" fillId="77" borderId="28" xfId="439" applyNumberFormat="1" applyFont="1" applyFill="1" applyBorder="1" applyAlignment="1" applyProtection="1">
      <alignment vertical="center"/>
    </xf>
    <xf numFmtId="37" fontId="103" fillId="0" borderId="23" xfId="439" applyNumberFormat="1" applyFont="1" applyFill="1" applyBorder="1" applyAlignment="1" applyProtection="1">
      <alignment horizontal="center" vertical="center" wrapText="1"/>
    </xf>
    <xf numFmtId="37" fontId="57" fillId="0" borderId="29" xfId="439" applyNumberFormat="1" applyFont="1" applyFill="1" applyBorder="1" applyAlignment="1" applyProtection="1">
      <alignment vertical="center"/>
    </xf>
    <xf numFmtId="37" fontId="57" fillId="32" borderId="29" xfId="439" applyNumberFormat="1" applyFont="1" applyFill="1" applyBorder="1" applyAlignment="1" applyProtection="1">
      <alignment vertical="center"/>
    </xf>
    <xf numFmtId="1" fontId="57" fillId="0" borderId="28" xfId="439" applyNumberFormat="1" applyFont="1" applyFill="1" applyBorder="1" applyAlignment="1" applyProtection="1">
      <alignment vertical="center"/>
    </xf>
    <xf numFmtId="164" fontId="63" fillId="0" borderId="59" xfId="439" applyNumberFormat="1" applyFont="1" applyBorder="1" applyAlignment="1" applyProtection="1">
      <alignment horizontal="center"/>
    </xf>
    <xf numFmtId="0" fontId="0" fillId="0" borderId="40" xfId="0" applyFill="1" applyBorder="1" applyAlignment="1" applyProtection="1">
      <alignment wrapText="1"/>
    </xf>
    <xf numFmtId="0" fontId="104" fillId="0" borderId="0" xfId="0" applyFont="1" applyFill="1" applyAlignment="1" applyProtection="1">
      <alignment horizontal="center" wrapText="1"/>
    </xf>
    <xf numFmtId="0" fontId="63" fillId="0" borderId="0" xfId="0" quotePrefix="1" applyFont="1" applyFill="1" applyAlignment="1" applyProtection="1">
      <alignment horizontal="center" wrapText="1"/>
    </xf>
    <xf numFmtId="0" fontId="0" fillId="26" borderId="0" xfId="0" applyFill="1" applyAlignment="1">
      <alignment wrapText="1"/>
    </xf>
    <xf numFmtId="0" fontId="63" fillId="0" borderId="0" xfId="0" applyFont="1" applyAlignment="1">
      <alignment horizontal="center" vertical="center"/>
    </xf>
    <xf numFmtId="0" fontId="0" fillId="0" borderId="0" xfId="0" applyAlignment="1">
      <alignment vertical="center" wrapText="1"/>
    </xf>
    <xf numFmtId="0" fontId="0" fillId="0" borderId="0" xfId="0" applyAlignment="1">
      <alignment horizontal="left" vertical="center" wrapText="1"/>
    </xf>
    <xf numFmtId="0" fontId="6" fillId="0" borderId="0" xfId="0" applyFont="1" applyAlignment="1">
      <alignment vertical="center" wrapText="1"/>
    </xf>
    <xf numFmtId="0" fontId="63" fillId="0" borderId="0" xfId="0" applyFont="1" applyAlignment="1">
      <alignment horizontal="center" vertical="center" wrapText="1"/>
    </xf>
    <xf numFmtId="0" fontId="0" fillId="0" borderId="0" xfId="0" applyAlignment="1">
      <alignment horizontal="center" vertical="center" wrapText="1"/>
    </xf>
    <xf numFmtId="0" fontId="0" fillId="0" borderId="23" xfId="0" applyBorder="1" applyAlignment="1">
      <alignment vertical="center" wrapText="1"/>
    </xf>
    <xf numFmtId="0" fontId="64" fillId="0" borderId="0" xfId="0" applyFont="1" applyAlignment="1">
      <alignment wrapText="1"/>
    </xf>
    <xf numFmtId="0" fontId="0" fillId="0" borderId="0" xfId="0" applyFill="1" applyAlignment="1">
      <alignment wrapText="1"/>
    </xf>
    <xf numFmtId="0" fontId="63" fillId="0" borderId="0" xfId="0" applyFont="1" applyFill="1"/>
    <xf numFmtId="0" fontId="64" fillId="0" borderId="0" xfId="0" applyFont="1" applyAlignment="1">
      <alignment horizontal="left"/>
    </xf>
    <xf numFmtId="0" fontId="63" fillId="0" borderId="0" xfId="0" applyFont="1" applyAlignment="1" applyProtection="1">
      <alignment horizontal="left" vertical="center" wrapText="1"/>
    </xf>
    <xf numFmtId="0" fontId="113" fillId="0" borderId="0" xfId="0" applyFont="1" applyProtection="1"/>
    <xf numFmtId="0" fontId="0" fillId="0" borderId="0" xfId="0" applyFill="1" applyAlignment="1" applyProtection="1">
      <alignment horizontal="center" vertical="center"/>
    </xf>
    <xf numFmtId="0" fontId="0" fillId="35" borderId="0" xfId="0" applyFill="1" applyAlignment="1" applyProtection="1">
      <alignment horizontal="center" vertical="center"/>
    </xf>
    <xf numFmtId="0" fontId="0" fillId="0" borderId="0" xfId="0" applyFill="1" applyAlignment="1" applyProtection="1">
      <alignment horizontal="center" wrapText="1"/>
      <protection locked="0"/>
    </xf>
    <xf numFmtId="0" fontId="103" fillId="22" borderId="23" xfId="439" applyNumberFormat="1" applyFont="1" applyFill="1" applyBorder="1" applyAlignment="1" applyProtection="1">
      <alignment horizontal="center" vertical="center" wrapText="1"/>
      <protection locked="0"/>
    </xf>
    <xf numFmtId="0" fontId="35" fillId="28" borderId="0" xfId="0" applyFont="1" applyFill="1" applyAlignment="1" applyProtection="1">
      <alignment horizontal="left" vertical="center"/>
    </xf>
    <xf numFmtId="38" fontId="69" fillId="0" borderId="0" xfId="439" applyNumberFormat="1" applyFont="1" applyFill="1" applyAlignment="1" applyProtection="1">
      <alignment horizontal="center" vertical="center" wrapText="1"/>
    </xf>
    <xf numFmtId="0" fontId="63" fillId="0" borderId="57" xfId="0" applyFont="1" applyBorder="1"/>
    <xf numFmtId="0" fontId="0" fillId="26" borderId="16" xfId="0" applyFill="1" applyBorder="1" applyAlignment="1" applyProtection="1">
      <alignment horizontal="center"/>
    </xf>
    <xf numFmtId="0" fontId="63" fillId="26" borderId="16" xfId="0" applyFont="1" applyFill="1" applyBorder="1" applyAlignment="1" applyProtection="1">
      <alignment horizontal="left"/>
    </xf>
    <xf numFmtId="0" fontId="0" fillId="26" borderId="11" xfId="0" applyFill="1" applyBorder="1" applyAlignment="1" applyProtection="1">
      <alignment horizontal="center"/>
    </xf>
    <xf numFmtId="0" fontId="63" fillId="0" borderId="15" xfId="0" applyFont="1" applyBorder="1" applyAlignment="1">
      <alignment vertical="center"/>
    </xf>
    <xf numFmtId="0" fontId="0" fillId="0" borderId="0" xfId="0" applyBorder="1"/>
    <xf numFmtId="0" fontId="0" fillId="0" borderId="56" xfId="0" applyBorder="1"/>
    <xf numFmtId="38" fontId="63" fillId="29" borderId="0" xfId="439" applyNumberFormat="1" applyFont="1" applyFill="1" applyAlignment="1" applyProtection="1">
      <alignment horizontal="center" vertical="center"/>
      <protection locked="0"/>
    </xf>
    <xf numFmtId="164" fontId="63" fillId="28" borderId="0" xfId="439" applyNumberFormat="1" applyFont="1" applyFill="1" applyAlignment="1" applyProtection="1">
      <alignment horizontal="center" vertical="center"/>
      <protection locked="0"/>
    </xf>
    <xf numFmtId="37" fontId="57" fillId="28" borderId="0" xfId="439" applyNumberFormat="1" applyFont="1" applyFill="1" applyAlignment="1" applyProtection="1">
      <alignment horizontal="center" vertical="center"/>
      <protection locked="0"/>
    </xf>
    <xf numFmtId="164" fontId="57" fillId="28" borderId="0" xfId="439" applyNumberFormat="1" applyFont="1" applyFill="1" applyAlignment="1" applyProtection="1">
      <alignment horizontal="center" vertical="center"/>
      <protection locked="0"/>
    </xf>
    <xf numFmtId="2" fontId="64" fillId="28" borderId="0" xfId="0" applyNumberFormat="1" applyFont="1" applyFill="1" applyAlignment="1" applyProtection="1">
      <alignment horizontal="center" vertical="center" wrapText="1"/>
      <protection locked="0"/>
    </xf>
    <xf numFmtId="0" fontId="64" fillId="28" borderId="0" xfId="0" applyFont="1" applyFill="1" applyAlignment="1" applyProtection="1">
      <alignment horizontal="center" vertical="center"/>
      <protection locked="0"/>
    </xf>
    <xf numFmtId="0" fontId="64" fillId="28" borderId="0" xfId="0" applyFont="1" applyFill="1" applyAlignment="1" applyProtection="1">
      <alignment horizontal="center" vertical="center" wrapText="1"/>
      <protection locked="0"/>
    </xf>
    <xf numFmtId="3" fontId="57" fillId="28" borderId="0" xfId="439" applyNumberFormat="1" applyFont="1" applyFill="1" applyAlignment="1" applyProtection="1">
      <alignment horizontal="center" vertical="center"/>
      <protection locked="0"/>
    </xf>
    <xf numFmtId="3" fontId="64" fillId="28" borderId="0" xfId="0" applyNumberFormat="1" applyFont="1" applyFill="1" applyAlignment="1" applyProtection="1">
      <alignment horizontal="center" vertical="center"/>
      <protection locked="0"/>
    </xf>
    <xf numFmtId="3" fontId="64" fillId="28" borderId="0" xfId="0" applyNumberFormat="1" applyFont="1" applyFill="1" applyAlignment="1" applyProtection="1">
      <alignment horizontal="center" vertical="center" wrapText="1"/>
      <protection locked="0"/>
    </xf>
    <xf numFmtId="3" fontId="63" fillId="28" borderId="0" xfId="439" applyNumberFormat="1" applyFont="1" applyFill="1" applyAlignment="1" applyProtection="1">
      <alignment horizontal="center" vertical="center"/>
      <protection locked="0"/>
    </xf>
    <xf numFmtId="3" fontId="63" fillId="0" borderId="0" xfId="439" applyNumberFormat="1" applyFont="1" applyFill="1" applyAlignment="1" applyProtection="1">
      <alignment horizontal="center" vertical="center" wrapText="1"/>
      <protection locked="0"/>
    </xf>
    <xf numFmtId="3" fontId="63" fillId="22" borderId="0" xfId="439" applyNumberFormat="1" applyFont="1" applyFill="1" applyAlignment="1" applyProtection="1">
      <alignment horizontal="center" vertical="center" wrapText="1"/>
      <protection locked="0"/>
    </xf>
    <xf numFmtId="38" fontId="69" fillId="29" borderId="0" xfId="439" applyNumberFormat="1" applyFont="1" applyFill="1" applyAlignment="1" applyProtection="1">
      <alignment horizontal="center" vertical="center" wrapText="1"/>
      <protection locked="0"/>
    </xf>
    <xf numFmtId="38" fontId="69" fillId="0" borderId="14" xfId="439" applyNumberFormat="1" applyFont="1" applyFill="1" applyBorder="1" applyAlignment="1" applyProtection="1">
      <alignment horizontal="center" vertical="center" wrapText="1"/>
      <protection locked="0"/>
    </xf>
    <xf numFmtId="3" fontId="0" fillId="0" borderId="0" xfId="0" applyNumberFormat="1" applyAlignment="1" applyProtection="1">
      <alignment horizontal="center" vertical="center"/>
      <protection locked="0"/>
    </xf>
    <xf numFmtId="3" fontId="0" fillId="0" borderId="0" xfId="0" applyNumberFormat="1" applyFill="1" applyAlignment="1" applyProtection="1">
      <alignment horizontal="center" vertical="center" wrapText="1"/>
      <protection locked="0"/>
    </xf>
    <xf numFmtId="164" fontId="57" fillId="28" borderId="0" xfId="439" applyNumberFormat="1" applyFont="1" applyFill="1" applyProtection="1">
      <protection locked="0"/>
    </xf>
    <xf numFmtId="41" fontId="115" fillId="28" borderId="0" xfId="439" applyNumberFormat="1" applyFont="1" applyFill="1" applyAlignment="1" applyProtection="1">
      <alignment wrapText="1"/>
      <protection locked="0"/>
    </xf>
    <xf numFmtId="41" fontId="66" fillId="28" borderId="0" xfId="0" applyNumberFormat="1" applyFont="1" applyFill="1" applyAlignment="1" applyProtection="1">
      <alignment wrapText="1"/>
      <protection locked="0"/>
    </xf>
    <xf numFmtId="41" fontId="115" fillId="28" borderId="0" xfId="0" applyNumberFormat="1" applyFont="1" applyFill="1" applyAlignment="1" applyProtection="1">
      <alignment wrapText="1"/>
      <protection locked="0"/>
    </xf>
    <xf numFmtId="0" fontId="178" fillId="28" borderId="0" xfId="0" applyFont="1" applyFill="1" applyAlignment="1" applyProtection="1">
      <protection locked="0"/>
    </xf>
    <xf numFmtId="38" fontId="71" fillId="28" borderId="0" xfId="0" applyNumberFormat="1" applyFont="1" applyFill="1" applyAlignment="1" applyProtection="1">
      <alignment horizontal="left" vertical="center"/>
      <protection locked="0"/>
    </xf>
    <xf numFmtId="0" fontId="39" fillId="28" borderId="0" xfId="0" applyFont="1" applyFill="1" applyAlignment="1" applyProtection="1">
      <alignment vertical="center" wrapText="1"/>
      <protection locked="0"/>
    </xf>
    <xf numFmtId="14" fontId="65" fillId="29" borderId="0" xfId="439" applyNumberFormat="1" applyFont="1" applyFill="1" applyAlignment="1" applyProtection="1">
      <alignment horizontal="left" vertical="center" wrapText="1"/>
      <protection locked="0"/>
    </xf>
    <xf numFmtId="0" fontId="131" fillId="22" borderId="0" xfId="0" applyFont="1" applyFill="1" applyProtection="1"/>
    <xf numFmtId="0" fontId="189" fillId="22" borderId="0" xfId="0" applyFont="1" applyFill="1" applyProtection="1"/>
    <xf numFmtId="0" fontId="144" fillId="22" borderId="0" xfId="0" applyFont="1" applyFill="1" applyAlignment="1" applyProtection="1">
      <alignment vertical="center" wrapText="1"/>
    </xf>
    <xf numFmtId="0" fontId="144" fillId="22" borderId="0" xfId="0" applyFont="1" applyFill="1" applyAlignment="1" applyProtection="1">
      <alignment vertical="center"/>
      <protection locked="0"/>
    </xf>
    <xf numFmtId="0" fontId="144" fillId="22" borderId="0" xfId="0" applyFont="1" applyFill="1" applyAlignment="1" applyProtection="1">
      <alignment vertical="center"/>
    </xf>
    <xf numFmtId="1" fontId="0" fillId="0" borderId="0" xfId="0" applyNumberFormat="1"/>
    <xf numFmtId="0" fontId="177" fillId="0" borderId="0" xfId="0" applyFont="1"/>
    <xf numFmtId="40" fontId="177" fillId="0" borderId="0" xfId="0" applyNumberFormat="1" applyFont="1"/>
    <xf numFmtId="0" fontId="68" fillId="0" borderId="0" xfId="0" applyFont="1" applyAlignment="1">
      <alignment horizontal="center"/>
    </xf>
    <xf numFmtId="1" fontId="0" fillId="0" borderId="0" xfId="0" applyNumberFormat="1" applyAlignment="1">
      <alignment wrapText="1"/>
    </xf>
    <xf numFmtId="1" fontId="177" fillId="0" borderId="0" xfId="0" applyNumberFormat="1" applyFont="1" applyAlignment="1">
      <alignment wrapText="1"/>
    </xf>
    <xf numFmtId="1" fontId="85" fillId="0" borderId="0" xfId="0" applyNumberFormat="1" applyFont="1" applyAlignment="1">
      <alignment horizontal="center"/>
    </xf>
    <xf numFmtId="1" fontId="190" fillId="0" borderId="0" xfId="0" applyNumberFormat="1" applyFont="1" applyAlignment="1">
      <alignment horizontal="center"/>
    </xf>
    <xf numFmtId="1" fontId="190" fillId="27" borderId="0" xfId="0" applyNumberFormat="1" applyFont="1" applyFill="1" applyAlignment="1">
      <alignment horizontal="center"/>
    </xf>
    <xf numFmtId="1" fontId="191" fillId="20" borderId="0" xfId="0" applyNumberFormat="1" applyFont="1" applyFill="1" applyAlignment="1">
      <alignment horizontal="center" vertical="center"/>
    </xf>
    <xf numFmtId="1" fontId="80" fillId="20" borderId="0" xfId="0" applyNumberFormat="1" applyFont="1" applyFill="1" applyAlignment="1">
      <alignment horizontal="center" vertical="center"/>
    </xf>
    <xf numFmtId="1" fontId="190" fillId="20" borderId="0" xfId="0" applyNumberFormat="1" applyFont="1" applyFill="1" applyAlignment="1">
      <alignment horizontal="center"/>
    </xf>
    <xf numFmtId="0" fontId="190" fillId="20" borderId="0" xfId="0" applyFont="1" applyFill="1" applyAlignment="1">
      <alignment horizontal="center"/>
    </xf>
    <xf numFmtId="1" fontId="192" fillId="20" borderId="0" xfId="0" applyNumberFormat="1" applyFont="1" applyFill="1" applyAlignment="1">
      <alignment horizontal="center"/>
    </xf>
    <xf numFmtId="0" fontId="192" fillId="20" borderId="0" xfId="0" applyFont="1" applyFill="1" applyAlignment="1">
      <alignment horizontal="center"/>
    </xf>
    <xf numFmtId="0" fontId="0" fillId="0" borderId="0" xfId="0" applyAlignment="1">
      <alignment horizontal="center" wrapText="1"/>
    </xf>
    <xf numFmtId="0" fontId="105" fillId="0" borderId="0" xfId="0" applyFont="1" applyAlignment="1">
      <alignment horizontal="left" vertical="center" wrapText="1"/>
    </xf>
    <xf numFmtId="38" fontId="105" fillId="0" borderId="0" xfId="0" applyNumberFormat="1" applyFont="1" applyAlignment="1">
      <alignment horizontal="center" vertical="center"/>
    </xf>
    <xf numFmtId="38" fontId="63" fillId="0" borderId="0" xfId="439" applyNumberFormat="1" applyFont="1" applyAlignment="1">
      <alignment horizontal="center" vertical="center"/>
    </xf>
    <xf numFmtId="38" fontId="105" fillId="0" borderId="0" xfId="439" applyNumberFormat="1" applyFont="1" applyAlignment="1">
      <alignment horizontal="center" vertical="center"/>
    </xf>
    <xf numFmtId="38" fontId="192" fillId="0" borderId="0" xfId="0" applyNumberFormat="1" applyFont="1" applyAlignment="1">
      <alignment horizontal="center"/>
    </xf>
    <xf numFmtId="38" fontId="190" fillId="0" borderId="0" xfId="0" applyNumberFormat="1" applyFont="1" applyAlignment="1">
      <alignment horizontal="center"/>
    </xf>
    <xf numFmtId="0" fontId="57" fillId="0" borderId="0" xfId="683" applyAlignment="1" applyProtection="1">
      <alignment vertical="center" wrapText="1"/>
      <protection locked="0"/>
    </xf>
    <xf numFmtId="0" fontId="19" fillId="0" borderId="0" xfId="841" applyAlignment="1">
      <alignment horizontal="left" vertical="center" wrapText="1"/>
    </xf>
    <xf numFmtId="0" fontId="0" fillId="0" borderId="0" xfId="0" applyAlignment="1">
      <alignment horizontal="center"/>
    </xf>
    <xf numFmtId="40" fontId="105" fillId="0" borderId="0" xfId="0" applyNumberFormat="1" applyFont="1" applyAlignment="1">
      <alignment horizontal="center" vertical="center"/>
    </xf>
    <xf numFmtId="40" fontId="63" fillId="0" borderId="0" xfId="439" applyNumberFormat="1" applyFont="1" applyAlignment="1">
      <alignment horizontal="center" vertical="center"/>
    </xf>
    <xf numFmtId="40" fontId="105" fillId="0" borderId="0" xfId="439" applyNumberFormat="1" applyFont="1" applyAlignment="1">
      <alignment horizontal="center" vertical="center"/>
    </xf>
    <xf numFmtId="40" fontId="192" fillId="0" borderId="0" xfId="0" applyNumberFormat="1" applyFont="1" applyAlignment="1">
      <alignment horizontal="center"/>
    </xf>
    <xf numFmtId="40" fontId="190" fillId="0" borderId="0" xfId="0" applyNumberFormat="1" applyFont="1" applyAlignment="1">
      <alignment horizontal="center"/>
    </xf>
    <xf numFmtId="1" fontId="0" fillId="0" borderId="0" xfId="0" applyNumberFormat="1" applyAlignment="1">
      <alignment horizontal="right"/>
    </xf>
    <xf numFmtId="1" fontId="58" fillId="27" borderId="0" xfId="1531" applyNumberFormat="1" applyFill="1"/>
    <xf numFmtId="0" fontId="57" fillId="27" borderId="0" xfId="683" applyFill="1" applyAlignment="1">
      <alignment vertical="center" wrapText="1"/>
    </xf>
    <xf numFmtId="0" fontId="58" fillId="27" borderId="0" xfId="1531" applyFill="1"/>
    <xf numFmtId="38" fontId="105" fillId="27" borderId="0" xfId="0" applyNumberFormat="1" applyFont="1" applyFill="1" applyAlignment="1">
      <alignment horizontal="center" vertical="center"/>
    </xf>
    <xf numFmtId="38" fontId="63" fillId="27" borderId="0" xfId="439" applyNumberFormat="1" applyFont="1" applyFill="1" applyAlignment="1">
      <alignment horizontal="center" vertical="center"/>
    </xf>
    <xf numFmtId="38" fontId="105" fillId="27" borderId="0" xfId="439" applyNumberFormat="1" applyFont="1" applyFill="1" applyAlignment="1">
      <alignment horizontal="center" vertical="center"/>
    </xf>
    <xf numFmtId="38" fontId="192" fillId="27" borderId="0" xfId="0" applyNumberFormat="1" applyFont="1" applyFill="1" applyAlignment="1">
      <alignment horizontal="center"/>
    </xf>
    <xf numFmtId="38" fontId="190" fillId="27" borderId="0" xfId="0" applyNumberFormat="1" applyFont="1" applyFill="1" applyAlignment="1">
      <alignment horizontal="center"/>
    </xf>
    <xf numFmtId="0" fontId="0" fillId="27" borderId="0" xfId="0" applyFill="1"/>
    <xf numFmtId="0" fontId="57" fillId="27" borderId="0" xfId="683" applyFill="1" applyAlignment="1">
      <alignment wrapText="1"/>
    </xf>
    <xf numFmtId="1" fontId="58" fillId="0" borderId="0" xfId="1531" applyNumberFormat="1"/>
    <xf numFmtId="0" fontId="57" fillId="0" borderId="0" xfId="683" applyAlignment="1">
      <alignment vertical="center" wrapText="1"/>
    </xf>
    <xf numFmtId="0" fontId="58" fillId="0" borderId="0" xfId="1531"/>
    <xf numFmtId="0" fontId="57" fillId="0" borderId="0" xfId="683" applyAlignment="1">
      <alignment wrapText="1"/>
    </xf>
    <xf numFmtId="0" fontId="68" fillId="0" borderId="0" xfId="0" applyFont="1"/>
    <xf numFmtId="0" fontId="63" fillId="27" borderId="0" xfId="6178" applyFont="1" applyFill="1" applyAlignment="1">
      <alignment horizontal="center" vertical="center"/>
    </xf>
    <xf numFmtId="0" fontId="71" fillId="0" borderId="0" xfId="683" applyFont="1" applyAlignment="1">
      <alignment horizontal="right" vertical="center"/>
    </xf>
    <xf numFmtId="38" fontId="35" fillId="0" borderId="0" xfId="0" applyNumberFormat="1" applyFont="1" applyAlignment="1">
      <alignment horizontal="left" vertical="center"/>
    </xf>
    <xf numFmtId="0" fontId="57" fillId="0" borderId="0" xfId="683"/>
    <xf numFmtId="0" fontId="0" fillId="27" borderId="0" xfId="0" applyFill="1" applyAlignment="1">
      <alignment horizontal="center" wrapText="1"/>
    </xf>
    <xf numFmtId="0" fontId="57" fillId="27" borderId="0" xfId="683" applyFill="1"/>
    <xf numFmtId="0" fontId="63" fillId="0" borderId="0" xfId="683" applyFont="1"/>
    <xf numFmtId="1" fontId="0" fillId="27" borderId="0" xfId="0" applyNumberFormat="1" applyFill="1"/>
    <xf numFmtId="0" fontId="105" fillId="27" borderId="0" xfId="0" applyFont="1" applyFill="1" applyAlignment="1">
      <alignment horizontal="left" vertical="center" wrapText="1"/>
    </xf>
    <xf numFmtId="40" fontId="105" fillId="27" borderId="0" xfId="0" applyNumberFormat="1" applyFont="1" applyFill="1" applyAlignment="1">
      <alignment horizontal="center" vertical="center"/>
    </xf>
    <xf numFmtId="40" fontId="63" fillId="27" borderId="0" xfId="439" applyNumberFormat="1" applyFont="1" applyFill="1" applyAlignment="1">
      <alignment horizontal="center" vertical="center"/>
    </xf>
    <xf numFmtId="40" fontId="105" fillId="27" borderId="0" xfId="439" applyNumberFormat="1" applyFont="1" applyFill="1" applyAlignment="1">
      <alignment horizontal="center" vertical="center"/>
    </xf>
    <xf numFmtId="40" fontId="192" fillId="27" borderId="0" xfId="0" applyNumberFormat="1" applyFont="1" applyFill="1" applyAlignment="1">
      <alignment horizontal="center"/>
    </xf>
    <xf numFmtId="40" fontId="190" fillId="27" borderId="0" xfId="0" applyNumberFormat="1" applyFont="1" applyFill="1" applyAlignment="1">
      <alignment horizontal="center"/>
    </xf>
    <xf numFmtId="0" fontId="0" fillId="29" borderId="0" xfId="0" applyFill="1"/>
    <xf numFmtId="1" fontId="0" fillId="29" borderId="0" xfId="0" applyNumberFormat="1" applyFill="1"/>
    <xf numFmtId="0" fontId="105" fillId="29" borderId="0" xfId="0" applyFont="1" applyFill="1" applyAlignment="1">
      <alignment horizontal="left" vertical="center" wrapText="1"/>
    </xf>
    <xf numFmtId="38" fontId="105" fillId="29" borderId="0" xfId="0" applyNumberFormat="1" applyFont="1" applyFill="1" applyAlignment="1">
      <alignment horizontal="left" vertical="center"/>
    </xf>
    <xf numFmtId="38" fontId="105" fillId="29" borderId="0" xfId="0" applyNumberFormat="1" applyFont="1" applyFill="1" applyAlignment="1">
      <alignment horizontal="center" vertical="center"/>
    </xf>
    <xf numFmtId="0" fontId="68" fillId="0" borderId="0" xfId="3525" applyFont="1" applyAlignment="1">
      <alignment horizontal="center"/>
    </xf>
    <xf numFmtId="0" fontId="57" fillId="0" borderId="0" xfId="6178"/>
    <xf numFmtId="0" fontId="68" fillId="0" borderId="0" xfId="683" applyFont="1" applyAlignment="1">
      <alignment vertical="center" wrapText="1"/>
    </xf>
    <xf numFmtId="0" fontId="57" fillId="74" borderId="0" xfId="6178" applyFill="1"/>
    <xf numFmtId="0" fontId="58" fillId="29" borderId="0" xfId="720" applyFill="1"/>
    <xf numFmtId="0" fontId="0" fillId="34" borderId="10" xfId="0" applyFill="1" applyBorder="1" applyAlignment="1">
      <alignment horizontal="center" wrapText="1"/>
    </xf>
    <xf numFmtId="0" fontId="57" fillId="34" borderId="60" xfId="3145" applyFill="1" applyBorder="1" applyAlignment="1">
      <alignment horizontal="left" vertical="center" wrapText="1"/>
    </xf>
    <xf numFmtId="0" fontId="0" fillId="0" borderId="10" xfId="0" applyBorder="1" applyAlignment="1">
      <alignment horizontal="center" wrapText="1"/>
    </xf>
    <xf numFmtId="0" fontId="57" fillId="0" borderId="60" xfId="628" applyBorder="1" applyAlignment="1">
      <alignment vertical="center" wrapText="1"/>
    </xf>
    <xf numFmtId="0" fontId="57" fillId="34" borderId="61" xfId="3123" applyFill="1" applyBorder="1" applyAlignment="1">
      <alignment horizontal="left" vertical="center" wrapText="1"/>
    </xf>
    <xf numFmtId="0" fontId="0" fillId="34" borderId="0" xfId="0" applyFill="1" applyAlignment="1">
      <alignment wrapText="1"/>
    </xf>
    <xf numFmtId="0" fontId="57" fillId="34" borderId="0" xfId="6071" applyFill="1" applyAlignment="1">
      <alignment horizontal="left" vertical="center" wrapText="1"/>
    </xf>
    <xf numFmtId="0" fontId="35" fillId="34" borderId="0" xfId="0" applyFont="1" applyFill="1" applyAlignment="1">
      <alignment horizontal="left" vertical="center" wrapText="1"/>
    </xf>
    <xf numFmtId="0" fontId="35" fillId="0" borderId="0" xfId="0" applyFont="1" applyAlignment="1">
      <alignment horizontal="left" vertical="center" wrapText="1"/>
    </xf>
    <xf numFmtId="0" fontId="0" fillId="77" borderId="0" xfId="0" applyFill="1"/>
    <xf numFmtId="0" fontId="177" fillId="0" borderId="0" xfId="659" applyFont="1"/>
    <xf numFmtId="0" fontId="0" fillId="0" borderId="0" xfId="0"/>
    <xf numFmtId="40" fontId="0" fillId="0" borderId="0" xfId="0" applyNumberFormat="1"/>
    <xf numFmtId="0" fontId="58" fillId="0" borderId="0" xfId="659"/>
    <xf numFmtId="0" fontId="144" fillId="0" borderId="0" xfId="0" applyFont="1" applyAlignment="1">
      <alignment horizontal="center"/>
    </xf>
    <xf numFmtId="39" fontId="111" fillId="78" borderId="28" xfId="439" applyNumberFormat="1" applyFont="1" applyFill="1" applyBorder="1" applyAlignment="1" applyProtection="1">
      <alignment horizontal="center" vertical="center" wrapText="1"/>
    </xf>
    <xf numFmtId="166" fontId="0" fillId="0" borderId="0" xfId="0" applyNumberFormat="1"/>
    <xf numFmtId="43" fontId="57" fillId="0" borderId="0" xfId="545" applyNumberFormat="1" applyFont="1" applyFill="1" applyProtection="1"/>
    <xf numFmtId="43" fontId="57" fillId="0" borderId="0" xfId="545" applyNumberFormat="1" applyFont="1" applyProtection="1"/>
    <xf numFmtId="0" fontId="0" fillId="22" borderId="29" xfId="0" applyFill="1" applyBorder="1" applyAlignment="1" applyProtection="1">
      <alignment vertical="center"/>
    </xf>
    <xf numFmtId="0" fontId="0" fillId="34" borderId="0" xfId="0" applyFill="1" applyBorder="1" applyProtection="1"/>
    <xf numFmtId="0" fontId="63" fillId="0" borderId="24" xfId="0" applyFont="1" applyBorder="1" applyAlignment="1">
      <alignment horizontal="center" vertical="center"/>
    </xf>
    <xf numFmtId="0" fontId="63" fillId="0" borderId="0" xfId="0" applyFont="1" applyAlignment="1">
      <alignment vertical="center"/>
    </xf>
    <xf numFmtId="0" fontId="63" fillId="0" borderId="59" xfId="0" applyFont="1" applyBorder="1" applyAlignment="1">
      <alignment vertical="center"/>
    </xf>
    <xf numFmtId="41" fontId="115" fillId="0" borderId="0" xfId="439" applyNumberFormat="1" applyFont="1" applyAlignment="1">
      <alignment vertical="center" wrapText="1"/>
    </xf>
    <xf numFmtId="41" fontId="128" fillId="0" borderId="0" xfId="439" applyNumberFormat="1" applyFont="1" applyAlignment="1">
      <alignment vertical="center" wrapText="1"/>
    </xf>
    <xf numFmtId="0" fontId="65" fillId="0" borderId="0" xfId="0" applyFont="1" applyAlignment="1">
      <alignment horizontal="left" vertical="center" wrapText="1"/>
    </xf>
    <xf numFmtId="0" fontId="63" fillId="74" borderId="0" xfId="0" applyFont="1" applyFill="1" applyAlignment="1">
      <alignment horizontal="left" vertical="center" wrapText="1"/>
    </xf>
    <xf numFmtId="0" fontId="59" fillId="0" borderId="0" xfId="611" applyProtection="1">
      <protection locked="0"/>
    </xf>
    <xf numFmtId="0" fontId="43" fillId="34" borderId="45" xfId="0" applyFont="1" applyFill="1" applyBorder="1" applyAlignment="1" applyProtection="1">
      <alignment horizontal="center" vertical="center" wrapText="1"/>
    </xf>
    <xf numFmtId="0" fontId="128" fillId="34" borderId="45" xfId="0" applyNumberFormat="1" applyFont="1" applyFill="1" applyBorder="1" applyAlignment="1" applyProtection="1">
      <alignment vertical="center" wrapText="1"/>
    </xf>
    <xf numFmtId="0" fontId="0" fillId="34" borderId="45" xfId="0" applyFont="1" applyFill="1" applyBorder="1" applyAlignment="1" applyProtection="1">
      <alignment horizontal="left" vertical="center" wrapText="1"/>
    </xf>
    <xf numFmtId="0" fontId="0" fillId="34" borderId="45" xfId="0" applyFill="1" applyBorder="1" applyAlignment="1">
      <alignment vertical="center" wrapText="1"/>
    </xf>
    <xf numFmtId="0" fontId="0" fillId="34" borderId="45" xfId="0" applyFont="1" applyFill="1" applyBorder="1" applyAlignment="1">
      <alignment vertical="center" wrapText="1"/>
    </xf>
    <xf numFmtId="0" fontId="0" fillId="0" borderId="0" xfId="0" applyNumberFormat="1" applyFill="1" applyBorder="1" applyAlignment="1" applyProtection="1">
      <alignment horizontal="left" vertical="center" wrapText="1"/>
    </xf>
    <xf numFmtId="0" fontId="65" fillId="0" borderId="0" xfId="0" applyNumberFormat="1" applyFont="1" applyFill="1" applyBorder="1" applyAlignment="1" applyProtection="1">
      <alignment horizontal="left" vertical="center" wrapText="1"/>
    </xf>
    <xf numFmtId="0" fontId="84" fillId="0" borderId="0" xfId="0" applyNumberFormat="1" applyFont="1" applyFill="1" applyBorder="1" applyAlignment="1" applyProtection="1">
      <alignment horizontal="left" vertical="center" wrapText="1"/>
    </xf>
    <xf numFmtId="172" fontId="103" fillId="0" borderId="0" xfId="439" applyNumberFormat="1" applyFont="1" applyFill="1" applyBorder="1" applyAlignment="1" applyProtection="1">
      <alignment horizontal="center" vertical="center" wrapText="1"/>
    </xf>
    <xf numFmtId="164" fontId="57" fillId="0" borderId="0" xfId="439" applyNumberFormat="1" applyFont="1" applyFill="1" applyBorder="1" applyAlignment="1" applyProtection="1">
      <alignment vertical="center"/>
    </xf>
    <xf numFmtId="0" fontId="63" fillId="34" borderId="61" xfId="0" applyFont="1" applyFill="1" applyBorder="1" applyAlignment="1">
      <alignment horizontal="center" vertical="center"/>
    </xf>
    <xf numFmtId="0" fontId="68" fillId="34" borderId="45" xfId="0" applyFont="1" applyFill="1" applyBorder="1" applyAlignment="1" applyProtection="1">
      <alignment vertical="center" wrapText="1"/>
      <protection locked="0"/>
    </xf>
    <xf numFmtId="37" fontId="57" fillId="34" borderId="60" xfId="439" applyNumberFormat="1" applyFont="1" applyFill="1" applyBorder="1" applyAlignment="1" applyProtection="1">
      <alignment vertical="center"/>
    </xf>
    <xf numFmtId="0" fontId="0" fillId="76" borderId="23" xfId="0" applyNumberFormat="1" applyFill="1" applyBorder="1" applyAlignment="1" applyProtection="1">
      <alignment horizontal="left" vertical="center" wrapText="1"/>
    </xf>
    <xf numFmtId="38" fontId="57" fillId="34" borderId="45" xfId="439" applyNumberFormat="1" applyFont="1" applyFill="1" applyBorder="1" applyAlignment="1" applyProtection="1">
      <alignment horizontal="center" vertical="center" wrapText="1"/>
    </xf>
    <xf numFmtId="0" fontId="103" fillId="34" borderId="28" xfId="0" applyNumberFormat="1" applyFont="1" applyFill="1" applyBorder="1" applyAlignment="1" applyProtection="1">
      <alignment horizontal="left" vertical="center" wrapText="1"/>
    </xf>
    <xf numFmtId="0" fontId="112" fillId="34" borderId="45" xfId="0" applyNumberFormat="1" applyFont="1" applyFill="1" applyBorder="1" applyAlignment="1" applyProtection="1">
      <alignment horizontal="left" vertical="center" wrapText="1"/>
    </xf>
    <xf numFmtId="37" fontId="57" fillId="34" borderId="27" xfId="439" applyNumberFormat="1" applyFont="1" applyFill="1" applyBorder="1" applyAlignment="1" applyProtection="1">
      <alignment vertical="center"/>
    </xf>
    <xf numFmtId="0" fontId="0" fillId="0" borderId="45" xfId="0" applyFill="1" applyBorder="1" applyProtection="1"/>
    <xf numFmtId="0" fontId="123" fillId="0" borderId="45" xfId="0" applyFont="1" applyFill="1" applyBorder="1"/>
    <xf numFmtId="0" fontId="0" fillId="0" borderId="45" xfId="0" applyFill="1" applyBorder="1" applyAlignment="1" applyProtection="1">
      <alignment horizontal="center" vertical="center"/>
    </xf>
    <xf numFmtId="37" fontId="63" fillId="34" borderId="45" xfId="439" applyNumberFormat="1" applyFont="1" applyFill="1" applyBorder="1" applyAlignment="1" applyProtection="1">
      <alignment horizontal="center" vertical="center" wrapText="1"/>
    </xf>
    <xf numFmtId="38" fontId="0" fillId="0" borderId="45" xfId="0" applyNumberFormat="1" applyFill="1" applyBorder="1" applyProtection="1"/>
    <xf numFmtId="180" fontId="103" fillId="34" borderId="23" xfId="439" applyNumberFormat="1" applyFont="1" applyFill="1" applyBorder="1" applyAlignment="1" applyProtection="1">
      <alignment horizontal="center" vertical="center" wrapText="1"/>
    </xf>
    <xf numFmtId="171" fontId="103" fillId="77" borderId="29" xfId="439" applyNumberFormat="1" applyFont="1" applyFill="1" applyBorder="1" applyAlignment="1" applyProtection="1">
      <alignment horizontal="center" vertical="center" wrapText="1"/>
    </xf>
    <xf numFmtId="0" fontId="0" fillId="34" borderId="25" xfId="0" applyNumberFormat="1" applyFont="1" applyFill="1" applyBorder="1" applyAlignment="1" applyProtection="1">
      <alignment horizontal="center" vertical="center" wrapText="1"/>
    </xf>
    <xf numFmtId="0" fontId="0" fillId="34" borderId="25" xfId="0" applyNumberFormat="1" applyFill="1" applyBorder="1" applyAlignment="1" applyProtection="1">
      <alignment horizontal="center" vertical="center" wrapText="1"/>
    </xf>
    <xf numFmtId="0" fontId="63" fillId="26" borderId="26" xfId="0" applyNumberFormat="1" applyFont="1" applyFill="1" applyBorder="1" applyAlignment="1" applyProtection="1">
      <alignment horizontal="center" vertical="center"/>
    </xf>
    <xf numFmtId="0" fontId="0" fillId="26" borderId="31" xfId="0" applyFont="1" applyFill="1" applyBorder="1" applyAlignment="1" applyProtection="1">
      <alignment vertical="center" wrapText="1"/>
    </xf>
    <xf numFmtId="164" fontId="57" fillId="26" borderId="29" xfId="439" applyNumberFormat="1" applyFont="1" applyFill="1" applyBorder="1" applyAlignment="1" applyProtection="1">
      <alignment vertical="center"/>
    </xf>
    <xf numFmtId="0" fontId="63" fillId="26" borderId="25" xfId="0" applyNumberFormat="1" applyFont="1" applyFill="1" applyBorder="1" applyAlignment="1" applyProtection="1">
      <alignment horizontal="center" vertical="center"/>
    </xf>
    <xf numFmtId="0" fontId="0" fillId="26" borderId="23" xfId="0" applyFont="1" applyFill="1" applyBorder="1" applyAlignment="1" applyProtection="1">
      <alignment vertical="center" wrapText="1"/>
    </xf>
    <xf numFmtId="39" fontId="57" fillId="26" borderId="28" xfId="439" applyNumberFormat="1" applyFont="1" applyFill="1" applyBorder="1" applyAlignment="1" applyProtection="1">
      <alignment vertical="center"/>
    </xf>
    <xf numFmtId="0" fontId="0" fillId="74" borderId="0" xfId="0" applyFill="1"/>
    <xf numFmtId="0" fontId="197" fillId="79" borderId="57" xfId="0" applyFont="1" applyFill="1" applyBorder="1" applyAlignment="1">
      <alignment horizontal="center" vertical="center"/>
    </xf>
    <xf numFmtId="0" fontId="198" fillId="74" borderId="0" xfId="0" applyFont="1" applyFill="1" applyAlignment="1">
      <alignment vertical="center" wrapText="1"/>
    </xf>
    <xf numFmtId="0" fontId="201" fillId="79" borderId="0" xfId="0" applyFont="1" applyFill="1" applyAlignment="1">
      <alignment horizontal="center" vertical="center" wrapText="1"/>
    </xf>
    <xf numFmtId="0" fontId="73" fillId="74" borderId="0" xfId="0" applyFont="1" applyFill="1" applyAlignment="1">
      <alignment horizontal="justify" vertical="center"/>
    </xf>
    <xf numFmtId="0" fontId="73" fillId="74" borderId="0" xfId="0" applyFont="1" applyFill="1" applyAlignment="1">
      <alignment vertical="center"/>
    </xf>
    <xf numFmtId="0" fontId="73" fillId="74" borderId="0" xfId="0" applyFont="1" applyFill="1" applyAlignment="1">
      <alignment vertical="center" wrapText="1"/>
    </xf>
    <xf numFmtId="0" fontId="202" fillId="79" borderId="0" xfId="0" applyFont="1" applyFill="1" applyAlignment="1">
      <alignment horizontal="center" vertical="center"/>
    </xf>
    <xf numFmtId="0" fontId="68" fillId="74" borderId="0" xfId="0" applyFont="1" applyFill="1" applyAlignment="1">
      <alignment vertical="center"/>
    </xf>
    <xf numFmtId="0" fontId="59" fillId="74" borderId="0" xfId="611" applyFill="1" applyAlignment="1" applyProtection="1">
      <alignment vertical="center"/>
      <protection locked="0"/>
    </xf>
    <xf numFmtId="0" fontId="59" fillId="74" borderId="0" xfId="611" applyFill="1" applyProtection="1">
      <protection locked="0"/>
    </xf>
    <xf numFmtId="0" fontId="203" fillId="79" borderId="0" xfId="0" applyFont="1" applyFill="1" applyAlignment="1">
      <alignment horizontal="center" vertical="center"/>
    </xf>
    <xf numFmtId="0" fontId="204" fillId="79" borderId="0" xfId="0" applyFont="1" applyFill="1" applyAlignment="1">
      <alignment vertical="center"/>
    </xf>
    <xf numFmtId="0" fontId="103" fillId="80" borderId="25" xfId="0" applyNumberFormat="1" applyFont="1" applyFill="1" applyBorder="1" applyAlignment="1" applyProtection="1">
      <alignment horizontal="left" vertical="center" wrapText="1"/>
    </xf>
    <xf numFmtId="0" fontId="65" fillId="80" borderId="45" xfId="0" applyFont="1" applyFill="1" applyBorder="1" applyAlignment="1">
      <alignment wrapText="1"/>
    </xf>
    <xf numFmtId="14" fontId="0" fillId="80" borderId="45" xfId="0" applyNumberFormat="1" applyFill="1" applyBorder="1"/>
    <xf numFmtId="0" fontId="0" fillId="80" borderId="45" xfId="0" applyFill="1" applyBorder="1" applyAlignment="1">
      <alignment horizontal="center"/>
    </xf>
    <xf numFmtId="0" fontId="0" fillId="80" borderId="23" xfId="0" applyNumberFormat="1" applyFill="1" applyBorder="1" applyAlignment="1" applyProtection="1">
      <alignment horizontal="left" vertical="center" wrapText="1"/>
    </xf>
    <xf numFmtId="49" fontId="57" fillId="76" borderId="27" xfId="439" applyNumberFormat="1" applyFont="1" applyFill="1" applyBorder="1" applyAlignment="1" applyProtection="1">
      <alignment horizontal="center" vertical="center"/>
    </xf>
    <xf numFmtId="49" fontId="57" fillId="80" borderId="27" xfId="439" applyNumberFormat="1" applyFont="1" applyFill="1" applyBorder="1" applyAlignment="1" applyProtection="1">
      <alignment horizontal="center" vertical="center" wrapText="1"/>
    </xf>
    <xf numFmtId="14" fontId="57" fillId="80" borderId="27" xfId="439" applyNumberFormat="1" applyFont="1" applyFill="1" applyBorder="1" applyAlignment="1" applyProtection="1">
      <alignment vertical="center"/>
    </xf>
    <xf numFmtId="49" fontId="57" fillId="80" borderId="27" xfId="439" applyNumberFormat="1" applyFont="1" applyFill="1" applyBorder="1" applyAlignment="1" applyProtection="1">
      <alignment horizontal="center" vertical="center"/>
    </xf>
    <xf numFmtId="0" fontId="0" fillId="76" borderId="25" xfId="0" applyNumberFormat="1" applyFill="1" applyBorder="1" applyAlignment="1" applyProtection="1">
      <alignment horizontal="left" vertical="center" wrapText="1"/>
    </xf>
    <xf numFmtId="0" fontId="103" fillId="76" borderId="25" xfId="0" applyNumberFormat="1" applyFont="1" applyFill="1" applyBorder="1" applyAlignment="1" applyProtection="1">
      <alignment horizontal="left" vertical="center" wrapText="1"/>
    </xf>
    <xf numFmtId="49" fontId="57" fillId="76" borderId="28" xfId="439" applyNumberFormat="1" applyFont="1" applyFill="1" applyBorder="1" applyAlignment="1" applyProtection="1">
      <alignment horizontal="center" vertical="center"/>
    </xf>
    <xf numFmtId="49" fontId="57" fillId="76" borderId="28" xfId="439" applyNumberFormat="1" applyFont="1" applyFill="1" applyBorder="1" applyAlignment="1" applyProtection="1">
      <alignment horizontal="center" vertical="center" wrapText="1"/>
    </xf>
    <xf numFmtId="49" fontId="103" fillId="0" borderId="23" xfId="439" applyNumberFormat="1" applyFont="1" applyFill="1" applyBorder="1" applyAlignment="1" applyProtection="1">
      <alignment horizontal="center" vertical="center"/>
    </xf>
    <xf numFmtId="14" fontId="57" fillId="76" borderId="28" xfId="439" applyNumberFormat="1" applyFont="1" applyFill="1" applyBorder="1" applyAlignment="1" applyProtection="1">
      <alignment horizontal="center" vertical="center"/>
    </xf>
    <xf numFmtId="0" fontId="0" fillId="35" borderId="0" xfId="0" applyFill="1" applyAlignment="1">
      <alignment horizontal="center" vertical="center"/>
    </xf>
    <xf numFmtId="49" fontId="0" fillId="80" borderId="45" xfId="0" applyNumberFormat="1" applyFill="1" applyBorder="1" applyAlignment="1">
      <alignment horizontal="center"/>
    </xf>
    <xf numFmtId="0" fontId="111" fillId="0" borderId="45" xfId="0" applyFont="1" applyFill="1" applyBorder="1" applyAlignment="1" applyProtection="1">
      <alignment horizontal="center" vertical="center" wrapText="1"/>
    </xf>
    <xf numFmtId="0" fontId="111" fillId="32" borderId="45" xfId="0" applyFont="1" applyFill="1" applyBorder="1" applyAlignment="1" applyProtection="1">
      <alignment horizontal="center" vertical="center" wrapText="1"/>
    </xf>
    <xf numFmtId="49" fontId="0" fillId="29" borderId="0" xfId="0" applyNumberFormat="1" applyFill="1" applyProtection="1">
      <protection locked="0"/>
    </xf>
    <xf numFmtId="49" fontId="103" fillId="0" borderId="23" xfId="439" applyNumberFormat="1" applyFont="1" applyFill="1" applyBorder="1" applyAlignment="1" applyProtection="1">
      <alignment horizontal="center" vertical="center" wrapText="1"/>
    </xf>
    <xf numFmtId="0" fontId="130" fillId="74" borderId="0" xfId="0" applyFont="1" applyFill="1" applyAlignment="1">
      <alignment horizontal="left" vertical="center" wrapText="1"/>
    </xf>
    <xf numFmtId="0" fontId="59" fillId="74" borderId="0" xfId="611" applyFill="1"/>
    <xf numFmtId="0" fontId="103" fillId="0" borderId="13" xfId="0" applyFont="1" applyBorder="1" applyAlignment="1">
      <alignment horizontal="left" wrapText="1"/>
    </xf>
    <xf numFmtId="0" fontId="103" fillId="0" borderId="16" xfId="0" applyFont="1" applyBorder="1" applyAlignment="1">
      <alignment horizontal="left" wrapText="1"/>
    </xf>
    <xf numFmtId="0" fontId="103" fillId="0" borderId="13" xfId="0" applyFont="1" applyBorder="1" applyAlignment="1">
      <alignment horizontal="left"/>
    </xf>
    <xf numFmtId="0" fontId="103" fillId="0" borderId="16" xfId="0" applyFont="1" applyBorder="1" applyAlignment="1">
      <alignment horizontal="left"/>
    </xf>
    <xf numFmtId="49" fontId="0" fillId="31" borderId="13" xfId="0" applyNumberFormat="1" applyFill="1" applyBorder="1" applyAlignment="1" applyProtection="1">
      <alignment horizontal="center"/>
      <protection locked="0"/>
    </xf>
    <xf numFmtId="49" fontId="0" fillId="31" borderId="11" xfId="0" applyNumberFormat="1" applyFill="1" applyBorder="1" applyAlignment="1" applyProtection="1">
      <alignment horizontal="center"/>
      <protection locked="0"/>
    </xf>
    <xf numFmtId="49" fontId="59" fillId="31" borderId="13" xfId="611" applyNumberFormat="1" applyFill="1" applyBorder="1" applyAlignment="1" applyProtection="1">
      <alignment horizontal="center"/>
      <protection locked="0"/>
    </xf>
    <xf numFmtId="14" fontId="0" fillId="31" borderId="13" xfId="0" applyNumberFormat="1" applyFill="1" applyBorder="1" applyAlignment="1" applyProtection="1">
      <alignment horizontal="center"/>
      <protection locked="0"/>
    </xf>
    <xf numFmtId="14" fontId="0" fillId="31" borderId="11" xfId="0" applyNumberFormat="1" applyFill="1" applyBorder="1" applyAlignment="1" applyProtection="1">
      <alignment horizontal="center"/>
      <protection locked="0"/>
    </xf>
    <xf numFmtId="0" fontId="65" fillId="27" borderId="16" xfId="0" applyFont="1" applyFill="1" applyBorder="1" applyAlignment="1" applyProtection="1">
      <alignment horizontal="center" wrapText="1"/>
      <protection locked="0"/>
    </xf>
    <xf numFmtId="0" fontId="65" fillId="27" borderId="11" xfId="0" applyFont="1" applyFill="1" applyBorder="1" applyAlignment="1" applyProtection="1">
      <alignment horizontal="center" wrapText="1"/>
      <protection locked="0"/>
    </xf>
    <xf numFmtId="0" fontId="85" fillId="21" borderId="13" xfId="0" applyFont="1" applyFill="1" applyBorder="1" applyAlignment="1" applyProtection="1">
      <alignment horizontal="left" vertical="center" wrapText="1"/>
    </xf>
    <xf numFmtId="0" fontId="85" fillId="21" borderId="16" xfId="0" applyFont="1" applyFill="1" applyBorder="1" applyAlignment="1" applyProtection="1">
      <alignment horizontal="left" vertical="center" wrapText="1"/>
    </xf>
    <xf numFmtId="0" fontId="68" fillId="28" borderId="0" xfId="0" applyFont="1" applyFill="1" applyAlignment="1" applyProtection="1">
      <alignment horizontal="left" vertical="center" wrapText="1"/>
    </xf>
    <xf numFmtId="0" fontId="39" fillId="28" borderId="0" xfId="0" applyFont="1" applyFill="1" applyAlignment="1" applyProtection="1">
      <alignment horizontal="left" vertical="center" wrapText="1"/>
    </xf>
    <xf numFmtId="0" fontId="77" fillId="0" borderId="13" xfId="0" applyFont="1" applyBorder="1" applyAlignment="1">
      <alignment horizontal="center"/>
    </xf>
    <xf numFmtId="0" fontId="77" fillId="0" borderId="16" xfId="0" applyFont="1" applyBorder="1" applyAlignment="1">
      <alignment horizontal="center"/>
    </xf>
    <xf numFmtId="0" fontId="77" fillId="0" borderId="11" xfId="0" applyFont="1" applyBorder="1" applyAlignment="1">
      <alignment horizontal="center"/>
    </xf>
    <xf numFmtId="0" fontId="61" fillId="0" borderId="22" xfId="0" applyFont="1" applyBorder="1" applyAlignment="1">
      <alignment horizontal="left" vertical="center" wrapText="1"/>
    </xf>
    <xf numFmtId="0" fontId="61" fillId="0" borderId="0" xfId="0" applyFont="1" applyBorder="1" applyAlignment="1">
      <alignment horizontal="left" vertical="center" wrapText="1"/>
    </xf>
    <xf numFmtId="0" fontId="64" fillId="31" borderId="37" xfId="0" applyFont="1" applyFill="1" applyBorder="1" applyAlignment="1">
      <alignment horizontal="center" vertical="center" wrapText="1"/>
    </xf>
    <xf numFmtId="0" fontId="64" fillId="31" borderId="39" xfId="0" applyFont="1" applyFill="1" applyBorder="1" applyAlignment="1">
      <alignment horizontal="center" vertical="center" wrapText="1"/>
    </xf>
    <xf numFmtId="0" fontId="91" fillId="0" borderId="0" xfId="682" applyFont="1" applyAlignment="1">
      <alignment horizontal="left" wrapText="1"/>
    </xf>
    <xf numFmtId="0" fontId="116" fillId="27" borderId="0" xfId="682" applyFont="1" applyFill="1" applyAlignment="1">
      <alignment horizontal="left" vertical="center" wrapText="1"/>
    </xf>
    <xf numFmtId="0" fontId="90" fillId="0" borderId="0" xfId="682" applyFont="1" applyAlignment="1">
      <alignment horizontal="center" vertical="center"/>
    </xf>
    <xf numFmtId="0" fontId="95" fillId="27" borderId="0" xfId="682" applyFont="1" applyFill="1" applyAlignment="1">
      <alignment horizontal="left" wrapText="1"/>
    </xf>
    <xf numFmtId="0" fontId="64" fillId="0" borderId="13" xfId="0" applyFont="1" applyBorder="1" applyAlignment="1" applyProtection="1">
      <alignment horizontal="center"/>
    </xf>
    <xf numFmtId="0" fontId="64" fillId="0" borderId="16" xfId="0" applyFont="1" applyBorder="1" applyAlignment="1" applyProtection="1">
      <alignment horizontal="center"/>
    </xf>
    <xf numFmtId="0" fontId="64" fillId="0" borderId="11" xfId="0" applyFont="1" applyBorder="1" applyAlignment="1" applyProtection="1">
      <alignment horizontal="center"/>
    </xf>
    <xf numFmtId="0" fontId="64" fillId="0" borderId="13" xfId="0" applyFont="1" applyFill="1" applyBorder="1" applyAlignment="1" applyProtection="1">
      <alignment horizontal="center" wrapText="1"/>
    </xf>
    <xf numFmtId="0" fontId="64" fillId="0" borderId="16" xfId="0" applyFont="1" applyFill="1" applyBorder="1" applyAlignment="1" applyProtection="1">
      <alignment horizontal="center" wrapText="1"/>
    </xf>
    <xf numFmtId="0" fontId="64" fillId="0" borderId="11" xfId="0" applyFont="1" applyFill="1" applyBorder="1" applyAlignment="1" applyProtection="1">
      <alignment horizontal="center" wrapText="1"/>
    </xf>
    <xf numFmtId="0" fontId="63" fillId="74" borderId="0" xfId="0" applyFont="1" applyFill="1" applyAlignment="1">
      <alignment horizontal="left" vertical="center" wrapText="1"/>
    </xf>
    <xf numFmtId="0" fontId="64" fillId="0" borderId="0" xfId="0" applyFont="1" applyAlignment="1">
      <alignment horizontal="center" vertical="center" wrapText="1"/>
    </xf>
    <xf numFmtId="0" fontId="131" fillId="37" borderId="0" xfId="0" applyFont="1" applyFill="1" applyAlignment="1">
      <alignment horizontal="left" vertical="center" wrapText="1"/>
    </xf>
  </cellXfs>
  <cellStyles count="30304">
    <cellStyle name="20% - Accent1" xfId="29487" builtinId="30" customBuiltin="1"/>
    <cellStyle name="20% - Accent1 2" xfId="29499" xr:uid="{B4D97588-4E6D-4F66-9660-485579464908}"/>
    <cellStyle name="20% - Accent2" xfId="29489" builtinId="34" customBuiltin="1"/>
    <cellStyle name="20% - Accent2 2" xfId="29500" xr:uid="{35B0F212-66A1-472C-9A01-199A3F0DF76E}"/>
    <cellStyle name="20% - Accent3" xfId="29491" builtinId="38" customBuiltin="1"/>
    <cellStyle name="20% - Accent3 2" xfId="29501" xr:uid="{96A9D8D9-2163-4871-AD2A-E6FAD8327E91}"/>
    <cellStyle name="20% - Accent4" xfId="29493" builtinId="42" customBuiltin="1"/>
    <cellStyle name="20% - Accent4 2" xfId="29502" xr:uid="{85AD3608-5EC0-473E-ABF2-FE57FA5CFC47}"/>
    <cellStyle name="20% - Accent5" xfId="29495" builtinId="46" customBuiltin="1"/>
    <cellStyle name="20% - Accent5 2" xfId="29503" xr:uid="{2FAF7B59-7AF2-4277-AFB8-4CED4BCD4AA4}"/>
    <cellStyle name="20% - Accent6" xfId="29497" builtinId="50" customBuiltin="1"/>
    <cellStyle name="20% - Accent6 2" xfId="29504" xr:uid="{FD542BF9-873D-4C28-BB47-353BB6433DA7}"/>
    <cellStyle name="40% - Accent1" xfId="29488" builtinId="31" customBuiltin="1"/>
    <cellStyle name="40% - Accent1 2" xfId="29505" xr:uid="{0AA31246-28F2-4031-B39E-24F57F4DDC66}"/>
    <cellStyle name="40% - Accent2" xfId="29490" builtinId="35" customBuiltin="1"/>
    <cellStyle name="40% - Accent2 2" xfId="29506" xr:uid="{0339A947-B4EF-413F-9CAB-D0CABA162D0E}"/>
    <cellStyle name="40% - Accent3" xfId="29492" builtinId="39" customBuiltin="1"/>
    <cellStyle name="40% - Accent3 2" xfId="29507" xr:uid="{CE323443-EBFB-44AC-8BFD-1096489AD057}"/>
    <cellStyle name="40% - Accent4" xfId="29494" builtinId="43" customBuiltin="1"/>
    <cellStyle name="40% - Accent4 2" xfId="29508" xr:uid="{1DDF968D-ECA9-419B-B4EF-BD60D065FFB9}"/>
    <cellStyle name="40% - Accent5" xfId="29496" builtinId="47" customBuiltin="1"/>
    <cellStyle name="40% - Accent5 2" xfId="29509" xr:uid="{02D52EC3-9136-44C4-ABDC-79A2B992ECE6}"/>
    <cellStyle name="40% - Accent6" xfId="29498" builtinId="51" customBuiltin="1"/>
    <cellStyle name="40% - Accent6 2" xfId="29510" xr:uid="{7AB5FB25-D096-4925-8629-B2984C52A4A8}"/>
    <cellStyle name="60% - Accent1 2" xfId="29512" xr:uid="{7BFD2628-E072-4C2E-A30D-99A65338F113}"/>
    <cellStyle name="60% - Accent1 3" xfId="29511" xr:uid="{BA6653BC-E10F-49F1-922C-B37BD20BEE19}"/>
    <cellStyle name="60% - Accent2 2" xfId="29514" xr:uid="{B882DD0F-CF38-4110-A0B9-6D557E839E6F}"/>
    <cellStyle name="60% - Accent2 3" xfId="29513" xr:uid="{DBBEE3D1-BAA2-420D-AAD0-54977FAFD7AB}"/>
    <cellStyle name="60% - Accent3 2" xfId="29516" xr:uid="{B675D886-1249-408E-9624-ACBD29CE5E3B}"/>
    <cellStyle name="60% - Accent3 3" xfId="29515" xr:uid="{FFB5D201-005A-462D-82FC-535C7CE075BC}"/>
    <cellStyle name="60% - Accent4 2" xfId="29518" xr:uid="{CED353FE-23B8-41C5-8DF6-5B6EF71C5850}"/>
    <cellStyle name="60% - Accent4 3" xfId="29517" xr:uid="{70AF2E1E-CEC4-4808-B667-18848E7B237D}"/>
    <cellStyle name="60% - Accent5 2" xfId="29520" xr:uid="{24EFBFA3-A241-4B03-9CF7-1D6C9FDB8D68}"/>
    <cellStyle name="60% - Accent5 3" xfId="29519" xr:uid="{2FF37EA9-BACD-426F-A9D1-CB53E08211DE}"/>
    <cellStyle name="60% - Accent6 2" xfId="29522" xr:uid="{9E87C1BF-4265-43A7-B9CC-CEB53C8178E0}"/>
    <cellStyle name="60% - Accent6 3" xfId="29521" xr:uid="{ADE31EA4-598F-40AE-8C52-523F301B9003}"/>
    <cellStyle name="Accent1" xfId="4840"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3" xr:uid="{9FFF7FF5-1157-4607-AB6B-BA41FCEAE106}"/>
    <cellStyle name="Accent1 36" xfId="34" xr:uid="{00000000-0005-0000-0000-000021000000}"/>
    <cellStyle name="Accent1 36 2" xfId="29524"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2" xr:uid="{081EF534-E64F-4523-85C5-C52D0496B0C3}"/>
    <cellStyle name="Accent1 7" xfId="70" xr:uid="{00000000-0005-0000-0000-000045000000}"/>
    <cellStyle name="Accent1 70" xfId="22942" xr:uid="{4DC46A14-6FD5-4703-B964-ECA4F0B990BA}"/>
    <cellStyle name="Accent1 71" xfId="23987" xr:uid="{88B3CE1F-60C4-438B-A98E-5663565F73D8}"/>
    <cellStyle name="Accent1 8" xfId="71" xr:uid="{00000000-0005-0000-0000-000046000000}"/>
    <cellStyle name="Accent1 9" xfId="72" xr:uid="{00000000-0005-0000-0000-000047000000}"/>
    <cellStyle name="Accent2" xfId="4841"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5" xr:uid="{FA96348D-F8A4-4421-AC84-88F50463AE41}"/>
    <cellStyle name="Accent2 36" xfId="106" xr:uid="{00000000-0005-0000-0000-000069000000}"/>
    <cellStyle name="Accent2 36 2" xfId="29526"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6" xr:uid="{5182FF0B-24DC-49CB-A283-39402094CB39}"/>
    <cellStyle name="Accent2 7" xfId="142" xr:uid="{00000000-0005-0000-0000-00008D000000}"/>
    <cellStyle name="Accent2 70" xfId="25154" xr:uid="{DB859796-D498-4E56-A125-E2DCDE4C795B}"/>
    <cellStyle name="Accent2 71" xfId="23714" xr:uid="{83A61C3E-87A1-4F6A-8122-B7A001AB4311}"/>
    <cellStyle name="Accent2 8" xfId="143" xr:uid="{00000000-0005-0000-0000-00008E000000}"/>
    <cellStyle name="Accent2 9" xfId="144" xr:uid="{00000000-0005-0000-0000-00008F000000}"/>
    <cellStyle name="Accent3" xfId="4842"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7" xr:uid="{6D42C670-79BA-41D0-B5D2-B979219AF29B}"/>
    <cellStyle name="Accent3 36" xfId="178" xr:uid="{00000000-0005-0000-0000-0000B1000000}"/>
    <cellStyle name="Accent3 36 2" xfId="29528"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6" xr:uid="{0A5F0C95-5616-4611-AF28-AA89E0277EF1}"/>
    <cellStyle name="Accent3 7" xfId="214" xr:uid="{00000000-0005-0000-0000-0000D5000000}"/>
    <cellStyle name="Accent3 70" xfId="25649" xr:uid="{E970874A-57B0-4CBC-9DC1-7D50C0AD51C2}"/>
    <cellStyle name="Accent3 71" xfId="25595" xr:uid="{AF994C2C-841D-49C9-8721-FA9396879B33}"/>
    <cellStyle name="Accent3 8" xfId="215" xr:uid="{00000000-0005-0000-0000-0000D6000000}"/>
    <cellStyle name="Accent3 9" xfId="216" xr:uid="{00000000-0005-0000-0000-0000D7000000}"/>
    <cellStyle name="Accent4" xfId="4843"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9" xr:uid="{10BFA22F-D3BD-4505-8E2E-CD3D2ED897CC}"/>
    <cellStyle name="Accent4 36" xfId="250" xr:uid="{00000000-0005-0000-0000-0000F9000000}"/>
    <cellStyle name="Accent4 36 2" xfId="29530"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4" xr:uid="{AED4E30E-FB92-4A5C-BCC6-8ADCF62D9D7B}"/>
    <cellStyle name="Accent4 7" xfId="286" xr:uid="{00000000-0005-0000-0000-00001D010000}"/>
    <cellStyle name="Accent4 70" xfId="25088" xr:uid="{F41DF068-013E-42BF-8021-6272E34725E0}"/>
    <cellStyle name="Accent4 71" xfId="23848" xr:uid="{5FC22722-3052-4868-94D9-E5570379FEF4}"/>
    <cellStyle name="Accent4 8" xfId="287" xr:uid="{00000000-0005-0000-0000-00001E010000}"/>
    <cellStyle name="Accent4 9" xfId="288" xr:uid="{00000000-0005-0000-0000-00001F010000}"/>
    <cellStyle name="Accent5" xfId="4844"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31" xr:uid="{458CA2AC-D926-4059-8065-048300B70009}"/>
    <cellStyle name="Accent5 36" xfId="322" xr:uid="{00000000-0005-0000-0000-000041010000}"/>
    <cellStyle name="Accent5 36 2" xfId="29532"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7" xr:uid="{26B30322-1C89-49D0-BA3E-F8658C186C8B}"/>
    <cellStyle name="Accent5 7" xfId="358" xr:uid="{00000000-0005-0000-0000-000065010000}"/>
    <cellStyle name="Accent5 70" xfId="25597" xr:uid="{07476C96-5AF1-4461-9D78-20043F9CC41D}"/>
    <cellStyle name="Accent5 71" xfId="23797" xr:uid="{A5A9B84C-234B-4744-B883-15586B3D4CBC}"/>
    <cellStyle name="Accent5 8" xfId="359" xr:uid="{00000000-0005-0000-0000-000066010000}"/>
    <cellStyle name="Accent5 9" xfId="360" xr:uid="{00000000-0005-0000-0000-000067010000}"/>
    <cellStyle name="Accent6" xfId="4845"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3" xr:uid="{DF070521-6078-474F-9C65-EEACD7551C73}"/>
    <cellStyle name="Accent6 36" xfId="394" xr:uid="{00000000-0005-0000-0000-000089010000}"/>
    <cellStyle name="Accent6 36 2" xfId="29534"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3" xr:uid="{893BB9CA-356D-471A-AD5F-9495431F0EFC}"/>
    <cellStyle name="Accent6 7" xfId="430" xr:uid="{00000000-0005-0000-0000-0000AD010000}"/>
    <cellStyle name="Accent6 70" xfId="23392" xr:uid="{600A1D35-8915-4E4F-910E-44B8813D2433}"/>
    <cellStyle name="Accent6 71" xfId="24895" xr:uid="{E9DA2F1C-4737-4689-9B35-D336BD388C4B}"/>
    <cellStyle name="Accent6 8" xfId="431" xr:uid="{00000000-0005-0000-0000-0000AE010000}"/>
    <cellStyle name="Accent6 9" xfId="432" xr:uid="{00000000-0005-0000-0000-0000AF010000}"/>
    <cellStyle name="AccountClassificationTotalRowBalanceCol" xfId="12256" xr:uid="{EC67F07D-7951-469F-8170-F5D0EECEF2B9}"/>
    <cellStyle name="AccountClassificationTotalRowDescCol" xfId="12257" xr:uid="{58C315D6-5F7A-4069-8511-56264FEB55D8}"/>
    <cellStyle name="AccountClassificationTotalRowJERefCol" xfId="12258" xr:uid="{A31CFF99-3CB9-4CA9-96B5-9617F3D74581}"/>
    <cellStyle name="AccountClassificationTotalRowNameCol" xfId="12259" xr:uid="{D8403E05-910B-416C-84D7-F4A4937E4F4E}"/>
    <cellStyle name="AccountClassificationTotalRowVarPectCol" xfId="12260" xr:uid="{0BE0B926-9C35-48BC-B042-7CE47D3A1851}"/>
    <cellStyle name="AccountClassificationTotalRowWPRefCol" xfId="12261" xr:uid="{925C4963-1C84-45C3-8947-534838B1E866}"/>
    <cellStyle name="AccountDetailRowBalanceCol" xfId="12262" xr:uid="{77667C83-8EFE-4812-AE3D-73F088645F26}"/>
    <cellStyle name="AccountDetailRowDescCol" xfId="12263" xr:uid="{F920A0ED-4A8B-4F46-8AB2-76F71763D448}"/>
    <cellStyle name="AccountDetailRowJERefCol" xfId="12264" xr:uid="{9813E5D3-12DB-437B-B303-16516C42BCDD}"/>
    <cellStyle name="AccountDetailRowNameCol" xfId="12265" xr:uid="{426F538C-E9A9-467F-B29B-D74FFDD9B789}"/>
    <cellStyle name="AccountDetailRowVarPectCol" xfId="12266" xr:uid="{07328471-F285-4FE4-A039-12C2FC29E23C}"/>
    <cellStyle name="AccountDetailRowWPRefCol" xfId="12267" xr:uid="{63D4C9A4-BEB1-48C5-9B6B-F97E2C59B285}"/>
    <cellStyle name="AccountNetIncomeLossRowBalanceCol" xfId="12268" xr:uid="{F448CEAA-67FF-4FC0-96A1-6BAFFBD6B911}"/>
    <cellStyle name="AccountNetIncomeLossRowDescCol" xfId="12269" xr:uid="{907304E3-D678-4386-80CB-0AE41803742B}"/>
    <cellStyle name="AccountNetIncomeLossRowJERefCol" xfId="12270" xr:uid="{4AD86227-B1E6-42D5-AC15-93DF6FB098AE}"/>
    <cellStyle name="AccountNetIncomeLossRowNameCol" xfId="12271" xr:uid="{6F1446DA-34A4-4BAF-AE61-E09B1700FDA3}"/>
    <cellStyle name="AccountNetIncomeLossRowWPRefCol" xfId="12272" xr:uid="{FB9B068C-3426-4FEC-9BCE-53BA3852EC52}"/>
    <cellStyle name="AccountTotalBalanceCol" xfId="12273" xr:uid="{62D17BB6-FF13-418C-9803-BAB02AACCA66}"/>
    <cellStyle name="AccountTotalDescCol" xfId="12274" xr:uid="{8B64D827-7F09-462E-AD85-47BFF4D4EC5F}"/>
    <cellStyle name="AccountTotalDetailRowBalanceCol" xfId="12275" xr:uid="{02C688DB-A53F-4634-A6D5-064A9432EEEE}"/>
    <cellStyle name="AccountTotalDetailRowDescCol" xfId="12276" xr:uid="{25B3EB54-7A7F-4CD3-885F-515F18EF8361}"/>
    <cellStyle name="AccountTotalDetailRowJERefCol" xfId="12277" xr:uid="{A63BC09C-87DF-40A4-B111-508D606087AE}"/>
    <cellStyle name="AccountTotalDetailRowNameCol" xfId="12278" xr:uid="{C8A154E5-6A0E-4713-A17B-7221D101338A}"/>
    <cellStyle name="AccountTotalDetailRowVarPectCol" xfId="12279" xr:uid="{84F7299E-C6F5-432C-BFBD-4CB12B0F8443}"/>
    <cellStyle name="AccountTotalDetailRowWPRefCol" xfId="12280" xr:uid="{3D152E01-12CD-4572-9BD1-848122C74E29}"/>
    <cellStyle name="AccountTotalJERefCol" xfId="12281" xr:uid="{D4B3EF14-29B4-479B-8ECA-AB86C6F7F9A7}"/>
    <cellStyle name="AccountTotalNameCol" xfId="12282" xr:uid="{2F9ADDFE-9B68-4482-9348-CA077A3EDE31}"/>
    <cellStyle name="AccountTotalVarPectCol" xfId="12283" xr:uid="{2442709C-27F3-4DDE-9EB7-6134EC287E40}"/>
    <cellStyle name="AccountTotalWPRefCol" xfId="12284" xr:uid="{7BE54512-808B-4A68-AD7A-9125B24E1990}"/>
    <cellStyle name="AccountTypeTotalRowBalanceCol" xfId="12285" xr:uid="{0BE8223E-693B-4C56-8A0A-753CB23F8E77}"/>
    <cellStyle name="AccountTypeTotalRowDescCol" xfId="12286" xr:uid="{E58BB922-D13D-408F-9FA2-B8C0E81CB2A6}"/>
    <cellStyle name="AccountTypeTotalRowJERefCol" xfId="12287" xr:uid="{E085CEA1-A898-4643-8859-2EC469AADDC6}"/>
    <cellStyle name="AccountTypeTotalRowNameCol" xfId="12288" xr:uid="{08BD6057-9984-4D2B-8FE3-BE14D7F0A517}"/>
    <cellStyle name="AccountTypeTotalRowVarPectCol" xfId="12289" xr:uid="{61376634-7F9D-4EE6-9142-386C6055B159}"/>
    <cellStyle name="AccountTypeTotalRowWPRefCol" xfId="12290" xr:uid="{48EB2C52-C95F-433B-AFFA-186036549B8C}"/>
    <cellStyle name="Bad" xfId="4832" builtinId="27" customBuiltin="1"/>
    <cellStyle name="Bad 2" xfId="433" xr:uid="{00000000-0005-0000-0000-0000B0010000}"/>
    <cellStyle name="Bad 3" xfId="434" xr:uid="{00000000-0005-0000-0000-0000B1010000}"/>
    <cellStyle name="Bad 4" xfId="29535" xr:uid="{9B249360-0FC1-414C-A036-E5117C73CAB0}"/>
    <cellStyle name="BlankRow" xfId="12291" xr:uid="{4121281A-F746-4EB3-9299-49886C4F50B5}"/>
    <cellStyle name="BlankRowJERefCol" xfId="12292" xr:uid="{4A2DC9E7-D0E0-4E32-854E-FD699096895D}"/>
    <cellStyle name="Calculation" xfId="4835" builtinId="22" customBuiltin="1"/>
    <cellStyle name="Calculation 2" xfId="435" xr:uid="{00000000-0005-0000-0000-0000B2010000}"/>
    <cellStyle name="Calculation 3" xfId="436" xr:uid="{00000000-0005-0000-0000-0000B3010000}"/>
    <cellStyle name="Calculation 4" xfId="29536" xr:uid="{69B00D0E-0C4F-4265-91AD-F9F8D74D5F25}"/>
    <cellStyle name="Check Cell" xfId="4837" builtinId="23" customBuiltin="1"/>
    <cellStyle name="Check Cell 2" xfId="437" xr:uid="{00000000-0005-0000-0000-0000B4010000}"/>
    <cellStyle name="Check Cell 3" xfId="438" xr:uid="{00000000-0005-0000-0000-0000B5010000}"/>
    <cellStyle name="Check Cell 4" xfId="29537" xr:uid="{6A797CFE-E1DB-4032-9CC3-6FDB2D608719}"/>
    <cellStyle name="ClassifiedGroupTotalRowBalanceCol" xfId="12293" xr:uid="{405D37AD-B4DC-4C92-8C46-7F7CFC07CBA4}"/>
    <cellStyle name="ClassifiedGroupTotalRowDescCol" xfId="12294" xr:uid="{E7D38FB1-798D-4C3C-98C6-838D02791D3A}"/>
    <cellStyle name="ClassifiedGroupTotalRowJERefCol" xfId="12295" xr:uid="{831BE3B0-EE1F-454E-B64E-69F4567A1AA3}"/>
    <cellStyle name="ClassifiedGroupTotalRowNameCol" xfId="12296" xr:uid="{C1AEECDB-0357-45C3-952A-630997EAB411}"/>
    <cellStyle name="ClassifiedGroupTotalRowVarPectCol" xfId="12297" xr:uid="{583C6BED-AEC6-4E68-A275-BAA2A7E3AB58}"/>
    <cellStyle name="ClassifiedGroupTotalRowWPRefCol" xfId="12298" xr:uid="{8A9A7AF6-C911-4BCB-89E3-3FDD97F991BE}"/>
    <cellStyle name="ColumnHeaderRowBalanceCol" xfId="12299" xr:uid="{7C7DE4C8-68BF-44E9-A73B-4EBD6CB0FF08}"/>
    <cellStyle name="ColumnHeaderRowBlankCol" xfId="12300" xr:uid="{2A222394-1C2F-4DA9-8F07-F4AD3EEF3074}"/>
    <cellStyle name="ColumnHeaderRowCreditCol" xfId="12301" xr:uid="{AB01A784-B20C-4530-8AB5-58C870EDC31F}"/>
    <cellStyle name="ColumnHeaderRowDebitCol" xfId="12302" xr:uid="{AA9769CB-8B00-4E2B-BB96-3990F105FE8C}"/>
    <cellStyle name="ColumnHeaderRowDescCol" xfId="12303" xr:uid="{068AC2D8-5FEE-4BA6-B901-D215B616B4D4}"/>
    <cellStyle name="ColumnHeaderRowJERefCol" xfId="12304" xr:uid="{C7181AB7-6507-49C6-928A-F0C56630FBFB}"/>
    <cellStyle name="ColumnHeaderRowNameCol" xfId="12305" xr:uid="{612FAA23-FF0B-4E7C-B59D-3FEBA5E19728}"/>
    <cellStyle name="ColumnHeaderRowVarPectCol" xfId="12306" xr:uid="{DEF1BC8B-0512-4843-AEB1-DB90351FCA08}"/>
    <cellStyle name="ColumnHeaderRowWPRefCol" xfId="12307" xr:uid="{FFAAEFC1-DBE6-4623-B0DF-2317B9F4CA0B}"/>
    <cellStyle name="ColumnMetadataRowBalanceCol" xfId="12308" xr:uid="{04DA5B81-7D03-4BE8-99F1-0766EFD488E2}"/>
    <cellStyle name="ColumnMetadataRowDescCol" xfId="12309" xr:uid="{13DB7B1F-19D8-432A-9D4E-1D5AF44731B8}"/>
    <cellStyle name="ColumnMetadataRowJERefCol" xfId="12310" xr:uid="{DBDAF870-853B-4BCC-BD1D-94D1E72596D5}"/>
    <cellStyle name="ColumnMetadataRowNameCol" xfId="12311" xr:uid="{40E06265-6E66-4B92-B6E2-3B3B201B073D}"/>
    <cellStyle name="ColumnMetadataRowVarPectCol" xfId="12312" xr:uid="{DDEC6B24-578F-4BEC-8F1B-38AD75381ACE}"/>
    <cellStyle name="ColumnMetadataRowWPRefCol" xfId="12313" xr:uid="{D32F0F8B-6E9B-454B-A50A-8D99187F6004}"/>
    <cellStyle name="Comma" xfId="439" builtinId="3"/>
    <cellStyle name="Comma 10" xfId="440" xr:uid="{00000000-0005-0000-0000-0000B7010000}"/>
    <cellStyle name="Comma 10 10" xfId="12490" xr:uid="{29AC07E5-A76C-458E-B700-07D379D9F7B0}"/>
    <cellStyle name="Comma 10 2" xfId="441" xr:uid="{00000000-0005-0000-0000-0000B8010000}"/>
    <cellStyle name="Comma 10 2 2" xfId="442" xr:uid="{00000000-0005-0000-0000-0000B9010000}"/>
    <cellStyle name="Comma 10 2 2 2" xfId="1562" xr:uid="{00000000-0005-0000-0000-0000BA010000}"/>
    <cellStyle name="Comma 10 2 2 2 2" xfId="23258" xr:uid="{D9BB79B8-EC73-46E8-8D77-2E16F508B2FE}"/>
    <cellStyle name="Comma 10 2 2 2 2 2" xfId="30025" xr:uid="{FA375F1C-7AD8-4A0F-94C9-2A7BC1D294DE}"/>
    <cellStyle name="Comma 10 2 2 2 3" xfId="24673" xr:uid="{DDF8ACA5-2AFD-4024-B635-F103D987427D}"/>
    <cellStyle name="Comma 10 2 2 2 4" xfId="30281" xr:uid="{26452CE3-C9FA-43D4-A556-F39F83D3972B}"/>
    <cellStyle name="Comma 10 2 2 3" xfId="4848" xr:uid="{8F94D0E0-B6FC-4A5A-96EA-540CD9CE6C5C}"/>
    <cellStyle name="Comma 10 2 2 3 2" xfId="28026" xr:uid="{9E108CF4-A88E-4CA8-B7DD-2946C5BBAD03}"/>
    <cellStyle name="Comma 10 2 2 3 3" xfId="27612" xr:uid="{6FAB1EFE-AC33-4147-AFD2-28C5CB62D791}"/>
    <cellStyle name="Comma 10 2 2 3 4" xfId="14136" xr:uid="{F3B714C7-5286-4F66-BD1E-FB5924FE93A4}"/>
    <cellStyle name="Comma 10 2 2 4" xfId="6589" xr:uid="{9056E6DA-5EE2-4826-8E91-19EEF6F31924}"/>
    <cellStyle name="Comma 10 2 2 4 2" xfId="16969" xr:uid="{DDBF2E34-1085-47E9-99D9-AA0D68F84FEB}"/>
    <cellStyle name="Comma 10 2 2 5" xfId="9422" xr:uid="{2BD3351E-5285-4068-A1CD-BDB9D3138106}"/>
    <cellStyle name="Comma 10 2 2 5 2" xfId="19802" xr:uid="{61E9841B-2269-452F-80E0-AFED4E54080A}"/>
    <cellStyle name="Comma 10 2 2 6" xfId="24958" xr:uid="{A4F3E5C3-5BA0-421D-8D09-1134D3D9172B}"/>
    <cellStyle name="Comma 10 2 2 7" xfId="13511" xr:uid="{CB1A8726-DCC6-4716-969A-F4081216B883}"/>
    <cellStyle name="Comma 10 2 3" xfId="1563" xr:uid="{00000000-0005-0000-0000-0000BB010000}"/>
    <cellStyle name="Comma 10 2 3 2" xfId="2663" xr:uid="{00000000-0005-0000-0000-000078010000}"/>
    <cellStyle name="Comma 10 2 3 2 2" xfId="7787" xr:uid="{5F8EE468-F6B4-4573-B120-25BA1906DD12}"/>
    <cellStyle name="Comma 10 2 3 2 2 2" xfId="18167" xr:uid="{176782E4-13ED-4672-B2E4-6297AD0C978B}"/>
    <cellStyle name="Comma 10 2 3 2 3" xfId="10620" xr:uid="{6A628ADD-E2E1-48FC-8D32-29571B3F0AC6}"/>
    <cellStyle name="Comma 10 2 3 2 3 2" xfId="21000" xr:uid="{DBA562FE-9BE1-4D99-B41E-9E56D35F26A8}"/>
    <cellStyle name="Comma 10 2 3 2 4" xfId="28610" xr:uid="{35C489F4-22D2-407C-B5BF-F853F4F9D7A3}"/>
    <cellStyle name="Comma 10 2 3 2 5" xfId="27160" xr:uid="{74CEBE64-5A54-4301-858A-2278E6D1CEE1}"/>
    <cellStyle name="Comma 10 2 3 2 6" xfId="15334" xr:uid="{59487802-4CB8-4A0C-A2FD-39623F13DE8E}"/>
    <cellStyle name="Comma 10 2 3 3" xfId="3641" xr:uid="{00000000-0005-0000-0000-0000BB010000}"/>
    <cellStyle name="Comma 10 2 3 4" xfId="5535" xr:uid="{2DF98002-6EFF-4F85-A30A-8AA3CBFF876D}"/>
    <cellStyle name="Comma 10 2 3 4 2" xfId="29980" xr:uid="{D6638001-10CE-4C31-A1DB-E0330195C80A}"/>
    <cellStyle name="Comma 10 2 3 5" xfId="23967" xr:uid="{872D2A5E-2248-4DBD-A4C8-F9817C8FE0C9}"/>
    <cellStyle name="Comma 10 2 3 5 2" xfId="30071" xr:uid="{A9EB63FE-9321-4347-8C59-792133C4C2E5}"/>
    <cellStyle name="Comma 10 2 3 6" xfId="25642" xr:uid="{37760901-87CF-4549-AF24-A8609D3586EE}"/>
    <cellStyle name="Comma 10 2 3 7" xfId="13064" xr:uid="{11E1BAD5-65BA-4AE4-965F-56AA1D657AA5}"/>
    <cellStyle name="Comma 10 2 4" xfId="1561" xr:uid="{00000000-0005-0000-0000-0000BC010000}"/>
    <cellStyle name="Comma 10 2 4 2" xfId="4675" xr:uid="{76A30654-04E8-43F3-9BD2-5D61777624B5}"/>
    <cellStyle name="Comma 10 2 4 3" xfId="24996" xr:uid="{BCC21D0C-6164-4C0C-BE9D-19D73485CCD6}"/>
    <cellStyle name="Comma 10 2 4 3 2" xfId="30124" xr:uid="{3C07898D-BB5F-4D54-8098-2AA5A3E9DB0B}"/>
    <cellStyle name="Comma 10 2 4 4" xfId="24681" xr:uid="{6007113F-9924-4D05-9E4A-D2077AEB8462}"/>
    <cellStyle name="Comma 10 2 4 5" xfId="26743" xr:uid="{77397AB9-4755-44AE-AC6E-A2E289AE7EE8}"/>
    <cellStyle name="Comma 10 2 5" xfId="3811" xr:uid="{A83598A2-AE72-45A7-B601-A55EF01150CB}"/>
    <cellStyle name="Comma 10 2 5 2" xfId="25194" xr:uid="{207B08F6-F371-4D90-A4E2-3906049E9723}"/>
    <cellStyle name="Comma 10 2 5 2 2" xfId="29906" xr:uid="{B182F1B1-3F87-4CBE-9307-E0C3064459AE}"/>
    <cellStyle name="Comma 10 2 5 3" xfId="25744" xr:uid="{0CB8BCFE-C336-455F-AB49-F3C7B1BC9CDD}"/>
    <cellStyle name="Comma 10 2 5 4" xfId="26726" xr:uid="{E10D12CB-9FC4-43DF-9506-CC26BADEEDA0}"/>
    <cellStyle name="Comma 10 2 6" xfId="22924" xr:uid="{6875A78D-7D82-435D-82A6-AE342806D5C5}"/>
    <cellStyle name="Comma 10 2 6 2" xfId="29948" xr:uid="{DFDE8735-1E50-4310-9949-199D1D447AB2}"/>
    <cellStyle name="Comma 10 2 7" xfId="28538" xr:uid="{DC7A2659-338F-45FE-B0DB-9DBBE3311BDD}"/>
    <cellStyle name="Comma 10 2 7 2" xfId="29895" xr:uid="{EC187F8C-C86E-48A6-9AA4-5005B17A156F}"/>
    <cellStyle name="Comma 10 2 8" xfId="30069" xr:uid="{F9F67E67-75AE-4311-8250-372C9CC5EFAA}"/>
    <cellStyle name="Comma 10 2 9" xfId="30216" xr:uid="{EED3D7C0-FE30-485E-AFC7-BF78605C2177}"/>
    <cellStyle name="Comma 10 3" xfId="443" xr:uid="{00000000-0005-0000-0000-0000BD010000}"/>
    <cellStyle name="Comma 10 3 2" xfId="1564" xr:uid="{00000000-0005-0000-0000-0000BE010000}"/>
    <cellStyle name="Comma 10 3 2 2" xfId="2662" xr:uid="{00000000-0005-0000-0000-000079010000}"/>
    <cellStyle name="Comma 10 3 2 2 2" xfId="26600" xr:uid="{8D6FBC3B-4AE4-4914-9366-0DFD7FECC23F}"/>
    <cellStyle name="Comma 10 3 2 2 3" xfId="26096" xr:uid="{327F2421-D34A-4BF2-8FAF-3BEE61ADE475}"/>
    <cellStyle name="Comma 10 3 2 3" xfId="2056" xr:uid="{00000000-0005-0000-0000-0000BE010000}"/>
    <cellStyle name="Comma 10 3 2 4" xfId="23889" xr:uid="{AAA2E3EE-1A35-4B5E-8F80-42D80BD38AF3}"/>
    <cellStyle name="Comma 10 3 3" xfId="3710" xr:uid="{00000000-0005-0000-0000-0000BD010000}"/>
    <cellStyle name="Comma 10 3 3 2" xfId="8613" xr:uid="{2A78C46A-E05F-438C-BA51-FBD76F44447E}"/>
    <cellStyle name="Comma 10 3 3 2 2" xfId="18993" xr:uid="{010FD0E0-CF72-419E-8CF2-96500DC79564}"/>
    <cellStyle name="Comma 10 3 3 3" xfId="11446" xr:uid="{63F0ACF9-6F3B-49A6-8C71-695A93F58B79}"/>
    <cellStyle name="Comma 10 3 3 3 2" xfId="21826" xr:uid="{784215F6-1FD0-4B50-B45F-E127D94D8A4B}"/>
    <cellStyle name="Comma 10 3 3 4" xfId="28012" xr:uid="{2DC75837-1CB4-452D-A541-699F806A60CA}"/>
    <cellStyle name="Comma 10 3 3 5" xfId="26711" xr:uid="{7ED3D6DD-A23C-49A8-BB74-986A9754EE9B}"/>
    <cellStyle name="Comma 10 3 3 6" xfId="16160" xr:uid="{36F2651F-7F03-4479-9E44-CF2351D6B5C7}"/>
    <cellStyle name="Comma 10 3 4" xfId="3807" xr:uid="{EAE0A1BB-398B-4B0E-97CB-A6B937EE0D30}"/>
    <cellStyle name="Comma 10 3 4 2" xfId="8643" xr:uid="{B77E9739-E0B6-4CB6-A8E3-908742B6A29E}"/>
    <cellStyle name="Comma 10 3 4 2 2" xfId="19023" xr:uid="{EA9B0E7B-2A96-4591-9E19-673D8E0FF155}"/>
    <cellStyle name="Comma 10 3 4 3" xfId="11476" xr:uid="{DD48EF75-8BB0-47E0-81A4-D35EC994FA2A}"/>
    <cellStyle name="Comma 10 3 4 3 2" xfId="21856" xr:uid="{B57C2FB3-340F-48A5-A7EF-B586DF7D40CF}"/>
    <cellStyle name="Comma 10 3 4 4" xfId="27990" xr:uid="{7D85175A-C573-446F-ACB0-0B75D0B2CB77}"/>
    <cellStyle name="Comma 10 3 4 5" xfId="26389" xr:uid="{A7958FA7-1C14-404A-B491-C01E167E4EDE}"/>
    <cellStyle name="Comma 10 3 4 6" xfId="16190" xr:uid="{A48C4FDC-3452-4999-A7E2-7585CD56C584}"/>
    <cellStyle name="Comma 10 3 5" xfId="4849" xr:uid="{A822458D-70D9-4B97-A615-B507EC140565}"/>
    <cellStyle name="Comma 10 3 5 2" xfId="14137" xr:uid="{73B791F9-DE67-4FFD-8BCD-ED93836E3ECA}"/>
    <cellStyle name="Comma 10 3 6" xfId="6590" xr:uid="{71392CA9-A50D-40B1-8EC0-5A00FF867C5C}"/>
    <cellStyle name="Comma 10 3 6 2" xfId="16970" xr:uid="{A3E61896-2352-411B-81DF-5E56AC748DE4}"/>
    <cellStyle name="Comma 10 3 7" xfId="9423" xr:uid="{9C025ABB-A3AD-49D7-B597-25A86D774F06}"/>
    <cellStyle name="Comma 10 3 7 2" xfId="19803" xr:uid="{45E9E58C-247D-4648-BCB9-2A448034C4E9}"/>
    <cellStyle name="Comma 10 3 8" xfId="26872" xr:uid="{DF5E808F-39A0-46CE-975A-3BD5A16775B2}"/>
    <cellStyle name="Comma 10 4" xfId="1565" xr:uid="{00000000-0005-0000-0000-0000BF010000}"/>
    <cellStyle name="Comma 10 4 2" xfId="3009" xr:uid="{00000000-0005-0000-0000-00007A010000}"/>
    <cellStyle name="Comma 10 4 2 2" xfId="8089" xr:uid="{6B599C17-3F10-44EB-ACDF-6655006877DD}"/>
    <cellStyle name="Comma 10 4 2 2 2" xfId="28776" xr:uid="{18929A66-F6E2-4BC7-8032-BFA3FDC7C4E0}"/>
    <cellStyle name="Comma 10 4 2 2 3" xfId="27978" xr:uid="{EFE62449-1A0E-4B62-8359-06E7D869BAD5}"/>
    <cellStyle name="Comma 10 4 2 2 4" xfId="18469" xr:uid="{25D77FA2-7C98-4FC0-A588-80542FA22A9C}"/>
    <cellStyle name="Comma 10 4 2 3" xfId="10922" xr:uid="{3FF7D1D0-68C6-450B-8AEA-D136634A982B}"/>
    <cellStyle name="Comma 10 4 2 3 2" xfId="21302" xr:uid="{74F8CD23-12B9-4D52-9DD7-0188402C3A27}"/>
    <cellStyle name="Comma 10 4 2 4" xfId="23349" xr:uid="{0701B39B-16D4-4865-88AD-B061959F9C6E}"/>
    <cellStyle name="Comma 10 4 2 5" xfId="15636" xr:uid="{E41A848A-7876-4931-BCCB-1E3B4ADCEA7E}"/>
    <cellStyle name="Comma 10 4 3" xfId="3562" xr:uid="{00000000-0005-0000-0000-0000BF010000}"/>
    <cellStyle name="Comma 10 4 4" xfId="4391" xr:uid="{7996377A-9016-4AC6-B865-6A69B11B069A}"/>
    <cellStyle name="Comma 10 4 4 2" xfId="9163" xr:uid="{6CB582D5-41FF-4944-A280-0C4FE6078316}"/>
    <cellStyle name="Comma 10 4 4 2 2" xfId="19543" xr:uid="{27CC5494-322D-423C-BB28-E0A60C6110ED}"/>
    <cellStyle name="Comma 10 4 4 3" xfId="11996" xr:uid="{09335994-8589-48E4-BFD4-26A50FF5AEA9}"/>
    <cellStyle name="Comma 10 4 4 3 2" xfId="22376" xr:uid="{4E488CB3-397C-426B-8403-440D39849D2B}"/>
    <cellStyle name="Comma 10 4 4 4" xfId="16710" xr:uid="{EA03CA2C-0671-499D-9482-3DE8228D1A5C}"/>
    <cellStyle name="Comma 10 4 5" xfId="5536" xr:uid="{1D2D61F4-F238-4E1D-88C6-0799050F2FDF}"/>
    <cellStyle name="Comma 10 4 5 2" xfId="30163" xr:uid="{1FC04132-39D5-4D71-A5B0-C4838FADE626}"/>
    <cellStyle name="Comma 10 4 6" xfId="23440" xr:uid="{1F415D9E-3343-4E70-B374-BF0C57340358}"/>
    <cellStyle name="Comma 10 4 7" xfId="13512" xr:uid="{93743F2C-543A-4E49-962E-7031F9E8B708}"/>
    <cellStyle name="Comma 10 5" xfId="1560" xr:uid="{00000000-0005-0000-0000-0000C0010000}"/>
    <cellStyle name="Comma 10 5 2" xfId="2653" xr:uid="{00000000-0005-0000-0000-00007B010000}"/>
    <cellStyle name="Comma 10 5 2 2" xfId="7778" xr:uid="{3DDBC7BE-A901-4188-A6BB-7D69CE764B7E}"/>
    <cellStyle name="Comma 10 5 2 2 2" xfId="18158" xr:uid="{3ED9956B-D763-45F4-8810-5149FC019E26}"/>
    <cellStyle name="Comma 10 5 2 3" xfId="10611" xr:uid="{26CDDB55-8FA7-4025-BB81-275208F0AB70}"/>
    <cellStyle name="Comma 10 5 2 3 2" xfId="20991" xr:uid="{1E7F1251-82E9-4624-8768-E0561EC9A6DC}"/>
    <cellStyle name="Comma 10 5 2 4" xfId="26074" xr:uid="{6532C758-C682-48C3-80A1-115C9B6CE70D}"/>
    <cellStyle name="Comma 10 5 2 5" xfId="26036" xr:uid="{851D1FE5-262F-47BB-AD32-6D95B7DB359F}"/>
    <cellStyle name="Comma 10 5 2 6" xfId="15325" xr:uid="{FCD4C034-6120-4AD9-ACB0-C0939607C6F5}"/>
    <cellStyle name="Comma 10 5 3" xfId="3591" xr:uid="{00000000-0005-0000-0000-0000C0010000}"/>
    <cellStyle name="Comma 10 5 4" xfId="5534" xr:uid="{3F9AD292-BB2B-40F9-81C9-C3017D3D9A9A}"/>
    <cellStyle name="Comma 10 5 4 2" xfId="30121" xr:uid="{4F70A2AB-9D7A-4E03-AF58-62E252EEBABB}"/>
    <cellStyle name="Comma 10 5 5" xfId="23510" xr:uid="{F5391CC6-5F30-4E97-9853-0F67AF53CB19}"/>
    <cellStyle name="Comma 10 5 6" xfId="13055" xr:uid="{1711E3F4-ACE1-48FA-B5A8-3DBD139B8694}"/>
    <cellStyle name="Comma 10 6" xfId="2258" xr:uid="{00000000-0005-0000-0000-000075010000}"/>
    <cellStyle name="Comma 10 6 2" xfId="7385" xr:uid="{15130742-8A67-4621-8C40-0F3D4163C394}"/>
    <cellStyle name="Comma 10 6 2 2" xfId="26687" xr:uid="{79E726A4-9DA0-4DB0-B8E9-51BBC7EE02CC}"/>
    <cellStyle name="Comma 10 6 2 3" xfId="27825" xr:uid="{6FB07B07-2819-4851-9DF7-BD0DC7F568D1}"/>
    <cellStyle name="Comma 10 6 2 4" xfId="17765" xr:uid="{BB4334E2-C445-431B-8CDB-15B1B429D13F}"/>
    <cellStyle name="Comma 10 6 3" xfId="10218" xr:uid="{409859B8-66F3-45FA-80D9-F842B6ED1FC4}"/>
    <cellStyle name="Comma 10 6 3 2" xfId="20598" xr:uid="{CA42B181-1791-4D7F-BF63-367EF25451CB}"/>
    <cellStyle name="Comma 10 6 4" xfId="24019" xr:uid="{0581061B-923C-4723-8DC5-744752E54B59}"/>
    <cellStyle name="Comma 10 6 5" xfId="14932" xr:uid="{21E70192-B4A2-4CBD-B626-EC891C8A1715}"/>
    <cellStyle name="Comma 10 7" xfId="24295" xr:uid="{344DCAF3-DA96-45E3-9F88-C607554C61E4}"/>
    <cellStyle name="Comma 10 7 2" xfId="27814" xr:uid="{1067AA7F-8FEA-4C90-923A-936739E57666}"/>
    <cellStyle name="Comma 10 8" xfId="28005" xr:uid="{E7712595-FDE1-4527-8110-F08C9BD2B4D5}"/>
    <cellStyle name="Comma 10 9" xfId="26457" xr:uid="{34BF2C5E-A5C7-4A84-AB73-BFB00FFDC39F}"/>
    <cellStyle name="Comma 11" xfId="444" xr:uid="{00000000-0005-0000-0000-0000C1010000}"/>
    <cellStyle name="Comma 11 10" xfId="13063" xr:uid="{8E0C7017-8DEA-40FD-985D-56991F403A78}"/>
    <cellStyle name="Comma 11 2" xfId="1567" xr:uid="{00000000-0005-0000-0000-0000C2010000}"/>
    <cellStyle name="Comma 11 2 2" xfId="3010" xr:uid="{00000000-0005-0000-0000-00007D010000}"/>
    <cellStyle name="Comma 11 2 2 2" xfId="8090" xr:uid="{5E38C6F0-92BC-4BB2-8A3E-EF11FEAFB91D}"/>
    <cellStyle name="Comma 11 2 2 2 2" xfId="18470" xr:uid="{FE827749-6B5E-41A8-9133-64CB55FDF8C5}"/>
    <cellStyle name="Comma 11 2 2 3" xfId="10923" xr:uid="{9525CB18-BD40-411F-A372-A378C8366764}"/>
    <cellStyle name="Comma 11 2 2 3 2" xfId="21303" xr:uid="{F204682C-033C-4E07-8752-E0A3AEBC9438}"/>
    <cellStyle name="Comma 11 2 2 4" xfId="23813" xr:uid="{6A8EB896-DA9B-42D5-92D6-733F06FBEA09}"/>
    <cellStyle name="Comma 11 2 2 5" xfId="27885" xr:uid="{B1387E97-B750-4462-BB42-E88FFD7D461E}"/>
    <cellStyle name="Comma 11 2 2 6" xfId="15637" xr:uid="{E2FD8341-04B0-40C5-A8B9-54B1723D69C1}"/>
    <cellStyle name="Comma 11 2 3" xfId="3634" xr:uid="{00000000-0005-0000-0000-0000C2010000}"/>
    <cellStyle name="Comma 11 2 3 2" xfId="27537" xr:uid="{9BF0D002-54D6-4672-940C-F391892866FB}"/>
    <cellStyle name="Comma 11 2 3 3" xfId="26789" xr:uid="{A21B1388-6E7D-4F54-BDEC-8951FFA22EF9}"/>
    <cellStyle name="Comma 11 2 4" xfId="5537" xr:uid="{85BC976A-D6DF-449B-8068-72E3AB781163}"/>
    <cellStyle name="Comma 11 2 4 2" xfId="30004" xr:uid="{62583F5B-C14B-40F2-AAC7-EF6B2F36938A}"/>
    <cellStyle name="Comma 11 2 5" xfId="22658" xr:uid="{DF261529-5CBF-48FF-B11A-E4B73E8CE065}"/>
    <cellStyle name="Comma 11 2 5 2" xfId="27551" xr:uid="{19A3B2B9-8360-426E-920F-84472F4A25EE}"/>
    <cellStyle name="Comma 11 2 6" xfId="26591" xr:uid="{3DB6BBCB-30C4-456B-A531-F9B69381489D}"/>
    <cellStyle name="Comma 11 2 7" xfId="13513" xr:uid="{DFAE0D5A-3432-47A7-A8E2-7C9EDC2E8E11}"/>
    <cellStyle name="Comma 11 3" xfId="1568" xr:uid="{00000000-0005-0000-0000-0000C3010000}"/>
    <cellStyle name="Comma 11 3 2" xfId="2661" xr:uid="{00000000-0005-0000-0000-00007C010000}"/>
    <cellStyle name="Comma 11 3 2 2" xfId="7786" xr:uid="{B14EA288-52E0-47EB-9BA0-0823C2B83AE7}"/>
    <cellStyle name="Comma 11 3 2 2 2" xfId="18166" xr:uid="{0560D247-EB78-4545-81F1-4CAC6A923728}"/>
    <cellStyle name="Comma 11 3 2 3" xfId="10619" xr:uid="{8C430740-2DF2-47C0-ACE1-E0BCCC781C97}"/>
    <cellStyle name="Comma 11 3 2 3 2" xfId="20999" xr:uid="{391174CF-9412-4F8D-83DA-B4AE726E63DD}"/>
    <cellStyle name="Comma 11 3 2 4" xfId="15333" xr:uid="{C7E7A183-9066-4D98-BC1A-4F0C03C272B4}"/>
    <cellStyle name="Comma 11 3 3" xfId="3625" xr:uid="{00000000-0005-0000-0000-0000C3010000}"/>
    <cellStyle name="Comma 11 3 4" xfId="24017" xr:uid="{14E1B29C-AAA1-44F5-AD07-8E4FC697E6A9}"/>
    <cellStyle name="Comma 11 3 4 2" xfId="29979" xr:uid="{D2FF493C-06D9-4193-9F91-C9107C8D41BA}"/>
    <cellStyle name="Comma 11 3 5" xfId="30123" xr:uid="{3B187043-EA93-46D9-91FE-D43E6C9F4F42}"/>
    <cellStyle name="Comma 11 3 6" xfId="30241" xr:uid="{177F71A0-4685-49C9-80FB-3436A63C1614}"/>
    <cellStyle name="Comma 11 4" xfId="1566" xr:uid="{00000000-0005-0000-0000-0000C4010000}"/>
    <cellStyle name="Comma 11 4 2" xfId="25795" xr:uid="{0F4819E6-8400-47DB-97BA-E4B83CC33474}"/>
    <cellStyle name="Comma 11 4 3" xfId="25826" xr:uid="{DEC04C91-C7FF-4AB4-AC6A-E34F8FE67955}"/>
    <cellStyle name="Comma 11 5" xfId="3857" xr:uid="{7F0E7226-DA02-4733-8EBF-63018CAE8A3E}"/>
    <cellStyle name="Comma 11 5 2" xfId="8689" xr:uid="{5F3D2954-FB8A-439F-9177-4FD20B4F2B0A}"/>
    <cellStyle name="Comma 11 5 2 2" xfId="28962" xr:uid="{4C38B510-AA8A-403A-83C8-5A36A526E45D}"/>
    <cellStyle name="Comma 11 5 2 3" xfId="26833" xr:uid="{3CC9D476-57D4-4B26-AE9D-90E08D6CEE9E}"/>
    <cellStyle name="Comma 11 5 2 4" xfId="19069" xr:uid="{0AAF2DCD-0D2C-4985-8C76-77EFB4A5B856}"/>
    <cellStyle name="Comma 11 5 3" xfId="11522" xr:uid="{47F4E3D0-6E38-41CF-9E68-F0F1D2FCCC94}"/>
    <cellStyle name="Comma 11 5 3 2" xfId="21902" xr:uid="{2979FF1F-472C-4BE4-BBDB-9AE771FC2A2C}"/>
    <cellStyle name="Comma 11 5 4" xfId="25594" xr:uid="{8D907E07-DE0C-4EDB-A0C7-6D9DE2F35032}"/>
    <cellStyle name="Comma 11 5 5" xfId="16236" xr:uid="{58573940-3348-4AB4-BBD9-129E6CEA779B}"/>
    <cellStyle name="Comma 11 6" xfId="4850" xr:uid="{30A0D8D8-AAC0-467E-9791-B3C455F4C1A4}"/>
    <cellStyle name="Comma 11 6 2" xfId="28273" xr:uid="{6562DD5C-4E16-4F3E-BC7C-66B493874D9A}"/>
    <cellStyle name="Comma 11 6 3" xfId="26929" xr:uid="{D855C903-C8BC-4A7D-9D46-3B23F79B168B}"/>
    <cellStyle name="Comma 11 6 4" xfId="14138" xr:uid="{5A976A06-FC93-43F2-8D4C-DDDEFB6F70A4}"/>
    <cellStyle name="Comma 11 7" xfId="6591" xr:uid="{08C67E51-6066-46B6-8950-5C0747CE3E4F}"/>
    <cellStyle name="Comma 11 7 2" xfId="28655" xr:uid="{307FD33C-7482-47CA-958F-8E6E6255834A}"/>
    <cellStyle name="Comma 11 7 3" xfId="26370" xr:uid="{22241822-40B9-4C5F-BAA0-B4CEAA37248D}"/>
    <cellStyle name="Comma 11 7 4" xfId="16971" xr:uid="{6B3ADD83-2086-461E-A828-27C6E15B426B}"/>
    <cellStyle name="Comma 11 8" xfId="9424" xr:uid="{5BB44A02-409B-4D3D-9AF2-34F5E446AAE9}"/>
    <cellStyle name="Comma 11 8 2" xfId="19804" xr:uid="{8B3A9F9A-552F-4463-A641-D012EF865F7E}"/>
    <cellStyle name="Comma 11 9" xfId="23916" xr:uid="{E9B33E42-C20B-4F5B-97F7-8246E8E5F0E7}"/>
    <cellStyle name="Comma 12" xfId="1569" xr:uid="{00000000-0005-0000-0000-0000C5010000}"/>
    <cellStyle name="Comma 12 2" xfId="2428" xr:uid="{00000000-0005-0000-0000-00007E010000}"/>
    <cellStyle name="Comma 12 2 2" xfId="28671" xr:uid="{A187235A-CD3F-4FC3-B4B6-59B86A837F9C}"/>
    <cellStyle name="Comma 12 2 2 2" xfId="30018" xr:uid="{8FC9E624-1476-4A7B-91A5-14B319040C3C}"/>
    <cellStyle name="Comma 12 2 3" xfId="29844" xr:uid="{2718DE65-6EE5-42BD-BEDC-8D41AEB7B87D}"/>
    <cellStyle name="Comma 12 3" xfId="3626" xr:uid="{00000000-0005-0000-0000-0000C5010000}"/>
    <cellStyle name="Comma 12 3 2" xfId="30019" xr:uid="{FC71B004-536F-47D6-A337-9FA43CA07224}"/>
    <cellStyle name="Comma 12 3 3" xfId="29853" xr:uid="{184434D7-C916-4858-BDB0-674C72BAD1D2}"/>
    <cellStyle name="Comma 12 4" xfId="5538" xr:uid="{A85C391B-D1F2-4216-9318-8F0D3F6AE60C}"/>
    <cellStyle name="Comma 12 4 2" xfId="29973" xr:uid="{016DAB60-F29F-4FE1-A794-FDE0FBB5EBA5}"/>
    <cellStyle name="Comma 12 5" xfId="23517" xr:uid="{07A7475F-DD9D-4311-BCE3-CDFB929ABEC3}"/>
    <cellStyle name="Comma 12 5 2" xfId="24228" xr:uid="{737B9A1D-50A5-487A-9FD7-3644CCD4DE49}"/>
    <cellStyle name="Comma 12 6" xfId="30070" xr:uid="{C1E27EAD-930D-44BF-A432-5B78A970A888}"/>
    <cellStyle name="Comma 12 7" xfId="30217" xr:uid="{799A163E-E8FA-4373-8D55-C2669601AEB6}"/>
    <cellStyle name="Comma 12 8" xfId="29845" xr:uid="{12989C35-A613-4BD3-900D-2AD0D1681233}"/>
    <cellStyle name="Comma 13" xfId="4847" xr:uid="{98FB8AE3-8A74-4A04-B00D-D9411690E8F8}"/>
    <cellStyle name="Comma 13 2" xfId="23769" xr:uid="{8137F544-9DC0-4A1D-A743-03E39E4E26C7}"/>
    <cellStyle name="Comma 13 3" xfId="27979" xr:uid="{280881A1-6BC3-460B-B930-F17C044447D4}"/>
    <cellStyle name="Comma 13 3 2" xfId="30220" xr:uid="{32ABC748-A5BA-404D-963C-B297B07A753B}"/>
    <cellStyle name="Comma 13 4" xfId="14135" xr:uid="{B486616B-8B26-4DA6-8C53-0516518C48A3}"/>
    <cellStyle name="Comma 13 5" xfId="29615" xr:uid="{5F5E5C0E-EC18-477B-9B73-CD31B3561E61}"/>
    <cellStyle name="Comma 13 6" xfId="29590" xr:uid="{FB89F83E-E37C-4FFC-BA48-F04575448186}"/>
    <cellStyle name="Comma 14" xfId="6588" xr:uid="{086E4094-57BE-4FBE-A027-7BD0633E7C70}"/>
    <cellStyle name="Comma 14 2" xfId="16968" xr:uid="{1C47D78A-B6CF-4848-A816-4A799DD1F553}"/>
    <cellStyle name="Comma 15" xfId="9421" xr:uid="{A0D8A4E9-D361-4A4A-8D75-1F990BAA461F}"/>
    <cellStyle name="Comma 15 2" xfId="19801" xr:uid="{FFB068F8-D4CF-4B27-B252-D1FE2AC55C26}"/>
    <cellStyle name="Comma 16" xfId="12385" xr:uid="{2F36D744-A70D-4E96-A859-6F4569883850}"/>
    <cellStyle name="Comma 2" xfId="445" xr:uid="{00000000-0005-0000-0000-0000C6010000}"/>
    <cellStyle name="Comma 2 2" xfId="446" xr:uid="{00000000-0005-0000-0000-0000C7010000}"/>
    <cellStyle name="Comma 2 3" xfId="29539" xr:uid="{FF87FE22-8FF9-4CB2-B9A9-1CAE3BE8240A}"/>
    <cellStyle name="Comma 2 3 2" xfId="29627" xr:uid="{2FF2A936-0949-457A-B26A-E82D4DE91561}"/>
    <cellStyle name="Comma 2 3 3" xfId="29593" xr:uid="{9BDAE080-E5CC-418E-BF83-F4564BF71D85}"/>
    <cellStyle name="Comma 2 4" xfId="29540" xr:uid="{0E168A37-ECE3-4667-8B8B-59B3E1739C89}"/>
    <cellStyle name="Comma 2 5" xfId="29538" xr:uid="{9ACEBE5C-D959-4C0C-A362-D59AF18CF135}"/>
    <cellStyle name="Comma 3" xfId="447" xr:uid="{00000000-0005-0000-0000-0000C8010000}"/>
    <cellStyle name="Comma 3 2" xfId="448" xr:uid="{00000000-0005-0000-0000-0000C9010000}"/>
    <cellStyle name="Comma 3 2 2" xfId="29543" xr:uid="{84078DAF-EDCF-43CD-A64E-B780C7ADCCE3}"/>
    <cellStyle name="Comma 3 2 3" xfId="29542" xr:uid="{DDC3946A-F2B9-4B36-9F41-40F85EB2CBF2}"/>
    <cellStyle name="Comma 3 3" xfId="29544" xr:uid="{726CE31D-47C0-45A4-96F4-B60799298749}"/>
    <cellStyle name="Comma 3 3 2" xfId="29545" xr:uid="{C47C2F46-260D-4FDA-B2BD-10D1DFFEADB2}"/>
    <cellStyle name="Comma 3 3 3" xfId="29628" xr:uid="{CD3D052F-7127-4DEA-B161-3FEA76DFD702}"/>
    <cellStyle name="Comma 3 3 4" xfId="29594" xr:uid="{FABAFEB5-8032-4CAD-A462-DBE7A0863887}"/>
    <cellStyle name="Comma 3 4" xfId="29546" xr:uid="{EDEB217D-7C84-460A-8AD2-0CDC04253245}"/>
    <cellStyle name="Comma 3 5" xfId="29541" xr:uid="{B6A315B6-6A4C-4F1E-B295-BC34428F9581}"/>
    <cellStyle name="Comma 4" xfId="449" xr:uid="{00000000-0005-0000-0000-0000CA010000}"/>
    <cellStyle name="Comma 4 2" xfId="450" xr:uid="{00000000-0005-0000-0000-0000CB010000}"/>
    <cellStyle name="Comma 4 2 2" xfId="1571" xr:uid="{00000000-0005-0000-0000-0000CC010000}"/>
    <cellStyle name="Comma 4 2 2 2" xfId="25800" xr:uid="{6C936276-319B-4783-84AB-EFE78A676F45}"/>
    <cellStyle name="Comma 4 2 2 2 2" xfId="30058" xr:uid="{D07C0F92-D30F-4DBB-BC2B-8E1A78FFE91B}"/>
    <cellStyle name="Comma 4 2 2 3" xfId="23122" xr:uid="{ECBCBC83-1276-4F3B-90ED-6EB6B5E3BEE4}"/>
    <cellStyle name="Comma 4 2 3" xfId="1572" xr:uid="{00000000-0005-0000-0000-0000CD010000}"/>
    <cellStyle name="Comma 4 2 4" xfId="1570" xr:uid="{00000000-0005-0000-0000-0000CE010000}"/>
    <cellStyle name="Comma 4 3" xfId="451" xr:uid="{00000000-0005-0000-0000-0000CF010000}"/>
    <cellStyle name="Comma 4 4" xfId="452" xr:uid="{00000000-0005-0000-0000-0000D0010000}"/>
    <cellStyle name="Comma 4 4 10" xfId="28449" xr:uid="{A9DC37B0-8CFA-4310-AAFD-BCD159EA3EDD}"/>
    <cellStyle name="Comma 4 4 11" xfId="14139" xr:uid="{8250F2EE-509B-49F5-8FBF-2BD44CC06118}"/>
    <cellStyle name="Comma 4 4 2" xfId="453" xr:uid="{00000000-0005-0000-0000-0000D1010000}"/>
    <cellStyle name="Comma 4 4 2 2" xfId="1575" xr:uid="{00000000-0005-0000-0000-0000D2010000}"/>
    <cellStyle name="Comma 4 4 2 3" xfId="1576" xr:uid="{00000000-0005-0000-0000-0000D3010000}"/>
    <cellStyle name="Comma 4 4 2 4" xfId="1574" xr:uid="{00000000-0005-0000-0000-0000D4010000}"/>
    <cellStyle name="Comma 4 4 2 5" xfId="6593" xr:uid="{610E9AB1-2307-4BBC-B77C-E877CA94AFC9}"/>
    <cellStyle name="Comma 4 4 2 5 2" xfId="16973" xr:uid="{0E82BE4F-B5B2-4C44-AEA4-E1860FE489C9}"/>
    <cellStyle name="Comma 4 4 2 6" xfId="9426" xr:uid="{C6BC21DB-B339-438F-A7ED-DD39A84D8F20}"/>
    <cellStyle name="Comma 4 4 2 6 2" xfId="19806" xr:uid="{860E20B2-5597-4943-816C-C02653EE99BB}"/>
    <cellStyle name="Comma 4 4 2 7" xfId="23638" xr:uid="{F00C2900-4C79-4650-9AB3-12D69A75DB55}"/>
    <cellStyle name="Comma 4 4 2 8" xfId="14140" xr:uid="{B456A1BF-4F23-4795-94B8-D827D09E4DA1}"/>
    <cellStyle name="Comma 4 4 3" xfId="1577" xr:uid="{00000000-0005-0000-0000-0000D5010000}"/>
    <cellStyle name="Comma 4 4 4" xfId="1578" xr:uid="{00000000-0005-0000-0000-0000D6010000}"/>
    <cellStyle name="Comma 4 4 5" xfId="1573" xr:uid="{00000000-0005-0000-0000-0000D7010000}"/>
    <cellStyle name="Comma 4 4 6" xfId="6592" xr:uid="{0A8D3A67-A64F-4F53-AF0B-B594D2086FBC}"/>
    <cellStyle name="Comma 4 4 6 2" xfId="16972" xr:uid="{7B67508C-5F76-4FE1-BF6B-9F15A2B0DB00}"/>
    <cellStyle name="Comma 4 4 6 3" xfId="30053" xr:uid="{942B9E1B-6EDA-4D93-9AF3-B49CD995A6D4}"/>
    <cellStyle name="Comma 4 4 7" xfId="9425" xr:uid="{566C6727-3490-4DCA-972B-8B31A47A8CF6}"/>
    <cellStyle name="Comma 4 4 7 2" xfId="19805" xr:uid="{6359102D-085E-4127-BB07-F596F983F298}"/>
    <cellStyle name="Comma 4 4 8" xfId="25495" xr:uid="{6D6D912C-EA9B-4831-9BCB-63F7FB0B1EA0}"/>
    <cellStyle name="Comma 4 4 9" xfId="23347" xr:uid="{088E0EFF-890F-451E-B14F-29F2F5D0498C}"/>
    <cellStyle name="Comma 4 5" xfId="454" xr:uid="{00000000-0005-0000-0000-0000D8010000}"/>
    <cellStyle name="Comma 4 5 2" xfId="1580" xr:uid="{00000000-0005-0000-0000-0000D9010000}"/>
    <cellStyle name="Comma 4 5 3" xfId="1581" xr:uid="{00000000-0005-0000-0000-0000DA010000}"/>
    <cellStyle name="Comma 4 5 4" xfId="1579" xr:uid="{00000000-0005-0000-0000-0000DB010000}"/>
    <cellStyle name="Comma 4 5 5" xfId="6594" xr:uid="{8A35B263-6F7A-49AC-8E7A-20930DCA1217}"/>
    <cellStyle name="Comma 4 5 5 2" xfId="16974" xr:uid="{9E7A9994-646C-4A7E-83E3-D82D76F3A78D}"/>
    <cellStyle name="Comma 4 5 6" xfId="9427" xr:uid="{1531D1A5-9674-41AD-95ED-44F3749628F4}"/>
    <cellStyle name="Comma 4 5 6 2" xfId="19807" xr:uid="{249AEF1A-76CC-48B8-9873-7EEABD898AE0}"/>
    <cellStyle name="Comma 4 5 7" xfId="25515" xr:uid="{0DEAA704-F95C-4E87-9110-9FD463A997C0}"/>
    <cellStyle name="Comma 4 5 8" xfId="14141" xr:uid="{A3A65910-F8AA-4619-B243-F249B19835F3}"/>
    <cellStyle name="Comma 4 6" xfId="1582" xr:uid="{00000000-0005-0000-0000-0000DC010000}"/>
    <cellStyle name="Comma 4 7" xfId="29547" xr:uid="{B78349B5-AC35-4642-873C-F8F50234A6AC}"/>
    <cellStyle name="Comma 5" xfId="455" xr:uid="{00000000-0005-0000-0000-0000DD010000}"/>
    <cellStyle name="Comma 5 10" xfId="456" xr:uid="{00000000-0005-0000-0000-0000DE010000}"/>
    <cellStyle name="Comma 5 10 10" xfId="12503" xr:uid="{A85F005E-B09D-4C3C-B6DC-D559A6ED639C}"/>
    <cellStyle name="Comma 5 10 2" xfId="1584" xr:uid="{00000000-0005-0000-0000-0000DF010000}"/>
    <cellStyle name="Comma 5 10 2 2" xfId="3011" xr:uid="{00000000-0005-0000-0000-000088010000}"/>
    <cellStyle name="Comma 5 10 2 2 2" xfId="8091" xr:uid="{F1C70A20-B2B4-48DD-B456-14BC0DB6DEE9}"/>
    <cellStyle name="Comma 5 10 2 2 2 2" xfId="18471" xr:uid="{D65F5C81-3178-4486-8000-FCF3BEE00980}"/>
    <cellStyle name="Comma 5 10 2 2 3" xfId="10924" xr:uid="{B5528361-C365-4949-B220-3DC910C95B2B}"/>
    <cellStyle name="Comma 5 10 2 2 3 2" xfId="21304" xr:uid="{03F24B28-9B30-484A-95F2-76CD18C333A5}"/>
    <cellStyle name="Comma 5 10 2 2 4" xfId="23027" xr:uid="{6ED6C659-6C8B-4E98-AD16-21CAEAAA3990}"/>
    <cellStyle name="Comma 5 10 2 2 5" xfId="28262" xr:uid="{0E89BC2C-AAC0-4BAF-90DA-612E91064FF9}"/>
    <cellStyle name="Comma 5 10 2 2 6" xfId="15638" xr:uid="{3D955D92-2834-48F1-81DE-3F0910DB23C3}"/>
    <cellStyle name="Comma 5 10 2 3" xfId="3683" xr:uid="{00000000-0005-0000-0000-0000DF010000}"/>
    <cellStyle name="Comma 5 10 2 3 2" xfId="27096" xr:uid="{A08B0E6B-8819-4B03-BF4E-42DDA3B90808}"/>
    <cellStyle name="Comma 5 10 2 3 3" xfId="26278" xr:uid="{D8061839-6EED-4DBC-8891-D026AE25DEC1}"/>
    <cellStyle name="Comma 5 10 2 4" xfId="5539" xr:uid="{6282514B-C4EC-426C-83CA-45A820F60EA8}"/>
    <cellStyle name="Comma 5 10 2 4 2" xfId="30005" xr:uid="{925E392D-976A-4D54-A5CE-98F2F31BB6D5}"/>
    <cellStyle name="Comma 5 10 2 5" xfId="23292" xr:uid="{0EAE3213-47AE-4FC6-89F7-5549C8EC9759}"/>
    <cellStyle name="Comma 5 10 2 5 2" xfId="25832" xr:uid="{C3EB4B5C-4375-4089-99BE-C914117611CD}"/>
    <cellStyle name="Comma 5 10 2 6" xfId="26814" xr:uid="{5CB19104-F3F2-4DE7-808E-E41D689C1F77}"/>
    <cellStyle name="Comma 5 10 2 7" xfId="13514" xr:uid="{4AFFE940-20D3-42F6-9C7D-82F9186E7D63}"/>
    <cellStyle name="Comma 5 10 3" xfId="1585" xr:uid="{00000000-0005-0000-0000-0000E0010000}"/>
    <cellStyle name="Comma 5 10 3 2" xfId="2664" xr:uid="{00000000-0005-0000-0000-000089010000}"/>
    <cellStyle name="Comma 5 10 3 2 2" xfId="7788" xr:uid="{D863A7D1-FDB3-4B9D-BAAD-9D7D509DDC5B}"/>
    <cellStyle name="Comma 5 10 3 2 2 2" xfId="18168" xr:uid="{2A823F66-1FDA-4DB6-90BA-52A796C69F02}"/>
    <cellStyle name="Comma 5 10 3 2 3" xfId="10621" xr:uid="{B59C76FD-A4E9-4866-9F1E-6518BC0C5396}"/>
    <cellStyle name="Comma 5 10 3 2 3 2" xfId="21001" xr:uid="{47E7FFC6-63B5-4650-B36B-84C80C2755B8}"/>
    <cellStyle name="Comma 5 10 3 2 4" xfId="15335" xr:uid="{62DDD7AA-A1D8-420F-846E-73F0CBC3D630}"/>
    <cellStyle name="Comma 5 10 3 3" xfId="3623" xr:uid="{00000000-0005-0000-0000-0000E0010000}"/>
    <cellStyle name="Comma 5 10 3 4" xfId="5540" xr:uid="{2F4176BB-1147-4705-9BF5-3478E814BF1F}"/>
    <cellStyle name="Comma 5 10 3 4 2" xfId="29981" xr:uid="{B6489F79-D994-468D-80EB-DEBD787E2B22}"/>
    <cellStyle name="Comma 5 10 3 5" xfId="24425" xr:uid="{440A3D29-60C1-4AFD-B777-DEDEC2F90CDC}"/>
    <cellStyle name="Comma 5 10 3 6" xfId="13065" xr:uid="{4A179273-1E94-4440-A91B-D0CE1562A50D}"/>
    <cellStyle name="Comma 5 10 4" xfId="1583" xr:uid="{00000000-0005-0000-0000-0000E1010000}"/>
    <cellStyle name="Comma 5 10 4 2" xfId="2271" xr:uid="{00000000-0005-0000-0000-000087010000}"/>
    <cellStyle name="Comma 5 10 4 2 2" xfId="7398" xr:uid="{2C0DCA8C-6BD6-4848-A250-23AB56676728}"/>
    <cellStyle name="Comma 5 10 4 2 2 2" xfId="17778" xr:uid="{B21D7D75-3244-4F26-B490-5EC2650D1448}"/>
    <cellStyle name="Comma 5 10 4 2 3" xfId="10231" xr:uid="{6B2CC225-FDF3-4BE5-9315-88A728D24FD6}"/>
    <cellStyle name="Comma 5 10 4 2 3 2" xfId="20611" xr:uid="{6E6A4E4B-61FB-458D-A4B9-C9CB4689F4FD}"/>
    <cellStyle name="Comma 5 10 4 2 4" xfId="28324" xr:uid="{7695E883-6177-431C-8532-EA8870BB0990}"/>
    <cellStyle name="Comma 5 10 4 2 5" xfId="28329" xr:uid="{FC723014-751A-4A40-BE67-D3567892532F}"/>
    <cellStyle name="Comma 5 10 4 2 6" xfId="14945" xr:uid="{352031EF-2D57-4537-BD5B-0BDF6743C8E4}"/>
    <cellStyle name="Comma 5 10 4 3" xfId="3577" xr:uid="{00000000-0005-0000-0000-0000E1010000}"/>
    <cellStyle name="Comma 5 10 4 4" xfId="23912" xr:uid="{A0E22693-D6AA-4593-989F-35C45B43184B}"/>
    <cellStyle name="Comma 5 10 5" xfId="3859" xr:uid="{F8C8D734-DCC5-4C88-B842-664E1299CBF0}"/>
    <cellStyle name="Comma 5 10 5 2" xfId="8691" xr:uid="{5E5913C1-036C-42F6-8350-C4BD4BAE9EF4}"/>
    <cellStyle name="Comma 5 10 5 2 2" xfId="28963" xr:uid="{7ED6E5D1-F2F9-47D7-B3B9-B23DAC9DEA56}"/>
    <cellStyle name="Comma 5 10 5 2 3" xfId="26070" xr:uid="{0A54DC91-F591-42A2-BA5E-7276541616CC}"/>
    <cellStyle name="Comma 5 10 5 2 4" xfId="19071" xr:uid="{273ED19A-6305-4A08-8B50-05B302DCC7A3}"/>
    <cellStyle name="Comma 5 10 5 3" xfId="11524" xr:uid="{0C78AAE6-034A-4A1B-8A3F-C1AD74B711C7}"/>
    <cellStyle name="Comma 5 10 5 3 2" xfId="21904" xr:uid="{3ACF1F89-59B6-459B-A2BF-64F748857E3F}"/>
    <cellStyle name="Comma 5 10 5 4" xfId="25303" xr:uid="{C0390E66-4C52-4772-BEDB-6D55E1EA2350}"/>
    <cellStyle name="Comma 5 10 5 5" xfId="16238" xr:uid="{7AC3AC5A-1212-49EF-A828-8E7C20DAFED6}"/>
    <cellStyle name="Comma 5 10 6" xfId="4852" xr:uid="{B5AA8CEF-C25B-4DA3-B914-31CD98DD93BF}"/>
    <cellStyle name="Comma 5 10 6 2" xfId="28046" xr:uid="{FD1B2980-5F21-4760-88F9-92CC3E105641}"/>
    <cellStyle name="Comma 5 10 6 3" xfId="26553" xr:uid="{EF223D4E-E1BC-4881-ABF4-3BBB515CECFC}"/>
    <cellStyle name="Comma 5 10 6 4" xfId="14143" xr:uid="{140302DF-BE3B-4369-92CC-B67CEE834879}"/>
    <cellStyle name="Comma 5 10 7" xfId="6596" xr:uid="{C3AD3989-BC4A-4AAA-AEC2-B08705FCE9B0}"/>
    <cellStyle name="Comma 5 10 7 2" xfId="28029" xr:uid="{B837468C-BEBF-4CEC-ADE2-12B1FCAED4F9}"/>
    <cellStyle name="Comma 5 10 7 3" xfId="27371" xr:uid="{8EED9F44-3498-430B-BC6B-CC256C591A9F}"/>
    <cellStyle name="Comma 5 10 7 4" xfId="16976" xr:uid="{75EEF300-26D6-4B14-B5AF-ECB65CBCCB05}"/>
    <cellStyle name="Comma 5 10 8" xfId="9429" xr:uid="{5484C410-9246-4841-A9A7-890E6C7CA77F}"/>
    <cellStyle name="Comma 5 10 8 2" xfId="19809" xr:uid="{FC6C34CB-2ADD-4980-9E17-6E4E388A755C}"/>
    <cellStyle name="Comma 5 10 9" xfId="23859" xr:uid="{2F610054-85E4-42A4-90E0-D52A865C355A}"/>
    <cellStyle name="Comma 5 11" xfId="457" xr:uid="{00000000-0005-0000-0000-0000E2010000}"/>
    <cellStyle name="Comma 5 11 10" xfId="12661" xr:uid="{1966AA8B-6911-4191-8EF9-D4B44BA16B12}"/>
    <cellStyle name="Comma 5 11 2" xfId="1587" xr:uid="{00000000-0005-0000-0000-0000E3010000}"/>
    <cellStyle name="Comma 5 11 2 2" xfId="3012" xr:uid="{00000000-0005-0000-0000-00008B010000}"/>
    <cellStyle name="Comma 5 11 2 2 2" xfId="8092" xr:uid="{A686F410-99C8-4E53-A4B9-F200FED0F5FE}"/>
    <cellStyle name="Comma 5 11 2 2 2 2" xfId="18472" xr:uid="{5B5E9A11-8327-49C7-852B-1B0EC750B7F4}"/>
    <cellStyle name="Comma 5 11 2 2 3" xfId="10925" xr:uid="{8C6A2058-F80A-4732-A1AD-C675F255A21E}"/>
    <cellStyle name="Comma 5 11 2 2 3 2" xfId="21305" xr:uid="{9A7CB507-8DF3-4257-9E46-9E278E1B8C79}"/>
    <cellStyle name="Comma 5 11 2 2 4" xfId="26965" xr:uid="{CDD14B4E-3B05-4D91-99DD-069BE67AF33A}"/>
    <cellStyle name="Comma 5 11 2 2 5" xfId="27153" xr:uid="{DB84D4BF-7756-42ED-91FF-484D48E26118}"/>
    <cellStyle name="Comma 5 11 2 2 6" xfId="15639" xr:uid="{246F413A-E2AF-4FA9-B3F2-1839EB858537}"/>
    <cellStyle name="Comma 5 11 2 3" xfId="3667" xr:uid="{00000000-0005-0000-0000-0000E3010000}"/>
    <cellStyle name="Comma 5 11 2 4" xfId="5541" xr:uid="{4A98B1E2-1852-47FD-B8E3-2DAC983AEE30}"/>
    <cellStyle name="Comma 5 11 2 4 2" xfId="30006" xr:uid="{D3933B02-1CA2-4C98-B999-6F5E6DFDBD99}"/>
    <cellStyle name="Comma 5 11 2 5" xfId="22728" xr:uid="{8D9ECDAE-292F-46A0-BFD2-DA9957370FAD}"/>
    <cellStyle name="Comma 5 11 2 6" xfId="13515" xr:uid="{39ABB685-FAC4-4C1E-B36A-85BFF7734362}"/>
    <cellStyle name="Comma 5 11 2 7" xfId="30221" xr:uid="{823ED33F-E7B5-4898-954F-28E751A5007D}"/>
    <cellStyle name="Comma 5 11 3" xfId="1588" xr:uid="{00000000-0005-0000-0000-0000E4010000}"/>
    <cellStyle name="Comma 5 11 3 2" xfId="23724" xr:uid="{DE4AAC3D-5400-4129-ACD2-D8964E8AE622}"/>
    <cellStyle name="Comma 5 11 3 2 2" xfId="29909" xr:uid="{986DAE27-57B1-4437-8337-5988A0EB21BD}"/>
    <cellStyle name="Comma 5 11 3 3" xfId="25078" xr:uid="{C5B7A41E-9D71-47D2-9EF7-127D9DBA2D47}"/>
    <cellStyle name="Comma 5 11 3 3 2" xfId="30021" xr:uid="{3D761C6F-1A95-49E1-8B76-C4FF54CA4B20}"/>
    <cellStyle name="Comma 5 11 3 4" xfId="30164" xr:uid="{53BB357B-2053-46CF-85EA-93735FCAEE75}"/>
    <cellStyle name="Comma 5 11 3 5" xfId="30282" xr:uid="{DD801524-9640-4605-9CEF-3F5A109BE9F3}"/>
    <cellStyle name="Comma 5 11 3 6" xfId="29854" xr:uid="{DEE794F5-B8BE-467B-8BBF-EB970977814D}"/>
    <cellStyle name="Comma 5 11 4" xfId="1586" xr:uid="{00000000-0005-0000-0000-0000E5010000}"/>
    <cellStyle name="Comma 5 11 4 2" xfId="25781" xr:uid="{DBEBD298-D49E-492E-82DD-D45AE9C70099}"/>
    <cellStyle name="Comma 5 11 4 2 2" xfId="30022" xr:uid="{65BEED58-4AE7-421A-B7B4-FAFF72B7C674}"/>
    <cellStyle name="Comma 5 11 4 3" xfId="25812" xr:uid="{3DDE5F0F-E80C-49A7-A2F9-760F7B731187}"/>
    <cellStyle name="Comma 5 11 5" xfId="4118" xr:uid="{326795D2-3CE4-4B44-9613-7463CD743D12}"/>
    <cellStyle name="Comma 5 11 5 2" xfId="8890" xr:uid="{ECCB6D7E-C429-4896-A166-281E63951623}"/>
    <cellStyle name="Comma 5 11 5 2 2" xfId="19270" xr:uid="{C44CDE0A-5662-497E-A88C-E6558F00915E}"/>
    <cellStyle name="Comma 5 11 5 3" xfId="11723" xr:uid="{9AAE4BD8-E8D5-4F67-964B-77E7561EB31F}"/>
    <cellStyle name="Comma 5 11 5 3 2" xfId="22103" xr:uid="{C0BEB642-CEF7-49CD-A5E0-AF132CFA3016}"/>
    <cellStyle name="Comma 5 11 5 4" xfId="26947" xr:uid="{8FCFEBD1-9C61-417C-9361-BA6BACD9EE18}"/>
    <cellStyle name="Comma 5 11 5 5" xfId="26068" xr:uid="{A550E6A6-0D23-4FF4-817E-3EF3384416BB}"/>
    <cellStyle name="Comma 5 11 5 6" xfId="16437" xr:uid="{C1A61E72-5B41-4C1D-93D9-C0FF857E260F}"/>
    <cellStyle name="Comma 5 11 6" xfId="4853" xr:uid="{7F35F456-CEA9-47F3-ACCB-BB64D045948A}"/>
    <cellStyle name="Comma 5 11 6 2" xfId="27442" xr:uid="{1ACF7B3B-8BF9-4617-AFD7-425DDFC57C66}"/>
    <cellStyle name="Comma 5 11 6 3" xfId="27439" xr:uid="{FDE17731-3386-4AC0-A1F8-63BB2D8DAC43}"/>
    <cellStyle name="Comma 5 11 6 4" xfId="14144" xr:uid="{4AD93818-DB36-44F7-BA3F-4C514E4885F1}"/>
    <cellStyle name="Comma 5 11 7" xfId="6597" xr:uid="{E603367D-691C-488F-8700-9B7F21B923E4}"/>
    <cellStyle name="Comma 5 11 7 2" xfId="16977" xr:uid="{F038355B-C278-4949-A2DC-F6D04B005AFA}"/>
    <cellStyle name="Comma 5 11 8" xfId="9430" xr:uid="{43960141-1975-43C7-BB87-1966EFE5FC2B}"/>
    <cellStyle name="Comma 5 11 8 2" xfId="19810" xr:uid="{0AFB9F97-FB29-46DD-B839-C554FF6E03EE}"/>
    <cellStyle name="Comma 5 11 9" xfId="25325" xr:uid="{D9CE3968-1E51-41A1-A7DC-42C9DD7789D6}"/>
    <cellStyle name="Comma 5 12" xfId="458" xr:uid="{00000000-0005-0000-0000-0000E6010000}"/>
    <cellStyle name="Comma 5 12 2" xfId="1590" xr:uid="{00000000-0005-0000-0000-0000E7010000}"/>
    <cellStyle name="Comma 5 12 2 2" xfId="23644" xr:uid="{EF680471-4A71-491B-8847-27ACE345D225}"/>
    <cellStyle name="Comma 5 12 2 2 2" xfId="30034" xr:uid="{78E7401D-CB67-457D-A996-55862E7BBAB8}"/>
    <cellStyle name="Comma 5 12 2 3" xfId="25392" xr:uid="{743C3469-6FF5-41E6-ABC2-03AE1A3F0028}"/>
    <cellStyle name="Comma 5 12 2 3 2" xfId="30020" xr:uid="{11F51672-12B6-487D-B571-EE34E6054952}"/>
    <cellStyle name="Comma 5 12 2 4" xfId="30153" xr:uid="{1B8AC25B-47F7-4F9F-8791-96B08BC91E5E}"/>
    <cellStyle name="Comma 5 12 2 5" xfId="30267" xr:uid="{95E6CC42-D8FB-4535-A57F-867A98ECD353}"/>
    <cellStyle name="Comma 5 12 2 6" xfId="29842" xr:uid="{70B8C039-9275-49C6-A8FA-5D159DECF21D}"/>
    <cellStyle name="Comma 5 12 3" xfId="1591" xr:uid="{00000000-0005-0000-0000-0000E8010000}"/>
    <cellStyle name="Comma 5 12 3 2" xfId="23256" xr:uid="{6D57B10A-6741-4069-93BF-29EFDF4F6C0B}"/>
    <cellStyle name="Comma 5 12 3 3" xfId="24384" xr:uid="{F61EDBCB-4E7F-4373-BBB6-91316B7F1263}"/>
    <cellStyle name="Comma 5 12 4" xfId="1589" xr:uid="{00000000-0005-0000-0000-0000E9010000}"/>
    <cellStyle name="Comma 5 12 5" xfId="4854" xr:uid="{F159FDFA-5E1D-4A42-9FB3-8400939452AE}"/>
    <cellStyle name="Comma 5 12 5 2" xfId="14145" xr:uid="{6CAB6457-CDF0-43E9-8573-01A4850CBF99}"/>
    <cellStyle name="Comma 5 12 6" xfId="6598" xr:uid="{3A255307-572F-4096-BE3B-A84D759EBA98}"/>
    <cellStyle name="Comma 5 12 6 2" xfId="16978" xr:uid="{C2E33B45-1448-434C-98E9-36181F6C14F8}"/>
    <cellStyle name="Comma 5 12 7" xfId="9431" xr:uid="{DE176410-6284-42C9-B0CF-A8C658E03F46}"/>
    <cellStyle name="Comma 5 12 7 2" xfId="19811" xr:uid="{DB459E27-E6F7-4C87-A63E-D5F7A6CC076E}"/>
    <cellStyle name="Comma 5 12 8" xfId="24809" xr:uid="{90958A69-207E-4B87-B4BE-8D883B54759B}"/>
    <cellStyle name="Comma 5 12 9" xfId="13359" xr:uid="{19A90194-FA7E-440E-AF4A-92CD549DEC9F}"/>
    <cellStyle name="Comma 5 13" xfId="1592" xr:uid="{00000000-0005-0000-0000-0000EA010000}"/>
    <cellStyle name="Comma 5 13 2" xfId="2429" xr:uid="{00000000-0005-0000-0000-00008D010000}"/>
    <cellStyle name="Comma 5 13 2 2" xfId="7554" xr:uid="{B91CD4AA-AFD9-47AC-B12D-1B567D59EEF3}"/>
    <cellStyle name="Comma 5 13 2 2 2" xfId="17934" xr:uid="{E8437ED8-2295-4E8E-BDF0-609A90FEDE0F}"/>
    <cellStyle name="Comma 5 13 2 3" xfId="10387" xr:uid="{BFE02990-9404-4EE5-99FB-5B33B4DA9EDF}"/>
    <cellStyle name="Comma 5 13 2 3 2" xfId="20767" xr:uid="{2A4646E5-E7C9-419B-BD7A-C79F73C315A2}"/>
    <cellStyle name="Comma 5 13 2 4" xfId="27801" xr:uid="{5006A1E1-AA79-4A0C-B7B1-2FEC3203E50F}"/>
    <cellStyle name="Comma 5 13 2 5" xfId="26644" xr:uid="{B9000EF6-D70E-4F90-9CE9-E75B119014F2}"/>
    <cellStyle name="Comma 5 13 2 6" xfId="15101" xr:uid="{508A87DE-C77E-4F26-8878-27C69F773A5A}"/>
    <cellStyle name="Comma 5 13 3" xfId="3576" xr:uid="{00000000-0005-0000-0000-0000EA010000}"/>
    <cellStyle name="Comma 5 13 4" xfId="5542" xr:uid="{EA1DAE49-7147-4C06-8D39-0EAFAC4C7544}"/>
    <cellStyle name="Comma 5 13 4 2" xfId="29974" xr:uid="{FF884846-FBE7-42C8-BBC2-3081D2C3BD79}"/>
    <cellStyle name="Comma 5 13 5" xfId="25275" xr:uid="{25255301-425F-471E-91E5-8CA85BD8C643}"/>
    <cellStyle name="Comma 5 13 6" xfId="12814" xr:uid="{04EED2F0-E263-4E01-BB71-1A5052885D35}"/>
    <cellStyle name="Comma 5 14" xfId="2156" xr:uid="{00000000-0005-0000-0000-000086010000}"/>
    <cellStyle name="Comma 5 14 2" xfId="7283" xr:uid="{822762EF-D3DA-4F0E-A147-996E17AEA36E}"/>
    <cellStyle name="Comma 5 14 2 2" xfId="27689" xr:uid="{0256D1D7-ED9F-4C82-97E0-9170310A5329}"/>
    <cellStyle name="Comma 5 14 2 3" xfId="28280" xr:uid="{3C9C4E2E-B9DF-4364-90C5-E2FDD470EA95}"/>
    <cellStyle name="Comma 5 14 2 4" xfId="17663" xr:uid="{3738291B-0565-419F-B166-FACBBDEE0D75}"/>
    <cellStyle name="Comma 5 14 3" xfId="10116" xr:uid="{65636AD0-40EA-4BAF-9ABF-40BCE104B2C9}"/>
    <cellStyle name="Comma 5 14 3 2" xfId="20496" xr:uid="{6F491D37-1CB8-413E-A52B-4D7C95D189A8}"/>
    <cellStyle name="Comma 5 14 4" xfId="24735" xr:uid="{C9CBED3C-72E0-4E12-887C-B3DEBF97CEC8}"/>
    <cellStyle name="Comma 5 14 5" xfId="14830" xr:uid="{9DAB25E0-335E-450D-B4EF-01133EEBCC53}"/>
    <cellStyle name="Comma 5 15" xfId="3777" xr:uid="{027FE1B2-BC1A-461C-BAA0-62514BD1464F}"/>
    <cellStyle name="Comma 5 15 2" xfId="8618" xr:uid="{F937F0BE-13DB-4336-9B90-88F49A5B7AED}"/>
    <cellStyle name="Comma 5 15 2 2" xfId="18998" xr:uid="{406AA88D-B0B1-4594-932D-2CCB31970E22}"/>
    <cellStyle name="Comma 5 15 3" xfId="11451" xr:uid="{61CAAD24-E5D7-4864-B98A-9508BBD6E09F}"/>
    <cellStyle name="Comma 5 15 3 2" xfId="21831" xr:uid="{6D8E4531-45E2-4E20-86E7-0D1E6B5CA0F6}"/>
    <cellStyle name="Comma 5 15 4" xfId="23604" xr:uid="{EF87A7D9-884A-4F64-B1B7-C8CC7C6997AF}"/>
    <cellStyle name="Comma 5 15 5" xfId="27458" xr:uid="{89903692-C0B4-4F40-89C4-C75A817A2DC4}"/>
    <cellStyle name="Comma 5 15 6" xfId="16165" xr:uid="{4DDC0FBF-B94A-4F81-BE4B-8A9FFDB8C8BD}"/>
    <cellStyle name="Comma 5 16" xfId="4851" xr:uid="{AAA3F902-D68A-45E2-99C8-03FE656262D7}"/>
    <cellStyle name="Comma 5 16 2" xfId="14142" xr:uid="{D008B574-2BA2-43A2-880B-6754BDBFEAFF}"/>
    <cellStyle name="Comma 5 17" xfId="6595" xr:uid="{EE2E808B-4607-4A07-9806-599DB57C2243}"/>
    <cellStyle name="Comma 5 17 2" xfId="16975" xr:uid="{B081372B-6E11-43A4-9C57-E86647752419}"/>
    <cellStyle name="Comma 5 18" xfId="9428" xr:uid="{D1DEE1ED-E00D-45EE-88AE-80066179EB47}"/>
    <cellStyle name="Comma 5 18 2" xfId="19808" xr:uid="{957E1A22-9D68-491A-BBAD-B4FA4FDEB1B3}"/>
    <cellStyle name="Comma 5 19" xfId="24648" xr:uid="{9055C8F1-409E-4A3A-8DD3-7D0245A6EEF9}"/>
    <cellStyle name="Comma 5 2" xfId="459" xr:uid="{00000000-0005-0000-0000-0000EB010000}"/>
    <cellStyle name="Comma 5 2 2" xfId="460" xr:uid="{00000000-0005-0000-0000-0000EC010000}"/>
    <cellStyle name="Comma 5 2 2 2" xfId="1594" xr:uid="{00000000-0005-0000-0000-0000ED010000}"/>
    <cellStyle name="Comma 5 2 2 3" xfId="1595" xr:uid="{00000000-0005-0000-0000-0000EE010000}"/>
    <cellStyle name="Comma 5 2 2 4" xfId="1593" xr:uid="{00000000-0005-0000-0000-0000EF010000}"/>
    <cellStyle name="Comma 5 2 2 5" xfId="6599" xr:uid="{273D3645-09BF-4A18-A4AB-EDE25B05A3A6}"/>
    <cellStyle name="Comma 5 2 2 5 2" xfId="16979" xr:uid="{2C95035C-ACBA-47B5-BDB7-B687EB0B1702}"/>
    <cellStyle name="Comma 5 2 2 6" xfId="9432" xr:uid="{FAAC16A9-4153-4AFD-B1F8-20E8F3A87C8C}"/>
    <cellStyle name="Comma 5 2 2 6 2" xfId="19812" xr:uid="{145F7030-0050-4EBD-8D41-3709A9B0904C}"/>
    <cellStyle name="Comma 5 2 2 7" xfId="25027" xr:uid="{DE75B844-EBEC-4A64-A7E9-57FF65839502}"/>
    <cellStyle name="Comma 5 2 2 8" xfId="14146" xr:uid="{58BAEC72-D61F-4682-9993-3944940B8945}"/>
    <cellStyle name="Comma 5 2 2 9" xfId="29549" xr:uid="{D4CDF6AA-3C1C-45DB-BF23-683A3F5A2E8F}"/>
    <cellStyle name="Comma 5 2 3" xfId="29550" xr:uid="{FF57FBA9-0AC5-4F16-B51E-CE304EC6B7FE}"/>
    <cellStyle name="Comma 5 2 4" xfId="29548" xr:uid="{508F08B6-13CA-453B-BC60-59F1E4465DDC}"/>
    <cellStyle name="Comma 5 20" xfId="12386" xr:uid="{302159E2-6CC0-46FF-9364-3A8433ED91B2}"/>
    <cellStyle name="Comma 5 3" xfId="461" xr:uid="{00000000-0005-0000-0000-0000F0010000}"/>
    <cellStyle name="Comma 5 3 10" xfId="4855" xr:uid="{2846F87B-F3CD-4BF8-9488-62CC1D0AA1F2}"/>
    <cellStyle name="Comma 5 3 10 2" xfId="14147" xr:uid="{50684423-3D64-4A82-B41B-9419936B23DE}"/>
    <cellStyle name="Comma 5 3 11" xfId="6600" xr:uid="{693DB301-C91E-4232-BB0E-39CDBBE5076F}"/>
    <cellStyle name="Comma 5 3 11 2" xfId="16980" xr:uid="{3AE9192F-FC94-46DB-A683-7733A5EFF8B5}"/>
    <cellStyle name="Comma 5 3 12" xfId="9433" xr:uid="{34D918AF-B59B-4DA7-96F7-480CE83D0911}"/>
    <cellStyle name="Comma 5 3 12 2" xfId="19813" xr:uid="{1F161FA1-6088-47C1-BDE8-F54460BB08FE}"/>
    <cellStyle name="Comma 5 3 13" xfId="25309" xr:uid="{D7859DD7-1B89-4767-A0D2-196C4B8D2D83}"/>
    <cellStyle name="Comma 5 3 14" xfId="12412" xr:uid="{9909FE86-2089-41F8-9D0E-7276470C2221}"/>
    <cellStyle name="Comma 5 3 2" xfId="462" xr:uid="{00000000-0005-0000-0000-0000F1010000}"/>
    <cellStyle name="Comma 5 3 2 10" xfId="6601" xr:uid="{82695B62-7D76-42AB-BEFC-75E567F2A3C5}"/>
    <cellStyle name="Comma 5 3 2 10 2" xfId="16981" xr:uid="{9AD20C4B-E731-46C2-8BEC-0FFD687EC178}"/>
    <cellStyle name="Comma 5 3 2 11" xfId="9434" xr:uid="{AED80BCA-D092-4C6C-971E-3050E72CFF57}"/>
    <cellStyle name="Comma 5 3 2 11 2" xfId="19814" xr:uid="{987CAEBC-5AB8-49B8-B758-D587955279AF}"/>
    <cellStyle name="Comma 5 3 2 12" xfId="23920" xr:uid="{56197C97-EB7B-40EC-AFA2-7AEAB10C8886}"/>
    <cellStyle name="Comma 5 3 2 13" xfId="12472" xr:uid="{EFBC7B92-3047-49CF-805D-2C6A6223921F}"/>
    <cellStyle name="Comma 5 3 2 2" xfId="463" xr:uid="{00000000-0005-0000-0000-0000F2010000}"/>
    <cellStyle name="Comma 5 3 2 2 10" xfId="13037" xr:uid="{86B57A63-967D-49F1-9028-3928CA4FAF65}"/>
    <cellStyle name="Comma 5 3 2 2 2" xfId="1599" xr:uid="{00000000-0005-0000-0000-0000F3010000}"/>
    <cellStyle name="Comma 5 3 2 2 2 2" xfId="3015" xr:uid="{00000000-0005-0000-0000-000093010000}"/>
    <cellStyle name="Comma 5 3 2 2 2 2 2" xfId="6158" xr:uid="{4ACBE935-4C4A-4B58-AA67-CBC1AD567848}"/>
    <cellStyle name="Comma 5 3 2 2 2 2 2 2" xfId="25952" xr:uid="{A03F8AD1-6D73-462F-AC3F-273225650954}"/>
    <cellStyle name="Comma 5 3 2 2 2 2 2 3" xfId="25885" xr:uid="{4BB2DC81-1E90-4372-9987-27A20831971A}"/>
    <cellStyle name="Comma 5 3 2 2 2 2 2 4" xfId="15642" xr:uid="{4AF74E66-2D4F-40C8-B6A6-07DB4000C240}"/>
    <cellStyle name="Comma 5 3 2 2 2 2 3" xfId="8095" xr:uid="{9E795528-EFE8-49EC-A3CC-54ADBF1342DE}"/>
    <cellStyle name="Comma 5 3 2 2 2 2 3 2" xfId="28777" xr:uid="{0CBF15F0-D411-4526-93F7-EFED3C06D888}"/>
    <cellStyle name="Comma 5 3 2 2 2 2 3 3" xfId="27265" xr:uid="{4C183DF4-8D04-46F2-A7C1-5EE37A5A7CDB}"/>
    <cellStyle name="Comma 5 3 2 2 2 2 3 4" xfId="18475" xr:uid="{18E6D797-2AE3-43E1-A6BE-04E5FC2EB0F6}"/>
    <cellStyle name="Comma 5 3 2 2 2 2 4" xfId="10928" xr:uid="{AFB79152-8464-4800-9AF1-921E7BAF005A}"/>
    <cellStyle name="Comma 5 3 2 2 2 2 4 2" xfId="21308" xr:uid="{39BF4066-2DEB-466C-B501-D053D1037734}"/>
    <cellStyle name="Comma 5 3 2 2 2 2 5" xfId="24319" xr:uid="{E61FFCE0-15C8-4B0D-A412-90E5D4DF8AD6}"/>
    <cellStyle name="Comma 5 3 2 2 2 2 6" xfId="13518" xr:uid="{4E597990-8807-4D77-97E7-E28E02E3D3DD}"/>
    <cellStyle name="Comma 5 3 2 2 2 3" xfId="2667" xr:uid="{00000000-0005-0000-0000-000092010000}"/>
    <cellStyle name="Comma 5 3 2 2 2 3 2" xfId="7791" xr:uid="{A991F633-EC7B-4AE2-AF36-3AFF910B0ED8}"/>
    <cellStyle name="Comma 5 3 2 2 2 3 2 2" xfId="27575" xr:uid="{55463535-088B-4D65-8D51-0F8E527C73E6}"/>
    <cellStyle name="Comma 5 3 2 2 2 3 2 3" xfId="27858" xr:uid="{520E163C-1648-451D-9381-D1B444BA6975}"/>
    <cellStyle name="Comma 5 3 2 2 2 3 2 4" xfId="18171" xr:uid="{D8D0AAD4-15A0-4209-9D40-CC4375AD633E}"/>
    <cellStyle name="Comma 5 3 2 2 2 3 3" xfId="10624" xr:uid="{23424A55-1186-4AE1-8B15-D60B73FB2413}"/>
    <cellStyle name="Comma 5 3 2 2 2 3 3 2" xfId="21004" xr:uid="{D45E85F7-0528-446F-8AEF-F2444471BE38}"/>
    <cellStyle name="Comma 5 3 2 2 2 3 4" xfId="24773" xr:uid="{F6C426D8-D850-4C02-A12E-6C68D7A11502}"/>
    <cellStyle name="Comma 5 3 2 2 2 3 5" xfId="15338" xr:uid="{16A4BAA9-88C4-414D-BFF5-062C8FED3C61}"/>
    <cellStyle name="Comma 5 3 2 2 2 4" xfId="3630" xr:uid="{00000000-0005-0000-0000-0000F3010000}"/>
    <cellStyle name="Comma 5 3 2 2 2 5" xfId="4252" xr:uid="{9B0E90D9-C0F7-49FF-A548-FF90C88E6C49}"/>
    <cellStyle name="Comma 5 3 2 2 2 5 2" xfId="9024" xr:uid="{DB214821-C42B-4F8D-9BBF-71FC6C4AEED3}"/>
    <cellStyle name="Comma 5 3 2 2 2 5 2 2" xfId="19404" xr:uid="{3CCFE505-B22F-4BE5-BFD5-27F625009463}"/>
    <cellStyle name="Comma 5 3 2 2 2 5 3" xfId="11857" xr:uid="{879F1394-5F75-4E90-ACCF-2DB416637DF2}"/>
    <cellStyle name="Comma 5 3 2 2 2 5 3 2" xfId="22237" xr:uid="{A8BFC29A-4346-4751-A9D7-8EBC270E9334}"/>
    <cellStyle name="Comma 5 3 2 2 2 5 4" xfId="16571" xr:uid="{3BACECC7-6A25-4BBD-A5D0-C82353F7F629}"/>
    <cellStyle name="Comma 5 3 2 2 2 6" xfId="5546" xr:uid="{4AA9B774-4921-4980-9DB7-0CEF866568F6}"/>
    <cellStyle name="Comma 5 3 2 2 2 6 2" xfId="30126" xr:uid="{3408E711-3F4E-485E-9341-BF3775ABECE4}"/>
    <cellStyle name="Comma 5 3 2 2 2 7" xfId="23725" xr:uid="{8A8F9509-66DC-46AC-A9A7-817B49144E49}"/>
    <cellStyle name="Comma 5 3 2 2 2 8" xfId="13068" xr:uid="{B50D4B53-697A-42B9-9F93-70A744787325}"/>
    <cellStyle name="Comma 5 3 2 2 3" xfId="1600" xr:uid="{00000000-0005-0000-0000-0000F4010000}"/>
    <cellStyle name="Comma 5 3 2 2 3 2" xfId="3016" xr:uid="{00000000-0005-0000-0000-000094010000}"/>
    <cellStyle name="Comma 5 3 2 2 3 2 2" xfId="8096" xr:uid="{7BF9BB9B-26F6-4A7B-B741-6401840D44C4}"/>
    <cellStyle name="Comma 5 3 2 2 3 2 2 2" xfId="28778" xr:uid="{97F5D130-40E9-49C6-BF88-F44C1C5917AA}"/>
    <cellStyle name="Comma 5 3 2 2 3 2 2 3" xfId="27874" xr:uid="{1C2254A3-A181-4089-A9AD-37492C817900}"/>
    <cellStyle name="Comma 5 3 2 2 3 2 2 4" xfId="18476" xr:uid="{EF665B60-996B-4090-9883-5AF6CE2B9F40}"/>
    <cellStyle name="Comma 5 3 2 2 3 2 3" xfId="10929" xr:uid="{F7202109-0539-401A-8DA8-FE6FE6E715B4}"/>
    <cellStyle name="Comma 5 3 2 2 3 2 3 2" xfId="21309" xr:uid="{7E1FA1D7-80F6-4007-BA48-786A08D6E488}"/>
    <cellStyle name="Comma 5 3 2 2 3 2 4" xfId="23283" xr:uid="{E29E3FB4-1142-46D5-B9BC-FBCC0D3E4AF6}"/>
    <cellStyle name="Comma 5 3 2 2 3 2 5" xfId="15643" xr:uid="{F739DFD7-5A02-4961-B2FF-23F1CB84962A}"/>
    <cellStyle name="Comma 5 3 2 2 3 3" xfId="2083" xr:uid="{00000000-0005-0000-0000-0000F4010000}"/>
    <cellStyle name="Comma 5 3 2 2 3 4" xfId="4392" xr:uid="{933C8226-C46F-4342-AB1B-1DC1B1F37B70}"/>
    <cellStyle name="Comma 5 3 2 2 3 4 2" xfId="9164" xr:uid="{08B4E032-80CB-4825-8075-E7E720E1D674}"/>
    <cellStyle name="Comma 5 3 2 2 3 4 2 2" xfId="19544" xr:uid="{5E6B521C-CC61-48D2-A240-A3DE4FF65289}"/>
    <cellStyle name="Comma 5 3 2 2 3 4 3" xfId="11997" xr:uid="{86F94323-154D-4FD7-B637-754FD397809D}"/>
    <cellStyle name="Comma 5 3 2 2 3 4 3 2" xfId="22377" xr:uid="{6E1276EF-499F-4B69-A23D-99DCD957C31B}"/>
    <cellStyle name="Comma 5 3 2 2 3 4 4" xfId="16711" xr:uid="{BFA2BFEE-AA3F-48EB-B522-19E3AA60155E}"/>
    <cellStyle name="Comma 5 3 2 2 3 5" xfId="5547" xr:uid="{87BB5A44-0A84-4354-8A20-3DE740BDB9D5}"/>
    <cellStyle name="Comma 5 3 2 2 3 5 2" xfId="30167" xr:uid="{F4EF56AD-5CDD-4EB5-ADBA-50543B24D1AC}"/>
    <cellStyle name="Comma 5 3 2 2 3 6" xfId="25168" xr:uid="{35E2B19E-F3CF-4FCD-A416-6AA019C43B9E}"/>
    <cellStyle name="Comma 5 3 2 2 3 7" xfId="13519" xr:uid="{81206A3F-C747-4698-B559-B3F885CD8D9A}"/>
    <cellStyle name="Comma 5 3 2 2 4" xfId="1598" xr:uid="{00000000-0005-0000-0000-0000F5010000}"/>
    <cellStyle name="Comma 5 3 2 2 4 2" xfId="3014" xr:uid="{00000000-0005-0000-0000-000095010000}"/>
    <cellStyle name="Comma 5 3 2 2 4 2 2" xfId="8094" xr:uid="{E89D21E1-B455-4D7D-9B2F-B8E34618380A}"/>
    <cellStyle name="Comma 5 3 2 2 4 2 2 2" xfId="18474" xr:uid="{F97B71C0-7501-4349-B040-6C9E49273439}"/>
    <cellStyle name="Comma 5 3 2 2 4 2 3" xfId="10927" xr:uid="{080E1EBD-51A9-4D41-8C45-D42D6FC9F519}"/>
    <cellStyle name="Comma 5 3 2 2 4 2 3 2" xfId="21307" xr:uid="{113E7A58-A99D-4BCF-A0FB-13EB1CE0409A}"/>
    <cellStyle name="Comma 5 3 2 2 4 2 4" xfId="28675" xr:uid="{8DE688C5-537B-47A8-AE3F-35341CEE66EF}"/>
    <cellStyle name="Comma 5 3 2 2 4 2 5" xfId="25944" xr:uid="{AAFF93DB-5388-405A-A1AD-12F8FD651DE5}"/>
    <cellStyle name="Comma 5 3 2 2 4 2 6" xfId="15641" xr:uid="{FDB837A0-16E1-4F02-98AD-01678890DB27}"/>
    <cellStyle name="Comma 5 3 2 2 4 3" xfId="3652" xr:uid="{00000000-0005-0000-0000-0000F5010000}"/>
    <cellStyle name="Comma 5 3 2 2 4 4" xfId="5545" xr:uid="{A02B8927-C6C9-4981-8371-BC5F4FFB90CF}"/>
    <cellStyle name="Comma 5 3 2 2 4 4 2" xfId="30166" xr:uid="{36DCF6D5-466E-41C4-A0D2-6380E4FE4CBD}"/>
    <cellStyle name="Comma 5 3 2 2 4 5" xfId="24206" xr:uid="{EA34B4EF-3E9F-4C0B-9FF3-F638CFE397CA}"/>
    <cellStyle name="Comma 5 3 2 2 4 6" xfId="13517" xr:uid="{970BC1FE-57FD-4E25-9E11-06B96A5F0C91}"/>
    <cellStyle name="Comma 5 3 2 2 5" xfId="4238" xr:uid="{8B6E58F7-0192-48F8-B6FC-70C1E0C133D5}"/>
    <cellStyle name="Comma 5 3 2 2 5 2" xfId="9010" xr:uid="{55FBEF45-EC69-4E11-8A17-A2E69465326C}"/>
    <cellStyle name="Comma 5 3 2 2 5 2 2" xfId="29081" xr:uid="{2407A847-EA3F-4F61-90DC-C97610FFA662}"/>
    <cellStyle name="Comma 5 3 2 2 5 2 3" xfId="28458" xr:uid="{B7915A89-7465-4B46-84A0-1E8D8551BF38}"/>
    <cellStyle name="Comma 5 3 2 2 5 2 4" xfId="19390" xr:uid="{3D06A3B1-A1DD-475F-9DD4-C89790FEBBE5}"/>
    <cellStyle name="Comma 5 3 2 2 5 3" xfId="11843" xr:uid="{E403C161-1D3D-4082-B650-A1F1DFC3CB8D}"/>
    <cellStyle name="Comma 5 3 2 2 5 3 2" xfId="22223" xr:uid="{1AA8CE2E-465D-43DC-B1AC-5FDDB5246458}"/>
    <cellStyle name="Comma 5 3 2 2 5 4" xfId="22671" xr:uid="{3AD68E01-C7E2-4706-BA90-4956E1ADB08D}"/>
    <cellStyle name="Comma 5 3 2 2 5 5" xfId="16557" xr:uid="{EE68A2B4-8AF6-4162-878E-A65980BC098E}"/>
    <cellStyle name="Comma 5 3 2 2 6" xfId="4857" xr:uid="{708195BE-D60E-45FC-849B-1AAC97801F00}"/>
    <cellStyle name="Comma 5 3 2 2 6 2" xfId="28559" xr:uid="{BD568B2A-F9B1-4D17-B640-3623EE7CAC30}"/>
    <cellStyle name="Comma 5 3 2 2 6 3" xfId="26166" xr:uid="{27C47F0C-B9F6-4597-822F-2C5F7C5FB64F}"/>
    <cellStyle name="Comma 5 3 2 2 6 4" xfId="14149" xr:uid="{63953720-10EC-4643-9AEE-69438185FB2A}"/>
    <cellStyle name="Comma 5 3 2 2 7" xfId="6602" xr:uid="{98B5AC0E-D832-4D8B-A0D5-351EC6061F08}"/>
    <cellStyle name="Comma 5 3 2 2 7 2" xfId="28195" xr:uid="{263BDD9F-C289-4B89-BC07-2907BA8F8736}"/>
    <cellStyle name="Comma 5 3 2 2 7 3" xfId="26026" xr:uid="{1E22E622-71C9-4916-8A9F-4FB5D10C03E0}"/>
    <cellStyle name="Comma 5 3 2 2 7 4" xfId="16982" xr:uid="{F96EF380-ECEA-4B8A-B4D9-F0425A7C9CFC}"/>
    <cellStyle name="Comma 5 3 2 2 8" xfId="9435" xr:uid="{112738C0-1CC2-44AE-AF8B-F23ECC39055F}"/>
    <cellStyle name="Comma 5 3 2 2 8 2" xfId="19815" xr:uid="{49B65756-72B0-4442-A8AC-48CA29401AB9}"/>
    <cellStyle name="Comma 5 3 2 2 9" xfId="23279" xr:uid="{EA252DCF-1D4A-43F0-A927-AF12D7AE13F8}"/>
    <cellStyle name="Comma 5 3 2 3" xfId="1601" xr:uid="{00000000-0005-0000-0000-0000F6010000}"/>
    <cellStyle name="Comma 5 3 2 3 2" xfId="3017" xr:uid="{00000000-0005-0000-0000-000097010000}"/>
    <cellStyle name="Comma 5 3 2 3 2 2" xfId="6159" xr:uid="{61D413E5-DB6E-492C-8B47-02BFADD98E21}"/>
    <cellStyle name="Comma 5 3 2 3 2 2 2" xfId="25667" xr:uid="{ECD3007B-AB55-4924-8E44-EED1B3DC4895}"/>
    <cellStyle name="Comma 5 3 2 3 2 2 2 2" xfId="26049" xr:uid="{36AB2384-EEB9-48E6-9997-4A4F24685914}"/>
    <cellStyle name="Comma 5 3 2 3 2 2 3" xfId="28228" xr:uid="{63A53D60-5E09-4E12-ACDB-9B7AC43BF2CD}"/>
    <cellStyle name="Comma 5 3 2 3 2 2 4" xfId="15644" xr:uid="{EFA7C0C6-9201-495A-A865-995833A44D24}"/>
    <cellStyle name="Comma 5 3 2 3 2 3" xfId="8097" xr:uid="{B86FB38A-9BC1-4484-8EA8-4961DCEEA2B6}"/>
    <cellStyle name="Comma 5 3 2 3 2 3 2" xfId="28779" xr:uid="{8E8F1AE3-0968-4CC5-8846-550B57BF6B4B}"/>
    <cellStyle name="Comma 5 3 2 3 2 3 3" xfId="26722" xr:uid="{0D322364-39A8-470B-B24C-D568B9D2FEC7}"/>
    <cellStyle name="Comma 5 3 2 3 2 3 4" xfId="18477" xr:uid="{E0830030-E6EA-49BD-9317-AC595E66A444}"/>
    <cellStyle name="Comma 5 3 2 3 2 4" xfId="10930" xr:uid="{FE919D4E-E0F3-474A-AE0E-73AD100D68B2}"/>
    <cellStyle name="Comma 5 3 2 3 2 4 2" xfId="21310" xr:uid="{40EFF97C-5646-4488-A410-46C0045165E4}"/>
    <cellStyle name="Comma 5 3 2 3 2 5" xfId="24028" xr:uid="{CD10D5B4-473A-4837-9D31-ADDEF8B2B89E}"/>
    <cellStyle name="Comma 5 3 2 3 2 6" xfId="13520" xr:uid="{F2D4A119-DAE8-4320-9336-1EC7D87368E9}"/>
    <cellStyle name="Comma 5 3 2 3 3" xfId="2666" xr:uid="{00000000-0005-0000-0000-000096010000}"/>
    <cellStyle name="Comma 5 3 2 3 3 2" xfId="7790" xr:uid="{9AACB940-3DD7-460F-BF72-CB1198BE3E42}"/>
    <cellStyle name="Comma 5 3 2 3 3 2 2" xfId="28428" xr:uid="{1023DED4-034C-46C0-85AC-E55C64504142}"/>
    <cellStyle name="Comma 5 3 2 3 3 2 3" xfId="27883" xr:uid="{0134A244-51A5-4514-91B5-7BF4B14291DF}"/>
    <cellStyle name="Comma 5 3 2 3 3 2 4" xfId="18170" xr:uid="{CD83C855-375E-42AB-82A6-EC06AC3537AF}"/>
    <cellStyle name="Comma 5 3 2 3 3 3" xfId="10623" xr:uid="{7D0E0F47-584A-4397-86E5-2949A996BB3E}"/>
    <cellStyle name="Comma 5 3 2 3 3 3 2" xfId="21003" xr:uid="{ADF39D8E-AE79-4AB7-AD70-FF8655E0AFED}"/>
    <cellStyle name="Comma 5 3 2 3 3 4" xfId="25383" xr:uid="{D656B3E5-9EF2-4DD3-BA23-B63C217627B7}"/>
    <cellStyle name="Comma 5 3 2 3 3 5" xfId="15337" xr:uid="{893B97A2-BE70-498A-8C77-CAFC1444F47C}"/>
    <cellStyle name="Comma 5 3 2 3 4" xfId="3611" xr:uid="{00000000-0005-0000-0000-0000F6010000}"/>
    <cellStyle name="Comma 5 3 2 3 5" xfId="4251" xr:uid="{44E3EAE7-C7AC-466B-AE28-FC315EF010FC}"/>
    <cellStyle name="Comma 5 3 2 3 5 2" xfId="9023" xr:uid="{889AFE3D-6BB3-4C48-92E0-0E45863380EE}"/>
    <cellStyle name="Comma 5 3 2 3 5 2 2" xfId="19403" xr:uid="{E5D4D153-2C86-4B7D-9F94-8A5AD69EF39D}"/>
    <cellStyle name="Comma 5 3 2 3 5 3" xfId="11856" xr:uid="{DADCD709-37B4-4618-B5FD-4AE2F0C1050E}"/>
    <cellStyle name="Comma 5 3 2 3 5 3 2" xfId="22236" xr:uid="{CB66ED33-56C5-423C-9D31-29B86F28C6AA}"/>
    <cellStyle name="Comma 5 3 2 3 5 4" xfId="16570" xr:uid="{C5B36E00-2B2E-4003-81E3-B89E0D229188}"/>
    <cellStyle name="Comma 5 3 2 3 6" xfId="5548" xr:uid="{B675D260-A30F-4DB2-8CCD-E217F8346325}"/>
    <cellStyle name="Comma 5 3 2 3 6 2" xfId="29949" xr:uid="{3410C8D2-558B-439D-8F52-6D90C01490A8}"/>
    <cellStyle name="Comma 5 3 2 3 7" xfId="25269" xr:uid="{3CB50019-DC2C-4BE2-BB7E-167334EBA095}"/>
    <cellStyle name="Comma 5 3 2 3 8" xfId="13067" xr:uid="{C7A9DA37-CC33-48B6-8AFD-0CC48BE10F24}"/>
    <cellStyle name="Comma 5 3 2 4" xfId="1602" xr:uid="{00000000-0005-0000-0000-0000F7010000}"/>
    <cellStyle name="Comma 5 3 2 4 2" xfId="3018" xr:uid="{00000000-0005-0000-0000-000098010000}"/>
    <cellStyle name="Comma 5 3 2 4 2 2" xfId="8098" xr:uid="{C7649695-9281-40EA-BB91-55CC922A7359}"/>
    <cellStyle name="Comma 5 3 2 4 2 2 2" xfId="28780" xr:uid="{73990E74-1063-4255-A950-145D40281FFC}"/>
    <cellStyle name="Comma 5 3 2 4 2 2 3" xfId="28348" xr:uid="{6684CE6F-2062-42C8-A041-7C5C9ADAC89D}"/>
    <cellStyle name="Comma 5 3 2 4 2 2 4" xfId="18478" xr:uid="{A58B8445-4EA5-4F14-B674-E98BB3523479}"/>
    <cellStyle name="Comma 5 3 2 4 2 3" xfId="10931" xr:uid="{170AFC33-D754-4BB6-ADAD-71308ACC902B}"/>
    <cellStyle name="Comma 5 3 2 4 2 3 2" xfId="21311" xr:uid="{382608E5-F476-4240-AC66-B91D74DE86B0}"/>
    <cellStyle name="Comma 5 3 2 4 2 4" xfId="25771" xr:uid="{732E71AD-9C09-4D82-AB83-AE567D70BE03}"/>
    <cellStyle name="Comma 5 3 2 4 2 5" xfId="15645" xr:uid="{CDBE3585-32BB-4492-839A-0E8CFA0B33E5}"/>
    <cellStyle name="Comma 5 3 2 4 3" xfId="2155" xr:uid="{00000000-0005-0000-0000-0000F7010000}"/>
    <cellStyle name="Comma 5 3 2 4 4" xfId="4393" xr:uid="{A11BE978-7C2A-4394-B26B-C7F4156424D0}"/>
    <cellStyle name="Comma 5 3 2 4 4 2" xfId="9165" xr:uid="{ABCD93B8-6116-4838-BC4E-BD3F86BD9464}"/>
    <cellStyle name="Comma 5 3 2 4 4 2 2" xfId="19545" xr:uid="{7303CAFF-93EF-4D28-99B6-A7799A67C027}"/>
    <cellStyle name="Comma 5 3 2 4 4 3" xfId="11998" xr:uid="{F2C5D82A-3446-44EE-ADA2-622A64BC7972}"/>
    <cellStyle name="Comma 5 3 2 4 4 3 2" xfId="22378" xr:uid="{D3A438AE-22B9-4BF7-9A7E-B7A500B209C5}"/>
    <cellStyle name="Comma 5 3 2 4 4 4" xfId="16712" xr:uid="{688E38BA-6390-4979-8098-4A0E3F26AF46}"/>
    <cellStyle name="Comma 5 3 2 4 5" xfId="5549" xr:uid="{24FE49EC-6989-4913-AFE3-094A4DA83C58}"/>
    <cellStyle name="Comma 5 3 2 4 5 2" xfId="30168" xr:uid="{E13C2809-0302-4219-8C31-1B87E80A3FF0}"/>
    <cellStyle name="Comma 5 3 2 4 6" xfId="23774" xr:uid="{CCFD7A9C-E3C1-4C88-93AF-DC3BE8DD6499}"/>
    <cellStyle name="Comma 5 3 2 4 7" xfId="13521" xr:uid="{2C9F4BCD-5F48-4543-A7F2-D47531FE48C9}"/>
    <cellStyle name="Comma 5 3 2 5" xfId="1597" xr:uid="{00000000-0005-0000-0000-0000F8010000}"/>
    <cellStyle name="Comma 5 3 2 5 2" xfId="3013" xr:uid="{00000000-0005-0000-0000-000099010000}"/>
    <cellStyle name="Comma 5 3 2 5 2 2" xfId="8093" xr:uid="{C79E0C8B-DE33-4890-BAA4-05C189D1E714}"/>
    <cellStyle name="Comma 5 3 2 5 2 2 2" xfId="18473" xr:uid="{7EF0285E-B82D-4ADC-AE91-8D0851496857}"/>
    <cellStyle name="Comma 5 3 2 5 2 3" xfId="10926" xr:uid="{A9FFAA07-10E2-4625-9206-79875381F6C4}"/>
    <cellStyle name="Comma 5 3 2 5 2 3 2" xfId="21306" xr:uid="{3ABF3A2F-5123-4D62-A035-B10E9ECD90ED}"/>
    <cellStyle name="Comma 5 3 2 5 2 4" xfId="28563" xr:uid="{0471347A-EF47-40DE-B68E-DDD0854A5373}"/>
    <cellStyle name="Comma 5 3 2 5 2 5" xfId="27095" xr:uid="{58216308-30EB-43DB-A323-330DCF8340DF}"/>
    <cellStyle name="Comma 5 3 2 5 2 6" xfId="15640" xr:uid="{A31B7C43-EE6B-4F45-9CDF-31D1101A763E}"/>
    <cellStyle name="Comma 5 3 2 5 3" xfId="3629" xr:uid="{00000000-0005-0000-0000-0000F8010000}"/>
    <cellStyle name="Comma 5 3 2 5 4" xfId="5544" xr:uid="{FAF9A496-4265-4C3D-953B-05827F327311}"/>
    <cellStyle name="Comma 5 3 2 5 4 2" xfId="30165" xr:uid="{3CDC6B4D-B6B7-4C1D-884F-F769B1063B3D}"/>
    <cellStyle name="Comma 5 3 2 5 5" xfId="24469" xr:uid="{AFB6647A-227D-41B4-B74F-6277070C58F5}"/>
    <cellStyle name="Comma 5 3 2 5 6" xfId="13516" xr:uid="{8580C680-8BC7-47F0-9872-44A355965C65}"/>
    <cellStyle name="Comma 5 3 2 6" xfId="2546" xr:uid="{00000000-0005-0000-0000-00009A010000}"/>
    <cellStyle name="Comma 5 3 2 6 2" xfId="5818" xr:uid="{B42CD3E3-B5A0-4D7F-8ED6-F0A83CF718C6}"/>
    <cellStyle name="Comma 5 3 2 6 2 2" xfId="28226" xr:uid="{A3F780B0-638F-4FD6-864E-68C5B39D6DCA}"/>
    <cellStyle name="Comma 5 3 2 6 2 3" xfId="26315" xr:uid="{B534AB36-6FE0-4D08-B9F6-3B18A67C9BC7}"/>
    <cellStyle name="Comma 5 3 2 6 2 4" xfId="15218" xr:uid="{19F8B05B-7B1B-413C-8AEF-99A00CA1990A}"/>
    <cellStyle name="Comma 5 3 2 6 3" xfId="7671" xr:uid="{B119D217-FEE9-4F39-9C46-B07449B1D556}"/>
    <cellStyle name="Comma 5 3 2 6 3 2" xfId="18051" xr:uid="{8137A127-67FA-4FC0-9A4B-CF57A49A2EA3}"/>
    <cellStyle name="Comma 5 3 2 6 4" xfId="10504" xr:uid="{AFE80641-2117-4BB7-8F7D-9121896F10AB}"/>
    <cellStyle name="Comma 5 3 2 6 4 2" xfId="20884" xr:uid="{2522E95E-9C3D-499A-8E4E-9A06D5634F9F}"/>
    <cellStyle name="Comma 5 3 2 6 5" xfId="22987" xr:uid="{49B7F587-D701-4986-A250-A409BE3237B0}"/>
    <cellStyle name="Comma 5 3 2 6 6" xfId="12934" xr:uid="{5B135D3C-09AD-4E30-BB6B-60138CF8FFB5}"/>
    <cellStyle name="Comma 5 3 2 7" xfId="2240" xr:uid="{00000000-0005-0000-0000-000090010000}"/>
    <cellStyle name="Comma 5 3 2 7 2" xfId="7367" xr:uid="{EBB7595B-8065-4FFE-912A-3A960CFAF648}"/>
    <cellStyle name="Comma 5 3 2 7 2 2" xfId="17747" xr:uid="{F4A253BF-AA6D-44B8-88D2-5771908DBA10}"/>
    <cellStyle name="Comma 5 3 2 7 3" xfId="10200" xr:uid="{08E08A14-B7D5-4DC3-8546-79A2B7CA1538}"/>
    <cellStyle name="Comma 5 3 2 7 3 2" xfId="20580" xr:uid="{19789572-D886-48F5-AF6F-5C39143B76A0}"/>
    <cellStyle name="Comma 5 3 2 7 4" xfId="25551" xr:uid="{3905059D-883A-43CF-8FD1-2A2577249EE8}"/>
    <cellStyle name="Comma 5 3 2 7 5" xfId="27770" xr:uid="{5536DCEE-0E1D-4E26-B20B-64C6BD9A4356}"/>
    <cellStyle name="Comma 5 3 2 7 6" xfId="14914" xr:uid="{39D80824-8F21-4CB3-9694-DB4CEDD343F5}"/>
    <cellStyle name="Comma 5 3 2 8" xfId="3793" xr:uid="{819F03ED-7C8B-456D-823F-A9502DAE0057}"/>
    <cellStyle name="Comma 5 3 2 8 2" xfId="8629" xr:uid="{E4B0903F-6E6F-4A8E-B1B9-EE2A8455EE72}"/>
    <cellStyle name="Comma 5 3 2 8 2 2" xfId="19009" xr:uid="{8DB4F203-1121-416C-B01F-9F2B947A4396}"/>
    <cellStyle name="Comma 5 3 2 8 3" xfId="11462" xr:uid="{A35D6D00-4B8A-4B1E-8343-7C9D122B4970}"/>
    <cellStyle name="Comma 5 3 2 8 3 2" xfId="21842" xr:uid="{7A10F71C-48B8-4D48-B76C-C08E02C7E26E}"/>
    <cellStyle name="Comma 5 3 2 8 4" xfId="26924" xr:uid="{81ED6D7E-DED7-4A6D-950B-948283FEF26C}"/>
    <cellStyle name="Comma 5 3 2 8 5" xfId="27135" xr:uid="{FA637432-DA40-4BB9-A677-FFE8F7735C16}"/>
    <cellStyle name="Comma 5 3 2 8 6" xfId="16176" xr:uid="{22A43F48-9D88-40D3-91A0-EBEB420A8735}"/>
    <cellStyle name="Comma 5 3 2 9" xfId="4856" xr:uid="{D5470E20-D035-4D15-BFDA-251B57D6DBDA}"/>
    <cellStyle name="Comma 5 3 2 9 2" xfId="14148" xr:uid="{3FA9249D-3FC7-4517-AC59-94301A61B933}"/>
    <cellStyle name="Comma 5 3 3" xfId="464" xr:uid="{00000000-0005-0000-0000-0000F9010000}"/>
    <cellStyle name="Comma 5 3 3 10" xfId="9436" xr:uid="{21C97C8C-6484-4207-9292-8BAD5BA7D5B0}"/>
    <cellStyle name="Comma 5 3 3 10 2" xfId="19816" xr:uid="{DC75FED8-810B-4248-890D-5DD7BA087CF4}"/>
    <cellStyle name="Comma 5 3 3 11" xfId="22999" xr:uid="{EF9388E6-D73B-48FD-8E97-5A2B90364689}"/>
    <cellStyle name="Comma 5 3 3 12" xfId="12505" xr:uid="{69B7EA0F-CE62-4329-AF05-BA99CE648FEA}"/>
    <cellStyle name="Comma 5 3 3 2" xfId="1604" xr:uid="{00000000-0005-0000-0000-0000FA010000}"/>
    <cellStyle name="Comma 5 3 3 2 2" xfId="3020" xr:uid="{00000000-0005-0000-0000-00009D010000}"/>
    <cellStyle name="Comma 5 3 3 2 2 2" xfId="6160" xr:uid="{F0378657-A031-41C3-8F41-6A3B1C9D7262}"/>
    <cellStyle name="Comma 5 3 3 2 2 2 2" xfId="24487" xr:uid="{83A5BCE7-FA93-4046-B93F-7DBF3B6AB5B0}"/>
    <cellStyle name="Comma 5 3 3 2 2 2 2 2" xfId="28429" xr:uid="{736DE6AB-161D-4636-A9C4-28D443D12817}"/>
    <cellStyle name="Comma 5 3 3 2 2 2 3" xfId="25862" xr:uid="{EF41CB2E-81DC-4902-9327-C9A51BC071F7}"/>
    <cellStyle name="Comma 5 3 3 2 2 2 4" xfId="15647" xr:uid="{C0FB2A2C-4C20-4F64-9D84-D761A735928E}"/>
    <cellStyle name="Comma 5 3 3 2 2 3" xfId="8100" xr:uid="{B2675BE1-25A0-44ED-A687-FABA010D7052}"/>
    <cellStyle name="Comma 5 3 3 2 2 3 2" xfId="28782" xr:uid="{CD187FE2-8FC9-4015-BA37-C9208C8B8BCD}"/>
    <cellStyle name="Comma 5 3 3 2 2 3 3" xfId="27515" xr:uid="{A9561C34-DD72-4C66-8DF2-57C9CBED73B7}"/>
    <cellStyle name="Comma 5 3 3 2 2 3 4" xfId="18480" xr:uid="{79D6A84A-3C44-4127-B3BE-F560C8722588}"/>
    <cellStyle name="Comma 5 3 3 2 2 4" xfId="10933" xr:uid="{FC1448B2-004C-4E12-9A63-CEFA1F59C4C9}"/>
    <cellStyle name="Comma 5 3 3 2 2 4 2" xfId="21313" xr:uid="{7117E778-8A37-419F-9809-286168CEAAF0}"/>
    <cellStyle name="Comma 5 3 3 2 2 5" xfId="24861" xr:uid="{B51606ED-93C3-4546-96D3-BF8C0BF40DBF}"/>
    <cellStyle name="Comma 5 3 3 2 2 6" xfId="13523" xr:uid="{D52808DA-9BA2-40FA-B25F-1CE8A6D6144A}"/>
    <cellStyle name="Comma 5 3 3 2 3" xfId="2668" xr:uid="{00000000-0005-0000-0000-00009C010000}"/>
    <cellStyle name="Comma 5 3 3 2 3 2" xfId="7792" xr:uid="{BA0259BC-20EC-4EC6-A19B-378E2BF4E5BD}"/>
    <cellStyle name="Comma 5 3 3 2 3 2 2" xfId="26041" xr:uid="{6782B069-944B-4921-902D-DAC3C150A5C8}"/>
    <cellStyle name="Comma 5 3 3 2 3 2 3" xfId="27403" xr:uid="{AB192F4A-9390-4A16-84D9-2950F8504D98}"/>
    <cellStyle name="Comma 5 3 3 2 3 2 4" xfId="18172" xr:uid="{D16734CC-6C0E-4BC9-A5A0-189B1E08715C}"/>
    <cellStyle name="Comma 5 3 3 2 3 3" xfId="10625" xr:uid="{32D673C7-F16B-40F9-AC5C-B8145FC66C24}"/>
    <cellStyle name="Comma 5 3 3 2 3 3 2" xfId="21005" xr:uid="{B3228333-204B-4211-857B-61CFE09A4DD0}"/>
    <cellStyle name="Comma 5 3 3 2 3 4" xfId="24832" xr:uid="{E9D5CFD3-D44C-4075-AD3A-C62EE31B5ADB}"/>
    <cellStyle name="Comma 5 3 3 2 3 5" xfId="15339" xr:uid="{2B66F20E-EAA4-4812-8730-8E1672063F27}"/>
    <cellStyle name="Comma 5 3 3 2 4" xfId="3581" xr:uid="{00000000-0005-0000-0000-0000FA010000}"/>
    <cellStyle name="Comma 5 3 3 2 5" xfId="4253" xr:uid="{A5CF6D28-9ECD-4973-BC14-8B113A41CBB2}"/>
    <cellStyle name="Comma 5 3 3 2 5 2" xfId="9025" xr:uid="{81DA8887-A952-4CB5-B5A0-720526160502}"/>
    <cellStyle name="Comma 5 3 3 2 5 2 2" xfId="19405" xr:uid="{9F87F3FB-8163-420F-AF07-B1B25D8E6B97}"/>
    <cellStyle name="Comma 5 3 3 2 5 3" xfId="11858" xr:uid="{39BC5741-8C7C-4596-95A7-4B99CB39F1EF}"/>
    <cellStyle name="Comma 5 3 3 2 5 3 2" xfId="22238" xr:uid="{02B4F7AC-9C43-4DF6-B35E-A78401953B0E}"/>
    <cellStyle name="Comma 5 3 3 2 5 4" xfId="26577" xr:uid="{715E5C5C-3872-4D4B-8066-80917DA2B00F}"/>
    <cellStyle name="Comma 5 3 3 2 5 5" xfId="26522" xr:uid="{DD64C3BF-EB63-4953-9816-A8B3F2938B93}"/>
    <cellStyle name="Comma 5 3 3 2 5 6" xfId="16572" xr:uid="{C7F6F558-EB37-4FA6-8D0D-9C76D89D3C31}"/>
    <cellStyle name="Comma 5 3 3 2 6" xfId="5551" xr:uid="{4187F2AE-FC25-459C-94F0-C08F8C49EAB6}"/>
    <cellStyle name="Comma 5 3 3 2 6 2" xfId="29950" xr:uid="{5BA55643-1D9C-4314-9694-5395CE9DA054}"/>
    <cellStyle name="Comma 5 3 3 2 7" xfId="23667" xr:uid="{91BF73DA-EC0B-44F2-A377-D678D1D931C6}"/>
    <cellStyle name="Comma 5 3 3 2 8" xfId="13069" xr:uid="{5A1B561C-420F-4222-BE17-44FB8D23587F}"/>
    <cellStyle name="Comma 5 3 3 3" xfId="1605" xr:uid="{00000000-0005-0000-0000-0000FB010000}"/>
    <cellStyle name="Comma 5 3 3 3 2" xfId="3021" xr:uid="{00000000-0005-0000-0000-00009E010000}"/>
    <cellStyle name="Comma 5 3 3 3 2 2" xfId="8101" xr:uid="{71351A0E-9600-4E72-9840-11F6678BBA7E}"/>
    <cellStyle name="Comma 5 3 3 3 2 2 2" xfId="28783" xr:uid="{9AF95032-FDC7-426E-9FA5-3DDF7531EC3F}"/>
    <cellStyle name="Comma 5 3 3 3 2 2 3" xfId="27359" xr:uid="{AF8FC180-40A7-4467-8461-0F02DD4D3C6E}"/>
    <cellStyle name="Comma 5 3 3 3 2 2 4" xfId="18481" xr:uid="{BAF314CE-CF4C-437D-A00F-570FFE58EC30}"/>
    <cellStyle name="Comma 5 3 3 3 2 3" xfId="10934" xr:uid="{9B76D318-B1E9-436A-B992-2D64252C7AAD}"/>
    <cellStyle name="Comma 5 3 3 3 2 3 2" xfId="21314" xr:uid="{AE67A613-5087-430B-B428-D0B0FF8BF451}"/>
    <cellStyle name="Comma 5 3 3 3 2 4" xfId="25807" xr:uid="{2996B49C-510E-4B6E-8C70-DF8541473783}"/>
    <cellStyle name="Comma 5 3 3 3 2 5" xfId="15648" xr:uid="{439D8AF1-C819-4298-9444-E5ED4AB96272}"/>
    <cellStyle name="Comma 5 3 3 3 3" xfId="2055" xr:uid="{00000000-0005-0000-0000-0000FB010000}"/>
    <cellStyle name="Comma 5 3 3 3 4" xfId="4394" xr:uid="{E89B999B-B3E7-4A73-B66A-50781482C73F}"/>
    <cellStyle name="Comma 5 3 3 3 4 2" xfId="9166" xr:uid="{0A5DB9DD-14BB-4F28-A06E-2A646C46ABCE}"/>
    <cellStyle name="Comma 5 3 3 3 4 2 2" xfId="19546" xr:uid="{581AD4F7-33A4-49D4-A773-0A7A76E058D0}"/>
    <cellStyle name="Comma 5 3 3 3 4 3" xfId="11999" xr:uid="{ECEED630-A621-4A01-985D-EC78683A2B49}"/>
    <cellStyle name="Comma 5 3 3 3 4 3 2" xfId="22379" xr:uid="{8BB66300-1C6C-4C6D-A151-2182056A2E3F}"/>
    <cellStyle name="Comma 5 3 3 3 4 4" xfId="16713" xr:uid="{F9F95F45-93EF-40F5-AC66-AD859F54452C}"/>
    <cellStyle name="Comma 5 3 3 3 5" xfId="5552" xr:uid="{852AF332-CD15-420F-91F8-CD9F12875AF9}"/>
    <cellStyle name="Comma 5 3 3 3 5 2" xfId="29930" xr:uid="{D37E6720-1773-4A6D-9BD0-B53FA6A8732F}"/>
    <cellStyle name="Comma 5 3 3 3 6" xfId="24382" xr:uid="{6D46F744-F4D0-4A9F-9F98-39B09CFF4FD0}"/>
    <cellStyle name="Comma 5 3 3 3 7" xfId="13524" xr:uid="{40CE92C6-202E-42EA-AB24-0F2B6A178776}"/>
    <cellStyle name="Comma 5 3 3 4" xfId="1603" xr:uid="{00000000-0005-0000-0000-0000FC010000}"/>
    <cellStyle name="Comma 5 3 3 4 2" xfId="3019" xr:uid="{00000000-0005-0000-0000-00009F010000}"/>
    <cellStyle name="Comma 5 3 3 4 2 2" xfId="8099" xr:uid="{544E758B-4173-4486-A0FD-B7C1D5A3EED0}"/>
    <cellStyle name="Comma 5 3 3 4 2 2 2" xfId="28781" xr:uid="{A34ACBBC-9EE0-472C-9E4A-0F0C3102D445}"/>
    <cellStyle name="Comma 5 3 3 4 2 2 3" xfId="26393" xr:uid="{8094F510-7D49-4500-B375-D05024E145D1}"/>
    <cellStyle name="Comma 5 3 3 4 2 2 4" xfId="18479" xr:uid="{DE0004DC-80FC-462D-ADDF-B69BDB1B718B}"/>
    <cellStyle name="Comma 5 3 3 4 2 3" xfId="10932" xr:uid="{B25731BD-804C-4A9E-94AD-51A601972723}"/>
    <cellStyle name="Comma 5 3 3 4 2 3 2" xfId="21312" xr:uid="{63806544-5C9C-47C4-A9F0-C8C812469FC6}"/>
    <cellStyle name="Comma 5 3 3 4 2 4" xfId="24979" xr:uid="{DD48F4C4-F4A9-4991-A28A-CF8D24A7DB4B}"/>
    <cellStyle name="Comma 5 3 3 4 2 5" xfId="15646" xr:uid="{A4823BE1-F88F-4F66-8ABE-6DCF50AEBAD5}"/>
    <cellStyle name="Comma 5 3 3 4 3" xfId="3704" xr:uid="{00000000-0005-0000-0000-0000FC010000}"/>
    <cellStyle name="Comma 5 3 3 4 4" xfId="5550" xr:uid="{5EA18817-182A-4DFF-8D89-0C3B4AD4769E}"/>
    <cellStyle name="Comma 5 3 3 4 4 2" xfId="30169" xr:uid="{9B932403-BFD3-4DEA-BCF2-4C23A021544C}"/>
    <cellStyle name="Comma 5 3 3 4 5" xfId="22784" xr:uid="{28BD268A-AF7A-4331-B04E-590DC67114E4}"/>
    <cellStyle name="Comma 5 3 3 4 6" xfId="13522" xr:uid="{D513B4F0-EF6D-4187-B69B-9D767B48BF27}"/>
    <cellStyle name="Comma 5 3 3 5" xfId="2589" xr:uid="{00000000-0005-0000-0000-0000A0010000}"/>
    <cellStyle name="Comma 5 3 3 5 2" xfId="5854" xr:uid="{F93E9B1A-A474-44AD-9395-8F643A337802}"/>
    <cellStyle name="Comma 5 3 3 5 2 2" xfId="28752" xr:uid="{AD7343D1-0323-418F-966B-5DFEE866B907}"/>
    <cellStyle name="Comma 5 3 3 5 2 3" xfId="28710" xr:uid="{DBB1E1D6-6DF3-4BDF-8453-31841EAB8F09}"/>
    <cellStyle name="Comma 5 3 3 5 2 4" xfId="15261" xr:uid="{C78FEB5F-3916-4BD9-B5FF-ADF57A710E6D}"/>
    <cellStyle name="Comma 5 3 3 5 3" xfId="7714" xr:uid="{81760B78-A9B0-4018-A496-74E26CE4CD25}"/>
    <cellStyle name="Comma 5 3 3 5 3 2" xfId="18094" xr:uid="{BCD8DF04-D3F8-4C0A-8D37-D472ED1AA488}"/>
    <cellStyle name="Comma 5 3 3 5 4" xfId="10547" xr:uid="{8670A055-8060-4167-93CD-3AAB90DF24CC}"/>
    <cellStyle name="Comma 5 3 3 5 4 2" xfId="20927" xr:uid="{493FCFEE-0696-4A32-8BAC-C911CA24105A}"/>
    <cellStyle name="Comma 5 3 3 5 5" xfId="25161" xr:uid="{F2723F95-640E-438A-8BEA-F437A339DAA5}"/>
    <cellStyle name="Comma 5 3 3 5 6" xfId="12977" xr:uid="{C6C066F2-0406-4047-A8EC-2FB91660F9AE}"/>
    <cellStyle name="Comma 5 3 3 6" xfId="2273" xr:uid="{00000000-0005-0000-0000-00009B010000}"/>
    <cellStyle name="Comma 5 3 3 6 2" xfId="7400" xr:uid="{FAB0EE96-DD8A-40E2-B692-599100EC51FB}"/>
    <cellStyle name="Comma 5 3 3 6 2 2" xfId="17780" xr:uid="{0F830196-7FD9-443B-B78A-D7133708C2FC}"/>
    <cellStyle name="Comma 5 3 3 6 3" xfId="10233" xr:uid="{67535CCC-4C98-40AE-B35C-FD216819F253}"/>
    <cellStyle name="Comma 5 3 3 6 3 2" xfId="20613" xr:uid="{2D325197-2147-4F08-912E-F2E8AA980477}"/>
    <cellStyle name="Comma 5 3 3 6 4" xfId="23544" xr:uid="{1042610D-7F33-4480-B089-520213FF025D}"/>
    <cellStyle name="Comma 5 3 3 6 5" xfId="27225" xr:uid="{B1BAB9D3-0C62-4C88-849A-8A400AC682EA}"/>
    <cellStyle name="Comma 5 3 3 6 6" xfId="14947" xr:uid="{AB5082DF-CE94-4F51-916D-22419B9D714A}"/>
    <cellStyle name="Comma 5 3 3 7" xfId="3812" xr:uid="{BC3C2040-D90E-4060-AED6-93DE29ED2268}"/>
    <cellStyle name="Comma 5 3 3 7 2" xfId="8646" xr:uid="{71EDDCD3-CC4F-4D95-B169-0A01B59DB261}"/>
    <cellStyle name="Comma 5 3 3 7 2 2" xfId="19026" xr:uid="{175A5B1F-63F3-43FA-9B65-558145EB4872}"/>
    <cellStyle name="Comma 5 3 3 7 3" xfId="11479" xr:uid="{EAD417FE-C5D1-4E96-857A-95331B6CD7F4}"/>
    <cellStyle name="Comma 5 3 3 7 3 2" xfId="21859" xr:uid="{D52723FC-C70A-485A-891B-DE707F47651B}"/>
    <cellStyle name="Comma 5 3 3 7 4" xfId="27876" xr:uid="{8C26BB6C-E7A8-4A15-AC6D-0A61A02A7810}"/>
    <cellStyle name="Comma 5 3 3 7 5" xfId="27704" xr:uid="{2A29C485-21F3-42A8-B796-D0BF79DF086E}"/>
    <cellStyle name="Comma 5 3 3 7 6" xfId="16193" xr:uid="{26DB009D-FA95-4A62-A9AC-DBEF575AF7B8}"/>
    <cellStyle name="Comma 5 3 3 8" xfId="4858" xr:uid="{1DAA2A46-40FE-4552-920E-DD12D41D0ABB}"/>
    <cellStyle name="Comma 5 3 3 8 2" xfId="14150" xr:uid="{0EA1FB59-CBD9-436C-BF4A-2E2AF687C5E1}"/>
    <cellStyle name="Comma 5 3 3 9" xfId="6603" xr:uid="{35DA5AA4-DCFA-4B61-A537-26CFA0B983D5}"/>
    <cellStyle name="Comma 5 3 3 9 2" xfId="16983" xr:uid="{383A706C-65B6-4384-93C8-AEA46C24A694}"/>
    <cellStyle name="Comma 5 3 4" xfId="465" xr:uid="{00000000-0005-0000-0000-0000FD010000}"/>
    <cellStyle name="Comma 5 3 4 10" xfId="12663" xr:uid="{E3A457C5-1DC6-4D31-B493-CEB14676FFE2}"/>
    <cellStyle name="Comma 5 3 4 2" xfId="1607" xr:uid="{00000000-0005-0000-0000-0000FE010000}"/>
    <cellStyle name="Comma 5 3 4 2 2" xfId="3022" xr:uid="{00000000-0005-0000-0000-0000A2010000}"/>
    <cellStyle name="Comma 5 3 4 2 2 2" xfId="8102" xr:uid="{0331F688-59BC-4FE3-B4ED-DBDE87F225FE}"/>
    <cellStyle name="Comma 5 3 4 2 2 2 2" xfId="28784" xr:uid="{6A7DE4A5-9E82-4180-A907-2CFB72549A4D}"/>
    <cellStyle name="Comma 5 3 4 2 2 2 3" xfId="27842" xr:uid="{A8F0501A-D808-4877-8417-EE54528C2650}"/>
    <cellStyle name="Comma 5 3 4 2 2 2 4" xfId="18482" xr:uid="{3BD662D0-16FB-49C2-BF66-E642E1206413}"/>
    <cellStyle name="Comma 5 3 4 2 2 3" xfId="10935" xr:uid="{B20721C7-DD83-4D5E-95AF-810D14072C7F}"/>
    <cellStyle name="Comma 5 3 4 2 2 3 2" xfId="21315" xr:uid="{4C747FC6-9EE2-4CFE-A9AA-C0B508C14E23}"/>
    <cellStyle name="Comma 5 3 4 2 2 4" xfId="22881" xr:uid="{88E6124C-4E8C-4A16-949E-CBE25C6106E4}"/>
    <cellStyle name="Comma 5 3 4 2 2 5" xfId="15649" xr:uid="{D90D7B85-E6F5-4A2B-97FA-EA362F3F6127}"/>
    <cellStyle name="Comma 5 3 4 2 3" xfId="3596" xr:uid="{00000000-0005-0000-0000-0000FE010000}"/>
    <cellStyle name="Comma 5 3 4 2 4" xfId="5553" xr:uid="{35E0FB29-70AE-49EE-AD4C-77EC9E6EEAEA}"/>
    <cellStyle name="Comma 5 3 4 2 4 2" xfId="30170" xr:uid="{9C53C88E-CB3E-41E6-933A-05D36E345BD7}"/>
    <cellStyle name="Comma 5 3 4 2 5" xfId="22938" xr:uid="{582C414B-198D-4637-B347-4B42CEFBB74A}"/>
    <cellStyle name="Comma 5 3 4 2 6" xfId="13525" xr:uid="{D84DC151-B278-47F9-B950-3A81B18250F8}"/>
    <cellStyle name="Comma 5 3 4 3" xfId="1608" xr:uid="{00000000-0005-0000-0000-0000FF010000}"/>
    <cellStyle name="Comma 5 3 4 3 2" xfId="2665" xr:uid="{00000000-0005-0000-0000-0000A3010000}"/>
    <cellStyle name="Comma 5 3 4 3 2 2" xfId="7789" xr:uid="{8AA74F61-6495-4F7E-A39B-B89DFF004744}"/>
    <cellStyle name="Comma 5 3 4 3 2 2 2" xfId="18169" xr:uid="{0E429779-8103-4747-B43C-F6EBCB513CD7}"/>
    <cellStyle name="Comma 5 3 4 3 2 3" xfId="10622" xr:uid="{A45B6330-0CC5-40C8-A69D-6E85EF031BC0}"/>
    <cellStyle name="Comma 5 3 4 3 2 3 2" xfId="21002" xr:uid="{2F0E2A0C-09FF-4E44-858C-81BB4579D738}"/>
    <cellStyle name="Comma 5 3 4 3 2 4" xfId="28634" xr:uid="{CE7A6B10-8A87-4297-BEC1-DA9E42555B67}"/>
    <cellStyle name="Comma 5 3 4 3 2 5" xfId="27180" xr:uid="{046E0A85-377B-433E-A7F9-442127F24884}"/>
    <cellStyle name="Comma 5 3 4 3 2 6" xfId="15336" xr:uid="{0FA2FB61-1314-4E5D-8D6A-EFBD4F4D6146}"/>
    <cellStyle name="Comma 5 3 4 3 3" xfId="2864" xr:uid="{00000000-0005-0000-0000-0000FF010000}"/>
    <cellStyle name="Comma 5 3 4 3 4" xfId="5554" xr:uid="{4D8E9BD3-63C9-4A5A-A1CD-7F725C1BEB6C}"/>
    <cellStyle name="Comma 5 3 4 3 4 2" xfId="30125" xr:uid="{E7228D18-E03A-4A2A-BDA2-928A8BA537E5}"/>
    <cellStyle name="Comma 5 3 4 3 5" xfId="22739" xr:uid="{F2E0233A-5D31-42C9-8526-FBEE444B357C}"/>
    <cellStyle name="Comma 5 3 4 3 6" xfId="13066" xr:uid="{3A9E7DDA-C199-40C1-A7A4-35AB462E9097}"/>
    <cellStyle name="Comma 5 3 4 4" xfId="1606" xr:uid="{00000000-0005-0000-0000-000000020000}"/>
    <cellStyle name="Comma 5 3 4 4 2" xfId="4651" xr:uid="{3114D812-06FF-427C-8717-B5A3AE78D681}"/>
    <cellStyle name="Comma 5 3 4 4 2 2" xfId="9404" xr:uid="{755A4772-9956-4090-86E0-B56777673956}"/>
    <cellStyle name="Comma 5 3 4 4 2 2 2" xfId="19784" xr:uid="{7E46F6B6-485C-498F-B613-E1BEAF63E804}"/>
    <cellStyle name="Comma 5 3 4 4 2 3" xfId="12237" xr:uid="{AF7D70A5-A9E3-4116-AC18-EF98F134E557}"/>
    <cellStyle name="Comma 5 3 4 4 2 3 2" xfId="22617" xr:uid="{684292E3-A794-4384-9C3E-1EE9BE35DE1E}"/>
    <cellStyle name="Comma 5 3 4 4 2 4" xfId="16951" xr:uid="{080785A3-86CC-4292-8712-52952C8DFA39}"/>
    <cellStyle name="Comma 5 3 4 4 3" xfId="23069" xr:uid="{E1AC5A32-0335-49F7-8FAA-551698E3F7C0}"/>
    <cellStyle name="Comma 5 3 4 5" xfId="4120" xr:uid="{50AC6762-96F6-4507-990A-01F8DAFEBCCF}"/>
    <cellStyle name="Comma 5 3 4 5 2" xfId="8892" xr:uid="{568733DA-31B9-473C-B8A9-922D2E52570C}"/>
    <cellStyle name="Comma 5 3 4 5 2 2" xfId="19272" xr:uid="{4A7D6035-9E3D-47C7-8510-0B6ABD285CE8}"/>
    <cellStyle name="Comma 5 3 4 5 3" xfId="11725" xr:uid="{DBFF6D81-ADC5-48C1-98D0-A780BD9804B3}"/>
    <cellStyle name="Comma 5 3 4 5 3 2" xfId="22105" xr:uid="{DC651E95-936F-4B8A-9A96-1B6E764FEFB6}"/>
    <cellStyle name="Comma 5 3 4 5 4" xfId="26229" xr:uid="{DE9C6979-592B-4537-ABBE-3101AFB3908B}"/>
    <cellStyle name="Comma 5 3 4 5 5" xfId="27930" xr:uid="{A867C619-3AC0-4C8E-BC10-124D5F1A6923}"/>
    <cellStyle name="Comma 5 3 4 5 6" xfId="16439" xr:uid="{65CAFCD8-BCF5-48B5-A2F6-7B51FAB9BE2C}"/>
    <cellStyle name="Comma 5 3 4 6" xfId="4859" xr:uid="{9A11D7C7-2F2C-4554-B860-DA57FB9EC9B5}"/>
    <cellStyle name="Comma 5 3 4 6 2" xfId="14151" xr:uid="{03648C94-FD9A-4DAD-908E-CDC4D8281447}"/>
    <cellStyle name="Comma 5 3 4 7" xfId="6604" xr:uid="{B417F8B8-E539-4FE6-92B7-7D34C566A5B1}"/>
    <cellStyle name="Comma 5 3 4 7 2" xfId="16984" xr:uid="{0B3709B3-08A6-4B88-B474-2A383A7BD0EE}"/>
    <cellStyle name="Comma 5 3 4 8" xfId="9437" xr:uid="{CEA750C3-DF05-411F-9FD7-5AC383E5B8BD}"/>
    <cellStyle name="Comma 5 3 4 8 2" xfId="19817" xr:uid="{56B0C3E0-9D69-47D7-A834-6A8D51E2137E}"/>
    <cellStyle name="Comma 5 3 4 9" xfId="25174" xr:uid="{5AA03A37-5A4A-404D-A0C2-D2A1B9AEEB9F}"/>
    <cellStyle name="Comma 5 3 5" xfId="1609" xr:uid="{00000000-0005-0000-0000-000001020000}"/>
    <cellStyle name="Comma 5 3 5 2" xfId="3023" xr:uid="{00000000-0005-0000-0000-0000A4010000}"/>
    <cellStyle name="Comma 5 3 5 2 2" xfId="8103" xr:uid="{758D0A3D-DAE7-44D0-A070-611359FDD246}"/>
    <cellStyle name="Comma 5 3 5 2 2 2" xfId="28785" xr:uid="{9062B341-5510-4E13-B903-2662C3340177}"/>
    <cellStyle name="Comma 5 3 5 2 2 3" xfId="25941" xr:uid="{FBBCB61A-313E-4E94-8410-0262FF9D8802}"/>
    <cellStyle name="Comma 5 3 5 2 2 4" xfId="18483" xr:uid="{C080EA8A-3A8F-4907-904E-D727E657353D}"/>
    <cellStyle name="Comma 5 3 5 2 3" xfId="10936" xr:uid="{56CC6414-4972-4AFC-A6DD-34C624E1B419}"/>
    <cellStyle name="Comma 5 3 5 2 3 2" xfId="21316" xr:uid="{C2F48BB0-9443-4B3E-AD42-19FA47EAB766}"/>
    <cellStyle name="Comma 5 3 5 2 4" xfId="25664" xr:uid="{11363C39-2A83-45E4-A831-F7C2468C73A4}"/>
    <cellStyle name="Comma 5 3 5 2 5" xfId="15650" xr:uid="{D87C9E01-C85F-4ED0-9A81-B5F7E31832ED}"/>
    <cellStyle name="Comma 5 3 5 3" xfId="3602" xr:uid="{00000000-0005-0000-0000-000001020000}"/>
    <cellStyle name="Comma 5 3 5 4" xfId="4395" xr:uid="{2AAD49C6-F25C-4FEE-BC85-F6DD7FF6AC65}"/>
    <cellStyle name="Comma 5 3 5 4 2" xfId="9167" xr:uid="{8D231905-9E5A-4AD9-8620-5F84B5A7C17C}"/>
    <cellStyle name="Comma 5 3 5 4 2 2" xfId="19547" xr:uid="{5C116791-A505-459C-8E6E-EA12199F8041}"/>
    <cellStyle name="Comma 5 3 5 4 3" xfId="12000" xr:uid="{B917A9A5-B207-4ACF-929B-2989CF6C2283}"/>
    <cellStyle name="Comma 5 3 5 4 3 2" xfId="22380" xr:uid="{38E7E0D5-7429-44F4-AFB3-38229BE78DFC}"/>
    <cellStyle name="Comma 5 3 5 4 4" xfId="16714" xr:uid="{175FEC41-7C4F-471D-B879-5DCA32C7206B}"/>
    <cellStyle name="Comma 5 3 5 5" xfId="5555" xr:uid="{C0DE5202-95C0-4D16-83EC-A289F96C16FA}"/>
    <cellStyle name="Comma 5 3 5 5 2" xfId="29919" xr:uid="{245EF3F9-00DF-4743-8260-6D47A92C9A07}"/>
    <cellStyle name="Comma 5 3 5 6" xfId="25007" xr:uid="{6FD117B5-253E-4683-980E-CE6A211B6540}"/>
    <cellStyle name="Comma 5 3 5 7" xfId="13526" xr:uid="{0312A79F-B65F-46C8-9C32-2363B1DFCD16}"/>
    <cellStyle name="Comma 5 3 6" xfId="1610" xr:uid="{00000000-0005-0000-0000-000002020000}"/>
    <cellStyle name="Comma 5 3 6 2" xfId="2868" xr:uid="{00000000-0005-0000-0000-0000A5010000}"/>
    <cellStyle name="Comma 5 3 6 2 2" xfId="7985" xr:uid="{6C75DD22-BAC2-43AF-A1DF-B913CA37946C}"/>
    <cellStyle name="Comma 5 3 6 2 2 2" xfId="27297" xr:uid="{550C79C4-424A-402D-A115-80536B730495}"/>
    <cellStyle name="Comma 5 3 6 2 2 3" xfId="26651" xr:uid="{0FA4C828-FE98-48CD-B312-BE8BE8001D66}"/>
    <cellStyle name="Comma 5 3 6 2 2 4" xfId="18365" xr:uid="{D688AB4A-C9EF-46F0-BFAB-28181B29323E}"/>
    <cellStyle name="Comma 5 3 6 2 3" xfId="10818" xr:uid="{5DC9755E-65C5-48DE-8CB9-8D8B044123B9}"/>
    <cellStyle name="Comma 5 3 6 2 3 2" xfId="21198" xr:uid="{E32A3CCE-3D50-4B57-AC37-E959EA59D368}"/>
    <cellStyle name="Comma 5 3 6 2 4" xfId="24165" xr:uid="{98256179-2AFA-4BBD-AF1C-2212B824FFBB}"/>
    <cellStyle name="Comma 5 3 6 2 5" xfId="15532" xr:uid="{8772BB40-D294-4585-963C-C800C2298ABE}"/>
    <cellStyle name="Comma 5 3 6 3" xfId="2057" xr:uid="{00000000-0005-0000-0000-000002020000}"/>
    <cellStyle name="Comma 5 3 6 4" xfId="5556" xr:uid="{C05D109D-6652-4B9A-B615-B29DAFDDCF9C}"/>
    <cellStyle name="Comma 5 3 6 4 2" xfId="30154" xr:uid="{919C883E-E627-4CD1-B8A3-A0D5037C2F81}"/>
    <cellStyle name="Comma 5 3 6 5" xfId="25228" xr:uid="{35AD5475-35E1-4B46-B4D5-98072003B9E3}"/>
    <cellStyle name="Comma 5 3 6 6" xfId="13361" xr:uid="{637BCB59-9FD8-453A-8DE5-CAC6E29F7DE5}"/>
    <cellStyle name="Comma 5 3 7" xfId="1596" xr:uid="{00000000-0005-0000-0000-000003020000}"/>
    <cellStyle name="Comma 5 3 7 2" xfId="2486" xr:uid="{00000000-0005-0000-0000-0000A6010000}"/>
    <cellStyle name="Comma 5 3 7 2 2" xfId="7611" xr:uid="{8429CEE5-936D-468A-822B-C4CC7D55E6F9}"/>
    <cellStyle name="Comma 5 3 7 2 2 2" xfId="17991" xr:uid="{5B549C2E-BFBF-46F3-8BC1-EC8F7DEC457C}"/>
    <cellStyle name="Comma 5 3 7 2 3" xfId="10444" xr:uid="{76E73FD1-063B-40AC-AC21-F2235F1DFC88}"/>
    <cellStyle name="Comma 5 3 7 2 3 2" xfId="20824" xr:uid="{4ECD8354-400C-4E94-BA8D-F1178449204C}"/>
    <cellStyle name="Comma 5 3 7 2 4" xfId="26880" xr:uid="{1CD15196-0267-4571-B546-85F3A9E5E4A2}"/>
    <cellStyle name="Comma 5 3 7 2 5" xfId="26994" xr:uid="{38242EE3-63CD-40FA-A09A-C1D97EB7E08D}"/>
    <cellStyle name="Comma 5 3 7 2 6" xfId="15158" xr:uid="{6AAB141B-DDBB-4B37-83CD-94D3952143BF}"/>
    <cellStyle name="Comma 5 3 7 3" xfId="3610" xr:uid="{00000000-0005-0000-0000-000003020000}"/>
    <cellStyle name="Comma 5 3 7 4" xfId="5543" xr:uid="{FF6B865B-76D6-4913-99E7-9488269AFAE4}"/>
    <cellStyle name="Comma 5 3 7 4 2" xfId="30101" xr:uid="{FC390929-7409-4C9A-B5A9-7F5057B33936}"/>
    <cellStyle name="Comma 5 3 7 5" xfId="23169" xr:uid="{F2189D89-1652-4A6C-9C40-0E90C543D6E8}"/>
    <cellStyle name="Comma 5 3 7 6" xfId="12874" xr:uid="{09689B8C-3687-4CBB-AD02-AA18D1CD2591}"/>
    <cellStyle name="Comma 5 3 8" xfId="2180" xr:uid="{00000000-0005-0000-0000-00008F010000}"/>
    <cellStyle name="Comma 5 3 8 2" xfId="7307" xr:uid="{A52BF028-91EB-4672-BDCF-61C1BA0F6877}"/>
    <cellStyle name="Comma 5 3 8 2 2" xfId="17687" xr:uid="{3A25C420-D2EC-4CD9-8BAB-5F879B622CC1}"/>
    <cellStyle name="Comma 5 3 8 3" xfId="10140" xr:uid="{6B2EA7A1-3C2A-469B-8FBD-27E70E7CA9FE}"/>
    <cellStyle name="Comma 5 3 8 3 2" xfId="20520" xr:uid="{821C99FD-689E-4A20-B7AA-25477B773790}"/>
    <cellStyle name="Comma 5 3 8 4" xfId="22786" xr:uid="{FCA71F4A-E844-45E6-B2A5-C25112314239}"/>
    <cellStyle name="Comma 5 3 8 5" xfId="28213" xr:uid="{6C4B6CBB-763E-4914-B3F5-4DE7E806DCA7}"/>
    <cellStyle name="Comma 5 3 8 6" xfId="14854" xr:uid="{0EFEE67B-54B6-4A44-9DAA-EAEAD63C43FD}"/>
    <cellStyle name="Comma 5 3 9" xfId="3860" xr:uid="{BD759C4A-C152-4D28-9136-4603EA7965D9}"/>
    <cellStyle name="Comma 5 3 9 2" xfId="8692" xr:uid="{2B3ED32A-7A08-4245-9A73-AA5797EFF1F5}"/>
    <cellStyle name="Comma 5 3 9 2 2" xfId="19072" xr:uid="{D8803375-2527-4510-BBD5-2D9A262E6CFC}"/>
    <cellStyle name="Comma 5 3 9 3" xfId="11525" xr:uid="{28CB0750-B495-4B8B-8162-0152EE2FC7D8}"/>
    <cellStyle name="Comma 5 3 9 3 2" xfId="21905" xr:uid="{129315D9-8AD4-42D6-8C58-A3FC0B5BCC16}"/>
    <cellStyle name="Comma 5 3 9 4" xfId="26470" xr:uid="{59683E98-A4F8-461D-8F11-FDDDDAF3320A}"/>
    <cellStyle name="Comma 5 3 9 5" xfId="26002" xr:uid="{8F1D2142-D936-4E2D-8BC4-16790819D8E1}"/>
    <cellStyle name="Comma 5 3 9 6" xfId="16239" xr:uid="{5BA957D4-5450-4E3C-BD98-81AE95564B85}"/>
    <cellStyle name="Comma 5 4" xfId="466" xr:uid="{00000000-0005-0000-0000-000004020000}"/>
    <cellStyle name="Comma 5 4 10" xfId="4860" xr:uid="{1D48C26C-529B-472F-9FD3-5BF62F1AEC33}"/>
    <cellStyle name="Comma 5 4 10 2" xfId="14152" xr:uid="{E3D512D4-630F-41EE-A9BB-E6B82CC22B4C}"/>
    <cellStyle name="Comma 5 4 11" xfId="6605" xr:uid="{A57298B7-5099-4365-B724-03702B5CFDF7}"/>
    <cellStyle name="Comma 5 4 11 2" xfId="16985" xr:uid="{B493B554-1F48-4913-A55F-6DAE801F5DFA}"/>
    <cellStyle name="Comma 5 4 12" xfId="9438" xr:uid="{8F6A6276-7F5B-4793-A0A0-363AB0CF308E}"/>
    <cellStyle name="Comma 5 4 12 2" xfId="19818" xr:uid="{16298050-3149-4BAC-98F6-74F4689F4960}"/>
    <cellStyle name="Comma 5 4 13" xfId="24743" xr:uid="{BC77B1D8-AA73-45EC-B2D0-5CB99A3F84A7}"/>
    <cellStyle name="Comma 5 4 14" xfId="12446" xr:uid="{B6172012-8C99-44AE-8F12-79EBD00E31F0}"/>
    <cellStyle name="Comma 5 4 2" xfId="467" xr:uid="{00000000-0005-0000-0000-000005020000}"/>
    <cellStyle name="Comma 5 4 2 10" xfId="9439" xr:uid="{9179DD7C-FF76-4128-A4F8-FEC06C341DEF}"/>
    <cellStyle name="Comma 5 4 2 10 2" xfId="19819" xr:uid="{B10C79F5-1CE0-4412-B278-2A8BC4FAE3C2}"/>
    <cellStyle name="Comma 5 4 2 11" xfId="23092" xr:uid="{4FE24631-C7D7-4F33-BAC0-3B827083DC9F}"/>
    <cellStyle name="Comma 5 4 2 12" xfId="12506" xr:uid="{2952C624-78DA-4836-AC75-424E492B18E4}"/>
    <cellStyle name="Comma 5 4 2 2" xfId="468" xr:uid="{00000000-0005-0000-0000-000006020000}"/>
    <cellStyle name="Comma 5 4 2 2 10" xfId="13071" xr:uid="{F679514C-B4BA-43DC-83B3-A529B99A07B5}"/>
    <cellStyle name="Comma 5 4 2 2 2" xfId="1614" xr:uid="{00000000-0005-0000-0000-000007020000}"/>
    <cellStyle name="Comma 5 4 2 2 2 2" xfId="3025" xr:uid="{00000000-0005-0000-0000-0000AA010000}"/>
    <cellStyle name="Comma 5 4 2 2 2 2 2" xfId="8105" xr:uid="{EA20ED8E-EC4F-4A46-90AC-980EE3AE3BA5}"/>
    <cellStyle name="Comma 5 4 2 2 2 2 2 2" xfId="28787" xr:uid="{2BBE52B5-D896-4E59-847F-74A30D6B9169}"/>
    <cellStyle name="Comma 5 4 2 2 2 2 2 3" xfId="26232" xr:uid="{FB64F316-FCE4-479A-B3CF-2801908AE5FC}"/>
    <cellStyle name="Comma 5 4 2 2 2 2 2 4" xfId="18485" xr:uid="{F935C9F6-EC71-439E-84C9-0F96AEEE17E2}"/>
    <cellStyle name="Comma 5 4 2 2 2 2 3" xfId="10938" xr:uid="{FE22D365-3292-4297-961D-1F55EABBF6B9}"/>
    <cellStyle name="Comma 5 4 2 2 2 2 3 2" xfId="21318" xr:uid="{C7299ECD-40A9-45CF-9F05-3286C1E437F1}"/>
    <cellStyle name="Comma 5 4 2 2 2 2 4" xfId="25738" xr:uid="{82C15EC4-AA15-4183-B53D-1323C89E1F7D}"/>
    <cellStyle name="Comma 5 4 2 2 2 2 5" xfId="15652" xr:uid="{62961680-01A7-4209-8590-52B26877995D}"/>
    <cellStyle name="Comma 5 4 2 2 2 3" xfId="2043" xr:uid="{00000000-0005-0000-0000-000007020000}"/>
    <cellStyle name="Comma 5 4 2 2 2 4" xfId="5559" xr:uid="{9B0E2C47-CA6A-4D5E-AD71-7458A8ABD26C}"/>
    <cellStyle name="Comma 5 4 2 2 2 4 2" xfId="30172" xr:uid="{2C21EB15-1319-4878-9AD7-FA167502925F}"/>
    <cellStyle name="Comma 5 4 2 2 2 5" xfId="23454" xr:uid="{6CD4595C-6861-4235-BA54-68DDDAE0C84C}"/>
    <cellStyle name="Comma 5 4 2 2 2 6" xfId="13528" xr:uid="{D0D933B0-ECB4-4725-B67B-EFE6C27B71B3}"/>
    <cellStyle name="Comma 5 4 2 2 3" xfId="1615" xr:uid="{00000000-0005-0000-0000-000008020000}"/>
    <cellStyle name="Comma 5 4 2 2 3 2" xfId="4633" xr:uid="{029813EF-0C19-4030-B37D-0A57A3B96EDC}"/>
    <cellStyle name="Comma 5 4 2 2 3 2 2" xfId="9400" xr:uid="{83FFACF2-BD4E-4875-950A-D929986B00C4}"/>
    <cellStyle name="Comma 5 4 2 2 3 2 2 2" xfId="19780" xr:uid="{7082B909-59D5-4F20-A285-AEA2FBDD5040}"/>
    <cellStyle name="Comma 5 4 2 2 3 2 3" xfId="12233" xr:uid="{19779298-5525-44F8-A001-D7530121B6CB}"/>
    <cellStyle name="Comma 5 4 2 2 3 2 3 2" xfId="22613" xr:uid="{2262B76A-4056-4500-B9E7-4300D0C9C3F4}"/>
    <cellStyle name="Comma 5 4 2 2 3 2 4" xfId="27764" xr:uid="{E7C85F02-B2A7-4DB9-9E73-482C42434E54}"/>
    <cellStyle name="Comma 5 4 2 2 3 2 5" xfId="26258" xr:uid="{D5E448E2-BF3B-40D1-A378-066099C8B329}"/>
    <cellStyle name="Comma 5 4 2 2 3 2 6" xfId="16947" xr:uid="{B4372306-01C5-4D82-9FED-E99CCB459B53}"/>
    <cellStyle name="Comma 5 4 2 2 3 3" xfId="22704" xr:uid="{1D5236FC-9549-4EA0-81BD-CE1B9C468209}"/>
    <cellStyle name="Comma 5 4 2 2 3 3 2" xfId="30128" xr:uid="{66E8780F-97BA-4497-A5F6-A926F8B075EC}"/>
    <cellStyle name="Comma 5 4 2 2 3 4" xfId="30243" xr:uid="{CC155B0D-5221-45D1-81A7-8C3F80C11341}"/>
    <cellStyle name="Comma 5 4 2 2 4" xfId="1613" xr:uid="{00000000-0005-0000-0000-000009020000}"/>
    <cellStyle name="Comma 5 4 2 2 4 2" xfId="26903" xr:uid="{8B3A6ADC-228E-48ED-A885-CFF25D8A396D}"/>
    <cellStyle name="Comma 5 4 2 2 4 3" xfId="26323" xr:uid="{F4B2F6D5-A474-46A9-8F94-8D112600F312}"/>
    <cellStyle name="Comma 5 4 2 2 5" xfId="4255" xr:uid="{94E6B12B-8FC1-4DE0-B083-4FDCE28DDC27}"/>
    <cellStyle name="Comma 5 4 2 2 5 2" xfId="9027" xr:uid="{15CA4CCE-3BB0-40ED-8350-10E15D7F217D}"/>
    <cellStyle name="Comma 5 4 2 2 5 2 2" xfId="19407" xr:uid="{12ADC1E7-AA36-4E16-8615-6B7923E98D5B}"/>
    <cellStyle name="Comma 5 4 2 2 5 3" xfId="11860" xr:uid="{1E83BF6E-F781-4EA4-9237-AFFDA5387236}"/>
    <cellStyle name="Comma 5 4 2 2 5 3 2" xfId="22240" xr:uid="{92533BAA-0FD6-449E-9104-0CCCCCDB50AE}"/>
    <cellStyle name="Comma 5 4 2 2 5 4" xfId="26563" xr:uid="{C1BA1425-9E76-4A22-B3D6-4072D9002CB3}"/>
    <cellStyle name="Comma 5 4 2 2 5 5" xfId="28269" xr:uid="{388DF011-908B-4433-81A3-9DCA9F6C3536}"/>
    <cellStyle name="Comma 5 4 2 2 5 6" xfId="16574" xr:uid="{209BCF79-AF66-48F7-8274-BD45D9F2383A}"/>
    <cellStyle name="Comma 5 4 2 2 6" xfId="4862" xr:uid="{67D8F83A-0B26-4F7B-AAF7-0C8E2228640D}"/>
    <cellStyle name="Comma 5 4 2 2 6 2" xfId="26183" xr:uid="{A5EC4C71-2369-4370-9963-12B6E20FE564}"/>
    <cellStyle name="Comma 5 4 2 2 6 3" xfId="27952" xr:uid="{D5ADD2F5-6B62-496C-8D67-B4D8D8DC522E}"/>
    <cellStyle name="Comma 5 4 2 2 6 4" xfId="14154" xr:uid="{EFEF7F03-CF64-4C12-9D8E-B48412366F48}"/>
    <cellStyle name="Comma 5 4 2 2 7" xfId="6607" xr:uid="{C1715601-8BE8-41E4-ADDE-C4400BF2EB67}"/>
    <cellStyle name="Comma 5 4 2 2 7 2" xfId="16987" xr:uid="{1226F693-D9D5-4E31-A85E-7784024A14B2}"/>
    <cellStyle name="Comma 5 4 2 2 8" xfId="9440" xr:uid="{A1302C41-E495-4C14-A8F8-16B8C36D8361}"/>
    <cellStyle name="Comma 5 4 2 2 8 2" xfId="19820" xr:uid="{679229E6-8636-4656-A26D-59C01348E6E8}"/>
    <cellStyle name="Comma 5 4 2 2 9" xfId="23422" xr:uid="{0924F89F-6F52-491C-A22E-589ABCC42D44}"/>
    <cellStyle name="Comma 5 4 2 3" xfId="1616" xr:uid="{00000000-0005-0000-0000-00000A020000}"/>
    <cellStyle name="Comma 5 4 2 3 2" xfId="3026" xr:uid="{00000000-0005-0000-0000-0000AB010000}"/>
    <cellStyle name="Comma 5 4 2 3 2 2" xfId="8106" xr:uid="{EED70E13-BE7B-4678-A41B-45C9E7272B29}"/>
    <cellStyle name="Comma 5 4 2 3 2 2 2" xfId="28788" xr:uid="{AB6D42C7-2029-46F9-A52C-A3AD957F5CBD}"/>
    <cellStyle name="Comma 5 4 2 3 2 2 3" xfId="26815" xr:uid="{E641B174-FC80-447B-982B-FA1085F2F6B7}"/>
    <cellStyle name="Comma 5 4 2 3 2 2 4" xfId="18486" xr:uid="{7F9BCBB4-471B-4EA5-ADB7-A80F22D43026}"/>
    <cellStyle name="Comma 5 4 2 3 2 3" xfId="10939" xr:uid="{236309D7-0030-4FCF-8B49-451F53A7D494}"/>
    <cellStyle name="Comma 5 4 2 3 2 3 2" xfId="21319" xr:uid="{B4F1412B-A567-476F-83CE-DB2ACE05D08D}"/>
    <cellStyle name="Comma 5 4 2 3 2 4" xfId="24432" xr:uid="{EA06F90E-5982-41EE-92F2-0499DA4964BE}"/>
    <cellStyle name="Comma 5 4 2 3 2 5" xfId="15653" xr:uid="{B71C47D4-217C-469B-96C3-F1EB6C84FF9D}"/>
    <cellStyle name="Comma 5 4 2 3 3" xfId="3552" xr:uid="{00000000-0005-0000-0000-00000A020000}"/>
    <cellStyle name="Comma 5 4 2 3 4" xfId="4396" xr:uid="{C0798F50-EF80-4A20-93E0-006CA9D829A0}"/>
    <cellStyle name="Comma 5 4 2 3 4 2" xfId="9168" xr:uid="{43042E25-CB5C-47C2-A2F4-011280BF9103}"/>
    <cellStyle name="Comma 5 4 2 3 4 2 2" xfId="19548" xr:uid="{7DFCC59E-0E17-4AAC-931C-0D01EF511EE0}"/>
    <cellStyle name="Comma 5 4 2 3 4 3" xfId="12001" xr:uid="{EC3C3287-2360-484C-92DF-E17AF91AB05A}"/>
    <cellStyle name="Comma 5 4 2 3 4 3 2" xfId="22381" xr:uid="{299460AF-281C-432E-A179-83F2322EFBE0}"/>
    <cellStyle name="Comma 5 4 2 3 4 4" xfId="16715" xr:uid="{7045EF56-7D75-4AB4-8BBA-A5D1B01F2501}"/>
    <cellStyle name="Comma 5 4 2 3 5" xfId="5560" xr:uid="{97604BB0-D113-4C21-BD40-6821A10747B4}"/>
    <cellStyle name="Comma 5 4 2 3 5 2" xfId="29920" xr:uid="{66F1A090-C932-465C-85C0-E684A6B32B46}"/>
    <cellStyle name="Comma 5 4 2 3 6" xfId="25082" xr:uid="{760031E4-17F9-4F60-B100-A75C80B388CD}"/>
    <cellStyle name="Comma 5 4 2 3 7" xfId="13529" xr:uid="{8971C047-6B78-4A98-8661-AE1EE4AFAEC6}"/>
    <cellStyle name="Comma 5 4 2 4" xfId="1617" xr:uid="{00000000-0005-0000-0000-00000B020000}"/>
    <cellStyle name="Comma 5 4 2 4 2" xfId="3024" xr:uid="{00000000-0005-0000-0000-0000AC010000}"/>
    <cellStyle name="Comma 5 4 2 4 2 2" xfId="8104" xr:uid="{CD7F43E1-A195-453F-9428-67A5367ED0FC}"/>
    <cellStyle name="Comma 5 4 2 4 2 2 2" xfId="28786" xr:uid="{893EDE12-C789-440E-A5E6-D2E446A43108}"/>
    <cellStyle name="Comma 5 4 2 4 2 2 3" xfId="27938" xr:uid="{D41DA84E-62FD-4DDD-8FE1-59B1FC86080B}"/>
    <cellStyle name="Comma 5 4 2 4 2 2 4" xfId="18484" xr:uid="{969D78BF-FFA2-482B-BE51-E2B15457F2AC}"/>
    <cellStyle name="Comma 5 4 2 4 2 3" xfId="10937" xr:uid="{36D20D32-6922-4DAF-9FFF-D1128DCFE3B0}"/>
    <cellStyle name="Comma 5 4 2 4 2 3 2" xfId="21317" xr:uid="{E6D73F05-1AC7-4415-88AD-F7BFA622E7FD}"/>
    <cellStyle name="Comma 5 4 2 4 2 4" xfId="25402" xr:uid="{D6E0E10F-5AE4-4958-B643-36CC7186385B}"/>
    <cellStyle name="Comma 5 4 2 4 2 5" xfId="15651" xr:uid="{AAD24CF7-75F3-477B-BD9F-FD99901C31B7}"/>
    <cellStyle name="Comma 5 4 2 4 3" xfId="2091" xr:uid="{00000000-0005-0000-0000-00000B020000}"/>
    <cellStyle name="Comma 5 4 2 4 4" xfId="5561" xr:uid="{367EBB3B-9A5D-4E70-8502-526CC8EEFD64}"/>
    <cellStyle name="Comma 5 4 2 4 4 2" xfId="30171" xr:uid="{B7BD9209-D9C3-434C-AAC0-071972474E2C}"/>
    <cellStyle name="Comma 5 4 2 4 5" xfId="25452" xr:uid="{A78836C0-9C3F-4A71-9865-3E134F9F9869}"/>
    <cellStyle name="Comma 5 4 2 4 6" xfId="13527" xr:uid="{7C2D413A-7D28-492A-AC1F-190E04F2DCC2}"/>
    <cellStyle name="Comma 5 4 2 5" xfId="1612" xr:uid="{00000000-0005-0000-0000-00000C020000}"/>
    <cellStyle name="Comma 5 4 2 5 2" xfId="2520" xr:uid="{00000000-0005-0000-0000-0000AD010000}"/>
    <cellStyle name="Comma 5 4 2 5 2 2" xfId="7645" xr:uid="{2F7DA5C6-9586-4F5D-AE68-7CD82B7C8997}"/>
    <cellStyle name="Comma 5 4 2 5 2 2 2" xfId="18025" xr:uid="{85BFFD5B-E734-4F36-8344-980DFCA79E2D}"/>
    <cellStyle name="Comma 5 4 2 5 2 3" xfId="10478" xr:uid="{325C1CC2-FAB0-4500-84F1-A6DB5E96C059}"/>
    <cellStyle name="Comma 5 4 2 5 2 3 2" xfId="20858" xr:uid="{DD2A588C-0EB7-4B27-9178-0066A568C1F0}"/>
    <cellStyle name="Comma 5 4 2 5 2 4" xfId="26777" xr:uid="{1DAB286D-B9DE-4006-8FF6-49E8C689EBD6}"/>
    <cellStyle name="Comma 5 4 2 5 2 5" xfId="27374" xr:uid="{6D6C1A46-AAB2-46B8-8580-7B36634F4C63}"/>
    <cellStyle name="Comma 5 4 2 5 2 6" xfId="15192" xr:uid="{87CEDEDA-1153-4083-9E9D-A2B243471068}"/>
    <cellStyle name="Comma 5 4 2 5 3" xfId="2092" xr:uid="{00000000-0005-0000-0000-00000C020000}"/>
    <cellStyle name="Comma 5 4 2 5 4" xfId="5558" xr:uid="{4E922189-714E-4A1D-B143-1B1B37D4BEDB}"/>
    <cellStyle name="Comma 5 4 2 5 4 2" xfId="30107" xr:uid="{BBF37C46-5571-4BCC-9E8D-71F13E80C0BE}"/>
    <cellStyle name="Comma 5 4 2 5 5" xfId="24244" xr:uid="{B9D0E415-8F23-47CF-8A8C-815BC6E447D7}"/>
    <cellStyle name="Comma 5 4 2 5 6" xfId="12908" xr:uid="{04735AAE-C34A-4C98-A551-5D35C81D981F}"/>
    <cellStyle name="Comma 5 4 2 6" xfId="2274" xr:uid="{00000000-0005-0000-0000-0000A8010000}"/>
    <cellStyle name="Comma 5 4 2 6 2" xfId="7401" xr:uid="{C4D29E37-E937-4213-8011-53A649BF8387}"/>
    <cellStyle name="Comma 5 4 2 6 2 2" xfId="17781" xr:uid="{50535CE2-176B-44F6-8F53-18B08078F264}"/>
    <cellStyle name="Comma 5 4 2 6 3" xfId="10234" xr:uid="{C11CD73B-D665-4282-9909-7BEA0E03E343}"/>
    <cellStyle name="Comma 5 4 2 6 3 2" xfId="20614" xr:uid="{3C900819-92F0-4C29-86E1-A90B3F340B79}"/>
    <cellStyle name="Comma 5 4 2 6 4" xfId="23243" xr:uid="{9170021C-F572-4BFC-9E71-0C62EEF9F5A4}"/>
    <cellStyle name="Comma 5 4 2 6 5" xfId="26292" xr:uid="{16576467-156A-4AC5-AACD-FFB47F3651C2}"/>
    <cellStyle name="Comma 5 4 2 6 6" xfId="14948" xr:uid="{A6D5D595-F74E-4986-8614-649D99B447FE}"/>
    <cellStyle name="Comma 5 4 2 7" xfId="3813" xr:uid="{9D313B6A-787D-4B1D-96BC-FC7E8E9C69D9}"/>
    <cellStyle name="Comma 5 4 2 7 2" xfId="8647" xr:uid="{8D8FECC0-9209-4BF6-94DC-38891174D0A1}"/>
    <cellStyle name="Comma 5 4 2 7 2 2" xfId="19027" xr:uid="{FC6A1C3B-4011-4141-98E7-6E7225CF8182}"/>
    <cellStyle name="Comma 5 4 2 7 3" xfId="11480" xr:uid="{6C74612B-7684-473A-A5AD-0C7FDCFC6F51}"/>
    <cellStyle name="Comma 5 4 2 7 3 2" xfId="21860" xr:uid="{61FC8D87-FC3B-4683-A3A1-92B7C9DC0668}"/>
    <cellStyle name="Comma 5 4 2 7 4" xfId="27008" xr:uid="{E0519768-0706-49AF-82A6-D4EF53FEF956}"/>
    <cellStyle name="Comma 5 4 2 7 5" xfId="28337" xr:uid="{A01A049B-33F1-40CC-8F9A-4F140969FBB0}"/>
    <cellStyle name="Comma 5 4 2 7 6" xfId="16194" xr:uid="{5A771593-0D2F-4BAE-A121-4F586A9A6162}"/>
    <cellStyle name="Comma 5 4 2 8" xfId="4861" xr:uid="{07C3C6D5-8D9B-4F87-9BC9-439937FDDCDF}"/>
    <cellStyle name="Comma 5 4 2 8 2" xfId="14153" xr:uid="{A359451D-B9A3-423B-9FC3-F6153889FDAE}"/>
    <cellStyle name="Comma 5 4 2 9" xfId="6606" xr:uid="{A520841F-3B08-4596-BDA9-ED3368ED9B23}"/>
    <cellStyle name="Comma 5 4 2 9 2" xfId="16986" xr:uid="{4AF28F1A-B467-4C04-8415-C91949B57C06}"/>
    <cellStyle name="Comma 5 4 3" xfId="469" xr:uid="{00000000-0005-0000-0000-00000D020000}"/>
    <cellStyle name="Comma 5 4 3 10" xfId="23706" xr:uid="{A54C64E4-FDA8-4148-A401-937C1E7A73AF}"/>
    <cellStyle name="Comma 5 4 3 11" xfId="12664" xr:uid="{B661D04C-5254-4F42-8351-EECE14F478AC}"/>
    <cellStyle name="Comma 5 4 3 2" xfId="1619" xr:uid="{00000000-0005-0000-0000-00000E020000}"/>
    <cellStyle name="Comma 5 4 3 2 2" xfId="3028" xr:uid="{00000000-0005-0000-0000-0000B0010000}"/>
    <cellStyle name="Comma 5 4 3 2 2 2" xfId="6161" xr:uid="{007C8220-9E72-4BAC-B90C-B53B0AE74FAB}"/>
    <cellStyle name="Comma 5 4 3 2 2 2 2" xfId="25450" xr:uid="{97DB1598-8191-4E16-9586-822C9BC3758B}"/>
    <cellStyle name="Comma 5 4 3 2 2 2 2 2" xfId="26125" xr:uid="{DD2A8CEA-F24E-4480-B9E2-C8CD0FCEA4A9}"/>
    <cellStyle name="Comma 5 4 3 2 2 2 3" xfId="27120" xr:uid="{A67FDF58-D503-44D7-A6C8-5FE8BA41B622}"/>
    <cellStyle name="Comma 5 4 3 2 2 2 4" xfId="15655" xr:uid="{B034BDF8-FC69-46BC-90DE-D9403E18391A}"/>
    <cellStyle name="Comma 5 4 3 2 2 3" xfId="8108" xr:uid="{E598174F-287F-4572-B1A1-FA3FA63DC608}"/>
    <cellStyle name="Comma 5 4 3 2 2 3 2" xfId="28790" xr:uid="{2784C87B-4856-4C8C-A5B1-BD78685B3398}"/>
    <cellStyle name="Comma 5 4 3 2 2 3 3" xfId="26482" xr:uid="{7E6A0C62-E0F7-4E9F-886B-37B8DE9B1EFA}"/>
    <cellStyle name="Comma 5 4 3 2 2 3 4" xfId="18488" xr:uid="{4BAB502A-E8E4-46CC-BADE-EB1E9176D641}"/>
    <cellStyle name="Comma 5 4 3 2 2 4" xfId="10941" xr:uid="{79BECDAC-D215-4AFF-AA74-F202E53545ED}"/>
    <cellStyle name="Comma 5 4 3 2 2 4 2" xfId="21321" xr:uid="{BBF7FD93-6C7E-4339-B1B9-D64E62673328}"/>
    <cellStyle name="Comma 5 4 3 2 2 5" xfId="23995" xr:uid="{1BF88E1E-0E42-4AE9-8589-BC18D54148E2}"/>
    <cellStyle name="Comma 5 4 3 2 2 6" xfId="13531" xr:uid="{2B93960E-C652-4963-9F39-86A958088D1E}"/>
    <cellStyle name="Comma 5 4 3 2 3" xfId="2669" xr:uid="{00000000-0005-0000-0000-0000AF010000}"/>
    <cellStyle name="Comma 5 4 3 2 3 2" xfId="7793" xr:uid="{29C61830-5722-46D3-9DAB-D49707DA8E72}"/>
    <cellStyle name="Comma 5 4 3 2 3 2 2" xfId="26439" xr:uid="{45522648-ECBC-42E6-A492-F2D7056F4061}"/>
    <cellStyle name="Comma 5 4 3 2 3 2 3" xfId="27567" xr:uid="{EC6AD633-0590-464F-B742-4AAD568083A8}"/>
    <cellStyle name="Comma 5 4 3 2 3 2 4" xfId="18173" xr:uid="{94FF7FCC-CA04-44D3-A23D-1AE82DB8DFBD}"/>
    <cellStyle name="Comma 5 4 3 2 3 3" xfId="10626" xr:uid="{588F3232-50E6-4B31-86E2-69B6884A609E}"/>
    <cellStyle name="Comma 5 4 3 2 3 3 2" xfId="21006" xr:uid="{9CA785BF-A464-42FF-AA90-C95EAF49E234}"/>
    <cellStyle name="Comma 5 4 3 2 3 4" xfId="22863" xr:uid="{9D03AB9B-A8BC-4B40-9EB2-1933D4677D5E}"/>
    <cellStyle name="Comma 5 4 3 2 3 5" xfId="15340" xr:uid="{85C94FF9-25F6-4B97-9A38-A6E174A0AFB4}"/>
    <cellStyle name="Comma 5 4 3 2 4" xfId="3633" xr:uid="{00000000-0005-0000-0000-00000E020000}"/>
    <cellStyle name="Comma 5 4 3 2 5" xfId="4256" xr:uid="{7200444E-36DD-40CC-A077-CB29E63090CC}"/>
    <cellStyle name="Comma 5 4 3 2 5 2" xfId="9028" xr:uid="{B7DD77EA-D0F5-44BE-8B7C-41F10A4FB4CA}"/>
    <cellStyle name="Comma 5 4 3 2 5 2 2" xfId="19408" xr:uid="{9CD73D97-72A6-4940-9CEA-CA2ED02A124E}"/>
    <cellStyle name="Comma 5 4 3 2 5 3" xfId="11861" xr:uid="{3BC6F72F-6810-4E85-B279-7CA58D925647}"/>
    <cellStyle name="Comma 5 4 3 2 5 3 2" xfId="22241" xr:uid="{51E916BA-CC2D-459A-B6A1-3506AFEBB662}"/>
    <cellStyle name="Comma 5 4 3 2 5 4" xfId="26038" xr:uid="{D6C4F451-91EA-470B-971B-25737311E52E}"/>
    <cellStyle name="Comma 5 4 3 2 5 5" xfId="26757" xr:uid="{07070A58-2038-4788-B080-E99E8AAB0DB7}"/>
    <cellStyle name="Comma 5 4 3 2 5 6" xfId="16575" xr:uid="{6AB58FED-965A-4A90-89E4-5B8C6C458E1B}"/>
    <cellStyle name="Comma 5 4 3 2 6" xfId="5563" xr:uid="{0FC98FF7-0826-4572-9CD4-63A4F734F6B2}"/>
    <cellStyle name="Comma 5 4 3 2 6 2" xfId="29951" xr:uid="{E15CE623-A7C6-4855-B5BA-F0463F0F7A2B}"/>
    <cellStyle name="Comma 5 4 3 2 7" xfId="25243" xr:uid="{E65C12E8-DC8E-4F43-A6F1-ACB2A325DBD0}"/>
    <cellStyle name="Comma 5 4 3 2 8" xfId="13072" xr:uid="{F5F43466-C211-4776-AF9D-DDE52683B12C}"/>
    <cellStyle name="Comma 5 4 3 3" xfId="1620" xr:uid="{00000000-0005-0000-0000-00000F020000}"/>
    <cellStyle name="Comma 5 4 3 3 2" xfId="3029" xr:uid="{00000000-0005-0000-0000-0000B1010000}"/>
    <cellStyle name="Comma 5 4 3 3 2 2" xfId="8109" xr:uid="{21D221E8-5CDF-42B8-8726-C36E1D13454B}"/>
    <cellStyle name="Comma 5 4 3 3 2 2 2" xfId="28791" xr:uid="{25427AF7-1EF5-4BFD-9C61-49EDAE307D36}"/>
    <cellStyle name="Comma 5 4 3 3 2 2 3" xfId="28649" xr:uid="{25A91A5C-6912-44A7-B87D-0861BA1D38C7}"/>
    <cellStyle name="Comma 5 4 3 3 2 2 4" xfId="18489" xr:uid="{A7005E7D-2924-427E-90C8-632355687328}"/>
    <cellStyle name="Comma 5 4 3 3 2 3" xfId="10942" xr:uid="{12204D70-4E27-44E3-9AFD-18876A76CE59}"/>
    <cellStyle name="Comma 5 4 3 3 2 3 2" xfId="21322" xr:uid="{87642076-E9AC-4641-A3E6-16D8AD8A7BB8}"/>
    <cellStyle name="Comma 5 4 3 3 2 4" xfId="23701" xr:uid="{1033E001-F0E5-4315-B6E7-0A9A4BD607EE}"/>
    <cellStyle name="Comma 5 4 3 3 2 5" xfId="15656" xr:uid="{F1F47C60-F8BF-4361-8E85-E74D26093C21}"/>
    <cellStyle name="Comma 5 4 3 3 3" xfId="2044" xr:uid="{00000000-0005-0000-0000-00000F020000}"/>
    <cellStyle name="Comma 5 4 3 3 4" xfId="4397" xr:uid="{85D2CB15-88A6-4002-AA7C-5761F9B91E5C}"/>
    <cellStyle name="Comma 5 4 3 3 4 2" xfId="9169" xr:uid="{00E7C148-6EDA-4D34-893B-F6DEBC2073FF}"/>
    <cellStyle name="Comma 5 4 3 3 4 2 2" xfId="19549" xr:uid="{DAC92D93-F217-44AA-970E-561D4800668F}"/>
    <cellStyle name="Comma 5 4 3 3 4 3" xfId="12002" xr:uid="{35C058BB-9759-431E-885F-7F98DC2A6C29}"/>
    <cellStyle name="Comma 5 4 3 3 4 3 2" xfId="22382" xr:uid="{E3443B56-0121-40BF-AE68-C899DD11A811}"/>
    <cellStyle name="Comma 5 4 3 3 4 4" xfId="16716" xr:uid="{EDE226BF-9D13-44AC-89AD-E4F29700CB0D}"/>
    <cellStyle name="Comma 5 4 3 3 5" xfId="5564" xr:uid="{CB1F3A00-B75F-4580-BEC4-2FB23FC80572}"/>
    <cellStyle name="Comma 5 4 3 3 5 2" xfId="29936" xr:uid="{8452B296-12DD-4502-BEE6-D1E0E21094F5}"/>
    <cellStyle name="Comma 5 4 3 3 6" xfId="25163" xr:uid="{79F7B079-FFD0-4DA0-8150-C726C678947B}"/>
    <cellStyle name="Comma 5 4 3 3 7" xfId="13532" xr:uid="{59996E9E-78E0-4B64-96DD-3AD884FD1666}"/>
    <cellStyle name="Comma 5 4 3 4" xfId="1618" xr:uid="{00000000-0005-0000-0000-000010020000}"/>
    <cellStyle name="Comma 5 4 3 4 2" xfId="3027" xr:uid="{00000000-0005-0000-0000-0000B2010000}"/>
    <cellStyle name="Comma 5 4 3 4 2 2" xfId="8107" xr:uid="{96D7AE74-E695-404F-81C4-4EA797556071}"/>
    <cellStyle name="Comma 5 4 3 4 2 2 2" xfId="28789" xr:uid="{5960A96B-0473-4B28-AEDC-C7BD3AB868CE}"/>
    <cellStyle name="Comma 5 4 3 4 2 2 3" xfId="26093" xr:uid="{78FA1F45-C57F-4D00-B91D-7A03815D502C}"/>
    <cellStyle name="Comma 5 4 3 4 2 2 4" xfId="18487" xr:uid="{A56470FA-94B7-417E-AEBF-173CE26C4E83}"/>
    <cellStyle name="Comma 5 4 3 4 2 3" xfId="10940" xr:uid="{32FB1CCB-8E0A-481E-B76F-2744A46249AF}"/>
    <cellStyle name="Comma 5 4 3 4 2 3 2" xfId="21320" xr:uid="{613AADE1-7FE2-42F5-8AA4-8D6735553A79}"/>
    <cellStyle name="Comma 5 4 3 4 2 4" xfId="24212" xr:uid="{63573AED-2580-472C-AD90-5EEF2F1FB914}"/>
    <cellStyle name="Comma 5 4 3 4 2 5" xfId="15654" xr:uid="{DC71AA64-C50E-4457-869F-B2627816983D}"/>
    <cellStyle name="Comma 5 4 3 4 3" xfId="3644" xr:uid="{00000000-0005-0000-0000-000010020000}"/>
    <cellStyle name="Comma 5 4 3 4 4" xfId="5562" xr:uid="{7C03D70E-5086-4C6D-89E3-E9DB53357221}"/>
    <cellStyle name="Comma 5 4 3 4 4 2" xfId="30173" xr:uid="{396EEDEB-683F-4A0A-969A-B5024F231240}"/>
    <cellStyle name="Comma 5 4 3 4 5" xfId="22996" xr:uid="{109649F7-7F1A-41B7-87D5-89D403649DB1}"/>
    <cellStyle name="Comma 5 4 3 4 6" xfId="13530" xr:uid="{A6EA4EFA-D95C-4307-A04E-A185CBB3D0BA}"/>
    <cellStyle name="Comma 5 4 3 5" xfId="2623" xr:uid="{00000000-0005-0000-0000-0000B3010000}"/>
    <cellStyle name="Comma 5 4 3 5 2" xfId="5885" xr:uid="{1FD7A4FB-A677-461F-AAC8-CBCB299F47FC}"/>
    <cellStyle name="Comma 5 4 3 5 2 2" xfId="27233" xr:uid="{8A40900A-961D-405D-8C1D-225441C3E1AB}"/>
    <cellStyle name="Comma 5 4 3 5 2 3" xfId="28685" xr:uid="{E32526B3-B64F-4931-9F6F-616CDE538A9A}"/>
    <cellStyle name="Comma 5 4 3 5 2 4" xfId="15295" xr:uid="{18158932-8E28-46CD-8ECF-32D906D7477A}"/>
    <cellStyle name="Comma 5 4 3 5 3" xfId="7748" xr:uid="{0C8AE889-C234-4D69-AD0B-CE037DCEF8A3}"/>
    <cellStyle name="Comma 5 4 3 5 3 2" xfId="18128" xr:uid="{EEC08685-7170-4EC5-BA6B-A76101532903}"/>
    <cellStyle name="Comma 5 4 3 5 4" xfId="10581" xr:uid="{31059A43-759B-4EDA-9C5D-880D1C749B48}"/>
    <cellStyle name="Comma 5 4 3 5 4 2" xfId="20961" xr:uid="{9DCA322E-49D9-4DC6-81F2-37AE927F1A29}"/>
    <cellStyle name="Comma 5 4 3 5 5" xfId="23547" xr:uid="{A4636B19-FBD1-43FA-A18C-B4585C90E5FD}"/>
    <cellStyle name="Comma 5 4 3 5 6" xfId="13011" xr:uid="{A5BBE2FB-0D8F-46FA-B94B-EAE035E23A46}"/>
    <cellStyle name="Comma 5 4 3 6" xfId="4121" xr:uid="{B0917393-0791-4B08-93AB-D0505818BC45}"/>
    <cellStyle name="Comma 5 4 3 6 2" xfId="8893" xr:uid="{A913B0F0-37E6-44C2-9608-68BA783E94B4}"/>
    <cellStyle name="Comma 5 4 3 6 2 2" xfId="19273" xr:uid="{E8318EBE-72F5-494C-9577-C99C8D5324E2}"/>
    <cellStyle name="Comma 5 4 3 6 3" xfId="11726" xr:uid="{681068A9-FB73-4D20-9927-5713336CFBE7}"/>
    <cellStyle name="Comma 5 4 3 6 3 2" xfId="22106" xr:uid="{337B2FBA-E6AB-4444-B7CC-F3B78ED31589}"/>
    <cellStyle name="Comma 5 4 3 6 4" xfId="23915" xr:uid="{6ADD72EB-FF18-46E3-B04C-1BA026AD2C9B}"/>
    <cellStyle name="Comma 5 4 3 6 5" xfId="26615" xr:uid="{84350A5C-096B-4A1F-BA16-7CE280504E2D}"/>
    <cellStyle name="Comma 5 4 3 6 6" xfId="16440" xr:uid="{68110F5E-5FAD-434E-93FD-3B4A47E9ECF5}"/>
    <cellStyle name="Comma 5 4 3 7" xfId="4863" xr:uid="{A240C9B6-55E4-4374-B1DF-9A086F346D6E}"/>
    <cellStyle name="Comma 5 4 3 7 2" xfId="27089" xr:uid="{89D53217-DF21-40B2-AB82-FC0954B7D310}"/>
    <cellStyle name="Comma 5 4 3 7 3" xfId="27731" xr:uid="{86F77ADB-B0E9-422F-9F9A-5CB7BEEBC18E}"/>
    <cellStyle name="Comma 5 4 3 7 4" xfId="14155" xr:uid="{C4B0A41C-5947-45ED-8358-35CE0465EFEB}"/>
    <cellStyle name="Comma 5 4 3 8" xfId="6608" xr:uid="{FC7E9C22-45D7-4533-9861-B9F9C7C7FAFD}"/>
    <cellStyle name="Comma 5 4 3 8 2" xfId="16988" xr:uid="{4898B56F-4FA9-4A9A-89CF-EB1664D1B240}"/>
    <cellStyle name="Comma 5 4 3 9" xfId="9441" xr:uid="{C659FD1A-67C9-44C8-95C6-EFAC335E9A81}"/>
    <cellStyle name="Comma 5 4 3 9 2" xfId="19821" xr:uid="{1BA271D6-C8C5-4E3F-B9C1-5947FC94DD91}"/>
    <cellStyle name="Comma 5 4 4" xfId="470" xr:uid="{00000000-0005-0000-0000-000011020000}"/>
    <cellStyle name="Comma 5 4 4 10" xfId="13070" xr:uid="{EB520593-34BA-4E5E-94BA-C49A73C54C6F}"/>
    <cellStyle name="Comma 5 4 4 2" xfId="1622" xr:uid="{00000000-0005-0000-0000-000012020000}"/>
    <cellStyle name="Comma 5 4 4 2 2" xfId="3030" xr:uid="{00000000-0005-0000-0000-0000B5010000}"/>
    <cellStyle name="Comma 5 4 4 2 2 2" xfId="8110" xr:uid="{290FC8F3-15F3-4BEF-9B10-48879780ECA7}"/>
    <cellStyle name="Comma 5 4 4 2 2 2 2" xfId="28792" xr:uid="{0C03508E-AAB2-4125-B7C0-1A41F0DBF503}"/>
    <cellStyle name="Comma 5 4 4 2 2 2 3" xfId="26279" xr:uid="{19B9AA86-C3EF-40BA-BFBD-CFAE038525C9}"/>
    <cellStyle name="Comma 5 4 4 2 2 2 4" xfId="18490" xr:uid="{5284C830-663D-43D1-A0D0-AAAA32887826}"/>
    <cellStyle name="Comma 5 4 4 2 2 3" xfId="10943" xr:uid="{F9FA5684-0770-45A3-A466-745760E72C89}"/>
    <cellStyle name="Comma 5 4 4 2 2 3 2" xfId="21323" xr:uid="{779D5D81-E695-46AF-A985-5A313B01AFFE}"/>
    <cellStyle name="Comma 5 4 4 2 2 4" xfId="24807" xr:uid="{60A2FF48-03F1-48DD-A1A5-04965444BA76}"/>
    <cellStyle name="Comma 5 4 4 2 2 5" xfId="15657" xr:uid="{6716B62F-D1BA-41B9-BFE9-7657228B1592}"/>
    <cellStyle name="Comma 5 4 4 2 3" xfId="2061" xr:uid="{00000000-0005-0000-0000-000012020000}"/>
    <cellStyle name="Comma 5 4 4 2 4" xfId="5565" xr:uid="{D16A0D10-FBA3-4EA5-8CE1-1E4196985AAF}"/>
    <cellStyle name="Comma 5 4 4 2 4 2" xfId="30174" xr:uid="{6B491E0D-C359-4DD2-A1CB-85693120A5E9}"/>
    <cellStyle name="Comma 5 4 4 2 5" xfId="23001" xr:uid="{2BF63B1D-1E5E-43E0-9D3C-3640ADEC249D}"/>
    <cellStyle name="Comma 5 4 4 2 6" xfId="13533" xr:uid="{D8C0D2BF-AC83-44C3-A0AD-982213DAA7E5}"/>
    <cellStyle name="Comma 5 4 4 3" xfId="1623" xr:uid="{00000000-0005-0000-0000-000013020000}"/>
    <cellStyle name="Comma 5 4 4 3 2" xfId="4644" xr:uid="{AA605243-E9A8-42CE-AFF2-C3FB06670C65}"/>
    <cellStyle name="Comma 5 4 4 3 2 2" xfId="9402" xr:uid="{5F7BF688-ADB8-476E-A01C-0694B5EDBD1C}"/>
    <cellStyle name="Comma 5 4 4 3 2 2 2" xfId="19782" xr:uid="{593A7D09-AA36-489A-A4D5-203E0941D4F0}"/>
    <cellStyle name="Comma 5 4 4 3 2 3" xfId="12235" xr:uid="{E8AB7BAB-0100-426A-A9CD-5D95269558B2}"/>
    <cellStyle name="Comma 5 4 4 3 2 3 2" xfId="22615" xr:uid="{9E4CA505-3EE2-42CF-BC54-2A3EA58EBA52}"/>
    <cellStyle name="Comma 5 4 4 3 2 4" xfId="27285" xr:uid="{C261FBD2-0745-4F7C-88BD-83FB3946F1E3}"/>
    <cellStyle name="Comma 5 4 4 3 2 5" xfId="26696" xr:uid="{98D782FF-D647-48EA-89DB-175218B28C99}"/>
    <cellStyle name="Comma 5 4 4 3 2 6" xfId="16949" xr:uid="{0CC32059-AEF4-48E9-B9D7-C4C7B59AA66C}"/>
    <cellStyle name="Comma 5 4 4 3 3" xfId="24396" xr:uid="{383C249C-D118-473B-9C1E-889FE84F2D07}"/>
    <cellStyle name="Comma 5 4 4 3 3 2" xfId="30127" xr:uid="{7D9EEB86-8C6E-4263-B70E-E53D2B4ABF2F}"/>
    <cellStyle name="Comma 5 4 4 3 4" xfId="30242" xr:uid="{F3A240C6-94B7-4A72-BE5C-E18A0646D231}"/>
    <cellStyle name="Comma 5 4 4 4" xfId="1621" xr:uid="{00000000-0005-0000-0000-000014020000}"/>
    <cellStyle name="Comma 5 4 4 5" xfId="4254" xr:uid="{20B90C1C-34CA-4215-8DD8-975AECD84294}"/>
    <cellStyle name="Comma 5 4 4 5 2" xfId="9026" xr:uid="{A812A268-AD3A-4FCD-83AB-6D1D8FE34016}"/>
    <cellStyle name="Comma 5 4 4 5 2 2" xfId="19406" xr:uid="{B2FF5CD4-C747-4981-9DF0-CA1385916856}"/>
    <cellStyle name="Comma 5 4 4 5 3" xfId="11859" xr:uid="{621705D9-DE19-48F4-82CF-C0A9E1616150}"/>
    <cellStyle name="Comma 5 4 4 5 3 2" xfId="22239" xr:uid="{1A7A7CFB-9B9C-4907-981F-39F7047E6056}"/>
    <cellStyle name="Comma 5 4 4 5 4" xfId="28372" xr:uid="{585164CC-9B2A-4316-925F-EF9B482CDB71}"/>
    <cellStyle name="Comma 5 4 4 5 5" xfId="26146" xr:uid="{307E018B-9018-4695-92A4-8DE0D898F420}"/>
    <cellStyle name="Comma 5 4 4 5 6" xfId="16573" xr:uid="{6CC63D45-A75B-423C-82A7-E72353DFE1E4}"/>
    <cellStyle name="Comma 5 4 4 6" xfId="4864" xr:uid="{40464597-81CF-4B3A-BDBE-A56B8D31FCF5}"/>
    <cellStyle name="Comma 5 4 4 6 2" xfId="14156" xr:uid="{ED84718F-BA5C-47DD-A8B0-7AAB56D3BC03}"/>
    <cellStyle name="Comma 5 4 4 7" xfId="6609" xr:uid="{CC1F996B-D609-457F-9A2E-D7DFA7F4B274}"/>
    <cellStyle name="Comma 5 4 4 7 2" xfId="16989" xr:uid="{718DC36B-78FF-4911-BA8F-30594FD38B51}"/>
    <cellStyle name="Comma 5 4 4 8" xfId="9442" xr:uid="{F9A7B80C-75B2-4BAC-B3C2-4574E940388C}"/>
    <cellStyle name="Comma 5 4 4 8 2" xfId="19822" xr:uid="{D37551E2-3897-4D74-8D80-3C488577C95B}"/>
    <cellStyle name="Comma 5 4 4 9" xfId="23363" xr:uid="{4C0AD912-540B-4296-94BC-BB12EC26B90D}"/>
    <cellStyle name="Comma 5 4 5" xfId="1624" xr:uid="{00000000-0005-0000-0000-000015020000}"/>
    <cellStyle name="Comma 5 4 5 2" xfId="3031" xr:uid="{00000000-0005-0000-0000-0000B6010000}"/>
    <cellStyle name="Comma 5 4 5 2 2" xfId="8111" xr:uid="{CA1995C3-89FB-4891-8F58-E90990A049DF}"/>
    <cellStyle name="Comma 5 4 5 2 2 2" xfId="28793" xr:uid="{C8A76B4C-5A93-4F7F-9EC3-80FE72D4677F}"/>
    <cellStyle name="Comma 5 4 5 2 2 3" xfId="27732" xr:uid="{A2C6750A-A58B-4E1E-A08F-98C689786567}"/>
    <cellStyle name="Comma 5 4 5 2 2 4" xfId="18491" xr:uid="{4170FDDD-D94A-4BBE-BF71-F250007E7FB9}"/>
    <cellStyle name="Comma 5 4 5 2 3" xfId="10944" xr:uid="{CDF1C62F-6B25-4CFF-982E-25A5F01676E6}"/>
    <cellStyle name="Comma 5 4 5 2 3 2" xfId="21324" xr:uid="{E326CDF0-D07C-4323-8623-BD92212513E8}"/>
    <cellStyle name="Comma 5 4 5 2 4" xfId="23268" xr:uid="{C379944C-8374-42A4-955A-6C718EA081D2}"/>
    <cellStyle name="Comma 5 4 5 2 5" xfId="15658" xr:uid="{50152E7A-E97E-470C-89FA-97C7B34C4030}"/>
    <cellStyle name="Comma 5 4 5 3" xfId="2082" xr:uid="{00000000-0005-0000-0000-000015020000}"/>
    <cellStyle name="Comma 5 4 5 4" xfId="4398" xr:uid="{B00051C5-3A2E-424F-9C46-B4DD74FD8567}"/>
    <cellStyle name="Comma 5 4 5 4 2" xfId="9170" xr:uid="{3351EA1B-65B1-4144-9B49-1360FCB0E530}"/>
    <cellStyle name="Comma 5 4 5 4 2 2" xfId="19550" xr:uid="{55CFBDE5-84A5-4D40-B8A8-6A85D07AD007}"/>
    <cellStyle name="Comma 5 4 5 4 3" xfId="12003" xr:uid="{D9CDB029-0734-47C7-9758-9DB8F9DFEC28}"/>
    <cellStyle name="Comma 5 4 5 4 3 2" xfId="22383" xr:uid="{5F9F1B0A-C1AD-4056-8E63-28913330970F}"/>
    <cellStyle name="Comma 5 4 5 4 4" xfId="16717" xr:uid="{DCCB65D7-1687-4250-A4D9-2A157B3BE969}"/>
    <cellStyle name="Comma 5 4 5 5" xfId="5566" xr:uid="{A128631B-3428-414E-9F25-8FA6699F8D03}"/>
    <cellStyle name="Comma 5 4 5 5 2" xfId="29915" xr:uid="{4480F891-84C7-477B-97AA-990E9055683D}"/>
    <cellStyle name="Comma 5 4 5 6" xfId="23185" xr:uid="{E54F51E7-4A6B-4E4B-A0BF-F9D227F9A808}"/>
    <cellStyle name="Comma 5 4 5 7" xfId="13534" xr:uid="{4A7D1C38-FFE0-4648-8561-028E3DBF36DB}"/>
    <cellStyle name="Comma 5 4 6" xfId="1625" xr:uid="{00000000-0005-0000-0000-000016020000}"/>
    <cellStyle name="Comma 5 4 6 2" xfId="2869" xr:uid="{00000000-0005-0000-0000-0000B7010000}"/>
    <cellStyle name="Comma 5 4 6 2 2" xfId="7986" xr:uid="{E435F86A-2CC6-49A9-AFBB-303D9970770D}"/>
    <cellStyle name="Comma 5 4 6 2 2 2" xfId="27333" xr:uid="{C14A4527-489D-49CA-8263-A009DCE0942E}"/>
    <cellStyle name="Comma 5 4 6 2 2 3" xfId="28490" xr:uid="{B7E8DAA1-3088-46D4-8D75-C4437F530D14}"/>
    <cellStyle name="Comma 5 4 6 2 2 4" xfId="18366" xr:uid="{6FCCB180-A23C-4F85-AEF6-C321E54E6834}"/>
    <cellStyle name="Comma 5 4 6 2 3" xfId="10819" xr:uid="{B7D4ED36-7A7D-4D50-9C34-32F1FCEEB96B}"/>
    <cellStyle name="Comma 5 4 6 2 3 2" xfId="21199" xr:uid="{62C2CE69-C784-46E2-914F-274D400EAFA3}"/>
    <cellStyle name="Comma 5 4 6 2 4" xfId="25066" xr:uid="{6BBF8F4F-1CD9-4076-B1A7-09911CA21A3E}"/>
    <cellStyle name="Comma 5 4 6 2 5" xfId="15533" xr:uid="{DE69EAE8-F98B-43F5-8716-641AF55870C8}"/>
    <cellStyle name="Comma 5 4 6 3" xfId="2861" xr:uid="{00000000-0005-0000-0000-000016020000}"/>
    <cellStyle name="Comma 5 4 6 4" xfId="5567" xr:uid="{69214C48-DCEC-47C1-B288-7DDCDBE36611}"/>
    <cellStyle name="Comma 5 4 6 4 2" xfId="30155" xr:uid="{30234208-4D1D-45DB-B807-EFB5FE848280}"/>
    <cellStyle name="Comma 5 4 6 5" xfId="23950" xr:uid="{D763EBFC-6C85-47DB-BF46-3F62DBDA0A3A}"/>
    <cellStyle name="Comma 5 4 6 6" xfId="13362" xr:uid="{04BD029C-329B-4756-BEB3-2C4C6D3058CA}"/>
    <cellStyle name="Comma 5 4 7" xfId="1611" xr:uid="{00000000-0005-0000-0000-000017020000}"/>
    <cellStyle name="Comma 5 4 7 2" xfId="2460" xr:uid="{00000000-0005-0000-0000-0000B8010000}"/>
    <cellStyle name="Comma 5 4 7 2 2" xfId="7585" xr:uid="{AF3A6ABC-EA18-499E-8302-4132FA53E347}"/>
    <cellStyle name="Comma 5 4 7 2 2 2" xfId="17965" xr:uid="{5FB56155-C1E5-4258-89D8-7CC001110979}"/>
    <cellStyle name="Comma 5 4 7 2 3" xfId="10418" xr:uid="{DB0901B6-366E-4321-8D44-501B5AC115C6}"/>
    <cellStyle name="Comma 5 4 7 2 3 2" xfId="20798" xr:uid="{E77F0AC0-C7B3-4BBA-AAB4-8B4BB4CFC112}"/>
    <cellStyle name="Comma 5 4 7 2 4" xfId="26839" xr:uid="{CA8A0B08-9241-4228-9AAC-005A8275049B}"/>
    <cellStyle name="Comma 5 4 7 2 5" xfId="28624" xr:uid="{08CA900D-3108-40F0-A0BF-412B4D4CF914}"/>
    <cellStyle name="Comma 5 4 7 2 6" xfId="15132" xr:uid="{49423BB8-D6C1-46B5-96AA-110BAC1F6EA3}"/>
    <cellStyle name="Comma 5 4 7 3" xfId="3571" xr:uid="{00000000-0005-0000-0000-000017020000}"/>
    <cellStyle name="Comma 5 4 7 4" xfId="5557" xr:uid="{C75D7C05-F3B8-47BC-AC18-1C130F1A3B1B}"/>
    <cellStyle name="Comma 5 4 7 4 2" xfId="30095" xr:uid="{EB28A513-242C-4C02-BA57-216BB0DA60E7}"/>
    <cellStyle name="Comma 5 4 7 5" xfId="24553" xr:uid="{71BFF522-A16F-49DA-837C-7E42E5B76A6E}"/>
    <cellStyle name="Comma 5 4 7 6" xfId="12848" xr:uid="{8E51FA3F-6D37-4105-BEBC-E890E8758154}"/>
    <cellStyle name="Comma 5 4 8" xfId="2214" xr:uid="{00000000-0005-0000-0000-0000A7010000}"/>
    <cellStyle name="Comma 5 4 8 2" xfId="7341" xr:uid="{1A171DF4-532B-47D3-98C5-03A480295C1B}"/>
    <cellStyle name="Comma 5 4 8 2 2" xfId="17721" xr:uid="{7308A606-410B-47CE-99C3-0436B50B8890}"/>
    <cellStyle name="Comma 5 4 8 3" xfId="10174" xr:uid="{126C35F2-D091-47B6-B645-26AFB0694491}"/>
    <cellStyle name="Comma 5 4 8 3 2" xfId="20554" xr:uid="{3D4826B6-0EF4-4003-83B2-EDCF147287E8}"/>
    <cellStyle name="Comma 5 4 8 4" xfId="25150" xr:uid="{AEA9DE12-F05C-49F9-BCF2-0E58271C6F3E}"/>
    <cellStyle name="Comma 5 4 8 5" xfId="26622" xr:uid="{9B2279ED-8D13-41EF-B0F1-FE3DB7938777}"/>
    <cellStyle name="Comma 5 4 8 6" xfId="14888" xr:uid="{8B96C28A-B2B6-409E-9599-4F4859E521CC}"/>
    <cellStyle name="Comma 5 4 9" xfId="3861" xr:uid="{A30A1CB2-A210-4F10-856F-40B6121D2558}"/>
    <cellStyle name="Comma 5 4 9 2" xfId="8693" xr:uid="{1ED45EE7-2EA9-473D-86DE-E17D78E615AF}"/>
    <cellStyle name="Comma 5 4 9 2 2" xfId="19073" xr:uid="{278B5468-A8C2-4D77-B9D9-13FB01429D0E}"/>
    <cellStyle name="Comma 5 4 9 3" xfId="11526" xr:uid="{3D4477C4-5222-4F2D-8032-84C6717135D5}"/>
    <cellStyle name="Comma 5 4 9 3 2" xfId="21906" xr:uid="{81609EBF-B4EB-4152-B331-6F85F557B933}"/>
    <cellStyle name="Comma 5 4 9 4" xfId="27234" xr:uid="{60CC41BC-C2A6-4347-88DB-37769B7CA3D5}"/>
    <cellStyle name="Comma 5 4 9 5" xfId="26868" xr:uid="{DFF90D36-9659-4AAE-BA1B-59A41E577559}"/>
    <cellStyle name="Comma 5 4 9 6" xfId="16240" xr:uid="{F488F3F8-EB13-4588-8975-0230DAE4D758}"/>
    <cellStyle name="Comma 5 5" xfId="471" xr:uid="{00000000-0005-0000-0000-000018020000}"/>
    <cellStyle name="Comma 5 5 10" xfId="6610" xr:uid="{F68913B7-AB9A-423B-9BE1-EFB136CF76FE}"/>
    <cellStyle name="Comma 5 5 10 2" xfId="16990" xr:uid="{8FA09342-F31D-4E3E-9EDE-CFEFF2707D50}"/>
    <cellStyle name="Comma 5 5 11" xfId="9443" xr:uid="{3FF3BF7D-1FC3-4E33-960B-6813663D50E1}"/>
    <cellStyle name="Comma 5 5 11 2" xfId="19823" xr:uid="{C3E9E9FB-8587-4430-9E52-506174192954}"/>
    <cellStyle name="Comma 5 5 12" xfId="23560" xr:uid="{125990ED-B5A7-4AB8-9572-BF563C0E05B1}"/>
    <cellStyle name="Comma 5 5 13" xfId="12429" xr:uid="{022737FE-02B8-4339-8C4F-B93412874188}"/>
    <cellStyle name="Comma 5 5 2" xfId="472" xr:uid="{00000000-0005-0000-0000-000019020000}"/>
    <cellStyle name="Comma 5 5 2 10" xfId="9444" xr:uid="{925AA75C-30CF-4EA6-A444-1464D695D594}"/>
    <cellStyle name="Comma 5 5 2 10 2" xfId="19824" xr:uid="{C068C876-61E0-4591-85E9-E222158C415F}"/>
    <cellStyle name="Comma 5 5 2 11" xfId="23936" xr:uid="{FEA3F40E-8559-4999-954B-23BDB5010D03}"/>
    <cellStyle name="Comma 5 5 2 12" xfId="12507" xr:uid="{B305CE50-276F-4120-9C6D-6EE1DD38937B}"/>
    <cellStyle name="Comma 5 5 2 2" xfId="473" xr:uid="{00000000-0005-0000-0000-00001A020000}"/>
    <cellStyle name="Comma 5 5 2 2 10" xfId="13074" xr:uid="{35FF24D1-3374-49A1-94AB-48660EFC3E29}"/>
    <cellStyle name="Comma 5 5 2 2 2" xfId="1629" xr:uid="{00000000-0005-0000-0000-00001B020000}"/>
    <cellStyle name="Comma 5 5 2 2 2 2" xfId="3033" xr:uid="{00000000-0005-0000-0000-0000BC010000}"/>
    <cellStyle name="Comma 5 5 2 2 2 2 2" xfId="8113" xr:uid="{2AE85520-C8C8-457E-ACA9-529C269B9E3F}"/>
    <cellStyle name="Comma 5 5 2 2 2 2 2 2" xfId="28795" xr:uid="{D7A53197-3458-482B-840E-70A789FC1E24}"/>
    <cellStyle name="Comma 5 5 2 2 2 2 2 3" xfId="28240" xr:uid="{75899C5E-C4FB-419E-8A6B-99C3547D7C46}"/>
    <cellStyle name="Comma 5 5 2 2 2 2 2 4" xfId="18493" xr:uid="{36264E9A-D330-40AA-B391-E41E2315BC41}"/>
    <cellStyle name="Comma 5 5 2 2 2 2 3" xfId="10946" xr:uid="{BBEF4E85-2A45-41F4-AEDE-728924247D1F}"/>
    <cellStyle name="Comma 5 5 2 2 2 2 3 2" xfId="21326" xr:uid="{E9C5795C-00C5-4855-8AF9-5D6C25640AEC}"/>
    <cellStyle name="Comma 5 5 2 2 2 2 4" xfId="24162" xr:uid="{E433F28E-FBD0-461A-A44F-7B9039781C0F}"/>
    <cellStyle name="Comma 5 5 2 2 2 2 5" xfId="15660" xr:uid="{3F5497FD-51CD-4B7C-B9ED-AAA49343CBCE}"/>
    <cellStyle name="Comma 5 5 2 2 2 3" xfId="3547" xr:uid="{00000000-0005-0000-0000-00001B020000}"/>
    <cellStyle name="Comma 5 5 2 2 2 4" xfId="5569" xr:uid="{8149337E-E2F7-4BC3-B2AD-3A48DB4611B4}"/>
    <cellStyle name="Comma 5 5 2 2 2 4 2" xfId="30176" xr:uid="{8A044FC1-070D-497E-BD3A-357BDBECEA71}"/>
    <cellStyle name="Comma 5 5 2 2 2 5" xfId="23271" xr:uid="{324F7F2A-F9B4-427B-BAA0-884E742FA9CB}"/>
    <cellStyle name="Comma 5 5 2 2 2 6" xfId="13536" xr:uid="{FA17DD78-577E-4F4A-A4A3-79140DA28301}"/>
    <cellStyle name="Comma 5 5 2 2 3" xfId="1630" xr:uid="{00000000-0005-0000-0000-00001C020000}"/>
    <cellStyle name="Comma 5 5 2 2 3 2" xfId="4662" xr:uid="{B2F37315-6DCC-4AA8-91CB-5196813D8346}"/>
    <cellStyle name="Comma 5 5 2 2 3 2 2" xfId="9411" xr:uid="{E47A1DEC-3551-413C-B44C-FBAAD200C832}"/>
    <cellStyle name="Comma 5 5 2 2 3 2 2 2" xfId="19791" xr:uid="{AD92439A-7503-45C2-BAA6-A5D77D862B3A}"/>
    <cellStyle name="Comma 5 5 2 2 3 2 3" xfId="12244" xr:uid="{EC7FCFC4-452B-4FE3-BBC1-FCE6A21A9DDF}"/>
    <cellStyle name="Comma 5 5 2 2 3 2 3 2" xfId="22624" xr:uid="{62C16D63-B217-422C-A300-74BA0214C757}"/>
    <cellStyle name="Comma 5 5 2 2 3 2 4" xfId="26364" xr:uid="{C2C9F031-3AEA-4B32-94D5-A68C41FAC102}"/>
    <cellStyle name="Comma 5 5 2 2 3 2 5" xfId="25991" xr:uid="{B7C7B693-B722-4F40-ACDA-74BB51F20522}"/>
    <cellStyle name="Comma 5 5 2 2 3 2 6" xfId="16958" xr:uid="{4DE22B44-2151-4B51-9726-162B99792D9D}"/>
    <cellStyle name="Comma 5 5 2 2 3 3" xfId="22715" xr:uid="{92B2D0D1-AC90-443C-9981-82F2B0565022}"/>
    <cellStyle name="Comma 5 5 2 2 3 3 2" xfId="30130" xr:uid="{A2A68AD9-3749-492B-9F68-57A847F8F85D}"/>
    <cellStyle name="Comma 5 5 2 2 3 4" xfId="30244" xr:uid="{DE44E9F4-6283-4677-B6AF-F68B42AE7EB0}"/>
    <cellStyle name="Comma 5 5 2 2 4" xfId="1628" xr:uid="{00000000-0005-0000-0000-00001D020000}"/>
    <cellStyle name="Comma 5 5 2 2 4 2" xfId="26906" xr:uid="{6F7A2ECF-25AB-4CBD-817C-55807B88D221}"/>
    <cellStyle name="Comma 5 5 2 2 4 3" xfId="26324" xr:uid="{947B228F-946F-4CAA-BA52-7D37CF416252}"/>
    <cellStyle name="Comma 5 5 2 2 5" xfId="4257" xr:uid="{F425CFC7-105B-4CC0-8870-3014D73014C3}"/>
    <cellStyle name="Comma 5 5 2 2 5 2" xfId="9029" xr:uid="{13C3FDE2-5559-4AEB-9363-A03CE57D7938}"/>
    <cellStyle name="Comma 5 5 2 2 5 2 2" xfId="19409" xr:uid="{E5AFDC7D-2E76-478B-A5FE-40C3176D389A}"/>
    <cellStyle name="Comma 5 5 2 2 5 3" xfId="11862" xr:uid="{2A39EEE8-F51A-4BD9-908B-5D918AC6FF8E}"/>
    <cellStyle name="Comma 5 5 2 2 5 3 2" xfId="22242" xr:uid="{89075ACE-3FFD-40C2-9CDA-923A33AE603B}"/>
    <cellStyle name="Comma 5 5 2 2 5 4" xfId="28470" xr:uid="{B2944A0E-2792-4E36-A6CD-5BA38F961C86}"/>
    <cellStyle name="Comma 5 5 2 2 5 5" xfId="27173" xr:uid="{932979F3-F365-4C93-B50C-E510F37D9E15}"/>
    <cellStyle name="Comma 5 5 2 2 5 6" xfId="16576" xr:uid="{E20AC4C6-B379-465A-9BA2-31180D5B832E}"/>
    <cellStyle name="Comma 5 5 2 2 6" xfId="4867" xr:uid="{2C2AF93C-FB36-43A0-A025-409ECF6C1BDB}"/>
    <cellStyle name="Comma 5 5 2 2 6 2" xfId="28232" xr:uid="{9D1E46B6-8E75-4D25-932A-5044949B17DB}"/>
    <cellStyle name="Comma 5 5 2 2 6 3" xfId="27319" xr:uid="{6ECABCF4-B3A6-49C3-A88A-0474DCE8E380}"/>
    <cellStyle name="Comma 5 5 2 2 6 4" xfId="14159" xr:uid="{AE8ED646-516E-47B4-8B48-EF4F052525B9}"/>
    <cellStyle name="Comma 5 5 2 2 7" xfId="6612" xr:uid="{43DD63CF-7129-4C83-8E53-6FBBDEAA6ABB}"/>
    <cellStyle name="Comma 5 5 2 2 7 2" xfId="16992" xr:uid="{EBEC6825-98E7-4C94-BEFF-7A674D1AC88D}"/>
    <cellStyle name="Comma 5 5 2 2 8" xfId="9445" xr:uid="{35DFDB9E-357C-4E4D-BC65-96DC64BA8B9F}"/>
    <cellStyle name="Comma 5 5 2 2 8 2" xfId="19825" xr:uid="{63F93CB6-2331-402A-A896-3CC3EE713676}"/>
    <cellStyle name="Comma 5 5 2 2 9" xfId="24569" xr:uid="{E63E51D1-8FE3-41BB-B561-CB42C3286D6B}"/>
    <cellStyle name="Comma 5 5 2 3" xfId="1631" xr:uid="{00000000-0005-0000-0000-00001E020000}"/>
    <cellStyle name="Comma 5 5 2 3 2" xfId="3034" xr:uid="{00000000-0005-0000-0000-0000BD010000}"/>
    <cellStyle name="Comma 5 5 2 3 2 2" xfId="8114" xr:uid="{81A888E5-0B53-4D56-8867-69F92F7C8E25}"/>
    <cellStyle name="Comma 5 5 2 3 2 2 2" xfId="28796" xr:uid="{13DD1A7F-3F45-4FED-A2A0-862C422EBE30}"/>
    <cellStyle name="Comma 5 5 2 3 2 2 3" xfId="27584" xr:uid="{76712071-AC0C-4F27-A46D-F4350A722BE1}"/>
    <cellStyle name="Comma 5 5 2 3 2 2 4" xfId="18494" xr:uid="{F21898EA-35F5-4361-9A5F-73415AB73E23}"/>
    <cellStyle name="Comma 5 5 2 3 2 3" xfId="10947" xr:uid="{780B36F9-F617-4AC3-AAD9-1E6BB2051FF1}"/>
    <cellStyle name="Comma 5 5 2 3 2 3 2" xfId="21327" xr:uid="{840CEE2D-9C0C-4488-B440-5DD48AF1B74B}"/>
    <cellStyle name="Comma 5 5 2 3 2 4" xfId="23437" xr:uid="{0F501286-54E5-483D-ACF4-0264FCD9BB1E}"/>
    <cellStyle name="Comma 5 5 2 3 2 5" xfId="15661" xr:uid="{E9E1ABC4-1CE5-40E4-9EBF-F54843E28052}"/>
    <cellStyle name="Comma 5 5 2 3 3" xfId="3569" xr:uid="{00000000-0005-0000-0000-00001E020000}"/>
    <cellStyle name="Comma 5 5 2 3 4" xfId="4399" xr:uid="{EA2E7E2E-2E7D-462B-A6DA-299801D6D98F}"/>
    <cellStyle name="Comma 5 5 2 3 4 2" xfId="9171" xr:uid="{3A6F7C63-ECFF-4582-83D4-F800D01FB1DE}"/>
    <cellStyle name="Comma 5 5 2 3 4 2 2" xfId="19551" xr:uid="{5F2F7421-CB3C-4C0C-94E1-149CF08D1218}"/>
    <cellStyle name="Comma 5 5 2 3 4 3" xfId="12004" xr:uid="{4E20C26B-F108-4724-AF70-22A9F8145129}"/>
    <cellStyle name="Comma 5 5 2 3 4 3 2" xfId="22384" xr:uid="{F2BB2F88-D0E0-46A0-B0FE-BE3E1067F817}"/>
    <cellStyle name="Comma 5 5 2 3 4 4" xfId="16718" xr:uid="{BBCC3D97-496B-477C-8300-8068167F31C0}"/>
    <cellStyle name="Comma 5 5 2 3 5" xfId="5570" xr:uid="{7CF632E3-4777-4439-BD13-C36956A9A848}"/>
    <cellStyle name="Comma 5 5 2 3 5 2" xfId="29933" xr:uid="{9A366711-0960-4B51-BC4B-0D3EF757439D}"/>
    <cellStyle name="Comma 5 5 2 3 6" xfId="24251" xr:uid="{7854BEE0-FF20-4F98-AC86-A079A6833A12}"/>
    <cellStyle name="Comma 5 5 2 3 7" xfId="13537" xr:uid="{A8C823ED-4DEA-421E-8373-07016424A5F0}"/>
    <cellStyle name="Comma 5 5 2 4" xfId="1632" xr:uid="{00000000-0005-0000-0000-00001F020000}"/>
    <cellStyle name="Comma 5 5 2 4 2" xfId="3032" xr:uid="{00000000-0005-0000-0000-0000BE010000}"/>
    <cellStyle name="Comma 5 5 2 4 2 2" xfId="8112" xr:uid="{8B105B21-38BE-4440-B53F-339A3295330A}"/>
    <cellStyle name="Comma 5 5 2 4 2 2 2" xfId="28794" xr:uid="{3E7456B3-67D8-4BF3-A48D-6285E2F25D2F}"/>
    <cellStyle name="Comma 5 5 2 4 2 2 3" xfId="25871" xr:uid="{1DF288C7-35BA-4D3C-A265-6D70B9DA86F9}"/>
    <cellStyle name="Comma 5 5 2 4 2 2 4" xfId="18492" xr:uid="{CE2976AD-3E7B-473B-965A-9DA68EBE92A3}"/>
    <cellStyle name="Comma 5 5 2 4 2 3" xfId="10945" xr:uid="{6E07D054-C5EB-4EAA-9513-8C4E2C0CF1DD}"/>
    <cellStyle name="Comma 5 5 2 4 2 3 2" xfId="21325" xr:uid="{31A1617B-2604-4938-AC05-828CCACCA05F}"/>
    <cellStyle name="Comma 5 5 2 4 2 4" xfId="23470" xr:uid="{7AF72A65-EEAA-4E38-92FE-48D0406D6851}"/>
    <cellStyle name="Comma 5 5 2 4 2 5" xfId="15659" xr:uid="{66C431FE-8B2F-4382-85F1-4C640BDEA1DA}"/>
    <cellStyle name="Comma 5 5 2 4 3" xfId="3639" xr:uid="{00000000-0005-0000-0000-00001F020000}"/>
    <cellStyle name="Comma 5 5 2 4 4" xfId="5571" xr:uid="{A7DC721F-42E5-4C1F-981A-40EAC95C2325}"/>
    <cellStyle name="Comma 5 5 2 4 4 2" xfId="30175" xr:uid="{777BE624-CBDD-48D1-B110-8E9902415D0E}"/>
    <cellStyle name="Comma 5 5 2 4 5" xfId="23248" xr:uid="{B403172A-62E5-44D4-B009-CA7BFE2860E8}"/>
    <cellStyle name="Comma 5 5 2 4 6" xfId="13535" xr:uid="{6BF3DCE5-8388-4FEB-84E2-0D7EA09FD106}"/>
    <cellStyle name="Comma 5 5 2 5" xfId="1627" xr:uid="{00000000-0005-0000-0000-000020020000}"/>
    <cellStyle name="Comma 5 5 2 5 2" xfId="2606" xr:uid="{00000000-0005-0000-0000-0000BF010000}"/>
    <cellStyle name="Comma 5 5 2 5 2 2" xfId="7731" xr:uid="{56F37DDA-B19E-4AA9-A4F8-DE511DB10BE5}"/>
    <cellStyle name="Comma 5 5 2 5 2 2 2" xfId="18111" xr:uid="{D6606970-6866-4700-B917-902B70B2829F}"/>
    <cellStyle name="Comma 5 5 2 5 2 3" xfId="10564" xr:uid="{03D93D01-874D-4C7E-B6E8-6646DF361B5C}"/>
    <cellStyle name="Comma 5 5 2 5 2 3 2" xfId="20944" xr:uid="{E3A04422-6F5B-4D81-B99D-FEECA48FA414}"/>
    <cellStyle name="Comma 5 5 2 5 2 4" xfId="27997" xr:uid="{24F21F37-5917-4018-9E6C-C7641984E9BA}"/>
    <cellStyle name="Comma 5 5 2 5 2 5" xfId="26253" xr:uid="{80D89265-A39A-4A4D-AA40-3E6C2AF5F497}"/>
    <cellStyle name="Comma 5 5 2 5 2 6" xfId="15278" xr:uid="{63730937-422D-4A27-AD40-BFB4F5596BAE}"/>
    <cellStyle name="Comma 5 5 2 5 3" xfId="3550" xr:uid="{00000000-0005-0000-0000-000020020000}"/>
    <cellStyle name="Comma 5 5 2 5 4" xfId="5568" xr:uid="{EC7E76E4-1CD5-4119-9B58-FCAE4C6C9289}"/>
    <cellStyle name="Comma 5 5 2 5 4 2" xfId="30118" xr:uid="{7558B9B4-D333-49A4-AC70-3A40A5EB77AF}"/>
    <cellStyle name="Comma 5 5 2 5 5" xfId="22663" xr:uid="{F87EE0D8-7605-4BAC-B8D1-1FD6C5DA9D4A}"/>
    <cellStyle name="Comma 5 5 2 5 6" xfId="12994" xr:uid="{9588B1C1-B65E-4EBC-AB1D-043F75641582}"/>
    <cellStyle name="Comma 5 5 2 6" xfId="2275" xr:uid="{00000000-0005-0000-0000-0000BA010000}"/>
    <cellStyle name="Comma 5 5 2 6 2" xfId="7402" xr:uid="{BF98D419-FCB0-41D0-A353-A83259F5C528}"/>
    <cellStyle name="Comma 5 5 2 6 2 2" xfId="17782" xr:uid="{390025A4-9054-43F4-89A9-9036C01644E6}"/>
    <cellStyle name="Comma 5 5 2 6 3" xfId="10235" xr:uid="{FB622232-7D94-4CBB-9F81-C5A85FAA7DA9}"/>
    <cellStyle name="Comma 5 5 2 6 3 2" xfId="20615" xr:uid="{545544AA-0E46-4DF1-9D8F-C74045C244F0}"/>
    <cellStyle name="Comma 5 5 2 6 4" xfId="24119" xr:uid="{48234A69-540E-4466-AF7F-44BCDE98E2A4}"/>
    <cellStyle name="Comma 5 5 2 6 5" xfId="27405" xr:uid="{ABDC0F9F-59FE-4E0C-9BE7-F6D4523E26FE}"/>
    <cellStyle name="Comma 5 5 2 6 6" xfId="14949" xr:uid="{1DE065CC-4608-4C0C-8409-E1C6F2AC946A}"/>
    <cellStyle name="Comma 5 5 2 7" xfId="3814" xr:uid="{A67031BB-4D52-4448-AB9D-D3F77FED678A}"/>
    <cellStyle name="Comma 5 5 2 7 2" xfId="8648" xr:uid="{4D276026-51BE-40B5-8A76-89745AA2C8E2}"/>
    <cellStyle name="Comma 5 5 2 7 2 2" xfId="19028" xr:uid="{A57E13C3-EBCF-453E-AE03-2188BAE1E0FF}"/>
    <cellStyle name="Comma 5 5 2 7 3" xfId="11481" xr:uid="{AC1120BC-EF38-4262-B0D1-BB10C54203BF}"/>
    <cellStyle name="Comma 5 5 2 7 3 2" xfId="21861" xr:uid="{25F3E778-9F05-41FB-B597-A8827EBEAE67}"/>
    <cellStyle name="Comma 5 5 2 7 4" xfId="26802" xr:uid="{FE9D49E4-1E54-4FAA-9138-988B81FAB27A}"/>
    <cellStyle name="Comma 5 5 2 7 5" xfId="28256" xr:uid="{BF69C093-3389-4484-9625-540DA25850F9}"/>
    <cellStyle name="Comma 5 5 2 7 6" xfId="16195" xr:uid="{14093B26-44B4-4D8D-85EC-F686ACA6DA89}"/>
    <cellStyle name="Comma 5 5 2 8" xfId="4866" xr:uid="{3F5F929F-AD2B-4FC4-AE06-B544850F07D3}"/>
    <cellStyle name="Comma 5 5 2 8 2" xfId="14158" xr:uid="{90DC75DC-4445-4B30-87EE-A4B6763538F9}"/>
    <cellStyle name="Comma 5 5 2 9" xfId="6611" xr:uid="{144C1629-C8C1-4821-87C6-162C8052B7EA}"/>
    <cellStyle name="Comma 5 5 2 9 2" xfId="16991" xr:uid="{DC45AB9B-391D-443C-B724-97D3B0C0202B}"/>
    <cellStyle name="Comma 5 5 3" xfId="474" xr:uid="{00000000-0005-0000-0000-000021020000}"/>
    <cellStyle name="Comma 5 5 3 10" xfId="12665" xr:uid="{D68EB013-F254-4863-ACEC-DA60B3543A3D}"/>
    <cellStyle name="Comma 5 5 3 2" xfId="1634" xr:uid="{00000000-0005-0000-0000-000022020000}"/>
    <cellStyle name="Comma 5 5 3 2 2" xfId="3035" xr:uid="{00000000-0005-0000-0000-0000C1010000}"/>
    <cellStyle name="Comma 5 5 3 2 2 2" xfId="8115" xr:uid="{6E923544-D563-4AE9-AE26-D3443DC7A6E3}"/>
    <cellStyle name="Comma 5 5 3 2 2 2 2" xfId="28797" xr:uid="{A55DA19D-13DF-4F01-8DC7-CB9DD8A0BF5D}"/>
    <cellStyle name="Comma 5 5 3 2 2 2 3" xfId="25895" xr:uid="{8077C871-5A3E-4EEB-A4E9-B37044B9AE3E}"/>
    <cellStyle name="Comma 5 5 3 2 2 2 4" xfId="18495" xr:uid="{5E3D5AAD-60D9-4BCC-90B8-A77A41D99312}"/>
    <cellStyle name="Comma 5 5 3 2 2 3" xfId="10948" xr:uid="{BE9B532B-5792-47DA-985D-55AE26C1EA63}"/>
    <cellStyle name="Comma 5 5 3 2 2 3 2" xfId="21328" xr:uid="{41026603-F574-491F-BCF3-37117BEB63D1}"/>
    <cellStyle name="Comma 5 5 3 2 2 4" xfId="25691" xr:uid="{5FA3279B-2654-4CA2-BACD-F90F9D86C517}"/>
    <cellStyle name="Comma 5 5 3 2 2 5" xfId="15662" xr:uid="{EB3C57A3-4285-47DF-B10F-BAA31E0E0EA4}"/>
    <cellStyle name="Comma 5 5 3 2 3" xfId="2084" xr:uid="{00000000-0005-0000-0000-000022020000}"/>
    <cellStyle name="Comma 5 5 3 2 4" xfId="5572" xr:uid="{7F7B9B60-E209-4826-8772-73BB4FDBD1ED}"/>
    <cellStyle name="Comma 5 5 3 2 4 2" xfId="30177" xr:uid="{DB66B40B-E0EB-48B5-A35D-1B8EDE31CCC1}"/>
    <cellStyle name="Comma 5 5 3 2 5" xfId="24166" xr:uid="{E7FDD2E5-1D1F-4CAC-8B51-254CB0BA565F}"/>
    <cellStyle name="Comma 5 5 3 2 6" xfId="13538" xr:uid="{539FD750-BD35-44FD-B4C4-DE5B1C8545BD}"/>
    <cellStyle name="Comma 5 5 3 3" xfId="1635" xr:uid="{00000000-0005-0000-0000-000023020000}"/>
    <cellStyle name="Comma 5 5 3 3 2" xfId="2670" xr:uid="{00000000-0005-0000-0000-0000C2010000}"/>
    <cellStyle name="Comma 5 5 3 3 2 2" xfId="7794" xr:uid="{4A10F71E-744D-4E1A-A1FE-41BDC13EC78E}"/>
    <cellStyle name="Comma 5 5 3 3 2 2 2" xfId="18174" xr:uid="{F479C927-2FBF-456E-962F-2BB26B8B5E78}"/>
    <cellStyle name="Comma 5 5 3 3 2 3" xfId="10627" xr:uid="{614256B1-AE40-4025-9914-9B24BC6C1ECC}"/>
    <cellStyle name="Comma 5 5 3 3 2 3 2" xfId="21007" xr:uid="{02977913-50DA-4A6B-9B82-7FA563FE47D2}"/>
    <cellStyle name="Comma 5 5 3 3 2 4" xfId="15341" xr:uid="{85A9ECBF-14B8-44B5-B486-82C0EDA7446D}"/>
    <cellStyle name="Comma 5 5 3 3 3" xfId="3632" xr:uid="{00000000-0005-0000-0000-000023020000}"/>
    <cellStyle name="Comma 5 5 3 3 4" xfId="5573" xr:uid="{D0F45DDC-9CDB-4C3E-93A0-24657C4062B9}"/>
    <cellStyle name="Comma 5 5 3 3 4 2" xfId="30129" xr:uid="{8A14D9DC-2EB4-4D61-AE04-CACED0A3F8F7}"/>
    <cellStyle name="Comma 5 5 3 3 5" xfId="23178" xr:uid="{74BC34BA-9E64-4536-9EB6-4B30CE239A63}"/>
    <cellStyle name="Comma 5 5 3 3 6" xfId="13073" xr:uid="{0E9C5BEA-DDA4-49FE-9724-C62B2409A9EA}"/>
    <cellStyle name="Comma 5 5 3 4" xfId="1633" xr:uid="{00000000-0005-0000-0000-000024020000}"/>
    <cellStyle name="Comma 5 5 3 4 2" xfId="4678" xr:uid="{B9CA75EE-6848-4AA5-B3D9-A7A171A3E051}"/>
    <cellStyle name="Comma 5 5 3 4 2 2" xfId="9416" xr:uid="{087A5C71-72A9-4C8C-8DC8-0B8A6B8E408D}"/>
    <cellStyle name="Comma 5 5 3 4 2 2 2" xfId="19796" xr:uid="{9FFFEBDC-B576-4F5E-8F99-42E4A0658875}"/>
    <cellStyle name="Comma 5 5 3 4 2 3" xfId="12249" xr:uid="{85F2F8A1-E1FC-46CB-B89B-6890C3DA8F52}"/>
    <cellStyle name="Comma 5 5 3 4 2 3 2" xfId="22629" xr:uid="{80D3B82D-12B4-47BF-AF61-83494EAD79A3}"/>
    <cellStyle name="Comma 5 5 3 4 2 4" xfId="28749" xr:uid="{93D84A67-D8DB-4673-83D2-4A6F044EE3BD}"/>
    <cellStyle name="Comma 5 5 3 4 2 5" xfId="27882" xr:uid="{D4E4B022-58AA-4ECF-86C5-24D758213D37}"/>
    <cellStyle name="Comma 5 5 3 4 2 6" xfId="16963" xr:uid="{3D84CB5F-A64D-43EB-A36F-70360BC76100}"/>
    <cellStyle name="Comma 5 5 3 4 3" xfId="24912" xr:uid="{5AB78E44-B5D0-4CFE-B1B8-4AE603F2D5C7}"/>
    <cellStyle name="Comma 5 5 3 5" xfId="4122" xr:uid="{F9973A0F-8A84-4C8A-80C2-6CF63390BF41}"/>
    <cellStyle name="Comma 5 5 3 5 2" xfId="8894" xr:uid="{B4833EEF-FAF9-469A-BCFF-08E2012902FC}"/>
    <cellStyle name="Comma 5 5 3 5 2 2" xfId="29006" xr:uid="{32F70AF6-8302-4259-9DC0-5AD688E9A765}"/>
    <cellStyle name="Comma 5 5 3 5 2 3" xfId="26009" xr:uid="{16F9C4AC-6605-4138-A205-E6C3179E3361}"/>
    <cellStyle name="Comma 5 5 3 5 2 4" xfId="19274" xr:uid="{B1A78896-43A9-4257-9712-3F3BAB8CA8B2}"/>
    <cellStyle name="Comma 5 5 3 5 3" xfId="11727" xr:uid="{833A21B9-B28B-48B7-BD91-F8EC505AE039}"/>
    <cellStyle name="Comma 5 5 3 5 3 2" xfId="22107" xr:uid="{6156231B-96D6-4D21-87C3-5B1C08A493DB}"/>
    <cellStyle name="Comma 5 5 3 5 4" xfId="22814" xr:uid="{CD5E9768-2E2D-485A-86C2-AC5CCD484776}"/>
    <cellStyle name="Comma 5 5 3 5 5" xfId="16441" xr:uid="{0BE3CE96-FC58-4E66-9786-5D9089BF5F79}"/>
    <cellStyle name="Comma 5 5 3 6" xfId="4868" xr:uid="{6CDB7086-3F7E-4B8C-83B7-15AF5968925D}"/>
    <cellStyle name="Comma 5 5 3 6 2" xfId="26472" xr:uid="{40C01BE4-3B4B-422B-B13D-EBDE566684C9}"/>
    <cellStyle name="Comma 5 5 3 6 3" xfId="25840" xr:uid="{636C888B-6D95-4AA4-9C85-D683CEE26CB5}"/>
    <cellStyle name="Comma 5 5 3 6 4" xfId="14160" xr:uid="{7AA3EFD5-48D3-4C89-81A7-2C1BBA541F72}"/>
    <cellStyle name="Comma 5 5 3 7" xfId="6613" xr:uid="{0422C13C-3179-47EE-9788-B0849F0D399F}"/>
    <cellStyle name="Comma 5 5 3 7 2" xfId="27334" xr:uid="{BB97225F-869E-462C-90A4-0FE2082968C7}"/>
    <cellStyle name="Comma 5 5 3 7 3" xfId="28383" xr:uid="{3876D861-CFB1-4352-8288-3939E4C2C2C6}"/>
    <cellStyle name="Comma 5 5 3 7 4" xfId="16993" xr:uid="{FD311E95-5931-4C7E-A2D6-4460925E8CF1}"/>
    <cellStyle name="Comma 5 5 3 8" xfId="9446" xr:uid="{D9A5DF78-B22F-4F63-B7FD-1261471BEB62}"/>
    <cellStyle name="Comma 5 5 3 8 2" xfId="19826" xr:uid="{CAEEA5C0-94B0-4D14-97A6-13D067BE12C3}"/>
    <cellStyle name="Comma 5 5 3 9" xfId="24290" xr:uid="{434FB94B-F66A-4EC7-B85E-453360D49FFB}"/>
    <cellStyle name="Comma 5 5 4" xfId="475" xr:uid="{00000000-0005-0000-0000-000025020000}"/>
    <cellStyle name="Comma 5 5 4 10" xfId="13539" xr:uid="{52959F97-844D-4783-8588-821405EEC601}"/>
    <cellStyle name="Comma 5 5 4 2" xfId="1637" xr:uid="{00000000-0005-0000-0000-000026020000}"/>
    <cellStyle name="Comma 5 5 4 2 2" xfId="23668" xr:uid="{BE20CEF4-E54C-4E87-9F90-20E06B4A9C52}"/>
    <cellStyle name="Comma 5 5 4 2 2 2" xfId="30035" xr:uid="{33400D35-A4A4-41B6-B37D-58F57C63A824}"/>
    <cellStyle name="Comma 5 5 4 2 3" xfId="25591" xr:uid="{C5C79797-796D-481F-AAE7-1B994078CEAF}"/>
    <cellStyle name="Comma 5 5 4 2 4" xfId="30283" xr:uid="{EB3545A7-5E2E-4BD9-AF6A-939E10FDB12E}"/>
    <cellStyle name="Comma 5 5 4 3" xfId="1638" xr:uid="{00000000-0005-0000-0000-000027020000}"/>
    <cellStyle name="Comma 5 5 4 4" xfId="1636" xr:uid="{00000000-0005-0000-0000-000028020000}"/>
    <cellStyle name="Comma 5 5 4 5" xfId="4400" xr:uid="{4AD22D2F-7376-4F6D-A8EB-D20D9398390F}"/>
    <cellStyle name="Comma 5 5 4 5 2" xfId="9172" xr:uid="{9CE4E2A7-06F7-4802-860E-3DB1A4C80443}"/>
    <cellStyle name="Comma 5 5 4 5 2 2" xfId="19552" xr:uid="{B4626BF8-4DAE-43DD-97D7-40333803E923}"/>
    <cellStyle name="Comma 5 5 4 5 3" xfId="12005" xr:uid="{08672713-E368-4414-8B05-B6F4ECCB6DAE}"/>
    <cellStyle name="Comma 5 5 4 5 3 2" xfId="22385" xr:uid="{8ADE4E6C-E077-48DC-AA62-B39F989094CC}"/>
    <cellStyle name="Comma 5 5 4 5 4" xfId="16719" xr:uid="{6F6E83C0-7BA6-4A15-BCFE-388011EE79AD}"/>
    <cellStyle name="Comma 5 5 4 6" xfId="4869" xr:uid="{6E7E2566-A69B-4335-AA59-9A2F4590121A}"/>
    <cellStyle name="Comma 5 5 4 6 2" xfId="14161" xr:uid="{59928C80-8214-4158-8CD6-159958BAF16E}"/>
    <cellStyle name="Comma 5 5 4 7" xfId="6614" xr:uid="{A2CA9998-405C-4801-9A0E-B5BB04470654}"/>
    <cellStyle name="Comma 5 5 4 7 2" xfId="16994" xr:uid="{279A185E-3C1E-475E-8598-F1442AD8668E}"/>
    <cellStyle name="Comma 5 5 4 8" xfId="9447" xr:uid="{979640D8-5E91-465F-815A-815C85C850AB}"/>
    <cellStyle name="Comma 5 5 4 8 2" xfId="19827" xr:uid="{A9F6BBF3-22DA-4DDF-AD3E-974E90743E99}"/>
    <cellStyle name="Comma 5 5 4 9" xfId="24857" xr:uid="{7FB1EF52-225D-4725-95B0-54202D5468A1}"/>
    <cellStyle name="Comma 5 5 5" xfId="1639" xr:uid="{00000000-0005-0000-0000-000029020000}"/>
    <cellStyle name="Comma 5 5 5 2" xfId="2870" xr:uid="{00000000-0005-0000-0000-0000C4010000}"/>
    <cellStyle name="Comma 5 5 5 2 2" xfId="7987" xr:uid="{29A84986-E58A-40F7-9B87-AA807030AA62}"/>
    <cellStyle name="Comma 5 5 5 2 2 2" xfId="25986" xr:uid="{16F92FF8-15CB-49E9-8F0C-FB6B355921A2}"/>
    <cellStyle name="Comma 5 5 5 2 2 3" xfId="27412" xr:uid="{7327C762-DEAA-4740-8A92-318B57A0103E}"/>
    <cellStyle name="Comma 5 5 5 2 2 4" xfId="18367" xr:uid="{B9DAF87E-9808-4299-8F2C-975A54FF0ED6}"/>
    <cellStyle name="Comma 5 5 5 2 3" xfId="10820" xr:uid="{113CAD9F-03B5-4D0F-A2E4-549095C74A3F}"/>
    <cellStyle name="Comma 5 5 5 2 3 2" xfId="21200" xr:uid="{E8ED0350-EDF4-449C-8119-28C3857B0170}"/>
    <cellStyle name="Comma 5 5 5 2 4" xfId="25466" xr:uid="{2EEC30B5-A9EF-42AB-ADED-C066D036447C}"/>
    <cellStyle name="Comma 5 5 5 2 5" xfId="15534" xr:uid="{475D9237-6398-4066-BFFA-E5234E9258FD}"/>
    <cellStyle name="Comma 5 5 5 3" xfId="3613" xr:uid="{00000000-0005-0000-0000-000029020000}"/>
    <cellStyle name="Comma 5 5 5 4" xfId="5574" xr:uid="{4F1CE6FF-AA71-481C-8BF2-B8FC09BA5009}"/>
    <cellStyle name="Comma 5 5 5 4 2" xfId="30072" xr:uid="{CF1CFB92-248F-43C5-A07C-7E0B75AB2BBD}"/>
    <cellStyle name="Comma 5 5 5 5" xfId="23624" xr:uid="{D0C5F40A-D787-4A26-B4CF-4EE64D5B9F34}"/>
    <cellStyle name="Comma 5 5 5 6" xfId="13363" xr:uid="{2E4F9569-2F0D-4B42-B37C-29F96F2C4216}"/>
    <cellStyle name="Comma 5 5 6" xfId="1640" xr:uid="{00000000-0005-0000-0000-00002A020000}"/>
    <cellStyle name="Comma 5 5 6 2" xfId="2443" xr:uid="{00000000-0005-0000-0000-0000C5010000}"/>
    <cellStyle name="Comma 5 5 6 2 2" xfId="7568" xr:uid="{0E384CDF-EC04-4AB2-B167-3E9A5731DB57}"/>
    <cellStyle name="Comma 5 5 6 2 2 2" xfId="17948" xr:uid="{71FA7491-3B38-4BA2-BADD-889276EC9B89}"/>
    <cellStyle name="Comma 5 5 6 2 3" xfId="10401" xr:uid="{AD6131B3-BBA5-46AB-B806-9320D29F340C}"/>
    <cellStyle name="Comma 5 5 6 2 3 2" xfId="20781" xr:uid="{B13600EA-D6DF-4EA7-B63A-BBA19B5A0581}"/>
    <cellStyle name="Comma 5 5 6 2 4" xfId="27108" xr:uid="{AB827138-78E5-4DAF-A0A0-D965DA151480}"/>
    <cellStyle name="Comma 5 5 6 2 5" xfId="26430" xr:uid="{F013FF34-42E7-41E6-B800-2B1CF255EDCF}"/>
    <cellStyle name="Comma 5 5 6 2 6" xfId="15115" xr:uid="{EA2A9E5A-F293-4AFA-AC72-7D67370376C1}"/>
    <cellStyle name="Comma 5 5 6 3" xfId="3694" xr:uid="{00000000-0005-0000-0000-00002A020000}"/>
    <cellStyle name="Comma 5 5 6 4" xfId="5575" xr:uid="{B5BA4AD0-DC02-456E-A640-580BDC9DB8DF}"/>
    <cellStyle name="Comma 5 5 6 4 2" xfId="30092" xr:uid="{9954EFB9-827D-4D52-A35B-CC30FCA64ADC}"/>
    <cellStyle name="Comma 5 5 6 5" xfId="23466" xr:uid="{3EB5FC1B-5E47-47CA-BC98-1616598D5F2B}"/>
    <cellStyle name="Comma 5 5 6 6" xfId="12831" xr:uid="{DA9C056C-3B55-42DB-89ED-804B52FCC034}"/>
    <cellStyle name="Comma 5 5 7" xfId="1626" xr:uid="{00000000-0005-0000-0000-00002B020000}"/>
    <cellStyle name="Comma 5 5 7 2" xfId="2197" xr:uid="{00000000-0005-0000-0000-0000B9010000}"/>
    <cellStyle name="Comma 5 5 7 2 2" xfId="7324" xr:uid="{60A9C9F5-0888-44FB-A61A-088452754AF8}"/>
    <cellStyle name="Comma 5 5 7 2 2 2" xfId="17704" xr:uid="{9DFAE71D-3CF0-41D5-A132-3F367A7B4522}"/>
    <cellStyle name="Comma 5 5 7 2 3" xfId="10157" xr:uid="{902EA43B-AA92-451D-9A23-84C0CFC3C463}"/>
    <cellStyle name="Comma 5 5 7 2 3 2" xfId="20537" xr:uid="{7BB306FB-53BD-4B76-A88C-2E46E6DAF0EF}"/>
    <cellStyle name="Comma 5 5 7 2 4" xfId="27268" xr:uid="{F9A93237-4771-4507-841A-E0028EFD4773}"/>
    <cellStyle name="Comma 5 5 7 2 5" xfId="27538" xr:uid="{A91A1F1E-F001-4F27-81D4-EA59774C3354}"/>
    <cellStyle name="Comma 5 5 7 2 6" xfId="14871" xr:uid="{5C1D607C-DE55-4E8C-BB31-6AE40BC46878}"/>
    <cellStyle name="Comma 5 5 7 3" xfId="2075" xr:uid="{00000000-0005-0000-0000-00002B020000}"/>
    <cellStyle name="Comma 5 5 7 4" xfId="24412" xr:uid="{36ED9414-6024-4C62-872F-AAB37126E048}"/>
    <cellStyle name="Comma 5 5 8" xfId="3862" xr:uid="{BB40D789-347F-4EEE-90F2-9CD69067EE82}"/>
    <cellStyle name="Comma 5 5 8 2" xfId="8694" xr:uid="{9AC2FF51-5884-4416-8AA7-99DEB4C93414}"/>
    <cellStyle name="Comma 5 5 8 2 2" xfId="19074" xr:uid="{D9087CDC-1BF9-44A7-942A-4E4300147E7C}"/>
    <cellStyle name="Comma 5 5 8 3" xfId="11527" xr:uid="{2226F7C8-E552-4431-83FD-43EEB0C89BE2}"/>
    <cellStyle name="Comma 5 5 8 3 2" xfId="21907" xr:uid="{E0D8DC67-387B-47A9-B90F-611BE4F644CB}"/>
    <cellStyle name="Comma 5 5 8 4" xfId="27257" xr:uid="{C3B1FE98-E167-4B42-A1A5-6B0CA8C6C9CC}"/>
    <cellStyle name="Comma 5 5 8 5" xfId="27528" xr:uid="{50DD4C2B-E28F-48EA-93F2-2D2DE77BD327}"/>
    <cellStyle name="Comma 5 5 8 6" xfId="16241" xr:uid="{AD88B16B-0A6C-452A-AD27-7870C55AC2FD}"/>
    <cellStyle name="Comma 5 5 9" xfId="4865" xr:uid="{B96B2491-42C5-4567-9EF8-BEC2D1E7545A}"/>
    <cellStyle name="Comma 5 5 9 2" xfId="26548" xr:uid="{134CF6A7-AB77-467B-8E41-7C60BAEA582B}"/>
    <cellStyle name="Comma 5 5 9 3" xfId="26083" xr:uid="{A12382A4-48B3-4796-98C1-5472E8FD67FF}"/>
    <cellStyle name="Comma 5 5 9 4" xfId="14157" xr:uid="{F3D6CAA8-4E24-4DDA-AA85-AB4D929CC559}"/>
    <cellStyle name="Comma 5 6" xfId="476" xr:uid="{00000000-0005-0000-0000-00002C020000}"/>
    <cellStyle name="Comma 5 6 10" xfId="6615" xr:uid="{4631C7B0-5C00-4CE0-8E11-16DD7869E95A}"/>
    <cellStyle name="Comma 5 6 10 2" xfId="16995" xr:uid="{7A6C54D8-02D6-429F-A42C-8E718AD5DFFE}"/>
    <cellStyle name="Comma 5 6 11" xfId="9448" xr:uid="{0817B479-15F8-4772-92B0-336A3AAC008A}"/>
    <cellStyle name="Comma 5 6 11 2" xfId="19828" xr:uid="{55B5DE64-A888-4BDD-8E24-20AF3620EF38}"/>
    <cellStyle name="Comma 5 6 12" xfId="23252" xr:uid="{5847251C-B219-4630-9A49-4180AEBB92B2}"/>
    <cellStyle name="Comma 5 6 13" xfId="12491" xr:uid="{EB278AF2-1EFC-48A1-BAA3-6917F0523B0C}"/>
    <cellStyle name="Comma 5 6 2" xfId="477" xr:uid="{00000000-0005-0000-0000-00002D020000}"/>
    <cellStyle name="Comma 5 6 2 10" xfId="9449" xr:uid="{E37CCC6A-49F8-4C59-90E3-E68DF5B33094}"/>
    <cellStyle name="Comma 5 6 2 10 2" xfId="19829" xr:uid="{361AB468-D565-4E6D-A09E-0B8E69EE5726}"/>
    <cellStyle name="Comma 5 6 2 11" xfId="24862" xr:uid="{4A5F0AD4-A439-4F36-82D8-67A6150E45A6}"/>
    <cellStyle name="Comma 5 6 2 12" xfId="12508" xr:uid="{1918E5B2-94C3-4D29-A3BC-9F3126EC19AA}"/>
    <cellStyle name="Comma 5 6 2 2" xfId="478" xr:uid="{00000000-0005-0000-0000-00002E020000}"/>
    <cellStyle name="Comma 5 6 2 2 10" xfId="13076" xr:uid="{7F6D88B7-EE84-4B56-87E6-68195EA61EE9}"/>
    <cellStyle name="Comma 5 6 2 2 2" xfId="1644" xr:uid="{00000000-0005-0000-0000-00002F020000}"/>
    <cellStyle name="Comma 5 6 2 2 2 2" xfId="3037" xr:uid="{00000000-0005-0000-0000-0000C9010000}"/>
    <cellStyle name="Comma 5 6 2 2 2 2 2" xfId="8117" xr:uid="{13C664D6-8F08-440D-A9C4-5CC6CDB949F4}"/>
    <cellStyle name="Comma 5 6 2 2 2 2 2 2" xfId="28799" xr:uid="{6BB8A824-ABEF-4125-8742-F9940CAA7413}"/>
    <cellStyle name="Comma 5 6 2 2 2 2 2 3" xfId="26173" xr:uid="{CE3052D4-B364-445E-AFF8-5FBD2024463F}"/>
    <cellStyle name="Comma 5 6 2 2 2 2 2 4" xfId="18497" xr:uid="{12F04B86-DCA1-4EB9-A5D4-F44D51920EFD}"/>
    <cellStyle name="Comma 5 6 2 2 2 2 3" xfId="10950" xr:uid="{0DFBAED6-CE41-4977-AC84-6FF4D775334E}"/>
    <cellStyle name="Comma 5 6 2 2 2 2 3 2" xfId="21330" xr:uid="{5BA0FFA3-55B2-4543-B4AB-6DE34D11799D}"/>
    <cellStyle name="Comma 5 6 2 2 2 2 4" xfId="25213" xr:uid="{39FEBC27-FB7B-46B5-AE79-C04E454412EC}"/>
    <cellStyle name="Comma 5 6 2 2 2 2 5" xfId="15664" xr:uid="{3B247BE5-DA95-4BFE-9265-B2B51170AFF7}"/>
    <cellStyle name="Comma 5 6 2 2 2 3" xfId="3631" xr:uid="{00000000-0005-0000-0000-00002F020000}"/>
    <cellStyle name="Comma 5 6 2 2 2 4" xfId="5577" xr:uid="{6D3BDC34-D827-46F7-88BE-922304634FC0}"/>
    <cellStyle name="Comma 5 6 2 2 2 4 2" xfId="30179" xr:uid="{1DCDD423-B758-499E-9667-ABFCB8163066}"/>
    <cellStyle name="Comma 5 6 2 2 2 5" xfId="23107" xr:uid="{9CFBFF4A-AACF-4C42-972E-6670CAEF7B56}"/>
    <cellStyle name="Comma 5 6 2 2 2 6" xfId="13541" xr:uid="{E9C2FC4A-4DB4-45EE-844D-58014A703BCA}"/>
    <cellStyle name="Comma 5 6 2 2 3" xfId="1645" xr:uid="{00000000-0005-0000-0000-000030020000}"/>
    <cellStyle name="Comma 5 6 2 2 3 2" xfId="3774" xr:uid="{52C0A8FE-1672-4A0B-98CC-065396CA1D15}"/>
    <cellStyle name="Comma 5 6 2 2 3 2 2" xfId="8616" xr:uid="{64BD4978-527D-4288-B2AB-FBF9C340B835}"/>
    <cellStyle name="Comma 5 6 2 2 3 2 2 2" xfId="18996" xr:uid="{BE87114A-A879-451A-904F-9B8394E04AD9}"/>
    <cellStyle name="Comma 5 6 2 2 3 2 3" xfId="11449" xr:uid="{484B0271-B7DE-48CC-BC39-BD671855720F}"/>
    <cellStyle name="Comma 5 6 2 2 3 2 3 2" xfId="21829" xr:uid="{A82818FE-8A85-4A83-9105-B98121CD5D49}"/>
    <cellStyle name="Comma 5 6 2 2 3 2 4" xfId="28041" xr:uid="{E8790A02-C6B4-4E08-B93B-1543C39976AC}"/>
    <cellStyle name="Comma 5 6 2 2 3 2 5" xfId="28354" xr:uid="{A5FDD8F2-E7A6-4DFB-92B1-23B2DA4ED5A9}"/>
    <cellStyle name="Comma 5 6 2 2 3 2 6" xfId="16163" xr:uid="{3F8CAF59-7B9A-4C41-A777-B69CB3B25928}"/>
    <cellStyle name="Comma 5 6 2 2 3 3" xfId="23467" xr:uid="{1555F18E-3585-42BA-B21C-3F5224485A58}"/>
    <cellStyle name="Comma 5 6 2 2 3 3 2" xfId="30132" xr:uid="{7F7AAC3B-515F-414F-AA06-583A7552C09F}"/>
    <cellStyle name="Comma 5 6 2 2 3 4" xfId="30245" xr:uid="{7F31F6EB-DC1C-4C58-936D-E5FCD1B04DAF}"/>
    <cellStyle name="Comma 5 6 2 2 4" xfId="1643" xr:uid="{00000000-0005-0000-0000-000031020000}"/>
    <cellStyle name="Comma 5 6 2 2 4 2" xfId="26909" xr:uid="{666AAA86-1F0C-4D09-92AE-DEB1BB345679}"/>
    <cellStyle name="Comma 5 6 2 2 4 3" xfId="26326" xr:uid="{BEE176BE-0587-4DAF-B5D8-95DE1ABCEAEC}"/>
    <cellStyle name="Comma 5 6 2 2 5" xfId="4258" xr:uid="{C071F0C2-7FF9-419E-AB53-1A006D8F91B9}"/>
    <cellStyle name="Comma 5 6 2 2 5 2" xfId="9030" xr:uid="{285A04F3-6FB7-4F5B-8BC6-3FCCB88A082D}"/>
    <cellStyle name="Comma 5 6 2 2 5 2 2" xfId="19410" xr:uid="{1D6CE86A-4B28-4E17-B4CA-9401F4858BAC}"/>
    <cellStyle name="Comma 5 6 2 2 5 3" xfId="11863" xr:uid="{AA7B603D-CCF5-46C0-805C-CEDE698D7B9D}"/>
    <cellStyle name="Comma 5 6 2 2 5 3 2" xfId="22243" xr:uid="{AFB1E244-0332-4A88-A911-B4D13437BB6F}"/>
    <cellStyle name="Comma 5 6 2 2 5 4" xfId="28691" xr:uid="{0733BD59-3F00-421F-A046-E4A0EDF2EDAF}"/>
    <cellStyle name="Comma 5 6 2 2 5 5" xfId="26458" xr:uid="{3079EAE1-684B-4BD4-876B-9ECEB73EE7D2}"/>
    <cellStyle name="Comma 5 6 2 2 5 6" xfId="16577" xr:uid="{79B256E5-8985-4D8C-848D-75F1C654E724}"/>
    <cellStyle name="Comma 5 6 2 2 6" xfId="4872" xr:uid="{B5D55B10-0881-419C-B732-466306D768E8}"/>
    <cellStyle name="Comma 5 6 2 2 6 2" xfId="28496" xr:uid="{FD4128A6-B85A-433F-BEBA-57CCE7A19CA1}"/>
    <cellStyle name="Comma 5 6 2 2 6 3" xfId="27041" xr:uid="{C2FD6024-063C-4BB6-A319-41F4C7C9715C}"/>
    <cellStyle name="Comma 5 6 2 2 6 4" xfId="14164" xr:uid="{20DE546D-3E6E-442C-A8E9-AB799FE01011}"/>
    <cellStyle name="Comma 5 6 2 2 7" xfId="6617" xr:uid="{CE2FA26B-5BAF-4EA3-A162-02D41BDEF9B8}"/>
    <cellStyle name="Comma 5 6 2 2 7 2" xfId="16997" xr:uid="{8C122B7D-CDA4-4B20-8EE6-B2A18A27E27F}"/>
    <cellStyle name="Comma 5 6 2 2 8" xfId="9450" xr:uid="{493A5F72-E443-4750-8205-310134CA00FC}"/>
    <cellStyle name="Comma 5 6 2 2 8 2" xfId="19830" xr:uid="{FD82A86A-8BB1-4631-B78D-BB6CC76D7B97}"/>
    <cellStyle name="Comma 5 6 2 2 9" xfId="24443" xr:uid="{DBC2662B-0096-4825-97AB-0A53BE0D05F8}"/>
    <cellStyle name="Comma 5 6 2 3" xfId="1646" xr:uid="{00000000-0005-0000-0000-000032020000}"/>
    <cellStyle name="Comma 5 6 2 3 2" xfId="3038" xr:uid="{00000000-0005-0000-0000-0000CA010000}"/>
    <cellStyle name="Comma 5 6 2 3 2 2" xfId="8118" xr:uid="{23E0A0A0-0515-4440-8FC8-CE55588B6DD2}"/>
    <cellStyle name="Comma 5 6 2 3 2 2 2" xfId="28800" xr:uid="{671BDB14-243E-45CA-A23C-8F371B38EA75}"/>
    <cellStyle name="Comma 5 6 2 3 2 2 3" xfId="26240" xr:uid="{1C759D9A-2B57-4B81-B6D1-6564D25BFE66}"/>
    <cellStyle name="Comma 5 6 2 3 2 2 4" xfId="18498" xr:uid="{AA1167CE-168B-4A15-AC11-7ADE41422C75}"/>
    <cellStyle name="Comma 5 6 2 3 2 3" xfId="10951" xr:uid="{76F3881A-2D5E-4D63-B789-77D4C66CF866}"/>
    <cellStyle name="Comma 5 6 2 3 2 3 2" xfId="21331" xr:uid="{DD20E463-3FD4-42FE-B7B4-D5FC84C459A2}"/>
    <cellStyle name="Comma 5 6 2 3 2 4" xfId="25053" xr:uid="{745800EE-3017-450A-8B34-6DA470EE4EEE}"/>
    <cellStyle name="Comma 5 6 2 3 2 5" xfId="15665" xr:uid="{5090D05D-6DBC-4C7E-B89F-187F563DADDA}"/>
    <cellStyle name="Comma 5 6 2 3 3" xfId="3574" xr:uid="{00000000-0005-0000-0000-000032020000}"/>
    <cellStyle name="Comma 5 6 2 3 4" xfId="4401" xr:uid="{801E30CD-C57C-4AA0-AD44-E472084856B7}"/>
    <cellStyle name="Comma 5 6 2 3 4 2" xfId="9173" xr:uid="{A2245F6E-C818-462B-A577-BFD6A878F55E}"/>
    <cellStyle name="Comma 5 6 2 3 4 2 2" xfId="19553" xr:uid="{14D9B2EC-B766-4595-9CDC-448355EE4724}"/>
    <cellStyle name="Comma 5 6 2 3 4 3" xfId="12006" xr:uid="{35882B78-1782-4B44-B952-8D8F152EFB59}"/>
    <cellStyle name="Comma 5 6 2 3 4 3 2" xfId="22386" xr:uid="{FDCEE5D9-8336-48C7-815D-C9B7E8AFD011}"/>
    <cellStyle name="Comma 5 6 2 3 4 4" xfId="16720" xr:uid="{56D238A3-EADF-4C6C-ABC2-259D1B9EC20B}"/>
    <cellStyle name="Comma 5 6 2 3 5" xfId="5578" xr:uid="{7DAFC742-BDFC-41FC-ABDD-C89BACF93A27}"/>
    <cellStyle name="Comma 5 6 2 3 5 2" xfId="29946" xr:uid="{374F7C11-D938-4203-9625-48912238FF7C}"/>
    <cellStyle name="Comma 5 6 2 3 6" xfId="22842" xr:uid="{3FBDAED5-388D-4D26-8D74-FFEB528015CE}"/>
    <cellStyle name="Comma 5 6 2 3 7" xfId="13542" xr:uid="{4651E5BC-44DB-49EC-9E1E-2E263F7FB541}"/>
    <cellStyle name="Comma 5 6 2 4" xfId="1647" xr:uid="{00000000-0005-0000-0000-000033020000}"/>
    <cellStyle name="Comma 5 6 2 4 2" xfId="3036" xr:uid="{00000000-0005-0000-0000-0000CB010000}"/>
    <cellStyle name="Comma 5 6 2 4 2 2" xfId="8116" xr:uid="{5EE1CF64-9D10-4519-BE5F-3CC0CCD2C426}"/>
    <cellStyle name="Comma 5 6 2 4 2 2 2" xfId="28798" xr:uid="{FC49F608-A2B9-4DAE-9F80-E69D118BB65C}"/>
    <cellStyle name="Comma 5 6 2 4 2 2 3" xfId="28251" xr:uid="{F93BFCD3-1F2B-43DD-96BE-336BBD34E889}"/>
    <cellStyle name="Comma 5 6 2 4 2 2 4" xfId="18496" xr:uid="{681A9550-561D-4D2B-8618-A8501797004F}"/>
    <cellStyle name="Comma 5 6 2 4 2 3" xfId="10949" xr:uid="{CE55CC3B-C858-449C-8599-4E031514088A}"/>
    <cellStyle name="Comma 5 6 2 4 2 3 2" xfId="21329" xr:uid="{33E04FD2-637C-43D6-9B1F-5240F7C246D5}"/>
    <cellStyle name="Comma 5 6 2 4 2 4" xfId="23233" xr:uid="{EBC3B05A-7A0A-438A-8E96-15B08D86831D}"/>
    <cellStyle name="Comma 5 6 2 4 2 5" xfId="15663" xr:uid="{9E52C520-ED29-4051-AAED-430610354ED6}"/>
    <cellStyle name="Comma 5 6 2 4 3" xfId="3689" xr:uid="{00000000-0005-0000-0000-000033020000}"/>
    <cellStyle name="Comma 5 6 2 4 4" xfId="5579" xr:uid="{71C6AC17-1809-4613-A9BC-C403E4D7EDC1}"/>
    <cellStyle name="Comma 5 6 2 4 4 2" xfId="30178" xr:uid="{FFAFF95B-4A1E-4890-83FA-84EBE825E170}"/>
    <cellStyle name="Comma 5 6 2 4 5" xfId="23078" xr:uid="{05CE79C8-0595-4073-995E-F515BE239074}"/>
    <cellStyle name="Comma 5 6 2 4 6" xfId="13540" xr:uid="{123920D6-4E19-4240-B326-B292C9E4F685}"/>
    <cellStyle name="Comma 5 6 2 5" xfId="1642" xr:uid="{00000000-0005-0000-0000-000034020000}"/>
    <cellStyle name="Comma 5 6 2 5 2" xfId="2654" xr:uid="{00000000-0005-0000-0000-0000CC010000}"/>
    <cellStyle name="Comma 5 6 2 5 2 2" xfId="7779" xr:uid="{760C978A-BC3A-4099-B272-60CBCFE1F49B}"/>
    <cellStyle name="Comma 5 6 2 5 2 2 2" xfId="18159" xr:uid="{2B4F0818-04F1-4A3E-90AA-FE9F67CABD12}"/>
    <cellStyle name="Comma 5 6 2 5 2 3" xfId="10612" xr:uid="{7AA3840D-60B5-4811-AB3A-C2D763B540B5}"/>
    <cellStyle name="Comma 5 6 2 5 2 3 2" xfId="20992" xr:uid="{C3848658-C243-4766-91B7-F43B4247BE32}"/>
    <cellStyle name="Comma 5 6 2 5 2 4" xfId="27023" xr:uid="{14B37001-6DB6-47D9-8135-F7341B2B6043}"/>
    <cellStyle name="Comma 5 6 2 5 2 5" xfId="28049" xr:uid="{FC30BF35-A10F-4B9E-A7FB-BF166BA75823}"/>
    <cellStyle name="Comma 5 6 2 5 2 6" xfId="15326" xr:uid="{8D630E77-B1F3-4F87-9EBE-468BD74161CE}"/>
    <cellStyle name="Comma 5 6 2 5 3" xfId="3570" xr:uid="{00000000-0005-0000-0000-000034020000}"/>
    <cellStyle name="Comma 5 6 2 5 4" xfId="5576" xr:uid="{15CA7CF0-8774-44B8-89C4-66779EB5AB03}"/>
    <cellStyle name="Comma 5 6 2 5 4 2" xfId="30122" xr:uid="{E1A9FE39-DB93-4E5A-B372-577A2E963809}"/>
    <cellStyle name="Comma 5 6 2 5 5" xfId="23183" xr:uid="{B695C334-6D1D-4BA0-B65E-4327AA00C741}"/>
    <cellStyle name="Comma 5 6 2 5 6" xfId="13056" xr:uid="{3F962ED6-CBA7-4F78-907C-74062DC5C426}"/>
    <cellStyle name="Comma 5 6 2 6" xfId="2276" xr:uid="{00000000-0005-0000-0000-0000C7010000}"/>
    <cellStyle name="Comma 5 6 2 6 2" xfId="7403" xr:uid="{55AA8196-864E-4FAA-8F38-8D933D4F67BF}"/>
    <cellStyle name="Comma 5 6 2 6 2 2" xfId="17783" xr:uid="{C063C035-9AC4-4188-9411-57900EC33309}"/>
    <cellStyle name="Comma 5 6 2 6 3" xfId="10236" xr:uid="{E5CAEABC-95FB-49C6-B95D-77795AB6341F}"/>
    <cellStyle name="Comma 5 6 2 6 3 2" xfId="20616" xr:uid="{B66BB9E8-0F84-4162-915D-02AB7DEBA8AA}"/>
    <cellStyle name="Comma 5 6 2 6 4" xfId="22976" xr:uid="{703D8A09-5AB2-4384-B084-DFBDDF5134A9}"/>
    <cellStyle name="Comma 5 6 2 6 5" xfId="26451" xr:uid="{33747A0D-B40C-45E9-9527-F5B33B70402A}"/>
    <cellStyle name="Comma 5 6 2 6 6" xfId="14950" xr:uid="{1F7EDEBB-CF6F-429D-A222-FF76750F2126}"/>
    <cellStyle name="Comma 5 6 2 7" xfId="3817" xr:uid="{B4AAABA5-2912-46C4-A8A7-5D7C242BB3E0}"/>
    <cellStyle name="Comma 5 6 2 7 2" xfId="8651" xr:uid="{505361DD-BC03-414D-B75F-B325FF6A087B}"/>
    <cellStyle name="Comma 5 6 2 7 2 2" xfId="19031" xr:uid="{B5825790-102F-4786-BFC8-CA5B7795FBB2}"/>
    <cellStyle name="Comma 5 6 2 7 3" xfId="11484" xr:uid="{291CBEEB-96E2-4CE2-92F5-992FFCAAB487}"/>
    <cellStyle name="Comma 5 6 2 7 3 2" xfId="21864" xr:uid="{2ADB1291-B0DB-4F88-9875-C60D450EDD3C}"/>
    <cellStyle name="Comma 5 6 2 7 4" xfId="26446" xr:uid="{A599851F-1443-4C53-AD67-76E79E60D3E9}"/>
    <cellStyle name="Comma 5 6 2 7 5" xfId="26374" xr:uid="{1A9D8B69-476D-44F6-966C-060DEC326322}"/>
    <cellStyle name="Comma 5 6 2 7 6" xfId="16198" xr:uid="{0561A9D7-E3C0-4658-9A12-427315DCB20E}"/>
    <cellStyle name="Comma 5 6 2 8" xfId="4871" xr:uid="{3E8F4A8B-934A-488E-B0D8-9CDBF3BAF43D}"/>
    <cellStyle name="Comma 5 6 2 8 2" xfId="14163" xr:uid="{6135CAAB-BC69-4100-9762-167B1382FD8C}"/>
    <cellStyle name="Comma 5 6 2 9" xfId="6616" xr:uid="{F76A3232-5316-48AB-B1C1-521032568CB1}"/>
    <cellStyle name="Comma 5 6 2 9 2" xfId="16996" xr:uid="{8E3E216E-86EF-454F-91CB-3A0F6E6FCD17}"/>
    <cellStyle name="Comma 5 6 3" xfId="479" xr:uid="{00000000-0005-0000-0000-000035020000}"/>
    <cellStyle name="Comma 5 6 3 10" xfId="12666" xr:uid="{9A4BCD8E-F5B8-42BC-A351-057634D261C4}"/>
    <cellStyle name="Comma 5 6 3 2" xfId="1649" xr:uid="{00000000-0005-0000-0000-000036020000}"/>
    <cellStyle name="Comma 5 6 3 2 2" xfId="3039" xr:uid="{00000000-0005-0000-0000-0000CE010000}"/>
    <cellStyle name="Comma 5 6 3 2 2 2" xfId="8119" xr:uid="{2988140F-C9BB-4F35-BE88-8B632235552C}"/>
    <cellStyle name="Comma 5 6 3 2 2 2 2" xfId="28801" xr:uid="{15CF8EA8-D872-4A1A-BBD9-2FBA5C11DD5A}"/>
    <cellStyle name="Comma 5 6 3 2 2 2 3" xfId="26473" xr:uid="{514830B1-160E-4F8B-9AB5-3550D757909B}"/>
    <cellStyle name="Comma 5 6 3 2 2 2 4" xfId="18499" xr:uid="{AAC7EE76-4F4E-4C78-BEAC-B2E459246B53}"/>
    <cellStyle name="Comma 5 6 3 2 2 3" xfId="10952" xr:uid="{6651C9F7-8EE7-4D75-AC11-54ED3950982A}"/>
    <cellStyle name="Comma 5 6 3 2 2 3 2" xfId="21332" xr:uid="{6EE81B4D-AED8-464B-BF44-6E2802D87D53}"/>
    <cellStyle name="Comma 5 6 3 2 2 4" xfId="25811" xr:uid="{56264640-B7B6-4259-88CF-94ABC0784962}"/>
    <cellStyle name="Comma 5 6 3 2 2 5" xfId="15666" xr:uid="{51AFB86B-CB9C-4C17-A951-DCC2815DA1FB}"/>
    <cellStyle name="Comma 5 6 3 2 3" xfId="3538" xr:uid="{00000000-0005-0000-0000-000036020000}"/>
    <cellStyle name="Comma 5 6 3 2 4" xfId="5580" xr:uid="{8D6F4F08-AEE7-4E1C-9695-7E8F22B5E68C}"/>
    <cellStyle name="Comma 5 6 3 2 4 2" xfId="30180" xr:uid="{EA2E1F67-050B-445C-87AA-D1E4C5862967}"/>
    <cellStyle name="Comma 5 6 3 2 5" xfId="24536" xr:uid="{3605F36D-2DA4-4E1E-B5B2-7275CC3D770B}"/>
    <cellStyle name="Comma 5 6 3 2 6" xfId="13543" xr:uid="{10618A8C-FF4F-43A9-8C44-8968BE992A4F}"/>
    <cellStyle name="Comma 5 6 3 3" xfId="1650" xr:uid="{00000000-0005-0000-0000-000037020000}"/>
    <cellStyle name="Comma 5 6 3 3 2" xfId="2671" xr:uid="{00000000-0005-0000-0000-0000CF010000}"/>
    <cellStyle name="Comma 5 6 3 3 2 2" xfId="7795" xr:uid="{FC4E818E-86CA-4871-A53F-6AE683E00537}"/>
    <cellStyle name="Comma 5 6 3 3 2 2 2" xfId="18175" xr:uid="{A6F7B1FA-D58C-4E72-B7F5-1DA4608A0506}"/>
    <cellStyle name="Comma 5 6 3 3 2 3" xfId="10628" xr:uid="{466915EA-A5DE-480D-873A-773BC4A7C5B4}"/>
    <cellStyle name="Comma 5 6 3 3 2 3 2" xfId="21008" xr:uid="{58DD9EC1-7FAE-451B-B84B-7FF34BA949B1}"/>
    <cellStyle name="Comma 5 6 3 3 2 4" xfId="15342" xr:uid="{CBFC83F7-B5FD-47E9-9402-9883DBB0922C}"/>
    <cellStyle name="Comma 5 6 3 3 3" xfId="3540" xr:uid="{00000000-0005-0000-0000-000037020000}"/>
    <cellStyle name="Comma 5 6 3 3 4" xfId="5581" xr:uid="{761EBF54-5B24-4AA9-86E2-6BDAAF962FA7}"/>
    <cellStyle name="Comma 5 6 3 3 4 2" xfId="30131" xr:uid="{AFCD5B28-EE0B-47EC-A046-E2A70CC4C0F9}"/>
    <cellStyle name="Comma 5 6 3 3 5" xfId="22821" xr:uid="{414F5BD6-9601-4501-97FD-1B91957F007A}"/>
    <cellStyle name="Comma 5 6 3 3 6" xfId="13075" xr:uid="{EFA9F08E-5102-40A7-B488-32F84DE311D1}"/>
    <cellStyle name="Comma 5 6 3 4" xfId="1648" xr:uid="{00000000-0005-0000-0000-000038020000}"/>
    <cellStyle name="Comma 5 6 3 4 2" xfId="4656" xr:uid="{96B839EE-44EA-4FBB-9175-77FE529D3877}"/>
    <cellStyle name="Comma 5 6 3 4 2 2" xfId="9408" xr:uid="{630F016D-D656-47E0-9F46-225F3907DBA3}"/>
    <cellStyle name="Comma 5 6 3 4 2 2 2" xfId="19788" xr:uid="{96E2F542-CA8D-4ECC-9D80-96C38592BB84}"/>
    <cellStyle name="Comma 5 6 3 4 2 3" xfId="12241" xr:uid="{F19B67DB-29E6-4352-AFB8-B111561F27E7}"/>
    <cellStyle name="Comma 5 6 3 4 2 3 2" xfId="22621" xr:uid="{1F87520B-F67C-418A-B875-7FAAFF828D33}"/>
    <cellStyle name="Comma 5 6 3 4 2 4" xfId="28278" xr:uid="{21A54E6A-310D-4239-8B26-446127D07DBF}"/>
    <cellStyle name="Comma 5 6 3 4 2 5" xfId="26648" xr:uid="{1B152A18-1C82-4286-836C-A679DC640C6A}"/>
    <cellStyle name="Comma 5 6 3 4 2 6" xfId="16955" xr:uid="{0487E457-D63A-4098-84BA-4D4BC076AA8F}"/>
    <cellStyle name="Comma 5 6 3 4 3" xfId="24253" xr:uid="{605FDD89-0425-4367-8C3B-784B5D425380}"/>
    <cellStyle name="Comma 5 6 3 5" xfId="4123" xr:uid="{DF63986C-EEEC-420A-A145-91C5AAECDE50}"/>
    <cellStyle name="Comma 5 6 3 5 2" xfId="8895" xr:uid="{5901397A-C167-4D60-9058-B5323971A03C}"/>
    <cellStyle name="Comma 5 6 3 5 2 2" xfId="29007" xr:uid="{E9821182-F511-459C-8200-A6ACE1605CCE}"/>
    <cellStyle name="Comma 5 6 3 5 2 3" xfId="27075" xr:uid="{AA58A71E-A9E2-47FF-A519-0B5400D31F1E}"/>
    <cellStyle name="Comma 5 6 3 5 2 4" xfId="19275" xr:uid="{537EFCF4-5CA5-4F86-8653-BC297AE15835}"/>
    <cellStyle name="Comma 5 6 3 5 3" xfId="11728" xr:uid="{31C10FCD-B77E-4316-A776-403BF58FAB36}"/>
    <cellStyle name="Comma 5 6 3 5 3 2" xfId="22108" xr:uid="{E8D6B2DA-D8E8-4FC4-BBC5-E6A7E0071C73}"/>
    <cellStyle name="Comma 5 6 3 5 4" xfId="25652" xr:uid="{978D8406-2F72-4AD1-90F1-6B8A28C381C1}"/>
    <cellStyle name="Comma 5 6 3 5 5" xfId="16442" xr:uid="{C75A4B7E-E15F-49D1-A402-7902E8917AC0}"/>
    <cellStyle name="Comma 5 6 3 6" xfId="4873" xr:uid="{62C1F978-25D8-4CC1-9BA5-9A9C3B52A758}"/>
    <cellStyle name="Comma 5 6 3 6 2" xfId="28689" xr:uid="{7979634E-E2D5-43B6-BABA-61DBAA353967}"/>
    <cellStyle name="Comma 5 6 3 6 3" xfId="26008" xr:uid="{9332BC9F-0C97-4623-974D-D0703A9F521C}"/>
    <cellStyle name="Comma 5 6 3 6 4" xfId="14165" xr:uid="{C4FD2E18-8907-418E-BEFD-599F2FBB4D80}"/>
    <cellStyle name="Comma 5 6 3 7" xfId="6618" xr:uid="{7B8BE26E-8EB7-40A6-8C1F-A5C8F82DD8AB}"/>
    <cellStyle name="Comma 5 6 3 7 2" xfId="26275" xr:uid="{47A7EEA5-49CD-448B-AF24-B40E545AFC4C}"/>
    <cellStyle name="Comma 5 6 3 7 3" xfId="27406" xr:uid="{CC90C86D-535E-4CD2-9515-9AFB75C393D7}"/>
    <cellStyle name="Comma 5 6 3 7 4" xfId="16998" xr:uid="{B82D5362-48A2-4270-B9FB-2ACCDDD72ED1}"/>
    <cellStyle name="Comma 5 6 3 8" xfId="9451" xr:uid="{1A55361D-A709-4349-9372-B9ADC2352EFB}"/>
    <cellStyle name="Comma 5 6 3 8 2" xfId="19831" xr:uid="{918C8C6A-4561-4334-BA22-26C3070BF72F}"/>
    <cellStyle name="Comma 5 6 3 9" xfId="24350" xr:uid="{725B2A9C-E526-44FB-94FB-67F2A605326F}"/>
    <cellStyle name="Comma 5 6 4" xfId="480" xr:uid="{00000000-0005-0000-0000-000039020000}"/>
    <cellStyle name="Comma 5 6 4 10" xfId="13544" xr:uid="{69DFF61A-3937-4D61-A1C6-BCFA084C7E61}"/>
    <cellStyle name="Comma 5 6 4 2" xfId="1652" xr:uid="{00000000-0005-0000-0000-00003A020000}"/>
    <cellStyle name="Comma 5 6 4 2 2" xfId="23232" xr:uid="{631D18D8-9F14-4EF0-8240-8FC074BE2970}"/>
    <cellStyle name="Comma 5 6 4 2 2 2" xfId="30064" xr:uid="{3063D8DF-79D3-455C-926B-6225C7EDB035}"/>
    <cellStyle name="Comma 5 6 4 2 3" xfId="23617" xr:uid="{EB20E96A-ABBE-4405-A83A-0C56D225D782}"/>
    <cellStyle name="Comma 5 6 4 2 4" xfId="30284" xr:uid="{A997D0CD-25FA-43BE-8E44-310DEB534765}"/>
    <cellStyle name="Comma 5 6 4 3" xfId="1653" xr:uid="{00000000-0005-0000-0000-00003B020000}"/>
    <cellStyle name="Comma 5 6 4 4" xfId="1651" xr:uid="{00000000-0005-0000-0000-00003C020000}"/>
    <cellStyle name="Comma 5 6 4 5" xfId="4402" xr:uid="{DCD7CC65-2C6B-43C4-8785-9E881C1BCA13}"/>
    <cellStyle name="Comma 5 6 4 5 2" xfId="9174" xr:uid="{29D46A5B-5EF4-4D5F-A22D-461AEE36AEE4}"/>
    <cellStyle name="Comma 5 6 4 5 2 2" xfId="19554" xr:uid="{915B69A5-F130-476E-A455-3362F3718E7A}"/>
    <cellStyle name="Comma 5 6 4 5 3" xfId="12007" xr:uid="{F056B21E-8EEC-42D1-A5EC-AC363C419105}"/>
    <cellStyle name="Comma 5 6 4 5 3 2" xfId="22387" xr:uid="{6193C099-469F-4BED-9B2E-5342B05049AB}"/>
    <cellStyle name="Comma 5 6 4 5 4" xfId="16721" xr:uid="{101AE1AE-F90A-41ED-876F-AC99EDFE262D}"/>
    <cellStyle name="Comma 5 6 4 6" xfId="4874" xr:uid="{606B6403-7A80-4C7A-AB8E-023D16F4F682}"/>
    <cellStyle name="Comma 5 6 4 6 2" xfId="14166" xr:uid="{AAE9E0B8-5207-490D-B683-5B8B2029A3E9}"/>
    <cellStyle name="Comma 5 6 4 7" xfId="6619" xr:uid="{D8BDED57-485A-4A5D-A931-A9573409E00D}"/>
    <cellStyle name="Comma 5 6 4 7 2" xfId="16999" xr:uid="{4FDFD70E-F66A-4013-9215-3448C2947268}"/>
    <cellStyle name="Comma 5 6 4 8" xfId="9452" xr:uid="{7331E9E2-6F0D-46C8-9F00-16E1BAED187C}"/>
    <cellStyle name="Comma 5 6 4 8 2" xfId="19832" xr:uid="{982F0F29-74E0-425B-826B-D189FCA037A6}"/>
    <cellStyle name="Comma 5 6 4 9" xfId="24591" xr:uid="{E92AF8D2-F737-4F3F-8E21-3899B629C4BC}"/>
    <cellStyle name="Comma 5 6 5" xfId="1654" xr:uid="{00000000-0005-0000-0000-00003D020000}"/>
    <cellStyle name="Comma 5 6 5 2" xfId="2871" xr:uid="{00000000-0005-0000-0000-0000D1010000}"/>
    <cellStyle name="Comma 5 6 5 2 2" xfId="7988" xr:uid="{A4168C2C-017A-4E86-848B-D43FC33D9E71}"/>
    <cellStyle name="Comma 5 6 5 2 2 2" xfId="28258" xr:uid="{5F5CF18B-E883-4239-80F4-25A57F9ABFF8}"/>
    <cellStyle name="Comma 5 6 5 2 2 3" xfId="27867" xr:uid="{C54C1D54-1B79-487A-9CB9-DFE7AE2A9CD6}"/>
    <cellStyle name="Comma 5 6 5 2 2 4" xfId="18368" xr:uid="{58248E8F-2F5A-4FBC-BA63-B8901727DC47}"/>
    <cellStyle name="Comma 5 6 5 2 3" xfId="10821" xr:uid="{78AA1DAD-4757-4283-9FE6-DE180516122E}"/>
    <cellStyle name="Comma 5 6 5 2 3 2" xfId="21201" xr:uid="{0F318335-83CE-4969-9344-703F784264E8}"/>
    <cellStyle name="Comma 5 6 5 2 4" xfId="24843" xr:uid="{58FE6BB2-A654-4842-9D03-347B90CB102C}"/>
    <cellStyle name="Comma 5 6 5 2 5" xfId="15535" xr:uid="{90E983AF-E2A7-47E2-8A74-579B8D03F159}"/>
    <cellStyle name="Comma 5 6 5 3" xfId="3541" xr:uid="{00000000-0005-0000-0000-00003D020000}"/>
    <cellStyle name="Comma 5 6 5 4" xfId="5582" xr:uid="{F71FC95D-44D7-4567-A472-4307DC68F426}"/>
    <cellStyle name="Comma 5 6 5 4 2" xfId="30073" xr:uid="{D65DA0DB-72CE-418D-8C22-27A74EAD6DFC}"/>
    <cellStyle name="Comma 5 6 5 5" xfId="22675" xr:uid="{55490A9E-01D7-460C-A9F7-9F91E148E222}"/>
    <cellStyle name="Comma 5 6 5 6" xfId="13364" xr:uid="{EA787D51-6E05-4DA2-BB3C-931FD37A02C3}"/>
    <cellStyle name="Comma 5 6 6" xfId="1655" xr:uid="{00000000-0005-0000-0000-00003E020000}"/>
    <cellStyle name="Comma 5 6 6 2" xfId="2503" xr:uid="{00000000-0005-0000-0000-0000D2010000}"/>
    <cellStyle name="Comma 5 6 6 2 2" xfId="7628" xr:uid="{1BEB08BA-662C-4878-B2D9-0F34C8877877}"/>
    <cellStyle name="Comma 5 6 6 2 2 2" xfId="18008" xr:uid="{BD27081A-33EF-4C77-96E7-2C5D52AB2CB3}"/>
    <cellStyle name="Comma 5 6 6 2 3" xfId="10461" xr:uid="{B1DF0B21-DA5F-41AD-B192-AC41182AEEC6}"/>
    <cellStyle name="Comma 5 6 6 2 3 2" xfId="20841" xr:uid="{BF5CE5FE-3EF1-4520-BDE5-A886A7DBD274}"/>
    <cellStyle name="Comma 5 6 6 2 4" xfId="27700" xr:uid="{ABFDF23C-0423-457C-83B1-A087B20ABBEA}"/>
    <cellStyle name="Comma 5 6 6 2 5" xfId="27363" xr:uid="{F19CC4E9-508D-499B-8F9E-0BA9B4616EF6}"/>
    <cellStyle name="Comma 5 6 6 2 6" xfId="15175" xr:uid="{7FD278A5-F30B-4C06-B250-225256092BE0}"/>
    <cellStyle name="Comma 5 6 6 3" xfId="3543" xr:uid="{00000000-0005-0000-0000-00003E020000}"/>
    <cellStyle name="Comma 5 6 6 4" xfId="5583" xr:uid="{C299B670-1E97-4C26-B434-264A76914A49}"/>
    <cellStyle name="Comma 5 6 6 4 2" xfId="30104" xr:uid="{B8046DF2-7249-4149-8961-CCF59C6507DE}"/>
    <cellStyle name="Comma 5 6 6 5" xfId="23726" xr:uid="{5713D575-9C81-4804-B1A8-F5DE5B0FFABF}"/>
    <cellStyle name="Comma 5 6 6 6" xfId="12891" xr:uid="{FB173E75-DA18-4987-8EEB-D3CA7E70D2C0}"/>
    <cellStyle name="Comma 5 6 7" xfId="1641" xr:uid="{00000000-0005-0000-0000-00003F020000}"/>
    <cellStyle name="Comma 5 6 7 2" xfId="2259" xr:uid="{00000000-0005-0000-0000-0000C6010000}"/>
    <cellStyle name="Comma 5 6 7 2 2" xfId="7386" xr:uid="{B1ADE0B4-0841-4EA0-8361-A573FE98E495}"/>
    <cellStyle name="Comma 5 6 7 2 2 2" xfId="17766" xr:uid="{35FCECEC-1608-4E78-8E5B-E19FCE3F68EB}"/>
    <cellStyle name="Comma 5 6 7 2 3" xfId="10219" xr:uid="{5D91E43A-ED10-41E3-9D74-036AA5B5FE1B}"/>
    <cellStyle name="Comma 5 6 7 2 3 2" xfId="20599" xr:uid="{B2E5C644-A4CF-49A9-AA57-CA35A1AF6478}"/>
    <cellStyle name="Comma 5 6 7 2 4" xfId="28491" xr:uid="{9A66F825-2F8B-4320-A260-883602AAA4D7}"/>
    <cellStyle name="Comma 5 6 7 2 5" xfId="25899" xr:uid="{3DDE40A2-D002-44C3-BB89-D8C7AFCBCEAB}"/>
    <cellStyle name="Comma 5 6 7 2 6" xfId="14933" xr:uid="{9070B726-4E0F-4A72-B935-ED3611F82692}"/>
    <cellStyle name="Comma 5 6 7 3" xfId="3682" xr:uid="{00000000-0005-0000-0000-00003F020000}"/>
    <cellStyle name="Comma 5 6 7 4" xfId="23677" xr:uid="{98C2CE82-9E9A-455F-9994-C8EBEE219C54}"/>
    <cellStyle name="Comma 5 6 8" xfId="3863" xr:uid="{75645FB4-205D-4E97-ABC5-C721ABB9F46B}"/>
    <cellStyle name="Comma 5 6 8 2" xfId="8695" xr:uid="{9C4DAFBF-0377-441E-B8E5-C883A9095C2E}"/>
    <cellStyle name="Comma 5 6 8 2 2" xfId="19075" xr:uid="{B509ABE0-D8C4-4066-83AA-AE80A9FA47F9}"/>
    <cellStyle name="Comma 5 6 8 3" xfId="11528" xr:uid="{8BBD3814-0477-4211-98F9-083CA8A425D3}"/>
    <cellStyle name="Comma 5 6 8 3 2" xfId="21908" xr:uid="{41DAC589-E123-4832-BCB0-093350FF3653}"/>
    <cellStyle name="Comma 5 6 8 4" xfId="26491" xr:uid="{5A3E59E1-46B3-4497-B3B1-54407837B839}"/>
    <cellStyle name="Comma 5 6 8 5" xfId="27287" xr:uid="{C2C9EF68-7E4B-49EF-B522-A266D5396DCF}"/>
    <cellStyle name="Comma 5 6 8 6" xfId="16242" xr:uid="{9E8CB0D6-6B8E-4477-B094-490FBDC1FBC1}"/>
    <cellStyle name="Comma 5 6 9" xfId="4870" xr:uid="{C6A25E47-8C83-4DB5-8384-5642D1F451D1}"/>
    <cellStyle name="Comma 5 6 9 2" xfId="28493" xr:uid="{17BF5DBF-6F50-48C0-B849-55785DDD8055}"/>
    <cellStyle name="Comma 5 6 9 3" xfId="26492" xr:uid="{C62C78BA-C0F0-45C9-8AE1-A73B68B1AD84}"/>
    <cellStyle name="Comma 5 6 9 4" xfId="14162" xr:uid="{B80FD583-A4D1-422C-8EF7-CDF096FE6F6F}"/>
    <cellStyle name="Comma 5 7" xfId="481" xr:uid="{00000000-0005-0000-0000-000040020000}"/>
    <cellStyle name="Comma 5 7 10" xfId="6620" xr:uid="{14EE97B8-3107-4485-AD21-11E6538925C2}"/>
    <cellStyle name="Comma 5 7 10 2" xfId="17000" xr:uid="{5CBD8036-72DA-473D-8A8A-0E93E593676C}"/>
    <cellStyle name="Comma 5 7 11" xfId="9453" xr:uid="{CBC3D018-F339-48CA-809A-9BD129D1579D}"/>
    <cellStyle name="Comma 5 7 11 2" xfId="19833" xr:uid="{6D1C1702-DB26-4213-A813-D47E860EB7BE}"/>
    <cellStyle name="Comma 5 7 12" xfId="24090" xr:uid="{730B1F54-6836-4D9C-81FE-2FB8C980C0BD}"/>
    <cellStyle name="Comma 5 7 13" xfId="12509" xr:uid="{66F9A521-1AD4-4187-BA8A-DB446B7A9868}"/>
    <cellStyle name="Comma 5 7 2" xfId="482" xr:uid="{00000000-0005-0000-0000-000041020000}"/>
    <cellStyle name="Comma 5 7 2 10" xfId="24574" xr:uid="{4F2F782D-5870-4461-A2CB-636E40F9A215}"/>
    <cellStyle name="Comma 5 7 2 11" xfId="12667" xr:uid="{8E6FD8F7-43D2-4EB7-8A0D-38A637E02AD2}"/>
    <cellStyle name="Comma 5 7 2 2" xfId="483" xr:uid="{00000000-0005-0000-0000-000042020000}"/>
    <cellStyle name="Comma 5 7 2 2 2" xfId="1659" xr:uid="{00000000-0005-0000-0000-000043020000}"/>
    <cellStyle name="Comma 5 7 2 2 2 2" xfId="23367" xr:uid="{1634567F-8A14-4929-8EE8-848E60E811A4}"/>
    <cellStyle name="Comma 5 7 2 2 2 2 2" xfId="29966" xr:uid="{63140770-2147-47B6-A848-92DF4E60A641}"/>
    <cellStyle name="Comma 5 7 2 2 2 3" xfId="25603" xr:uid="{2E4144DF-BA35-444A-B073-CD4ECDA4E41B}"/>
    <cellStyle name="Comma 5 7 2 2 2 4" xfId="30285" xr:uid="{306CB890-00F4-4F36-A6F3-A0DE65A0979E}"/>
    <cellStyle name="Comma 5 7 2 2 3" xfId="1660" xr:uid="{00000000-0005-0000-0000-000044020000}"/>
    <cellStyle name="Comma 5 7 2 2 3 2" xfId="26636" xr:uid="{5556106A-FC6B-4A1F-BCE2-D4D23FB55ECF}"/>
    <cellStyle name="Comma 5 7 2 2 3 3" xfId="26991" xr:uid="{79683DFE-2E88-4A76-9341-AE0DCE02312A}"/>
    <cellStyle name="Comma 5 7 2 2 4" xfId="1658" xr:uid="{00000000-0005-0000-0000-000045020000}"/>
    <cellStyle name="Comma 5 7 2 2 5" xfId="4877" xr:uid="{662677CF-EED7-4EE9-A1F4-218A4809BCE7}"/>
    <cellStyle name="Comma 5 7 2 2 5 2" xfId="26537" xr:uid="{2AA00ACA-3F70-4143-882E-9AB90CBCFDA9}"/>
    <cellStyle name="Comma 5 7 2 2 5 3" xfId="26333" xr:uid="{DC4C886B-FA07-433C-8E3D-E3869D9D293F}"/>
    <cellStyle name="Comma 5 7 2 2 5 4" xfId="14169" xr:uid="{11D3F6A0-2075-4D5B-886A-9165B7D14B04}"/>
    <cellStyle name="Comma 5 7 2 2 6" xfId="6622" xr:uid="{1663967D-20F1-45F3-ACE2-E60A145759CC}"/>
    <cellStyle name="Comma 5 7 2 2 6 2" xfId="17002" xr:uid="{40A5B1FA-4FD8-4C4C-9CCE-C8EF4F188AD0}"/>
    <cellStyle name="Comma 5 7 2 2 7" xfId="9455" xr:uid="{97B3FDC4-0CBD-4885-BFCD-715739C8CD60}"/>
    <cellStyle name="Comma 5 7 2 2 7 2" xfId="19835" xr:uid="{1C7A9CF3-0EA0-4CBB-AB63-A14EBACE1599}"/>
    <cellStyle name="Comma 5 7 2 2 8" xfId="24472" xr:uid="{F8F1E486-2341-40EC-80C1-2B7172C7D86B}"/>
    <cellStyle name="Comma 5 7 2 2 9" xfId="13545" xr:uid="{305B0BF6-F862-44A4-BF42-178CF9A94E26}"/>
    <cellStyle name="Comma 5 7 2 3" xfId="1661" xr:uid="{00000000-0005-0000-0000-000046020000}"/>
    <cellStyle name="Comma 5 7 2 3 2" xfId="2672" xr:uid="{00000000-0005-0000-0000-0000D6010000}"/>
    <cellStyle name="Comma 5 7 2 3 2 2" xfId="7796" xr:uid="{13AA3425-DA08-49E7-8A0E-AF84A7626225}"/>
    <cellStyle name="Comma 5 7 2 3 2 2 2" xfId="18176" xr:uid="{846E0AB7-6954-4E03-AD74-1E9D6DC8BA7D}"/>
    <cellStyle name="Comma 5 7 2 3 2 3" xfId="10629" xr:uid="{BB9D0CC4-E015-488B-9CCE-E31DBCA3579D}"/>
    <cellStyle name="Comma 5 7 2 3 2 3 2" xfId="21009" xr:uid="{68F76178-87A8-4557-8677-E967A2D7086C}"/>
    <cellStyle name="Comma 5 7 2 3 2 4" xfId="15343" xr:uid="{190957A6-4825-4713-AF5A-F13B9F2FAB46}"/>
    <cellStyle name="Comma 5 7 2 3 3" xfId="3542" xr:uid="{00000000-0005-0000-0000-000046020000}"/>
    <cellStyle name="Comma 5 7 2 3 4" xfId="5584" xr:uid="{F1C4E9C9-E7C5-4999-9F4B-6A3BEE167DF3}"/>
    <cellStyle name="Comma 5 7 2 3 4 2" xfId="29982" xr:uid="{8364BE5D-B98A-4A7C-918A-D31F3136944C}"/>
    <cellStyle name="Comma 5 7 2 3 5" xfId="25180" xr:uid="{5683F0CD-3BA8-4FCE-9083-BEF5A0F955FE}"/>
    <cellStyle name="Comma 5 7 2 3 6" xfId="13077" xr:uid="{20152E85-0F02-4F68-B0EF-188D729F7246}"/>
    <cellStyle name="Comma 5 7 2 4" xfId="1662" xr:uid="{00000000-0005-0000-0000-000047020000}"/>
    <cellStyle name="Comma 5 7 2 4 2" xfId="4682" xr:uid="{8FBE2D01-7106-47CC-A850-387B386B4D74}"/>
    <cellStyle name="Comma 5 7 2 4 2 2" xfId="9417" xr:uid="{B2026E21-6175-42C0-A65E-87647A35362B}"/>
    <cellStyle name="Comma 5 7 2 4 2 2 2" xfId="19797" xr:uid="{F0303F0C-183A-45C1-9195-D7000C274528}"/>
    <cellStyle name="Comma 5 7 2 4 2 3" xfId="12250" xr:uid="{23FBDDE2-9ADE-4BC0-9007-49DEC224EDA3}"/>
    <cellStyle name="Comma 5 7 2 4 2 3 2" xfId="22630" xr:uid="{F0FD67B3-C129-4D8C-9442-46DA1BB55B29}"/>
    <cellStyle name="Comma 5 7 2 4 2 4" xfId="26493" xr:uid="{981C4E56-484D-4484-8BE4-DD13E3CB5DF3}"/>
    <cellStyle name="Comma 5 7 2 4 2 5" xfId="28341" xr:uid="{2FB2A506-78EB-4959-BCD8-892F75D1E3C7}"/>
    <cellStyle name="Comma 5 7 2 4 2 6" xfId="16964" xr:uid="{009B3A7B-75F5-4FB4-ABD6-939E56B02676}"/>
    <cellStyle name="Comma 5 7 2 4 3" xfId="23508" xr:uid="{85B2F1AA-03A0-41BE-B69E-339100CEA82F}"/>
    <cellStyle name="Comma 5 7 2 4 3 2" xfId="30133" xr:uid="{F33935A4-2C4E-41E3-8875-13C396D868B5}"/>
    <cellStyle name="Comma 5 7 2 4 4" xfId="30246" xr:uid="{A5D3BCD5-4986-4818-80FD-14DDBB39A3F1}"/>
    <cellStyle name="Comma 5 7 2 5" xfId="1657" xr:uid="{00000000-0005-0000-0000-000048020000}"/>
    <cellStyle name="Comma 5 7 2 5 2" xfId="25610" xr:uid="{B6E4083F-4A15-4CCF-B5C9-4526FACB1C2F}"/>
    <cellStyle name="Comma 5 7 2 5 3" xfId="25777" xr:uid="{FEC3CEA1-CCC7-4BCE-9945-F426DD63FDF4}"/>
    <cellStyle name="Comma 5 7 2 6" xfId="4124" xr:uid="{8B4C8D43-E0E5-4AA4-896D-89B582FFE9A0}"/>
    <cellStyle name="Comma 5 7 2 6 2" xfId="8896" xr:uid="{62414F10-5354-497E-9F35-D71FE3175349}"/>
    <cellStyle name="Comma 5 7 2 6 2 2" xfId="19276" xr:uid="{7239C4D9-0548-4ECD-A092-E1DF8E4C4DB6}"/>
    <cellStyle name="Comma 5 7 2 6 3" xfId="11729" xr:uid="{49F6E218-397A-4FC8-9A8F-49C9BA16B765}"/>
    <cellStyle name="Comma 5 7 2 6 3 2" xfId="22109" xr:uid="{3E9E1955-D564-42C6-A7B8-8DC94F3EFD2C}"/>
    <cellStyle name="Comma 5 7 2 6 4" xfId="27453" xr:uid="{B4576E0B-D014-4B36-B0DD-0BDA3C01EE80}"/>
    <cellStyle name="Comma 5 7 2 6 5" xfId="26755" xr:uid="{005A14DE-8FA2-49BA-AE9F-6B3B044914EF}"/>
    <cellStyle name="Comma 5 7 2 6 6" xfId="16443" xr:uid="{E0CC5760-C206-4DC8-959C-1204DE4D6DE6}"/>
    <cellStyle name="Comma 5 7 2 7" xfId="4876" xr:uid="{26FF34ED-32CA-4593-8F59-D08580833D08}"/>
    <cellStyle name="Comma 5 7 2 7 2" xfId="28447" xr:uid="{E4551655-4C6A-4234-9FB2-AA0A4072A4B6}"/>
    <cellStyle name="Comma 5 7 2 7 3" xfId="26475" xr:uid="{57B3AF28-A89F-4CFC-8F6D-F0E5AA0A664B}"/>
    <cellStyle name="Comma 5 7 2 7 4" xfId="14168" xr:uid="{5169EB45-ED88-4614-9E7A-6738ED91774B}"/>
    <cellStyle name="Comma 5 7 2 8" xfId="6621" xr:uid="{E2A93D07-4B32-4972-B959-0EF776D3F38D}"/>
    <cellStyle name="Comma 5 7 2 8 2" xfId="17001" xr:uid="{C7C32092-0198-4FBA-8CC3-16465F53900E}"/>
    <cellStyle name="Comma 5 7 2 9" xfId="9454" xr:uid="{78968388-FF15-4048-A1C5-0A2045233C55}"/>
    <cellStyle name="Comma 5 7 2 9 2" xfId="19834" xr:uid="{319B5FCB-59F1-49DD-985E-DEAA88C6C8A2}"/>
    <cellStyle name="Comma 5 7 3" xfId="484" xr:uid="{00000000-0005-0000-0000-000049020000}"/>
    <cellStyle name="Comma 5 7 3 10" xfId="13546" xr:uid="{D15422AB-BBBC-4DF0-9758-B4A5EE187C6E}"/>
    <cellStyle name="Comma 5 7 3 2" xfId="1664" xr:uid="{00000000-0005-0000-0000-00004A020000}"/>
    <cellStyle name="Comma 5 7 3 2 2" xfId="24169" xr:uid="{7614F62F-C149-4F7B-BB0D-0F5F3513A3E3}"/>
    <cellStyle name="Comma 5 7 3 2 2 2" xfId="29908" xr:uid="{4E6903AF-EEA0-476C-B488-5931DF6C5407}"/>
    <cellStyle name="Comma 5 7 3 2 3" xfId="24036" xr:uid="{A956536C-0D0C-4B64-AB6C-3D32B84691CB}"/>
    <cellStyle name="Comma 5 7 3 2 3 2" xfId="27246" xr:uid="{2D391E2F-17BF-40F3-AC9B-F935480D75C5}"/>
    <cellStyle name="Comma 5 7 3 2 4" xfId="30286" xr:uid="{124F95EE-0799-4BFB-89B2-95C9B0E04324}"/>
    <cellStyle name="Comma 5 7 3 3" xfId="1665" xr:uid="{00000000-0005-0000-0000-00004B020000}"/>
    <cellStyle name="Comma 5 7 3 4" xfId="1663" xr:uid="{00000000-0005-0000-0000-00004C020000}"/>
    <cellStyle name="Comma 5 7 3 4 2" xfId="27493" xr:uid="{255A2A1F-FD39-4D43-951D-12CE0A0F4BA0}"/>
    <cellStyle name="Comma 5 7 3 4 3" xfId="27822" xr:uid="{27574CA1-AC0A-41F4-AA4C-8BF3E9895FE7}"/>
    <cellStyle name="Comma 5 7 3 5" xfId="4403" xr:uid="{4DD17AB7-B1D9-46CC-BF1C-EB5BCE74B406}"/>
    <cellStyle name="Comma 5 7 3 5 2" xfId="9175" xr:uid="{4D4C7758-87C3-4B4E-8E9C-C9B199390E7A}"/>
    <cellStyle name="Comma 5 7 3 5 2 2" xfId="19555" xr:uid="{3B6289B8-4D36-4925-82A9-3737B8F64823}"/>
    <cellStyle name="Comma 5 7 3 5 3" xfId="12008" xr:uid="{559DC158-2D14-4ABB-AC79-7AAA8E5548A3}"/>
    <cellStyle name="Comma 5 7 3 5 3 2" xfId="22388" xr:uid="{3F42002C-0E4F-47D5-BBD6-1EEC7BAE73C5}"/>
    <cellStyle name="Comma 5 7 3 5 4" xfId="28130" xr:uid="{D1033E38-680C-4A2B-B69A-7E4E343DB956}"/>
    <cellStyle name="Comma 5 7 3 5 5" xfId="26098" xr:uid="{6849C713-679B-445F-AF71-4C1F1D6E6B36}"/>
    <cellStyle name="Comma 5 7 3 5 6" xfId="16722" xr:uid="{410E88C8-AC3B-421E-A629-73B44050E3B6}"/>
    <cellStyle name="Comma 5 7 3 6" xfId="4878" xr:uid="{1876B2D4-FC16-4C19-AC17-48842C3BA5C3}"/>
    <cellStyle name="Comma 5 7 3 6 2" xfId="26357" xr:uid="{0C0228FA-0A20-403D-B2B7-730C2183EAD4}"/>
    <cellStyle name="Comma 5 7 3 6 3" xfId="27313" xr:uid="{E5C09990-3CDE-48AF-8C5B-2501A3A2AF89}"/>
    <cellStyle name="Comma 5 7 3 6 4" xfId="14170" xr:uid="{B41F4920-B677-4008-8D4D-4C97D33518E5}"/>
    <cellStyle name="Comma 5 7 3 7" xfId="6623" xr:uid="{2238A681-9B22-49F9-A64A-5EA4AB96A8CD}"/>
    <cellStyle name="Comma 5 7 3 7 2" xfId="17003" xr:uid="{345BFF67-6D65-4053-B41A-B181030CAC76}"/>
    <cellStyle name="Comma 5 7 3 8" xfId="9456" xr:uid="{B1DC7DC7-1B68-4A50-AC4D-163FEEDE3729}"/>
    <cellStyle name="Comma 5 7 3 8 2" xfId="19836" xr:uid="{75625703-E2A7-4A13-8668-CA64BE646442}"/>
    <cellStyle name="Comma 5 7 3 9" xfId="23407" xr:uid="{900D5B1C-1589-4E23-9FE1-E88EEF3CCA25}"/>
    <cellStyle name="Comma 5 7 4" xfId="485" xr:uid="{00000000-0005-0000-0000-00004D020000}"/>
    <cellStyle name="Comma 5 7 4 2" xfId="1667" xr:uid="{00000000-0005-0000-0000-00004E020000}"/>
    <cellStyle name="Comma 5 7 4 2 2" xfId="23873" xr:uid="{318CB862-A3EC-47AD-A897-C9FDF3F8389C}"/>
    <cellStyle name="Comma 5 7 4 2 2 2" xfId="30061" xr:uid="{0B716C8D-65CF-475E-B1BE-C34EC21D2EF5}"/>
    <cellStyle name="Comma 5 7 4 2 3" xfId="23289" xr:uid="{D45419FA-DEA1-4FF5-944A-3804F3B313AF}"/>
    <cellStyle name="Comma 5 7 4 2 4" xfId="30268" xr:uid="{E84E2048-A268-4FFB-92BF-A689F463C1F5}"/>
    <cellStyle name="Comma 5 7 4 3" xfId="1668" xr:uid="{00000000-0005-0000-0000-00004F020000}"/>
    <cellStyle name="Comma 5 7 4 4" xfId="1666" xr:uid="{00000000-0005-0000-0000-000050020000}"/>
    <cellStyle name="Comma 5 7 4 5" xfId="4879" xr:uid="{3D09B3A8-38B2-40D7-B78F-B863AAC63FA9}"/>
    <cellStyle name="Comma 5 7 4 5 2" xfId="14171" xr:uid="{AD591B44-9CC8-430F-9198-2C6296802480}"/>
    <cellStyle name="Comma 5 7 4 6" xfId="6624" xr:uid="{894ABF0A-6BA8-48AA-8DFF-AC94D6126965}"/>
    <cellStyle name="Comma 5 7 4 6 2" xfId="17004" xr:uid="{6A00D9E2-AA70-4FB1-84BE-F4DDC6A9E149}"/>
    <cellStyle name="Comma 5 7 4 7" xfId="9457" xr:uid="{B2F99BCC-99DB-48BC-B179-3BE0EBE58D9C}"/>
    <cellStyle name="Comma 5 7 4 7 2" xfId="19837" xr:uid="{DADE28A0-C82D-46F6-9BA7-9602FC15CA84}"/>
    <cellStyle name="Comma 5 7 4 8" xfId="25328" xr:uid="{BF51AFBA-C3EF-4A49-AF89-92329EABBD92}"/>
    <cellStyle name="Comma 5 7 4 9" xfId="13365" xr:uid="{48C609D4-FB79-4C2B-8D6D-7E9A662F329E}"/>
    <cellStyle name="Comma 5 7 5" xfId="1669" xr:uid="{00000000-0005-0000-0000-000051020000}"/>
    <cellStyle name="Comma 5 7 5 2" xfId="2563" xr:uid="{00000000-0005-0000-0000-0000D9010000}"/>
    <cellStyle name="Comma 5 7 5 2 2" xfId="7688" xr:uid="{81DA16CF-D215-46C7-B658-9ECDB619D97F}"/>
    <cellStyle name="Comma 5 7 5 2 2 2" xfId="18068" xr:uid="{2726BB12-E6AC-481B-9208-5B10A5F45B41}"/>
    <cellStyle name="Comma 5 7 5 2 3" xfId="10521" xr:uid="{DABF3BF7-D668-403B-A2AE-D3063CA6539E}"/>
    <cellStyle name="Comma 5 7 5 2 3 2" xfId="20901" xr:uid="{E5785C61-46FE-4A81-9423-D6AB3976B8C6}"/>
    <cellStyle name="Comma 5 7 5 2 4" xfId="15235" xr:uid="{FC16F968-3DF9-4BFB-B7B1-D95C3D6F7201}"/>
    <cellStyle name="Comma 5 7 5 3" xfId="3708" xr:uid="{00000000-0005-0000-0000-000051020000}"/>
    <cellStyle name="Comma 5 7 5 4" xfId="5585" xr:uid="{445FBE4B-D100-4012-9843-6726F1C23419}"/>
    <cellStyle name="Comma 5 7 5 4 2" xfId="30074" xr:uid="{D6B7CB8D-2FFB-4434-8F7E-C74513C56551}"/>
    <cellStyle name="Comma 5 7 5 5" xfId="23019" xr:uid="{36FEE959-41F0-4AD2-ACE4-7B3C0AB91829}"/>
    <cellStyle name="Comma 5 7 5 6" xfId="12951" xr:uid="{AD226341-77D4-472E-947F-DD3D504A66EE}"/>
    <cellStyle name="Comma 5 7 6" xfId="1670" xr:uid="{00000000-0005-0000-0000-000052020000}"/>
    <cellStyle name="Comma 5 7 6 2" xfId="2277" xr:uid="{00000000-0005-0000-0000-0000D3010000}"/>
    <cellStyle name="Comma 5 7 6 2 2" xfId="7404" xr:uid="{3226EB56-C19C-4DBE-9045-9998AD6D10C3}"/>
    <cellStyle name="Comma 5 7 6 2 2 2" xfId="17784" xr:uid="{7675AAEB-FC53-4CB7-B026-3B64B3F06C49}"/>
    <cellStyle name="Comma 5 7 6 2 3" xfId="10237" xr:uid="{92857883-0D6F-453D-9F27-EA6BC1F109FE}"/>
    <cellStyle name="Comma 5 7 6 2 3 2" xfId="20617" xr:uid="{F6F49F5D-3C06-4B15-8741-620B84013F91}"/>
    <cellStyle name="Comma 5 7 6 2 4" xfId="28558" xr:uid="{11E3C67F-D49E-4BF1-9903-523A4EE179B5}"/>
    <cellStyle name="Comma 5 7 6 2 5" xfId="28427" xr:uid="{28E3BD14-F77D-4EF8-8E21-6A639D6701CD}"/>
    <cellStyle name="Comma 5 7 6 2 6" xfId="14951" xr:uid="{0A31539B-6983-42F9-B3F7-A5F5AC1A26E7}"/>
    <cellStyle name="Comma 5 7 6 3" xfId="2065" xr:uid="{00000000-0005-0000-0000-000052020000}"/>
    <cellStyle name="Comma 5 7 6 4" xfId="23610" xr:uid="{D63C9F0C-4833-4AA3-880E-89DB790C2360}"/>
    <cellStyle name="Comma 5 7 6 4 2" xfId="30115" xr:uid="{80E0E3E5-6460-40F1-8D6A-02C979FCDF8F}"/>
    <cellStyle name="Comma 5 7 6 5" xfId="30237" xr:uid="{481DBA08-7F38-49B6-86E6-D9B5CABF8AC2}"/>
    <cellStyle name="Comma 5 7 7" xfId="1656" xr:uid="{00000000-0005-0000-0000-000053020000}"/>
    <cellStyle name="Comma 5 7 7 2" xfId="27467" xr:uid="{F7E8B45B-C5F3-45F3-8652-1B25E60F4742}"/>
    <cellStyle name="Comma 5 7 7 3" xfId="28401" xr:uid="{94908BF2-0398-46D6-996F-F460030C3D64}"/>
    <cellStyle name="Comma 5 7 8" xfId="3864" xr:uid="{4D8E6C94-8977-4B3D-8541-5736DE38FB0C}"/>
    <cellStyle name="Comma 5 7 8 2" xfId="8696" xr:uid="{40566834-5CF1-4919-ABA6-CD259060D39C}"/>
    <cellStyle name="Comma 5 7 8 2 2" xfId="19076" xr:uid="{7FBF4413-9D43-4675-86AB-DC0EECC16F3B}"/>
    <cellStyle name="Comma 5 7 8 3" xfId="11529" xr:uid="{6BA6E460-B37A-4259-936B-5A7951C58242}"/>
    <cellStyle name="Comma 5 7 8 3 2" xfId="21909" xr:uid="{4E395C52-F27A-4799-8125-21C56070155B}"/>
    <cellStyle name="Comma 5 7 8 4" xfId="27982" xr:uid="{A1830401-4BE9-4047-8037-B582661AD80D}"/>
    <cellStyle name="Comma 5 7 8 5" xfId="27393" xr:uid="{A15B847E-0BCF-49BD-8467-CBB5224689F1}"/>
    <cellStyle name="Comma 5 7 8 6" xfId="16243" xr:uid="{FEEF5453-E726-4908-8A0B-7BD9DE73FA2F}"/>
    <cellStyle name="Comma 5 7 9" xfId="4875" xr:uid="{03CC9048-C24C-410E-B772-7E39F372F37F}"/>
    <cellStyle name="Comma 5 7 9 2" xfId="25915" xr:uid="{AD33B97C-D782-4AFC-9027-B6A080A83C9D}"/>
    <cellStyle name="Comma 5 7 9 3" xfId="27496" xr:uid="{82106660-3FC9-438C-BE38-76FC4CF091A9}"/>
    <cellStyle name="Comma 5 7 9 4" xfId="14167" xr:uid="{EF4ABBE1-E4DF-499A-A6CF-1C49A7ED091F}"/>
    <cellStyle name="Comma 5 8" xfId="486" xr:uid="{00000000-0005-0000-0000-000054020000}"/>
    <cellStyle name="Comma 5 8 10" xfId="9458" xr:uid="{3C0A6B10-AD79-48DD-AD99-93B446F10170}"/>
    <cellStyle name="Comma 5 8 10 2" xfId="19838" xr:uid="{F1C8E9F7-1193-43B8-8AB8-F02488840E21}"/>
    <cellStyle name="Comma 5 8 11" xfId="25156" xr:uid="{75EAFF25-E7F3-4723-A770-3674B2E75CAB}"/>
    <cellStyle name="Comma 5 8 12" xfId="12510" xr:uid="{A942E7ED-6000-4D8F-BC51-BE1BC90B00D9}"/>
    <cellStyle name="Comma 5 8 2" xfId="487" xr:uid="{00000000-0005-0000-0000-000055020000}"/>
    <cellStyle name="Comma 5 8 2 10" xfId="12668" xr:uid="{2D2060DC-65AE-4C74-A3D9-8EB52DE8C408}"/>
    <cellStyle name="Comma 5 8 2 2" xfId="1673" xr:uid="{00000000-0005-0000-0000-000056020000}"/>
    <cellStyle name="Comma 5 8 2 2 2" xfId="3040" xr:uid="{00000000-0005-0000-0000-0000DC010000}"/>
    <cellStyle name="Comma 5 8 2 2 2 2" xfId="8120" xr:uid="{2FF0FD7F-E2DD-4DD8-9A96-350194FBC0BA}"/>
    <cellStyle name="Comma 5 8 2 2 2 2 2" xfId="18500" xr:uid="{6CBA26F6-B2A4-410D-8EE9-DD2208A3DA39}"/>
    <cellStyle name="Comma 5 8 2 2 2 3" xfId="10953" xr:uid="{B67D79DF-839B-42F2-A78D-28B2A1C986A8}"/>
    <cellStyle name="Comma 5 8 2 2 2 3 2" xfId="21333" xr:uid="{3AB97040-58F8-431F-9EC8-19760859A498}"/>
    <cellStyle name="Comma 5 8 2 2 2 4" xfId="27339" xr:uid="{D41D5792-1986-4C04-A298-742DBF272AAF}"/>
    <cellStyle name="Comma 5 8 2 2 2 5" xfId="26731" xr:uid="{27B648EF-2FFF-427C-A176-666178209CC9}"/>
    <cellStyle name="Comma 5 8 2 2 2 6" xfId="15667" xr:uid="{2608C0D8-305F-419E-951B-D34D60039A78}"/>
    <cellStyle name="Comma 5 8 2 2 3" xfId="2080" xr:uid="{00000000-0005-0000-0000-000056020000}"/>
    <cellStyle name="Comma 5 8 2 2 4" xfId="5586" xr:uid="{D7CC4C04-6A8E-45ED-B093-5C53AC1FD03A}"/>
    <cellStyle name="Comma 5 8 2 2 4 2" xfId="30007" xr:uid="{A1AA2D33-368E-469A-A0F0-23075B87AA07}"/>
    <cellStyle name="Comma 5 8 2 2 5" xfId="24966" xr:uid="{48F91E01-18C6-4DBA-9EA4-A83AD4E1DC50}"/>
    <cellStyle name="Comma 5 8 2 2 6" xfId="13547" xr:uid="{108AFC75-5EEA-45DD-B81D-0BD1DFE89DC5}"/>
    <cellStyle name="Comma 5 8 2 3" xfId="1674" xr:uid="{00000000-0005-0000-0000-000057020000}"/>
    <cellStyle name="Comma 5 8 2 3 2" xfId="24077" xr:uid="{3CCF6D1F-E1E6-4134-8808-CE7380243E72}"/>
    <cellStyle name="Comma 5 8 2 3 3" xfId="23017" xr:uid="{DB6EE825-2DCD-429A-9F59-4AC7F43A2769}"/>
    <cellStyle name="Comma 5 8 2 3 4" xfId="30287" xr:uid="{B851CAAF-99D0-416C-89CF-D060FD40E924}"/>
    <cellStyle name="Comma 5 8 2 3 5" xfId="29855" xr:uid="{8BF347E8-6642-433F-99DB-CC56844490C8}"/>
    <cellStyle name="Comma 5 8 2 4" xfId="1672" xr:uid="{00000000-0005-0000-0000-000058020000}"/>
    <cellStyle name="Comma 5 8 2 4 2" xfId="28519" xr:uid="{DB5287D2-A3BC-4D9D-A5AD-D97C9934A7A4}"/>
    <cellStyle name="Comma 5 8 2 4 3" xfId="26172" xr:uid="{7E618281-1C5F-460A-94D7-A8DF3AFFB69C}"/>
    <cellStyle name="Comma 5 8 2 5" xfId="4125" xr:uid="{1C3F77AF-A7C8-4533-B6B1-C8D28CB13A7B}"/>
    <cellStyle name="Comma 5 8 2 5 2" xfId="8897" xr:uid="{C3FF4CD3-EA9C-4318-B21E-3EA018511DCC}"/>
    <cellStyle name="Comma 5 8 2 5 2 2" xfId="19277" xr:uid="{3E624E4B-E89E-4968-9CC0-EAE8815D9589}"/>
    <cellStyle name="Comma 5 8 2 5 3" xfId="11730" xr:uid="{8895AA23-CF82-461B-8E31-DD794132AE9D}"/>
    <cellStyle name="Comma 5 8 2 5 3 2" xfId="22110" xr:uid="{B7E67C1F-B7FD-434C-9B87-E2B23FFE9A5A}"/>
    <cellStyle name="Comma 5 8 2 5 4" xfId="28140" xr:uid="{0F13D4FA-A56D-4B66-9D52-CC35EC6B2EEF}"/>
    <cellStyle name="Comma 5 8 2 5 5" xfId="28678" xr:uid="{D048A341-189D-403E-9C40-F13CE9BE81D0}"/>
    <cellStyle name="Comma 5 8 2 5 6" xfId="16444" xr:uid="{33935AFE-4F51-43AC-A6CB-9FDF190C92D7}"/>
    <cellStyle name="Comma 5 8 2 6" xfId="4881" xr:uid="{21AB6E75-CF3F-4863-AC61-3207B7577E91}"/>
    <cellStyle name="Comma 5 8 2 6 2" xfId="27389" xr:uid="{098BB1CA-BEA7-42F8-BF5F-85FEFB2D0AC9}"/>
    <cellStyle name="Comma 5 8 2 6 3" xfId="26884" xr:uid="{9E4D90C0-1C17-4307-ACEB-2359B2B61208}"/>
    <cellStyle name="Comma 5 8 2 6 4" xfId="14173" xr:uid="{C4778CE6-4BAC-44F1-9E41-1C8635F87209}"/>
    <cellStyle name="Comma 5 8 2 7" xfId="6626" xr:uid="{D3EAA14D-1E0B-4538-8E65-683FE1BE0297}"/>
    <cellStyle name="Comma 5 8 2 7 2" xfId="17006" xr:uid="{93B3EE8D-DDDC-4809-8B2B-5B5C7070BE70}"/>
    <cellStyle name="Comma 5 8 2 8" xfId="9459" xr:uid="{808E7EFB-896F-4927-AB71-638EC05A045F}"/>
    <cellStyle name="Comma 5 8 2 8 2" xfId="19839" xr:uid="{1A77B867-59F3-4355-915F-8AB538248483}"/>
    <cellStyle name="Comma 5 8 2 9" xfId="23448" xr:uid="{18C3C4C3-B3EA-4314-BF62-9AB647559B8D}"/>
    <cellStyle name="Comma 5 8 3" xfId="488" xr:uid="{00000000-0005-0000-0000-000059020000}"/>
    <cellStyle name="Comma 5 8 3 2" xfId="1676" xr:uid="{00000000-0005-0000-0000-00005A020000}"/>
    <cellStyle name="Comma 5 8 3 2 2" xfId="25618" xr:uid="{53D484A8-05DA-4B3D-8DBA-5F4A6B0638B9}"/>
    <cellStyle name="Comma 5 8 3 2 2 2" xfId="30039" xr:uid="{A460BB05-157F-41A9-9061-4AF28583157F}"/>
    <cellStyle name="Comma 5 8 3 2 3" xfId="25444" xr:uid="{8F83E9BD-D752-4670-83D0-42D787B89054}"/>
    <cellStyle name="Comma 5 8 3 2 3 2" xfId="27841" xr:uid="{3EDC9502-0DFD-4975-83D4-00C65AD487AD}"/>
    <cellStyle name="Comma 5 8 3 2 4" xfId="30269" xr:uid="{499ABB73-4D01-479B-8CC4-F99A9EBCA37D}"/>
    <cellStyle name="Comma 5 8 3 3" xfId="1677" xr:uid="{00000000-0005-0000-0000-00005B020000}"/>
    <cellStyle name="Comma 5 8 3 4" xfId="1675" xr:uid="{00000000-0005-0000-0000-00005C020000}"/>
    <cellStyle name="Comma 5 8 3 4 2" xfId="28745" xr:uid="{CF49AA05-3FBE-48B3-9169-779FBD244A47}"/>
    <cellStyle name="Comma 5 8 3 4 3" xfId="26131" xr:uid="{29D4BED2-56B6-46AE-9E4F-1972B40BC537}"/>
    <cellStyle name="Comma 5 8 3 5" xfId="4882" xr:uid="{E6C69C7E-ECF0-471C-B3AB-6AF66D256BD8}"/>
    <cellStyle name="Comma 5 8 3 5 2" xfId="26284" xr:uid="{F9068B74-A36E-44C0-939A-8D82B5973B25}"/>
    <cellStyle name="Comma 5 8 3 5 3" xfId="26318" xr:uid="{1F5EA9DF-30F0-424B-AA92-67EE89D7FD61}"/>
    <cellStyle name="Comma 5 8 3 5 4" xfId="14174" xr:uid="{053831D1-E6B8-4D4A-B53A-F0EA227B0C6B}"/>
    <cellStyle name="Comma 5 8 3 6" xfId="6627" xr:uid="{302D9AAF-4033-4F4A-9333-B2DAF1AC72E0}"/>
    <cellStyle name="Comma 5 8 3 6 2" xfId="26392" xr:uid="{EA4E0055-C778-4480-AF6D-C956F19B9F0C}"/>
    <cellStyle name="Comma 5 8 3 6 3" xfId="28168" xr:uid="{D160F3C5-B249-4A1B-8E65-E9A7B655F03E}"/>
    <cellStyle name="Comma 5 8 3 6 4" xfId="17007" xr:uid="{5B3EE229-9EF7-412C-9A14-4B62794194FD}"/>
    <cellStyle name="Comma 5 8 3 7" xfId="9460" xr:uid="{0F73EF67-2D55-4AA3-878F-7FA988FAA07A}"/>
    <cellStyle name="Comma 5 8 3 7 2" xfId="19840" xr:uid="{E87BF8B2-8F07-4B67-9777-D74549380BEF}"/>
    <cellStyle name="Comma 5 8 3 8" xfId="24643" xr:uid="{90466407-5C59-4679-A0DF-9465241FFE2E}"/>
    <cellStyle name="Comma 5 8 3 9" xfId="13366" xr:uid="{68C72232-8F8D-4BCD-95DB-452386CA181A}"/>
    <cellStyle name="Comma 5 8 4" xfId="1678" xr:uid="{00000000-0005-0000-0000-00005D020000}"/>
    <cellStyle name="Comma 5 8 4 2" xfId="2673" xr:uid="{00000000-0005-0000-0000-0000DE010000}"/>
    <cellStyle name="Comma 5 8 4 2 2" xfId="7797" xr:uid="{F638EECE-0E71-4D65-AB7A-5EC3D2DA2DE2}"/>
    <cellStyle name="Comma 5 8 4 2 2 2" xfId="18177" xr:uid="{29AD6800-71EF-4AC6-A5C0-235188E8DC06}"/>
    <cellStyle name="Comma 5 8 4 2 3" xfId="10630" xr:uid="{A662D3E5-5529-433E-9F38-0E72E24892E7}"/>
    <cellStyle name="Comma 5 8 4 2 3 2" xfId="21010" xr:uid="{156F5CEB-62E7-4B15-BA2E-009B2D4A8D0C}"/>
    <cellStyle name="Comma 5 8 4 2 4" xfId="26594" xr:uid="{A98F3AEB-51B2-45FA-8234-BBC221C42CF9}"/>
    <cellStyle name="Comma 5 8 4 2 5" xfId="27639" xr:uid="{73969B14-80A1-422D-9678-64C5F63C541B}"/>
    <cellStyle name="Comma 5 8 4 2 6" xfId="15344" xr:uid="{1793C24A-20F7-42CB-8755-0ECC50167B23}"/>
    <cellStyle name="Comma 5 8 4 3" xfId="3592" xr:uid="{00000000-0005-0000-0000-00005D020000}"/>
    <cellStyle name="Comma 5 8 4 4" xfId="5587" xr:uid="{61B5B5BD-8CAB-4FD9-954C-4983326E849B}"/>
    <cellStyle name="Comma 5 8 4 4 2" xfId="29983" xr:uid="{B6FD543D-0E44-44ED-8150-761EDF36F50A}"/>
    <cellStyle name="Comma 5 8 4 5" xfId="24623" xr:uid="{96C61288-71E4-410D-9E9C-8A084F7F738F}"/>
    <cellStyle name="Comma 5 8 4 6" xfId="13078" xr:uid="{93829F7F-8524-4FFE-ACB1-9DD87786DFD4}"/>
    <cellStyle name="Comma 5 8 5" xfId="1679" xr:uid="{00000000-0005-0000-0000-00005E020000}"/>
    <cellStyle name="Comma 5 8 5 2" xfId="2278" xr:uid="{00000000-0005-0000-0000-0000DA010000}"/>
    <cellStyle name="Comma 5 8 5 2 2" xfId="7405" xr:uid="{4CC94E42-2A69-4288-91E6-0A0CDB39740A}"/>
    <cellStyle name="Comma 5 8 5 2 2 2" xfId="17785" xr:uid="{EA5B116C-180F-42F3-A88C-9CF1C6EA4E88}"/>
    <cellStyle name="Comma 5 8 5 2 3" xfId="10238" xr:uid="{F37603B7-020C-4446-94E9-26E402843D14}"/>
    <cellStyle name="Comma 5 8 5 2 3 2" xfId="20618" xr:uid="{60368DDF-8376-4547-8F84-A1CE8660B8E2}"/>
    <cellStyle name="Comma 5 8 5 2 4" xfId="14952" xr:uid="{FE4C11F4-8B91-4C78-8892-97B10F08CBF2}"/>
    <cellStyle name="Comma 5 8 5 3" xfId="2086" xr:uid="{00000000-0005-0000-0000-00005E020000}"/>
    <cellStyle name="Comma 5 8 5 4" xfId="24921" xr:uid="{73CD0007-7AA6-4C23-BE0B-E3F5295A5FA9}"/>
    <cellStyle name="Comma 5 8 5 4 2" xfId="30134" xr:uid="{7D9727E6-999A-477D-AD2B-9ED645A3DB0C}"/>
    <cellStyle name="Comma 5 8 5 5" xfId="30247" xr:uid="{4BE476F3-24FF-43EC-8D44-0FD93B5377D8}"/>
    <cellStyle name="Comma 5 8 6" xfId="1671" xr:uid="{00000000-0005-0000-0000-00005F020000}"/>
    <cellStyle name="Comma 5 8 6 2" xfId="26586" xr:uid="{422903AC-287E-4EC3-BB8E-0A504F69CB1D}"/>
    <cellStyle name="Comma 5 8 6 3" xfId="27534" xr:uid="{6FB8E0C2-84CE-424A-9E5E-DE1608CF9682}"/>
    <cellStyle name="Comma 5 8 7" xfId="3865" xr:uid="{4309ED3C-13B3-40DD-AFCB-1964E1D79399}"/>
    <cellStyle name="Comma 5 8 7 2" xfId="8697" xr:uid="{6D792B25-135D-4B16-8980-F3F2F50FD3A9}"/>
    <cellStyle name="Comma 5 8 7 2 2" xfId="28964" xr:uid="{12EFBB26-22AB-4525-8B73-9E6EE6188A84}"/>
    <cellStyle name="Comma 5 8 7 2 3" xfId="28215" xr:uid="{BDEFF1D8-EA45-4FD4-AD6E-90DC9E7A8A92}"/>
    <cellStyle name="Comma 5 8 7 2 4" xfId="19077" xr:uid="{F4A6846B-B33F-431E-B946-D5A1090DE87E}"/>
    <cellStyle name="Comma 5 8 7 3" xfId="11530" xr:uid="{70E5CEA8-78E3-404C-87F4-D8594ADBD2E1}"/>
    <cellStyle name="Comma 5 8 7 3 2" xfId="21910" xr:uid="{03ABB417-6320-4C4B-B47B-E5281074FC3B}"/>
    <cellStyle name="Comma 5 8 7 4" xfId="27713" xr:uid="{43C01292-8563-4C2D-9596-CA4514F06ED5}"/>
    <cellStyle name="Comma 5 8 7 5" xfId="16244" xr:uid="{027DC86C-6CC5-41FE-B7A8-5ECB900FB562}"/>
    <cellStyle name="Comma 5 8 8" xfId="4880" xr:uid="{3975A4B3-1503-41FB-ABCA-1D4006BBF9BA}"/>
    <cellStyle name="Comma 5 8 8 2" xfId="28466" xr:uid="{B669142D-2D0E-4CC0-AC1B-4C10E42362FA}"/>
    <cellStyle name="Comma 5 8 8 3" xfId="26047" xr:uid="{E58D5665-27FE-4987-AD95-0A055250DE0C}"/>
    <cellStyle name="Comma 5 8 8 4" xfId="14172" xr:uid="{CAF53E0B-9FD1-474B-8289-846C9B226674}"/>
    <cellStyle name="Comma 5 8 9" xfId="6625" xr:uid="{3050AF58-F09A-4D88-B8F2-C44941E3F062}"/>
    <cellStyle name="Comma 5 8 9 2" xfId="28476" xr:uid="{52B97D21-9AEC-4805-8592-FA8E249EE80F}"/>
    <cellStyle name="Comma 5 8 9 3" xfId="26201" xr:uid="{F48E14F4-8D95-44D5-907B-4EE1B8C5C414}"/>
    <cellStyle name="Comma 5 8 9 4" xfId="17005" xr:uid="{4C160034-B13B-49E5-B4D1-8B6F80BB1E65}"/>
    <cellStyle name="Comma 5 9" xfId="489" xr:uid="{00000000-0005-0000-0000-000060020000}"/>
    <cellStyle name="Comma 5 9 10" xfId="9461" xr:uid="{577F916E-DE24-46FE-A2E8-3876BCD7E17C}"/>
    <cellStyle name="Comma 5 9 10 2" xfId="19841" xr:uid="{3787D89A-519B-42FB-85C6-20D76F758C0F}"/>
    <cellStyle name="Comma 5 9 11" xfId="22710" xr:uid="{921E912D-4404-49CE-A58D-AFF85BABD250}"/>
    <cellStyle name="Comma 5 9 12" xfId="12511" xr:uid="{CE530E1C-0287-4676-9926-5BA63910A349}"/>
    <cellStyle name="Comma 5 9 2" xfId="490" xr:uid="{00000000-0005-0000-0000-000061020000}"/>
    <cellStyle name="Comma 5 9 2 2" xfId="1682" xr:uid="{00000000-0005-0000-0000-000062020000}"/>
    <cellStyle name="Comma 5 9 2 2 2" xfId="2872" xr:uid="{00000000-0005-0000-0000-0000E1010000}"/>
    <cellStyle name="Comma 5 9 2 2 2 2" xfId="7989" xr:uid="{DD600399-F264-4A5C-A259-2FD82D633A78}"/>
    <cellStyle name="Comma 5 9 2 2 2 2 2" xfId="18369" xr:uid="{293B0666-BA43-442C-A608-F87E97D4D469}"/>
    <cellStyle name="Comma 5 9 2 2 2 3" xfId="10822" xr:uid="{3DDC180D-A0D2-4408-B3F8-BD3A718A8D50}"/>
    <cellStyle name="Comma 5 9 2 2 2 3 2" xfId="21202" xr:uid="{BA03261A-B2A9-4611-A71A-6EC3BE0B938E}"/>
    <cellStyle name="Comma 5 9 2 2 2 4" xfId="26496" xr:uid="{1A82B4E7-142C-46F5-BEB3-F201FD231155}"/>
    <cellStyle name="Comma 5 9 2 2 2 5" xfId="26785" xr:uid="{35D6FCB8-6D81-4D29-8AAF-EA0F5D40EC9C}"/>
    <cellStyle name="Comma 5 9 2 2 2 6" xfId="15536" xr:uid="{7EA2C2D2-2C27-4270-9D44-D926BB025009}"/>
    <cellStyle name="Comma 5 9 2 2 3" xfId="3688" xr:uid="{00000000-0005-0000-0000-000062020000}"/>
    <cellStyle name="Comma 5 9 2 2 4" xfId="5588" xr:uid="{5DEDC809-A58D-4915-8292-CB2064C3F8DA}"/>
    <cellStyle name="Comma 5 9 2 2 4 2" xfId="29995" xr:uid="{7F7837CB-5231-4BA9-8891-A3853A820EAB}"/>
    <cellStyle name="Comma 5 9 2 2 5" xfId="23354" xr:uid="{2FD97EFD-1F02-49AF-B9C5-4ADE3EC81F0C}"/>
    <cellStyle name="Comma 5 9 2 2 6" xfId="13367" xr:uid="{C41E76B2-0C39-41CB-BB65-50AA0681065C}"/>
    <cellStyle name="Comma 5 9 2 3" xfId="1683" xr:uid="{00000000-0005-0000-0000-000063020000}"/>
    <cellStyle name="Comma 5 9 2 3 2" xfId="24903" xr:uid="{F6A819E7-49AD-4347-96EC-10C8648C30A8}"/>
    <cellStyle name="Comma 5 9 2 3 3" xfId="22956" xr:uid="{1221D88C-6031-4EEF-9013-D90C6923BB63}"/>
    <cellStyle name="Comma 5 9 2 3 4" xfId="30270" xr:uid="{DAC5FE3F-B96E-4E99-876A-8F155FBC6FA7}"/>
    <cellStyle name="Comma 5 9 2 3 5" xfId="29856" xr:uid="{251545A9-22F6-4F42-9C9B-939700A3F78A}"/>
    <cellStyle name="Comma 5 9 2 4" xfId="1681" xr:uid="{00000000-0005-0000-0000-000064020000}"/>
    <cellStyle name="Comma 5 9 2 4 2" xfId="26144" xr:uid="{11F3DDB7-F030-4752-8665-FF4829009ADA}"/>
    <cellStyle name="Comma 5 9 2 4 3" xfId="28646" xr:uid="{83F077EA-14EA-49D6-9313-1E9410A6F85D}"/>
    <cellStyle name="Comma 5 9 2 5" xfId="4884" xr:uid="{EB3A30E8-3647-49C2-A1DA-99DCDC29C0ED}"/>
    <cellStyle name="Comma 5 9 2 5 2" xfId="26685" xr:uid="{0EA01B93-8071-4C3D-B4C1-26E4128E262C}"/>
    <cellStyle name="Comma 5 9 2 5 3" xfId="28234" xr:uid="{AB8BE62E-19B6-423D-8338-0BEE8D7165AA}"/>
    <cellStyle name="Comma 5 9 2 5 4" xfId="14176" xr:uid="{5E14F82E-952A-47F6-A880-3BF07391B1FC}"/>
    <cellStyle name="Comma 5 9 2 6" xfId="6629" xr:uid="{36AC8BC2-135C-4F0E-B9F4-4BE70C750E75}"/>
    <cellStyle name="Comma 5 9 2 6 2" xfId="27702" xr:uid="{AFECA7B3-832F-448B-8E3C-E62DF09C48C7}"/>
    <cellStyle name="Comma 5 9 2 6 3" xfId="26781" xr:uid="{0F87FA41-FC1E-4FCF-BDF8-53C40C3C032A}"/>
    <cellStyle name="Comma 5 9 2 6 4" xfId="17009" xr:uid="{B4200961-E2C0-4BC1-94EE-3A85E626AA74}"/>
    <cellStyle name="Comma 5 9 2 7" xfId="9462" xr:uid="{6886AE68-520F-4832-BF74-5FAF0008B37D}"/>
    <cellStyle name="Comma 5 9 2 7 2" xfId="19842" xr:uid="{1C8C4465-DEA0-4CB4-A309-8A836052CF50}"/>
    <cellStyle name="Comma 5 9 2 8" xfId="23186" xr:uid="{158B3261-B414-4969-87FD-E8CE88BB4099}"/>
    <cellStyle name="Comma 5 9 2 9" xfId="12669" xr:uid="{CB2B0EDD-44CF-4098-A63F-95E232219291}"/>
    <cellStyle name="Comma 5 9 3" xfId="491" xr:uid="{00000000-0005-0000-0000-000065020000}"/>
    <cellStyle name="Comma 5 9 3 2" xfId="1685" xr:uid="{00000000-0005-0000-0000-000066020000}"/>
    <cellStyle name="Comma 5 9 3 2 2" xfId="28582" xr:uid="{24970741-0E29-4246-A189-27E01992A00F}"/>
    <cellStyle name="Comma 5 9 3 2 3" xfId="27020" xr:uid="{E598149C-FE07-4DC5-86B7-E13C07F268AF}"/>
    <cellStyle name="Comma 5 9 3 3" xfId="1686" xr:uid="{00000000-0005-0000-0000-000067020000}"/>
    <cellStyle name="Comma 5 9 3 4" xfId="1684" xr:uid="{00000000-0005-0000-0000-000068020000}"/>
    <cellStyle name="Comma 5 9 3 5" xfId="4885" xr:uid="{672D1938-E8B9-4EE4-A404-E4869E3DF097}"/>
    <cellStyle name="Comma 5 9 3 5 2" xfId="27916" xr:uid="{2CCA1919-C0E3-437A-AEA4-A7FE9B7E2006}"/>
    <cellStyle name="Comma 5 9 3 5 3" xfId="25882" xr:uid="{246E0EAC-A073-4023-BCDF-D485F4AAD117}"/>
    <cellStyle name="Comma 5 9 3 5 4" xfId="14177" xr:uid="{A3B19FAE-253A-4C9F-A824-7995242F9A40}"/>
    <cellStyle name="Comma 5 9 3 6" xfId="6630" xr:uid="{BCFE293F-552A-4FD1-843B-79E4089F5F29}"/>
    <cellStyle name="Comma 5 9 3 6 2" xfId="17010" xr:uid="{998E47F5-BD2A-4263-B6E7-BA0F6615FD09}"/>
    <cellStyle name="Comma 5 9 3 7" xfId="9463" xr:uid="{93F546B0-E630-48A1-A3A2-E60736345D88}"/>
    <cellStyle name="Comma 5 9 3 7 2" xfId="19843" xr:uid="{D384727D-B11B-4ACD-80DE-E21FB1AA851B}"/>
    <cellStyle name="Comma 5 9 3 8" xfId="23365" xr:uid="{A42F84E4-61A4-4AB1-B8D4-24F3C88470B4}"/>
    <cellStyle name="Comma 5 9 3 9" xfId="13079" xr:uid="{58B4F309-4F73-4AC0-9E82-9AB850A0C1EB}"/>
    <cellStyle name="Comma 5 9 4" xfId="1687" xr:uid="{00000000-0005-0000-0000-000069020000}"/>
    <cellStyle name="Comma 5 9 4 2" xfId="2279" xr:uid="{00000000-0005-0000-0000-0000DF010000}"/>
    <cellStyle name="Comma 5 9 4 2 2" xfId="7406" xr:uid="{1E1556D7-8993-43B8-B4DC-ADC5347F2892}"/>
    <cellStyle name="Comma 5 9 4 2 2 2" xfId="17786" xr:uid="{FC874948-C6B9-476A-9918-1FD3D1FDA1DC}"/>
    <cellStyle name="Comma 5 9 4 2 3" xfId="10239" xr:uid="{9E45737F-46A4-4824-9796-8F7DC6D1045A}"/>
    <cellStyle name="Comma 5 9 4 2 3 2" xfId="20619" xr:uid="{553028C3-EAAC-4756-93F3-35A270C1AD70}"/>
    <cellStyle name="Comma 5 9 4 2 4" xfId="28236" xr:uid="{A4F5614C-A5DF-4D87-88B0-071B9BC4EA7E}"/>
    <cellStyle name="Comma 5 9 4 2 5" xfId="26400" xr:uid="{9FE368F8-BEEE-4267-9DC6-5222CA95E77A}"/>
    <cellStyle name="Comma 5 9 4 2 6" xfId="14953" xr:uid="{A57EE24B-4604-4638-8EF3-39D2D495CEA9}"/>
    <cellStyle name="Comma 5 9 4 3" xfId="2058" xr:uid="{00000000-0005-0000-0000-000069020000}"/>
    <cellStyle name="Comma 5 9 4 4" xfId="22689" xr:uid="{10E129FC-ED19-4FA8-991C-0D82ED6B82C1}"/>
    <cellStyle name="Comma 5 9 4 4 2" xfId="29968" xr:uid="{BC8854D4-51EC-4B9E-8FF4-E506268D142F}"/>
    <cellStyle name="Comma 5 9 4 5" xfId="30075" xr:uid="{A47886F6-7EEB-4BBF-82A5-8B6D50BE362A}"/>
    <cellStyle name="Comma 5 9 4 6" xfId="30222" xr:uid="{F3E56FD1-3BAD-46E8-A4B2-37E337EC6F38}"/>
    <cellStyle name="Comma 5 9 5" xfId="1688" xr:uid="{00000000-0005-0000-0000-00006A020000}"/>
    <cellStyle name="Comma 5 9 5 2" xfId="24215" xr:uid="{4EF621CF-F50D-4230-AF83-2E870655BDA3}"/>
    <cellStyle name="Comma 5 9 5 2 2" xfId="30029" xr:uid="{5D0E9C05-A00D-47E5-97BB-C649BB45CEBC}"/>
    <cellStyle name="Comma 5 9 5 3" xfId="24967" xr:uid="{569BA925-3A3B-4717-B1B9-3D852F1BB19D}"/>
    <cellStyle name="Comma 5 9 5 4" xfId="30248" xr:uid="{0370CF6B-0D57-425D-9410-CEF665862814}"/>
    <cellStyle name="Comma 5 9 6" xfId="1680" xr:uid="{00000000-0005-0000-0000-00006B020000}"/>
    <cellStyle name="Comma 5 9 6 2" xfId="27178" xr:uid="{14EF25F5-D9BE-45D5-9005-4E60957A0203}"/>
    <cellStyle name="Comma 5 9 6 3" xfId="26360" xr:uid="{33843480-E46E-46E8-A098-789A42CAEACB}"/>
    <cellStyle name="Comma 5 9 7" xfId="3866" xr:uid="{B9DE1D30-4F88-4738-9237-DC4A3CFC8DA9}"/>
    <cellStyle name="Comma 5 9 7 2" xfId="8698" xr:uid="{217EDCE2-9B0E-4A25-BC3B-8C29294786F7}"/>
    <cellStyle name="Comma 5 9 7 2 2" xfId="28965" xr:uid="{40DF6CCF-C7EB-4E2F-8943-4010C4F20435}"/>
    <cellStyle name="Comma 5 9 7 2 3" xfId="27299" xr:uid="{F77F18D5-5BCA-4F28-938A-BCE11258A9A2}"/>
    <cellStyle name="Comma 5 9 7 2 4" xfId="19078" xr:uid="{96203E88-F519-4C89-86D3-CA0BFFC30A7C}"/>
    <cellStyle name="Comma 5 9 7 3" xfId="11531" xr:uid="{29D5A212-8ECB-4895-AE43-EE1FA4977D49}"/>
    <cellStyle name="Comma 5 9 7 3 2" xfId="21911" xr:uid="{4E2A553C-24C0-40AA-A554-9E1ED5799483}"/>
    <cellStyle name="Comma 5 9 7 4" xfId="26984" xr:uid="{3E732908-041F-46A5-A79F-0CF9D6D2313D}"/>
    <cellStyle name="Comma 5 9 7 5" xfId="16245" xr:uid="{5D36E793-C1E0-440E-8E25-0EACBB5C7075}"/>
    <cellStyle name="Comma 5 9 8" xfId="4883" xr:uid="{19062C3A-3DA8-4519-BE2C-EB4890D3976C}"/>
    <cellStyle name="Comma 5 9 8 2" xfId="28602" xr:uid="{43816189-9755-4F5B-9F31-479975E420E6}"/>
    <cellStyle name="Comma 5 9 8 3" xfId="26588" xr:uid="{8B938DC1-312A-41D7-8860-4BA13CAE14F7}"/>
    <cellStyle name="Comma 5 9 8 4" xfId="14175" xr:uid="{6230BFD7-AEE5-43EB-8885-BB2F9158B86E}"/>
    <cellStyle name="Comma 5 9 9" xfId="6628" xr:uid="{E289BBFE-C525-4650-8B0E-5AD183962837}"/>
    <cellStyle name="Comma 5 9 9 2" xfId="28564" xr:uid="{F1666656-BD91-4BFD-8C97-C71A38433776}"/>
    <cellStyle name="Comma 5 9 9 3" xfId="28025" xr:uid="{DB2661FD-D525-4319-94EB-088EB495F608}"/>
    <cellStyle name="Comma 5 9 9 4" xfId="17008" xr:uid="{162481D7-E839-4A30-AA59-A36CDC6481BA}"/>
    <cellStyle name="Comma 6" xfId="492" xr:uid="{00000000-0005-0000-0000-00006C020000}"/>
    <cellStyle name="Comma 6 2" xfId="493" xr:uid="{00000000-0005-0000-0000-00006D020000}"/>
    <cellStyle name="Comma 6 3" xfId="494" xr:uid="{00000000-0005-0000-0000-00006E020000}"/>
    <cellStyle name="Comma 6 3 2" xfId="1690" xr:uid="{00000000-0005-0000-0000-00006F020000}"/>
    <cellStyle name="Comma 6 3 2 2" xfId="25265" xr:uid="{8A7DAFD7-2CA3-48AB-8998-82D5CBA4FD5D}"/>
    <cellStyle name="Comma 6 3 2 2 2" xfId="30055" xr:uid="{ED8F7B52-0D3E-4EC1-B7B3-8E6F4442F1D0}"/>
    <cellStyle name="Comma 6 3 2 3" xfId="24576" xr:uid="{A28E2AF0-11DC-454F-8523-E8CC9FF3477F}"/>
    <cellStyle name="Comma 6 3 3" xfId="1691" xr:uid="{00000000-0005-0000-0000-000070020000}"/>
    <cellStyle name="Comma 6 3 4" xfId="1689" xr:uid="{00000000-0005-0000-0000-000071020000}"/>
    <cellStyle name="Comma 6 4" xfId="495" xr:uid="{00000000-0005-0000-0000-000072020000}"/>
    <cellStyle name="Comma 6 4 10" xfId="4886" xr:uid="{590EB0C8-22E1-4978-891E-C4F933D87663}"/>
    <cellStyle name="Comma 6 4 10 2" xfId="14178" xr:uid="{D116F717-0813-48E8-85B0-A4EAB548CEE8}"/>
    <cellStyle name="Comma 6 4 11" xfId="6631" xr:uid="{C7EE9BD2-A05B-4FE7-B3BA-FA91B2818E1F}"/>
    <cellStyle name="Comma 6 4 11 2" xfId="17011" xr:uid="{B8DB3F00-9E9D-409B-8728-AFBA1086C4B3}"/>
    <cellStyle name="Comma 6 4 12" xfId="9464" xr:uid="{9FF30183-B51D-4652-85E9-61D6B4505CEA}"/>
    <cellStyle name="Comma 6 4 12 2" xfId="19844" xr:uid="{43B3ED84-FCF3-429C-B5C8-F790869B9743}"/>
    <cellStyle name="Comma 6 4 13" xfId="24565" xr:uid="{ECE51940-59D9-4508-834B-EE611846C330}"/>
    <cellStyle name="Comma 6 4 14" xfId="12454" xr:uid="{CD5DDB80-C41A-4879-9C53-6EC2F07C554B}"/>
    <cellStyle name="Comma 6 4 2" xfId="496" xr:uid="{00000000-0005-0000-0000-000073020000}"/>
    <cellStyle name="Comma 6 4 2 10" xfId="9465" xr:uid="{D5BF1811-2803-4948-A0EE-3FF96738624E}"/>
    <cellStyle name="Comma 6 4 2 10 2" xfId="19845" xr:uid="{3F5543A8-A093-4FBE-974F-9BCDC3B3402A}"/>
    <cellStyle name="Comma 6 4 2 11" xfId="25404" xr:uid="{29A5D357-8B2B-46F0-A662-77123053171A}"/>
    <cellStyle name="Comma 6 4 2 12" xfId="12512" xr:uid="{D05CF195-F9B5-4A45-AE3D-41A5E0351F83}"/>
    <cellStyle name="Comma 6 4 2 2" xfId="497" xr:uid="{00000000-0005-0000-0000-000074020000}"/>
    <cellStyle name="Comma 6 4 2 2 10" xfId="13081" xr:uid="{9036A2BC-18BE-4FB3-B52B-3678CFDC02B6}"/>
    <cellStyle name="Comma 6 4 2 2 2" xfId="1695" xr:uid="{00000000-0005-0000-0000-000075020000}"/>
    <cellStyle name="Comma 6 4 2 2 2 2" xfId="3042" xr:uid="{00000000-0005-0000-0000-0000E9010000}"/>
    <cellStyle name="Comma 6 4 2 2 2 2 2" xfId="8122" xr:uid="{CC6411F4-1CBE-4402-84DA-435DBF322A64}"/>
    <cellStyle name="Comma 6 4 2 2 2 2 2 2" xfId="28803" xr:uid="{7F89C405-4E7B-4D58-BF46-41EB446A6018}"/>
    <cellStyle name="Comma 6 4 2 2 2 2 2 3" xfId="26832" xr:uid="{668C4A35-0F7A-4120-9061-A68B9CC43049}"/>
    <cellStyle name="Comma 6 4 2 2 2 2 2 4" xfId="18502" xr:uid="{0D6186E5-DE10-4652-AD63-5E412EF765C3}"/>
    <cellStyle name="Comma 6 4 2 2 2 2 3" xfId="10955" xr:uid="{4EFEE2EA-4567-467B-89A0-B0256E14CC5D}"/>
    <cellStyle name="Comma 6 4 2 2 2 2 3 2" xfId="21335" xr:uid="{6EE04AED-26C1-47DD-9F9D-12E30109AB5F}"/>
    <cellStyle name="Comma 6 4 2 2 2 2 4" xfId="25682" xr:uid="{EF41D050-0AE8-4E89-BB9E-051DF5630730}"/>
    <cellStyle name="Comma 6 4 2 2 2 2 5" xfId="15669" xr:uid="{F2560B0F-AD65-4450-AD2A-D2B82D41C930}"/>
    <cellStyle name="Comma 6 4 2 2 2 3" xfId="3575" xr:uid="{00000000-0005-0000-0000-000075020000}"/>
    <cellStyle name="Comma 6 4 2 2 2 4" xfId="5591" xr:uid="{8BF347F7-3DE4-4C27-A5DD-8CA2A1920DC5}"/>
    <cellStyle name="Comma 6 4 2 2 2 4 2" xfId="30182" xr:uid="{8B634026-3F01-4588-BEE8-28239EFAD535}"/>
    <cellStyle name="Comma 6 4 2 2 2 5" xfId="23721" xr:uid="{ADD3F041-ED7E-4808-8804-F82B1C69DADD}"/>
    <cellStyle name="Comma 6 4 2 2 2 6" xfId="13549" xr:uid="{5B965AB5-811C-4C8F-9776-A7E6E46FEFB1}"/>
    <cellStyle name="Comma 6 4 2 2 3" xfId="1696" xr:uid="{00000000-0005-0000-0000-000076020000}"/>
    <cellStyle name="Comma 6 4 2 2 3 2" xfId="4647" xr:uid="{187D3BBC-2F30-4E54-BF60-6686AA852718}"/>
    <cellStyle name="Comma 6 4 2 2 3 2 2" xfId="9403" xr:uid="{ACAD8495-9410-477A-A199-35531A3A5934}"/>
    <cellStyle name="Comma 6 4 2 2 3 2 2 2" xfId="19783" xr:uid="{93C5B541-0741-49C6-BEF0-3FE0CDC50F93}"/>
    <cellStyle name="Comma 6 4 2 2 3 2 3" xfId="12236" xr:uid="{8A4C0AE4-CA6B-43CE-A304-C1A77EFC9CE7}"/>
    <cellStyle name="Comma 6 4 2 2 3 2 3 2" xfId="22616" xr:uid="{351A7092-E753-446E-A119-ADEAA0D954FF}"/>
    <cellStyle name="Comma 6 4 2 2 3 2 4" xfId="27967" xr:uid="{ABD3612A-144F-4974-A4D6-F6C5F0703320}"/>
    <cellStyle name="Comma 6 4 2 2 3 2 5" xfId="28596" xr:uid="{312B778F-60C6-4219-81C0-7FD53D492B70}"/>
    <cellStyle name="Comma 6 4 2 2 3 2 6" xfId="16950" xr:uid="{129F80BC-EC3D-44D7-8C98-01595460F21A}"/>
    <cellStyle name="Comma 6 4 2 2 3 3" xfId="24960" xr:uid="{2283E414-46E5-4049-907A-D24F13EDDB5E}"/>
    <cellStyle name="Comma 6 4 2 2 3 3 2" xfId="30136" xr:uid="{8AD3C9BB-0B74-49B8-A08E-E4BF98A50D26}"/>
    <cellStyle name="Comma 6 4 2 2 3 4" xfId="30250" xr:uid="{E70ED06C-6FB7-4D48-B8FE-A035D96D79F7}"/>
    <cellStyle name="Comma 6 4 2 2 4" xfId="1694" xr:uid="{00000000-0005-0000-0000-000077020000}"/>
    <cellStyle name="Comma 6 4 2 2 4 2" xfId="26920" xr:uid="{5EED627A-0015-4E1B-A2B6-EF5D8B44E99E}"/>
    <cellStyle name="Comma 6 4 2 2 4 3" xfId="26329" xr:uid="{A5E211ED-3697-47AE-AFB7-DC4A9AEBCE66}"/>
    <cellStyle name="Comma 6 4 2 2 5" xfId="4260" xr:uid="{57211779-9320-44C5-9837-0748906E7A4C}"/>
    <cellStyle name="Comma 6 4 2 2 5 2" xfId="9032" xr:uid="{3A1E14F9-50A9-4BC3-9B23-12F98A7CD057}"/>
    <cellStyle name="Comma 6 4 2 2 5 2 2" xfId="19412" xr:uid="{5B746D22-E62E-4BCC-B5AB-8BE294689550}"/>
    <cellStyle name="Comma 6 4 2 2 5 3" xfId="11865" xr:uid="{000755D5-7700-4754-B967-5ED980124053}"/>
    <cellStyle name="Comma 6 4 2 2 5 3 2" xfId="22245" xr:uid="{901EA211-D1BA-4DDB-BF1A-DE2745178C81}"/>
    <cellStyle name="Comma 6 4 2 2 5 4" xfId="27949" xr:uid="{7A21C380-1C3B-405E-8007-F7F0A2667C6A}"/>
    <cellStyle name="Comma 6 4 2 2 5 5" xfId="26355" xr:uid="{BF873D68-89B9-4165-9916-E524D274416D}"/>
    <cellStyle name="Comma 6 4 2 2 5 6" xfId="16579" xr:uid="{DD76C47B-4BEF-4E5F-8149-569D6F982A01}"/>
    <cellStyle name="Comma 6 4 2 2 6" xfId="4888" xr:uid="{EA5D0D92-CCEF-4853-BE03-D86DFD2ECEDF}"/>
    <cellStyle name="Comma 6 4 2 2 6 2" xfId="28018" xr:uid="{8DB2376A-D7D2-4A96-83ED-7EFE0D22FA4E}"/>
    <cellStyle name="Comma 6 4 2 2 6 3" xfId="27154" xr:uid="{88855DC0-CDE1-4E14-A52B-9DE3A3E64F10}"/>
    <cellStyle name="Comma 6 4 2 2 6 4" xfId="14180" xr:uid="{D4053323-D138-435E-B09B-2D06BF1F3177}"/>
    <cellStyle name="Comma 6 4 2 2 7" xfId="6633" xr:uid="{A8C3E90C-E98A-4A69-BCCD-D65AB4659552}"/>
    <cellStyle name="Comma 6 4 2 2 7 2" xfId="17013" xr:uid="{35E27ADC-64E2-48C3-B047-3B99EA26CD8E}"/>
    <cellStyle name="Comma 6 4 2 2 8" xfId="9466" xr:uid="{1DE1E175-6029-46A6-8D6A-130CCE65B77A}"/>
    <cellStyle name="Comma 6 4 2 2 8 2" xfId="19846" xr:uid="{D0522DD5-F40C-4C3E-B363-511EC1C0075F}"/>
    <cellStyle name="Comma 6 4 2 2 9" xfId="24421" xr:uid="{8074B458-5983-4302-BBAA-E98DEE0AEFCE}"/>
    <cellStyle name="Comma 6 4 2 3" xfId="1697" xr:uid="{00000000-0005-0000-0000-000078020000}"/>
    <cellStyle name="Comma 6 4 2 3 2" xfId="3043" xr:uid="{00000000-0005-0000-0000-0000EA010000}"/>
    <cellStyle name="Comma 6 4 2 3 2 2" xfId="8123" xr:uid="{0384A77A-4C50-4A21-9871-8CEEE901F830}"/>
    <cellStyle name="Comma 6 4 2 3 2 2 2" xfId="28804" xr:uid="{AC14E83F-D38E-4E39-AEB7-0CD9C098D261}"/>
    <cellStyle name="Comma 6 4 2 3 2 2 3" xfId="26800" xr:uid="{ABDB6786-F739-47A6-AB97-7ACED774675F}"/>
    <cellStyle name="Comma 6 4 2 3 2 2 4" xfId="18503" xr:uid="{8B0BF2DE-017B-40C1-987A-4EA279A1DDD3}"/>
    <cellStyle name="Comma 6 4 2 3 2 3" xfId="10956" xr:uid="{F5D47024-2265-4130-A6B8-E2481033798A}"/>
    <cellStyle name="Comma 6 4 2 3 2 3 2" xfId="21336" xr:uid="{5CC7CCD4-B9FD-41AF-86B6-CBA8245B1A71}"/>
    <cellStyle name="Comma 6 4 2 3 2 4" xfId="25447" xr:uid="{1DEB5072-6A52-41B8-B09E-A4269DE1A5FD}"/>
    <cellStyle name="Comma 6 4 2 3 2 5" xfId="15670" xr:uid="{AFFB747D-8F23-4C0B-A899-0DC021FEA89B}"/>
    <cellStyle name="Comma 6 4 2 3 3" xfId="2081" xr:uid="{00000000-0005-0000-0000-000078020000}"/>
    <cellStyle name="Comma 6 4 2 3 4" xfId="4404" xr:uid="{1FB2328B-4382-487E-A902-9BD441BC9913}"/>
    <cellStyle name="Comma 6 4 2 3 4 2" xfId="9176" xr:uid="{8F66199E-1B28-43E3-A19F-CFC291178D6D}"/>
    <cellStyle name="Comma 6 4 2 3 4 2 2" xfId="19556" xr:uid="{D5DEDE6B-E6E5-4EAD-AA05-81693599A82E}"/>
    <cellStyle name="Comma 6 4 2 3 4 3" xfId="12009" xr:uid="{D49E91B3-9301-482A-B4BF-5C9AEB14AC53}"/>
    <cellStyle name="Comma 6 4 2 3 4 3 2" xfId="22389" xr:uid="{17A37291-6571-4D15-B536-039ED25AA43D}"/>
    <cellStyle name="Comma 6 4 2 3 4 4" xfId="16723" xr:uid="{0E1BB8D7-1061-41AD-9946-F1642322DE7C}"/>
    <cellStyle name="Comma 6 4 2 3 5" xfId="5592" xr:uid="{B77D97DF-34AC-4B61-94AB-5E81CC907204}"/>
    <cellStyle name="Comma 6 4 2 3 5 2" xfId="29921" xr:uid="{5601DEA4-3871-4EEC-B4E8-F63C874A3A21}"/>
    <cellStyle name="Comma 6 4 2 3 6" xfId="23432" xr:uid="{44806F47-1906-4B34-89B1-7A5705E499F2}"/>
    <cellStyle name="Comma 6 4 2 3 7" xfId="13550" xr:uid="{85825A31-9239-462E-B016-0AC77AABAAAB}"/>
    <cellStyle name="Comma 6 4 2 4" xfId="1698" xr:uid="{00000000-0005-0000-0000-000079020000}"/>
    <cellStyle name="Comma 6 4 2 4 2" xfId="3041" xr:uid="{00000000-0005-0000-0000-0000EB010000}"/>
    <cellStyle name="Comma 6 4 2 4 2 2" xfId="8121" xr:uid="{ADF22222-811F-4F84-B720-222185DDB4A1}"/>
    <cellStyle name="Comma 6 4 2 4 2 2 2" xfId="28802" xr:uid="{922D86D4-CE5F-49B6-BB93-8FE1C4D72254}"/>
    <cellStyle name="Comma 6 4 2 4 2 2 3" xfId="27697" xr:uid="{6FD99DB8-EBD7-49EB-8A7C-1342FBAC3836}"/>
    <cellStyle name="Comma 6 4 2 4 2 2 4" xfId="18501" xr:uid="{1239A679-9578-452E-BA64-7D79A9553E4B}"/>
    <cellStyle name="Comma 6 4 2 4 2 3" xfId="10954" xr:uid="{9CFE8881-6865-452C-A880-B409BA8FC2FB}"/>
    <cellStyle name="Comma 6 4 2 4 2 3 2" xfId="21334" xr:uid="{3FD0A189-72D1-44EF-8586-68EB0ACC380D}"/>
    <cellStyle name="Comma 6 4 2 4 2 4" xfId="24417" xr:uid="{D6823635-BF87-412A-97CD-62CD1E9247DB}"/>
    <cellStyle name="Comma 6 4 2 4 2 5" xfId="15668" xr:uid="{31150317-04E8-41C9-A993-9077679AFEB5}"/>
    <cellStyle name="Comma 6 4 2 4 3" xfId="3671" xr:uid="{00000000-0005-0000-0000-000079020000}"/>
    <cellStyle name="Comma 6 4 2 4 4" xfId="5593" xr:uid="{5E240531-8C52-4B64-996E-6CF2C56EAD6B}"/>
    <cellStyle name="Comma 6 4 2 4 4 2" xfId="30181" xr:uid="{E92F1AFF-DD71-4FB3-889D-78837071B2EE}"/>
    <cellStyle name="Comma 6 4 2 4 5" xfId="23885" xr:uid="{43568BDD-A2A2-40C8-B1D3-E9FAF4B904FE}"/>
    <cellStyle name="Comma 6 4 2 4 6" xfId="13548" xr:uid="{B4E62D67-D4F8-4AEE-A0C8-D1B0BC76898D}"/>
    <cellStyle name="Comma 6 4 2 5" xfId="1693" xr:uid="{00000000-0005-0000-0000-00007A020000}"/>
    <cellStyle name="Comma 6 4 2 5 2" xfId="2528" xr:uid="{00000000-0005-0000-0000-0000EC010000}"/>
    <cellStyle name="Comma 6 4 2 5 2 2" xfId="7653" xr:uid="{31EE074A-1A25-4279-9498-1557E65A9611}"/>
    <cellStyle name="Comma 6 4 2 5 2 2 2" xfId="18033" xr:uid="{2E5103D4-FE6F-4FD3-8CF2-4F6CBE43E536}"/>
    <cellStyle name="Comma 6 4 2 5 2 3" xfId="10486" xr:uid="{47A8CDED-9374-4C4C-9AD1-F9989393134E}"/>
    <cellStyle name="Comma 6 4 2 5 2 3 2" xfId="20866" xr:uid="{894DF4C3-B7A2-4D59-8DF5-E6A4EC275E7C}"/>
    <cellStyle name="Comma 6 4 2 5 2 4" xfId="27791" xr:uid="{E1105289-3713-4AAF-B940-F952224F0EDC}"/>
    <cellStyle name="Comma 6 4 2 5 2 5" xfId="28456" xr:uid="{D273BE61-BBFD-447D-B264-4CFF693C5FDF}"/>
    <cellStyle name="Comma 6 4 2 5 2 6" xfId="15200" xr:uid="{4A290AF2-28F0-47E5-8AC6-D53A411884E3}"/>
    <cellStyle name="Comma 6 4 2 5 3" xfId="3563" xr:uid="{00000000-0005-0000-0000-00007A020000}"/>
    <cellStyle name="Comma 6 4 2 5 4" xfId="5590" xr:uid="{79D951B6-7C6B-413F-B554-86ACD55AFC22}"/>
    <cellStyle name="Comma 6 4 2 5 4 2" xfId="30108" xr:uid="{AB54EE0B-0B69-4FC5-AFD3-34B3A66F3A7F}"/>
    <cellStyle name="Comma 6 4 2 5 5" xfId="23935" xr:uid="{61B540B9-A018-4E28-B282-83577ECA9D03}"/>
    <cellStyle name="Comma 6 4 2 5 6" xfId="12916" xr:uid="{C6259B45-015A-4F34-84F8-1B874A052B21}"/>
    <cellStyle name="Comma 6 4 2 6" xfId="2280" xr:uid="{00000000-0005-0000-0000-0000E7010000}"/>
    <cellStyle name="Comma 6 4 2 6 2" xfId="7407" xr:uid="{6714873E-F416-44C5-82FA-E05131962C6E}"/>
    <cellStyle name="Comma 6 4 2 6 2 2" xfId="17787" xr:uid="{DAB56B7B-C136-47C5-A747-7B121669E960}"/>
    <cellStyle name="Comma 6 4 2 6 3" xfId="10240" xr:uid="{4C8AE7B1-A4A9-425A-9167-B6967CFE222E}"/>
    <cellStyle name="Comma 6 4 2 6 3 2" xfId="20620" xr:uid="{19177BF8-5573-4BFF-B173-1662A0989156}"/>
    <cellStyle name="Comma 6 4 2 6 4" xfId="23822" xr:uid="{AC9C99D0-AB2A-4CD9-91CC-19279A8AFCB3}"/>
    <cellStyle name="Comma 6 4 2 6 5" xfId="26847" xr:uid="{1A57839F-464C-450B-87F9-255CD7C009FB}"/>
    <cellStyle name="Comma 6 4 2 6 6" xfId="14954" xr:uid="{1E6FD0BC-2500-4D19-B49D-410520A4EE12}"/>
    <cellStyle name="Comma 6 4 2 7" xfId="3819" xr:uid="{92CFE6F2-A1C9-4A93-BBED-550530B8857A}"/>
    <cellStyle name="Comma 6 4 2 7 2" xfId="8652" xr:uid="{6163D877-2216-4038-9EB4-81712A04994C}"/>
    <cellStyle name="Comma 6 4 2 7 2 2" xfId="19032" xr:uid="{03ADF068-45AD-4DAB-8C61-3E6015003565}"/>
    <cellStyle name="Comma 6 4 2 7 3" xfId="11485" xr:uid="{B63E5292-1B5E-45E0-93E5-4A060B62CDFF}"/>
    <cellStyle name="Comma 6 4 2 7 3 2" xfId="21865" xr:uid="{7283CF71-5EE7-47AA-B790-60924D944E8F}"/>
    <cellStyle name="Comma 6 4 2 7 4" xfId="25890" xr:uid="{F39EEEA6-603F-4E58-945E-BB29862672B2}"/>
    <cellStyle name="Comma 6 4 2 7 5" xfId="26507" xr:uid="{C2E764BB-88F9-4C12-9ADA-9E379CE1C073}"/>
    <cellStyle name="Comma 6 4 2 7 6" xfId="16199" xr:uid="{EF1D7535-5DF8-4A8B-938B-FBCFC8BDE855}"/>
    <cellStyle name="Comma 6 4 2 8" xfId="4887" xr:uid="{B9ED5642-C6EF-4D18-85FB-1F3A8F4EEE28}"/>
    <cellStyle name="Comma 6 4 2 8 2" xfId="14179" xr:uid="{ECD191D8-EC14-4B95-862F-94FDC2BBCD9C}"/>
    <cellStyle name="Comma 6 4 2 9" xfId="6632" xr:uid="{D4B262BE-F461-4DC9-89DC-2023215ABCFD}"/>
    <cellStyle name="Comma 6 4 2 9 2" xfId="17012" xr:uid="{6E0271B9-4A40-4868-BD41-DAD782E2C209}"/>
    <cellStyle name="Comma 6 4 3" xfId="498" xr:uid="{00000000-0005-0000-0000-00007B020000}"/>
    <cellStyle name="Comma 6 4 3 10" xfId="25487" xr:uid="{99E9E6DC-A851-4F87-A404-F8E922B22778}"/>
    <cellStyle name="Comma 6 4 3 11" xfId="12670" xr:uid="{5A4B5E9F-8AD8-4DAE-ADCF-C4E4E84DC022}"/>
    <cellStyle name="Comma 6 4 3 2" xfId="1700" xr:uid="{00000000-0005-0000-0000-00007C020000}"/>
    <cellStyle name="Comma 6 4 3 2 2" xfId="3045" xr:uid="{00000000-0005-0000-0000-0000EF010000}"/>
    <cellStyle name="Comma 6 4 3 2 2 2" xfId="6162" xr:uid="{9DE87451-BF29-4F9C-8D44-3C00B4B7AB11}"/>
    <cellStyle name="Comma 6 4 3 2 2 2 2" xfId="25628" xr:uid="{1BE7515C-653A-4F87-876F-63B764521DA0}"/>
    <cellStyle name="Comma 6 4 3 2 2 2 2 2" xfId="28547" xr:uid="{76250F69-99E5-4C87-AA68-28CAC0ABE243}"/>
    <cellStyle name="Comma 6 4 3 2 2 2 3" xfId="28605" xr:uid="{05D73697-F366-4499-ADE0-47D3DE37ECFB}"/>
    <cellStyle name="Comma 6 4 3 2 2 2 4" xfId="15672" xr:uid="{DAA6396E-5617-4A70-B574-AFCD162D4D30}"/>
    <cellStyle name="Comma 6 4 3 2 2 3" xfId="8125" xr:uid="{6C0A3AD5-AA43-4E8F-AD77-C0019D0A2C78}"/>
    <cellStyle name="Comma 6 4 3 2 2 3 2" xfId="28806" xr:uid="{F2C78387-E4A4-41C7-80DE-D7182430BC82}"/>
    <cellStyle name="Comma 6 4 3 2 2 3 3" xfId="28127" xr:uid="{3D9342C1-D49F-4D43-8AC1-93AE5F56062A}"/>
    <cellStyle name="Comma 6 4 3 2 2 3 4" xfId="18505" xr:uid="{2304C356-D9FF-4CB7-8D43-1928F2D47AFB}"/>
    <cellStyle name="Comma 6 4 3 2 2 4" xfId="10958" xr:uid="{A9FEC1FC-DA92-4D7E-A9BA-4BE6D80C1BBE}"/>
    <cellStyle name="Comma 6 4 3 2 2 4 2" xfId="21338" xr:uid="{A0857218-8F4D-4CD3-B2A0-11E1240D74D4}"/>
    <cellStyle name="Comma 6 4 3 2 2 5" xfId="22939" xr:uid="{F447AA7E-14C2-47CB-8EA8-D414A90848E1}"/>
    <cellStyle name="Comma 6 4 3 2 2 6" xfId="13552" xr:uid="{131ED52A-BDC5-46E9-BF9F-9B7B0B88F1B6}"/>
    <cellStyle name="Comma 6 4 3 2 3" xfId="2674" xr:uid="{00000000-0005-0000-0000-0000EE010000}"/>
    <cellStyle name="Comma 6 4 3 2 3 2" xfId="7798" xr:uid="{0F2D7387-1C2C-43EA-8D1B-DCD8B47814A5}"/>
    <cellStyle name="Comma 6 4 3 2 3 2 2" xfId="27270" xr:uid="{5B830BD1-7260-4C2A-8DB9-D8138AC7079C}"/>
    <cellStyle name="Comma 6 4 3 2 3 2 3" xfId="28438" xr:uid="{21009788-6F5C-4071-A2DC-85665187ADF3}"/>
    <cellStyle name="Comma 6 4 3 2 3 2 4" xfId="18178" xr:uid="{9C68AE63-D3BE-44EC-93A1-10DEC2A2FD8F}"/>
    <cellStyle name="Comma 6 4 3 2 3 3" xfId="10631" xr:uid="{E243FB16-8574-4B4D-9DCC-E703BA2E9B76}"/>
    <cellStyle name="Comma 6 4 3 2 3 3 2" xfId="21011" xr:uid="{73F9FFA3-B985-40BB-8F39-555D2D339E60}"/>
    <cellStyle name="Comma 6 4 3 2 3 4" xfId="25068" xr:uid="{8943FECE-0FE9-448B-8798-C7D4A06BFB9E}"/>
    <cellStyle name="Comma 6 4 3 2 3 5" xfId="15345" xr:uid="{FC4FEB2E-5924-4D22-91C3-E4EA0BEE808D}"/>
    <cellStyle name="Comma 6 4 3 2 4" xfId="3649" xr:uid="{00000000-0005-0000-0000-00007C020000}"/>
    <cellStyle name="Comma 6 4 3 2 5" xfId="4261" xr:uid="{A51EAC08-E66F-40E2-903C-7CC3150401A1}"/>
    <cellStyle name="Comma 6 4 3 2 5 2" xfId="9033" xr:uid="{9CB19842-F4C9-4617-BA4E-C32A4ABED1D6}"/>
    <cellStyle name="Comma 6 4 3 2 5 2 2" xfId="19413" xr:uid="{29A40CE9-1ADF-482C-8C07-4FAB69ECEEE9}"/>
    <cellStyle name="Comma 6 4 3 2 5 3" xfId="11866" xr:uid="{23A53419-8BF1-421F-A70F-CACA88D74416}"/>
    <cellStyle name="Comma 6 4 3 2 5 3 2" xfId="22246" xr:uid="{EB58247D-0D07-4A99-B592-41F2A71DB9DA}"/>
    <cellStyle name="Comma 6 4 3 2 5 4" xfId="27782" xr:uid="{70C3B298-AD80-4B7B-B6B7-937B7807FEF0}"/>
    <cellStyle name="Comma 6 4 3 2 5 5" xfId="26942" xr:uid="{0A76B398-CCEB-44F2-A850-E5E77487E760}"/>
    <cellStyle name="Comma 6 4 3 2 5 6" xfId="16580" xr:uid="{2E50FF22-5A32-4A14-A5DC-A900B3753DB5}"/>
    <cellStyle name="Comma 6 4 3 2 6" xfId="5595" xr:uid="{5E2AC345-4328-4BFD-8DA3-5CCEC7838AEA}"/>
    <cellStyle name="Comma 6 4 3 2 6 2" xfId="29952" xr:uid="{3FB1E0FD-F6A6-4971-B1D9-0194A264A983}"/>
    <cellStyle name="Comma 6 4 3 2 7" xfId="22718" xr:uid="{2381AC7C-D874-457D-824B-CD7134186CFD}"/>
    <cellStyle name="Comma 6 4 3 2 8" xfId="13082" xr:uid="{CB1CC082-7815-46C3-8934-9E81858CC6E3}"/>
    <cellStyle name="Comma 6 4 3 3" xfId="1701" xr:uid="{00000000-0005-0000-0000-00007D020000}"/>
    <cellStyle name="Comma 6 4 3 3 2" xfId="3046" xr:uid="{00000000-0005-0000-0000-0000F0010000}"/>
    <cellStyle name="Comma 6 4 3 3 2 2" xfId="8126" xr:uid="{E1647CBD-57C7-49A5-8AD5-21902424509E}"/>
    <cellStyle name="Comma 6 4 3 3 2 2 2" xfId="28807" xr:uid="{7AF06F04-B747-4D85-A892-73CBA0EA89FC}"/>
    <cellStyle name="Comma 6 4 3 3 2 2 3" xfId="26419" xr:uid="{A4AFFC74-E361-4181-9D14-1A2AA74BA744}"/>
    <cellStyle name="Comma 6 4 3 3 2 2 4" xfId="18506" xr:uid="{80803E80-3592-497A-882C-532D47CAD3F1}"/>
    <cellStyle name="Comma 6 4 3 3 2 3" xfId="10959" xr:uid="{A5CEA30C-A014-4CC8-B570-6C5E75F60085}"/>
    <cellStyle name="Comma 6 4 3 3 2 3 2" xfId="21339" xr:uid="{B2944D65-2E02-4493-94E6-C3ED577A2F5A}"/>
    <cellStyle name="Comma 6 4 3 3 2 4" xfId="24514" xr:uid="{99256903-5A76-4761-8307-3040FBD844E4}"/>
    <cellStyle name="Comma 6 4 3 3 2 5" xfId="15673" xr:uid="{797CFECA-5B3A-425C-8321-CA57176B4E48}"/>
    <cellStyle name="Comma 6 4 3 3 3" xfId="3612" xr:uid="{00000000-0005-0000-0000-00007D020000}"/>
    <cellStyle name="Comma 6 4 3 3 4" xfId="4405" xr:uid="{8749C45E-E41A-4304-B61B-78506631CC99}"/>
    <cellStyle name="Comma 6 4 3 3 4 2" xfId="9177" xr:uid="{58432CAA-B985-4BC9-9656-18D51ACB7F3C}"/>
    <cellStyle name="Comma 6 4 3 3 4 2 2" xfId="19557" xr:uid="{130B0B8D-4585-458D-947D-4883D9BB8669}"/>
    <cellStyle name="Comma 6 4 3 3 4 3" xfId="12010" xr:uid="{88B8CD83-86AD-4EDE-8804-B00361DDCBA9}"/>
    <cellStyle name="Comma 6 4 3 3 4 3 2" xfId="22390" xr:uid="{77E9CE91-FD59-4A3C-8041-0796A6B5D588}"/>
    <cellStyle name="Comma 6 4 3 3 4 4" xfId="16724" xr:uid="{4DCC8238-8690-47E5-AC62-1D9F5187A8AC}"/>
    <cellStyle name="Comma 6 4 3 3 5" xfId="5596" xr:uid="{8CF9A14E-6DB8-411F-9023-F13F2916B13F}"/>
    <cellStyle name="Comma 6 4 3 3 5 2" xfId="29937" xr:uid="{33DED7F6-2845-477F-9F2C-13EEBEE15CBA}"/>
    <cellStyle name="Comma 6 4 3 3 6" xfId="24026" xr:uid="{8B39DA3A-C438-4ADA-826C-4F6E92D2FD76}"/>
    <cellStyle name="Comma 6 4 3 3 7" xfId="13553" xr:uid="{B90FC4BC-D5EE-4BFC-97CD-4E73557F868E}"/>
    <cellStyle name="Comma 6 4 3 4" xfId="1699" xr:uid="{00000000-0005-0000-0000-00007E020000}"/>
    <cellStyle name="Comma 6 4 3 4 2" xfId="3044" xr:uid="{00000000-0005-0000-0000-0000F1010000}"/>
    <cellStyle name="Comma 6 4 3 4 2 2" xfId="8124" xr:uid="{3608156F-8EFF-4B12-B2DE-E52AD2437F57}"/>
    <cellStyle name="Comma 6 4 3 4 2 2 2" xfId="28805" xr:uid="{B98C073F-6138-401A-83A0-F369A3A9D6F6}"/>
    <cellStyle name="Comma 6 4 3 4 2 2 3" xfId="27090" xr:uid="{46AB2BEE-3AC9-4711-AFA2-9CF90C02A985}"/>
    <cellStyle name="Comma 6 4 3 4 2 2 4" xfId="18504" xr:uid="{B643F2D4-3235-49CA-A168-457CC3C641F7}"/>
    <cellStyle name="Comma 6 4 3 4 2 3" xfId="10957" xr:uid="{04D550A1-46DD-4932-B220-53E593ED5562}"/>
    <cellStyle name="Comma 6 4 3 4 2 3 2" xfId="21337" xr:uid="{482C49D2-0469-4D42-A938-CE70AC63C0E6}"/>
    <cellStyle name="Comma 6 4 3 4 2 4" xfId="25643" xr:uid="{400FD5B9-741B-4FA3-9B44-D231F7466CE7}"/>
    <cellStyle name="Comma 6 4 3 4 2 5" xfId="15671" xr:uid="{5FD351B0-0009-4143-9224-F9D3B6D1470E}"/>
    <cellStyle name="Comma 6 4 3 4 3" xfId="3697" xr:uid="{00000000-0005-0000-0000-00007E020000}"/>
    <cellStyle name="Comma 6 4 3 4 4" xfId="5594" xr:uid="{597046DC-F5C8-4A2C-9A13-CCBC4373604F}"/>
    <cellStyle name="Comma 6 4 3 4 4 2" xfId="30183" xr:uid="{82B02AAC-8253-42E9-831A-D52F45E55A75}"/>
    <cellStyle name="Comma 6 4 3 4 5" xfId="25478" xr:uid="{AEBF6BF0-781B-4251-9C43-BF55D4DC9F58}"/>
    <cellStyle name="Comma 6 4 3 4 6" xfId="13551" xr:uid="{B4199247-567C-4F13-B7D1-F52C7E04729D}"/>
    <cellStyle name="Comma 6 4 3 5" xfId="2631" xr:uid="{00000000-0005-0000-0000-0000F2010000}"/>
    <cellStyle name="Comma 6 4 3 5 2" xfId="5893" xr:uid="{4BECADB6-235B-4CAC-85C0-80D0E27B1737}"/>
    <cellStyle name="Comma 6 4 3 5 2 2" xfId="28302" xr:uid="{1BA41FC7-0065-4D43-BA00-BDEAFE6AEDAD}"/>
    <cellStyle name="Comma 6 4 3 5 2 3" xfId="27214" xr:uid="{BF202D75-2FFE-4931-8BE5-4A175775E00B}"/>
    <cellStyle name="Comma 6 4 3 5 2 4" xfId="15303" xr:uid="{5B87071E-8FCF-43D2-9B8C-50EBB975AD9F}"/>
    <cellStyle name="Comma 6 4 3 5 3" xfId="7756" xr:uid="{5E3F39A1-AB86-48FC-AE39-E9EBF19A365A}"/>
    <cellStyle name="Comma 6 4 3 5 3 2" xfId="18136" xr:uid="{D3B9B875-3C36-4038-A144-7BABB514FC75}"/>
    <cellStyle name="Comma 6 4 3 5 4" xfId="10589" xr:uid="{8F0C5218-4D09-4D7A-964D-0AFC40F6DFEB}"/>
    <cellStyle name="Comma 6 4 3 5 4 2" xfId="20969" xr:uid="{F969427A-56A9-4C66-B48B-5630DFB9516B}"/>
    <cellStyle name="Comma 6 4 3 5 5" xfId="24237" xr:uid="{C18D7421-1938-4614-97DD-D9CCFEB24FF0}"/>
    <cellStyle name="Comma 6 4 3 5 6" xfId="13019" xr:uid="{73E37B0D-96A4-40DD-A58F-BE503DB3A20D}"/>
    <cellStyle name="Comma 6 4 3 6" xfId="4126" xr:uid="{BC11153B-3590-4A4C-9A42-D5B85167EDEC}"/>
    <cellStyle name="Comma 6 4 3 6 2" xfId="8898" xr:uid="{5987FDF2-CD76-4027-8C40-BADE8EB16492}"/>
    <cellStyle name="Comma 6 4 3 6 2 2" xfId="19278" xr:uid="{C77FE529-4055-4AE2-90DD-A660AD868028}"/>
    <cellStyle name="Comma 6 4 3 6 3" xfId="11731" xr:uid="{C5637927-D691-4E7B-8071-78C18F69F33B}"/>
    <cellStyle name="Comma 6 4 3 6 3 2" xfId="22111" xr:uid="{FF695EF4-4938-421C-B4C1-B1580C099238}"/>
    <cellStyle name="Comma 6 4 3 6 4" xfId="24161" xr:uid="{DA708D23-DBBB-4E21-A69E-2C68CD775D36}"/>
    <cellStyle name="Comma 6 4 3 6 5" xfId="26773" xr:uid="{427B066A-B632-4273-AD4F-6D47319C3D9E}"/>
    <cellStyle name="Comma 6 4 3 6 6" xfId="16445" xr:uid="{74E4A04D-2625-40F8-913E-E71CD7A37B6E}"/>
    <cellStyle name="Comma 6 4 3 7" xfId="4889" xr:uid="{FF7A6E91-B71F-402F-84BE-27BA9A689206}"/>
    <cellStyle name="Comma 6 4 3 7 2" xfId="26955" xr:uid="{E692CFC7-761B-4524-AEF1-ADA4AE5C43EA}"/>
    <cellStyle name="Comma 6 4 3 7 3" xfId="28461" xr:uid="{EF2DDD8E-D26A-4D5D-AC55-67A7CC964379}"/>
    <cellStyle name="Comma 6 4 3 7 4" xfId="14181" xr:uid="{958C6408-2027-4BE6-B6CD-ED8CF2230424}"/>
    <cellStyle name="Comma 6 4 3 8" xfId="6634" xr:uid="{A8484347-CEB4-4D7F-B443-41F73EC9CF28}"/>
    <cellStyle name="Comma 6 4 3 8 2" xfId="17014" xr:uid="{86F2C499-DC60-442F-906F-348F5F5B6154}"/>
    <cellStyle name="Comma 6 4 3 9" xfId="9467" xr:uid="{44DF4BDE-7007-468D-A11A-5B176D57FA95}"/>
    <cellStyle name="Comma 6 4 3 9 2" xfId="19847" xr:uid="{6A3C9AA7-7596-4832-B681-46D68794F167}"/>
    <cellStyle name="Comma 6 4 4" xfId="499" xr:uid="{00000000-0005-0000-0000-00007F020000}"/>
    <cellStyle name="Comma 6 4 4 10" xfId="13080" xr:uid="{161F3D9E-FDAC-4369-8A82-BAFFD660836D}"/>
    <cellStyle name="Comma 6 4 4 2" xfId="1703" xr:uid="{00000000-0005-0000-0000-000080020000}"/>
    <cellStyle name="Comma 6 4 4 2 2" xfId="3047" xr:uid="{00000000-0005-0000-0000-0000F4010000}"/>
    <cellStyle name="Comma 6 4 4 2 2 2" xfId="8127" xr:uid="{144748D8-8110-4C5D-823F-47C3385D852A}"/>
    <cellStyle name="Comma 6 4 4 2 2 2 2" xfId="28808" xr:uid="{6AD90FE4-3CB8-4933-9B68-7C7298C52AE0}"/>
    <cellStyle name="Comma 6 4 4 2 2 2 3" xfId="28243" xr:uid="{238413C4-BC84-456A-A16A-38101E29D3E0}"/>
    <cellStyle name="Comma 6 4 4 2 2 2 4" xfId="18507" xr:uid="{F8F41174-04D6-4C1F-957B-0A4EDEB6160D}"/>
    <cellStyle name="Comma 6 4 4 2 2 3" xfId="10960" xr:uid="{05BA871B-49D9-49A9-BB48-6443A0BBCD06}"/>
    <cellStyle name="Comma 6 4 4 2 2 3 2" xfId="21340" xr:uid="{34C15700-FD27-4498-8393-09C164FCD201}"/>
    <cellStyle name="Comma 6 4 4 2 2 4" xfId="24761" xr:uid="{F1599F21-A582-4D54-8F2B-1F18A24D247D}"/>
    <cellStyle name="Comma 6 4 4 2 2 5" xfId="15674" xr:uid="{A3EA306A-3791-432B-8C4B-EF911D8EF55F}"/>
    <cellStyle name="Comma 6 4 4 2 3" xfId="3640" xr:uid="{00000000-0005-0000-0000-000080020000}"/>
    <cellStyle name="Comma 6 4 4 2 4" xfId="5597" xr:uid="{D7CC43DA-455D-407E-BF01-57D0564EA6B6}"/>
    <cellStyle name="Comma 6 4 4 2 4 2" xfId="30184" xr:uid="{DC0428A0-8FE3-43F6-B255-A5CEE2696F38}"/>
    <cellStyle name="Comma 6 4 4 2 5" xfId="23459" xr:uid="{25976DFB-D12E-44FC-BA6D-3E379ED1878F}"/>
    <cellStyle name="Comma 6 4 4 2 6" xfId="13554" xr:uid="{3DB1E49B-06F4-4933-AD00-0C600988B65B}"/>
    <cellStyle name="Comma 6 4 4 3" xfId="1704" xr:uid="{00000000-0005-0000-0000-000081020000}"/>
    <cellStyle name="Comma 6 4 4 3 2" xfId="4624" xr:uid="{9494D2FE-9603-4520-BB34-B0A7762C3101}"/>
    <cellStyle name="Comma 6 4 4 3 2 2" xfId="9396" xr:uid="{82C1F46B-3AB1-4180-B72C-C27061F6C38D}"/>
    <cellStyle name="Comma 6 4 4 3 2 2 2" xfId="19776" xr:uid="{D912D5B9-435E-47F8-B665-98B3269A7A93}"/>
    <cellStyle name="Comma 6 4 4 3 2 3" xfId="12229" xr:uid="{19AF2720-C897-4870-88B1-1084B759AD28}"/>
    <cellStyle name="Comma 6 4 4 3 2 3 2" xfId="22609" xr:uid="{BA23040E-9D36-43EE-A03D-912871B8A62D}"/>
    <cellStyle name="Comma 6 4 4 3 2 4" xfId="26199" xr:uid="{472BDDCC-6E87-4271-800D-0A670E255469}"/>
    <cellStyle name="Comma 6 4 4 3 2 5" xfId="27936" xr:uid="{C21A1C05-1A22-43CB-B467-F45DFFC42A54}"/>
    <cellStyle name="Comma 6 4 4 3 2 6" xfId="16943" xr:uid="{0B261E0F-2906-43CC-8B78-EF21FAC3E3A4}"/>
    <cellStyle name="Comma 6 4 4 3 3" xfId="25011" xr:uid="{D13AD506-B971-43E8-9263-B2003BB20B7B}"/>
    <cellStyle name="Comma 6 4 4 3 3 2" xfId="30135" xr:uid="{F4906235-E605-4DEB-89C9-930A911A87F0}"/>
    <cellStyle name="Comma 6 4 4 3 4" xfId="30249" xr:uid="{AA448657-4CA9-4B58-9E60-EDFCDC57358D}"/>
    <cellStyle name="Comma 6 4 4 4" xfId="1702" xr:uid="{00000000-0005-0000-0000-000082020000}"/>
    <cellStyle name="Comma 6 4 4 5" xfId="4259" xr:uid="{F88A1956-BAD7-4D08-9EEC-B2583E75D0DD}"/>
    <cellStyle name="Comma 6 4 4 5 2" xfId="9031" xr:uid="{921BDAC3-0294-4D86-8C5F-754A50525046}"/>
    <cellStyle name="Comma 6 4 4 5 2 2" xfId="19411" xr:uid="{7F2C0D14-E739-477C-A33B-5DDBE2A55F78}"/>
    <cellStyle name="Comma 6 4 4 5 3" xfId="11864" xr:uid="{CB563B1E-333D-437D-80F1-F1E92395B99F}"/>
    <cellStyle name="Comma 6 4 4 5 3 2" xfId="22244" xr:uid="{DAB37DDA-1810-4257-AF18-71A6F4AEF98C}"/>
    <cellStyle name="Comma 6 4 4 5 4" xfId="25902" xr:uid="{6E4D4D61-4FA4-40F8-B260-4F74A35085BF}"/>
    <cellStyle name="Comma 6 4 4 5 5" xfId="26028" xr:uid="{0AE5C490-7D0B-48C0-B974-61B1DA7B0177}"/>
    <cellStyle name="Comma 6 4 4 5 6" xfId="16578" xr:uid="{C055D660-BCFC-4A7A-8BC6-76732CE75695}"/>
    <cellStyle name="Comma 6 4 4 6" xfId="4890" xr:uid="{C522401C-4DD6-4E1D-99C9-6E3D20EE2307}"/>
    <cellStyle name="Comma 6 4 4 6 2" xfId="14182" xr:uid="{5A0FF2A1-DA42-4A5E-AA72-2558B44A6109}"/>
    <cellStyle name="Comma 6 4 4 7" xfId="6635" xr:uid="{73F23711-DC0F-4F58-BF0D-2FB69ED65B37}"/>
    <cellStyle name="Comma 6 4 4 7 2" xfId="17015" xr:uid="{4087778A-5F0C-451B-A20D-77C3676FFA5F}"/>
    <cellStyle name="Comma 6 4 4 8" xfId="9468" xr:uid="{3B9B1F41-8EAC-4A06-9F83-A42D7AB79BB2}"/>
    <cellStyle name="Comma 6 4 4 8 2" xfId="19848" xr:uid="{689CAA96-C143-47E1-B5AD-C8E73BCD6AA1}"/>
    <cellStyle name="Comma 6 4 4 9" xfId="23863" xr:uid="{7228455F-2DD3-482A-BC3F-C95BE560FE7B}"/>
    <cellStyle name="Comma 6 4 5" xfId="1705" xr:uid="{00000000-0005-0000-0000-000083020000}"/>
    <cellStyle name="Comma 6 4 5 2" xfId="3048" xr:uid="{00000000-0005-0000-0000-0000F5010000}"/>
    <cellStyle name="Comma 6 4 5 2 2" xfId="8128" xr:uid="{54D4C34B-2D2B-447A-B5B4-5775E8620FFC}"/>
    <cellStyle name="Comma 6 4 5 2 2 2" xfId="28809" xr:uid="{B647D0DC-ECE0-42C5-BCA0-0BB0781E8855}"/>
    <cellStyle name="Comma 6 4 5 2 2 3" xfId="28587" xr:uid="{46477F41-C513-4AA2-B52E-DD5043778A61}"/>
    <cellStyle name="Comma 6 4 5 2 2 4" xfId="18508" xr:uid="{AE896CAB-4E2D-4BC4-A2FB-544C8CDB6C94}"/>
    <cellStyle name="Comma 6 4 5 2 3" xfId="10961" xr:uid="{50637E51-5562-46AD-B882-65EC355770F2}"/>
    <cellStyle name="Comma 6 4 5 2 3 2" xfId="21341" xr:uid="{850D5D37-6DE8-4841-9460-F73B80017985}"/>
    <cellStyle name="Comma 6 4 5 2 4" xfId="23526" xr:uid="{5BC62036-1F54-49D8-99C8-F8F4DB207CE7}"/>
    <cellStyle name="Comma 6 4 5 2 5" xfId="15675" xr:uid="{21144154-8EC4-4BBF-9F05-1059A220AD7A}"/>
    <cellStyle name="Comma 6 4 5 3" xfId="3590" xr:uid="{00000000-0005-0000-0000-000083020000}"/>
    <cellStyle name="Comma 6 4 5 4" xfId="4406" xr:uid="{7541ECBE-E625-46C2-913D-030F44B4E812}"/>
    <cellStyle name="Comma 6 4 5 4 2" xfId="9178" xr:uid="{10C0E120-5A4F-40E2-A73A-0F419D8AFE7D}"/>
    <cellStyle name="Comma 6 4 5 4 2 2" xfId="19558" xr:uid="{42C0B2DC-4602-4CB8-B7DD-A48E64A1A11E}"/>
    <cellStyle name="Comma 6 4 5 4 3" xfId="12011" xr:uid="{BC30DDE6-6812-430F-A96A-70862DC750C2}"/>
    <cellStyle name="Comma 6 4 5 4 3 2" xfId="22391" xr:uid="{94CCDCB7-721D-4547-9880-5CA7F7110942}"/>
    <cellStyle name="Comma 6 4 5 4 4" xfId="16725" xr:uid="{1A4CDAA2-885C-4A5C-95B3-C6CE07D1A4F9}"/>
    <cellStyle name="Comma 6 4 5 5" xfId="5598" xr:uid="{8F23EDCF-D0A9-4732-B643-145982D71AB9}"/>
    <cellStyle name="Comma 6 4 5 5 2" xfId="29916" xr:uid="{71CD7C71-7C86-4E31-9A61-62512A42F646}"/>
    <cellStyle name="Comma 6 4 5 6" xfId="24375" xr:uid="{91D1EDE4-7110-405F-8750-08A556862BDF}"/>
    <cellStyle name="Comma 6 4 5 7" xfId="13555" xr:uid="{A7F02A6C-6510-4740-9354-BBF236F91E84}"/>
    <cellStyle name="Comma 6 4 6" xfId="1706" xr:uid="{00000000-0005-0000-0000-000084020000}"/>
    <cellStyle name="Comma 6 4 6 2" xfId="2873" xr:uid="{00000000-0005-0000-0000-0000F6010000}"/>
    <cellStyle name="Comma 6 4 6 2 2" xfId="7990" xr:uid="{DFBB432E-3A5A-496E-818E-C55060EC3CBB}"/>
    <cellStyle name="Comma 6 4 6 2 2 2" xfId="26252" xr:uid="{A6D4DEA5-5A3D-446F-9100-76438298D113}"/>
    <cellStyle name="Comma 6 4 6 2 2 3" xfId="26689" xr:uid="{F4F25F70-E51E-45AB-A23C-17588D0AB7CF}"/>
    <cellStyle name="Comma 6 4 6 2 2 4" xfId="18370" xr:uid="{751CBBBD-02F1-4EC8-A428-B1D92AA0FD74}"/>
    <cellStyle name="Comma 6 4 6 2 3" xfId="10823" xr:uid="{4B0563F5-F4ED-4FF4-B040-CF8FC99765CE}"/>
    <cellStyle name="Comma 6 4 6 2 3 2" xfId="21203" xr:uid="{6A137480-FFB3-476C-8BA5-C9E9950A55B4}"/>
    <cellStyle name="Comma 6 4 6 2 4" xfId="22969" xr:uid="{92746F34-F1DA-4DC9-AA9E-79EFD699D503}"/>
    <cellStyle name="Comma 6 4 6 2 5" xfId="15537" xr:uid="{F1E2F4F3-F31F-4441-8AD3-41AFDF0573C0}"/>
    <cellStyle name="Comma 6 4 6 3" xfId="3685" xr:uid="{00000000-0005-0000-0000-000084020000}"/>
    <cellStyle name="Comma 6 4 6 4" xfId="5599" xr:uid="{A8028302-ED8A-40B8-8A70-7BEFE282F4FC}"/>
    <cellStyle name="Comma 6 4 6 4 2" xfId="30156" xr:uid="{F70D8C16-6E61-4F94-953E-B8B3E1AE141B}"/>
    <cellStyle name="Comma 6 4 6 5" xfId="23417" xr:uid="{C2BB730C-BD1C-467F-A026-B3DC5A68504F}"/>
    <cellStyle name="Comma 6 4 6 6" xfId="13368" xr:uid="{1AC7631A-FD2B-4EB4-9784-B8AF1011B9CD}"/>
    <cellStyle name="Comma 6 4 7" xfId="1692" xr:uid="{00000000-0005-0000-0000-000085020000}"/>
    <cellStyle name="Comma 6 4 7 2" xfId="2468" xr:uid="{00000000-0005-0000-0000-0000F7010000}"/>
    <cellStyle name="Comma 6 4 7 2 2" xfId="7593" xr:uid="{A65CD5EB-1051-4973-BA95-26C5C049E7B7}"/>
    <cellStyle name="Comma 6 4 7 2 2 2" xfId="17973" xr:uid="{F1AB390C-53D0-4162-83C7-8EA513F983E3}"/>
    <cellStyle name="Comma 6 4 7 2 3" xfId="10426" xr:uid="{11D00CB4-211A-455B-B691-7CC4AD02121C}"/>
    <cellStyle name="Comma 6 4 7 2 3 2" xfId="20806" xr:uid="{7E0350DF-70CE-4B56-A34F-A26805D35A02}"/>
    <cellStyle name="Comma 6 4 7 2 4" xfId="27401" xr:uid="{46B2D801-E2B4-415C-A933-BDBDE9533E7C}"/>
    <cellStyle name="Comma 6 4 7 2 5" xfId="26155" xr:uid="{7CFDDA6D-9A08-4A78-B530-EB2BD8ECFC7B}"/>
    <cellStyle name="Comma 6 4 7 2 6" xfId="15140" xr:uid="{74FD98A7-4C92-4590-AADB-1C3B55717B94}"/>
    <cellStyle name="Comma 6 4 7 3" xfId="3635" xr:uid="{00000000-0005-0000-0000-000085020000}"/>
    <cellStyle name="Comma 6 4 7 4" xfId="5589" xr:uid="{5F3C36C8-D1B5-4C42-9705-CB72C5A4950A}"/>
    <cellStyle name="Comma 6 4 7 4 2" xfId="30096" xr:uid="{E614800B-6069-4131-8D0D-722B46B44372}"/>
    <cellStyle name="Comma 6 4 7 5" xfId="22831" xr:uid="{80ED073A-316E-4622-8079-102557309958}"/>
    <cellStyle name="Comma 6 4 7 6" xfId="12856" xr:uid="{F1798703-5663-4830-80B6-46478CA449D9}"/>
    <cellStyle name="Comma 6 4 8" xfId="2222" xr:uid="{00000000-0005-0000-0000-0000E6010000}"/>
    <cellStyle name="Comma 6 4 8 2" xfId="7349" xr:uid="{C41CE54C-FD8B-4A42-9930-9155DD2D3E09}"/>
    <cellStyle name="Comma 6 4 8 2 2" xfId="17729" xr:uid="{65DA0D79-1C0A-41F2-9143-825CBCBDD161}"/>
    <cellStyle name="Comma 6 4 8 3" xfId="10182" xr:uid="{908AC10B-86A3-411D-A405-A408A77ECBD5}"/>
    <cellStyle name="Comma 6 4 8 3 2" xfId="20562" xr:uid="{DC3F41D7-DCD9-4D73-9B1B-D3871BC7F286}"/>
    <cellStyle name="Comma 6 4 8 4" xfId="25407" xr:uid="{4359DC52-0CBD-4BDF-8FB2-AFDE5782EC45}"/>
    <cellStyle name="Comma 6 4 8 5" xfId="27614" xr:uid="{7F10D4B5-D9AF-4A09-8572-6652D106B2F7}"/>
    <cellStyle name="Comma 6 4 8 6" xfId="14896" xr:uid="{EB5A04D0-C700-4751-AC83-4883233AC4E1}"/>
    <cellStyle name="Comma 6 4 9" xfId="3867" xr:uid="{44D94F21-4B52-4460-9384-B6B9C6F74F70}"/>
    <cellStyle name="Comma 6 4 9 2" xfId="8699" xr:uid="{8384AADA-23E2-4A6B-A8D3-8EFF809C4492}"/>
    <cellStyle name="Comma 6 4 9 2 2" xfId="19079" xr:uid="{0325ACFA-2711-4CCD-A95E-46F0118EE30F}"/>
    <cellStyle name="Comma 6 4 9 3" xfId="11532" xr:uid="{8ABDBCA1-3D1C-410C-B9B7-FDC8023C9FBC}"/>
    <cellStyle name="Comma 6 4 9 3 2" xfId="21912" xr:uid="{BE857919-D2AA-423B-A68D-C9D2B6CDC4A4}"/>
    <cellStyle name="Comma 6 4 9 4" xfId="27712" xr:uid="{BCF7AB0B-7FF1-4ED6-A2B9-6C5D4BE30012}"/>
    <cellStyle name="Comma 6 4 9 5" xfId="27599" xr:uid="{3E954F38-21E4-424A-870B-3DF4002BE41B}"/>
    <cellStyle name="Comma 6 4 9 6" xfId="16246" xr:uid="{14FEADCD-C5DC-4910-9D9E-9078A2DC52FD}"/>
    <cellStyle name="Comma 6 5" xfId="1707" xr:uid="{00000000-0005-0000-0000-000086020000}"/>
    <cellStyle name="Comma 6 5 10" xfId="25751" xr:uid="{F3893E22-8AFA-4C20-88BE-99F6D0B7836B}"/>
    <cellStyle name="Comma 6 5 10 2" xfId="30238" xr:uid="{A0D1E90C-A337-4AB4-A31F-0E346ED7274D}"/>
    <cellStyle name="Comma 6 5 11" xfId="12959" xr:uid="{6081739D-F564-4AF8-9D03-600F4BF43A0D}"/>
    <cellStyle name="Comma 6 5 2" xfId="2675" xr:uid="{00000000-0005-0000-0000-0000F9010000}"/>
    <cellStyle name="Comma 6 5 2 2" xfId="3050" xr:uid="{00000000-0005-0000-0000-0000FA010000}"/>
    <cellStyle name="Comma 6 5 2 2 2" xfId="6164" xr:uid="{9072506B-66F6-434E-AF9A-C449954DC0D8}"/>
    <cellStyle name="Comma 6 5 2 2 2 2" xfId="27443" xr:uid="{9BBE47B7-6F11-45B5-8B2A-B0A3C36FE1BB}"/>
    <cellStyle name="Comma 6 5 2 2 2 3" xfId="25995" xr:uid="{29FCB692-FD3E-4D43-8557-D799C388341A}"/>
    <cellStyle name="Comma 6 5 2 2 2 4" xfId="15677" xr:uid="{5CE6BAD9-BA76-4CB5-8800-77D44C849C38}"/>
    <cellStyle name="Comma 6 5 2 2 3" xfId="8130" xr:uid="{CE5D24FA-4D71-4FBE-8ABD-CFAD66472B47}"/>
    <cellStyle name="Comma 6 5 2 2 3 2" xfId="18510" xr:uid="{6069F6D0-7212-44E3-8E25-81661A9D5019}"/>
    <cellStyle name="Comma 6 5 2 2 4" xfId="10963" xr:uid="{7BD62EEE-A729-458D-B4B3-F68E635BB264}"/>
    <cellStyle name="Comma 6 5 2 2 4 2" xfId="21343" xr:uid="{AD7DC9C6-DC5C-44A6-9249-87D4B0A7A7C0}"/>
    <cellStyle name="Comma 6 5 2 2 5" xfId="24527" xr:uid="{7F466391-28BE-411E-B2DE-BE091A55F44A}"/>
    <cellStyle name="Comma 6 5 2 2 6" xfId="13557" xr:uid="{E4BE6815-7EC8-4CD5-9BD7-CBFE59D1CF49}"/>
    <cellStyle name="Comma 6 5 2 3" xfId="4262" xr:uid="{AE78412A-E3FD-4707-9349-D83D4CB2A6DF}"/>
    <cellStyle name="Comma 6 5 2 3 2" xfId="9034" xr:uid="{E04F1C4D-6215-48C9-8273-7D130D5F91D6}"/>
    <cellStyle name="Comma 6 5 2 3 2 2" xfId="29094" xr:uid="{F12DCF9A-CA5B-435F-8783-D7D7A2F6C175}"/>
    <cellStyle name="Comma 6 5 2 3 2 3" xfId="27012" xr:uid="{A7EDC08D-0DD7-4282-A2F4-ACBD8F2E9EE3}"/>
    <cellStyle name="Comma 6 5 2 3 2 4" xfId="19414" xr:uid="{01D3B6AA-65B1-45C6-BE98-8521B2340194}"/>
    <cellStyle name="Comma 6 5 2 3 3" xfId="11867" xr:uid="{35E77887-7461-46CE-8CAC-49FA064BC684}"/>
    <cellStyle name="Comma 6 5 2 3 3 2" xfId="22247" xr:uid="{E16DFC60-DE26-40A4-BB19-DE0AF5BA5E71}"/>
    <cellStyle name="Comma 6 5 2 3 4" xfId="24174" xr:uid="{76B4C1B6-06C5-4A52-9551-5BF59DA735A3}"/>
    <cellStyle name="Comma 6 5 2 3 5" xfId="16581" xr:uid="{F083096D-6C9E-4EF8-BF38-7EAA039A1FF8}"/>
    <cellStyle name="Comma 6 5 2 4" xfId="5921" xr:uid="{D13FD7F3-58AF-4C81-814A-2FEC26EB0EE5}"/>
    <cellStyle name="Comma 6 5 2 4 2" xfId="28656" xr:uid="{90F87C2A-E3B4-4A3B-B5AC-CD9FF1CB3B92}"/>
    <cellStyle name="Comma 6 5 2 4 3" xfId="28053" xr:uid="{2E48367A-9396-43ED-B8EA-3AE7BCCC7C93}"/>
    <cellStyle name="Comma 6 5 2 4 4" xfId="15346" xr:uid="{FE28975C-1120-46E2-AE2B-57AE0ADC5BFD}"/>
    <cellStyle name="Comma 6 5 2 5" xfId="7799" xr:uid="{AEE457D1-6834-4469-9B49-34D97CE5E035}"/>
    <cellStyle name="Comma 6 5 2 5 2" xfId="18179" xr:uid="{78EBEE38-911A-4ADF-A398-2EDF0C44561C}"/>
    <cellStyle name="Comma 6 5 2 6" xfId="10632" xr:uid="{10FDC70E-6C80-42F3-8A52-BE45CC791EDB}"/>
    <cellStyle name="Comma 6 5 2 6 2" xfId="21012" xr:uid="{AE587D83-A7CB-4C01-BCA8-9E11CC2BC835}"/>
    <cellStyle name="Comma 6 5 2 7" xfId="23215" xr:uid="{AB361D29-4081-44C9-A5E9-DB52714463F5}"/>
    <cellStyle name="Comma 6 5 2 8" xfId="13083" xr:uid="{746895FD-FB8C-4EED-9F02-793D42642EFB}"/>
    <cellStyle name="Comma 6 5 3" xfId="3051" xr:uid="{00000000-0005-0000-0000-0000FB010000}"/>
    <cellStyle name="Comma 6 5 3 2" xfId="4407" xr:uid="{C911EB5E-6E7B-4CB3-8496-F6CCE884BF2D}"/>
    <cellStyle name="Comma 6 5 3 2 2" xfId="9179" xr:uid="{C9E444F1-FB04-4EFD-840F-941B5236CEC5}"/>
    <cellStyle name="Comma 6 5 3 2 2 2" xfId="19559" xr:uid="{7354D5C3-C2D3-4006-B5A7-37EEEAA03F4B}"/>
    <cellStyle name="Comma 6 5 3 2 3" xfId="12012" xr:uid="{2BC2BFB9-8556-4E02-8D51-85A9A4066A50}"/>
    <cellStyle name="Comma 6 5 3 2 3 2" xfId="22392" xr:uid="{279F3012-F801-4901-855F-7207F0B8C6F5}"/>
    <cellStyle name="Comma 6 5 3 2 4" xfId="25767" xr:uid="{44B57F59-8D63-44FC-9A5D-4FB2EEAC2070}"/>
    <cellStyle name="Comma 6 5 3 2 5" xfId="26075" xr:uid="{379C5DA0-533C-48B5-B231-ECA27F7A9875}"/>
    <cellStyle name="Comma 6 5 3 2 6" xfId="16726" xr:uid="{56567B78-0819-460B-AB1A-50345959535A}"/>
    <cellStyle name="Comma 6 5 3 3" xfId="6165" xr:uid="{313C14E6-5D0D-4FEF-B7FA-102243C1E0EB}"/>
    <cellStyle name="Comma 6 5 3 3 2" xfId="15678" xr:uid="{99C5C290-A368-4B29-81E7-DE1E02D860C8}"/>
    <cellStyle name="Comma 6 5 3 4" xfId="8131" xr:uid="{EE3672A2-39EC-4801-B591-0EDBF521DB37}"/>
    <cellStyle name="Comma 6 5 3 4 2" xfId="18511" xr:uid="{99C90F8C-3849-42F7-B80E-53394043E507}"/>
    <cellStyle name="Comma 6 5 3 5" xfId="10964" xr:uid="{01B62E8D-BD90-4224-8DED-8A4A6EDD743D}"/>
    <cellStyle name="Comma 6 5 3 5 2" xfId="21344" xr:uid="{A5256953-0374-4D3F-AA09-24C136419803}"/>
    <cellStyle name="Comma 6 5 3 6" xfId="23481" xr:uid="{F7DAA880-D79D-4371-8FCA-5C59A2E1A85A}"/>
    <cellStyle name="Comma 6 5 3 7" xfId="13558" xr:uid="{C16AD644-B941-48BB-91D8-BFBCB2FF5E3B}"/>
    <cellStyle name="Comma 6 5 4" xfId="3049" xr:uid="{00000000-0005-0000-0000-0000FC010000}"/>
    <cellStyle name="Comma 6 5 4 2" xfId="6163" xr:uid="{77B98769-66EB-4F7C-9866-045F948AA391}"/>
    <cellStyle name="Comma 6 5 4 2 2" xfId="26980" xr:uid="{BA006FDD-D230-4740-8F19-385BCA299A85}"/>
    <cellStyle name="Comma 6 5 4 2 3" xfId="26581" xr:uid="{DEDB1051-D14F-42D5-8B77-0FDCFAE8744B}"/>
    <cellStyle name="Comma 6 5 4 2 4" xfId="15676" xr:uid="{95B7EA55-B59A-4C76-8EC3-A54B020BD472}"/>
    <cellStyle name="Comma 6 5 4 3" xfId="8129" xr:uid="{D165B3FE-DDB5-4059-8470-0266FCA7C301}"/>
    <cellStyle name="Comma 6 5 4 3 2" xfId="18509" xr:uid="{F2BECBEB-1EEF-4D21-9D43-F4CF9E187924}"/>
    <cellStyle name="Comma 6 5 4 4" xfId="10962" xr:uid="{0F425BC4-9E16-4EAB-A206-BF50C665721F}"/>
    <cellStyle name="Comma 6 5 4 4 2" xfId="21342" xr:uid="{D8B73855-A798-4565-8F47-F72CFC11BB00}"/>
    <cellStyle name="Comma 6 5 4 5" xfId="23787" xr:uid="{6F86A38B-C99F-4196-9DE4-4DCD766C4FBC}"/>
    <cellStyle name="Comma 6 5 4 6" xfId="13556" xr:uid="{C83477AA-13D9-44E0-83BE-3A04DDE9D026}"/>
    <cellStyle name="Comma 6 5 5" xfId="2571" xr:uid="{00000000-0005-0000-0000-0000F8010000}"/>
    <cellStyle name="Comma 6 5 5 2" xfId="7696" xr:uid="{1990EA53-C1B6-4704-8500-B9E147267AE1}"/>
    <cellStyle name="Comma 6 5 5 2 2" xfId="27344" xr:uid="{5DEC078C-F871-489B-9B9E-0235A93EED85}"/>
    <cellStyle name="Comma 6 5 5 2 3" xfId="26527" xr:uid="{B4880A4E-D7E4-4376-B404-8A288699E25D}"/>
    <cellStyle name="Comma 6 5 5 2 4" xfId="18076" xr:uid="{1F35AC32-3B10-44D6-881C-326D1C4E9F1D}"/>
    <cellStyle name="Comma 6 5 5 3" xfId="10529" xr:uid="{06C3247A-D84D-4960-AECB-588082306406}"/>
    <cellStyle name="Comma 6 5 5 3 2" xfId="20909" xr:uid="{6E2FF123-9FA0-48D1-80D2-5B25702AE77A}"/>
    <cellStyle name="Comma 6 5 5 4" xfId="24741" xr:uid="{5A4C6D9F-8500-4DEE-A02C-2B5DCABC18F9}"/>
    <cellStyle name="Comma 6 5 5 5" xfId="15243" xr:uid="{96001FF9-8FC9-49FC-8D37-C92BC6856A3D}"/>
    <cellStyle name="Comma 6 5 6" xfId="2053" xr:uid="{00000000-0005-0000-0000-000086020000}"/>
    <cellStyle name="Comma 6 5 6 2" xfId="28163" xr:uid="{885D212C-05ED-4BF0-B750-04B03BB0CBF8}"/>
    <cellStyle name="Comma 6 5 6 3" xfId="27110" xr:uid="{2FED39B2-98E6-41CC-AE80-60096B335C8F}"/>
    <cellStyle name="Comma 6 5 7" xfId="4236" xr:uid="{A60E7526-B9F5-49C6-B835-8CDFABECB725}"/>
    <cellStyle name="Comma 6 5 7 2" xfId="9008" xr:uid="{EDF2850F-F3AD-40BD-B91F-77CA8AA4A45F}"/>
    <cellStyle name="Comma 6 5 7 2 2" xfId="19388" xr:uid="{F6329403-3A8F-4848-9D9E-61FE7E399297}"/>
    <cellStyle name="Comma 6 5 7 3" xfId="11841" xr:uid="{0AF66E20-5078-45F0-926D-0FDF0E6EA049}"/>
    <cellStyle name="Comma 6 5 7 3 2" xfId="22221" xr:uid="{92DBCC9E-D1B5-49F0-8959-39A6EC73FB92}"/>
    <cellStyle name="Comma 6 5 7 4" xfId="16555" xr:uid="{048A871F-099F-4F46-A3BE-98DD42C94166}"/>
    <cellStyle name="Comma 6 5 8" xfId="5600" xr:uid="{F6A32834-0766-4403-BA6E-361E90744A35}"/>
    <cellStyle name="Comma 6 5 8 2" xfId="30056" xr:uid="{382FAFC0-A1BA-4EA5-94F1-B0C7997C5F15}"/>
    <cellStyle name="Comma 6 5 9" xfId="25485" xr:uid="{A765CB03-C487-41C6-93BE-38026305CF7A}"/>
    <cellStyle name="Comma 6 6" xfId="2162" xr:uid="{00000000-0005-0000-0000-0000E3010000}"/>
    <cellStyle name="Comma 6 6 2" xfId="7289" xr:uid="{E705E142-4DA3-463E-8FAC-F22F05BA6768}"/>
    <cellStyle name="Comma 6 6 2 2" xfId="17669" xr:uid="{4C7CA64C-5E91-4A80-B09D-7D8F8424733A}"/>
    <cellStyle name="Comma 6 6 3" xfId="10122" xr:uid="{340F1EE3-1B83-46E0-8F09-B4C26E25F181}"/>
    <cellStyle name="Comma 6 6 3 2" xfId="20502" xr:uid="{A499D17E-8057-4251-840D-CE412ABC86FB}"/>
    <cellStyle name="Comma 6 6 4" xfId="24886" xr:uid="{E52ED29D-5942-4801-8BAF-D34620EB8958}"/>
    <cellStyle name="Comma 6 6 5" xfId="26208" xr:uid="{4CB53949-7489-45BD-976C-5D2FEB288F44}"/>
    <cellStyle name="Comma 6 6 6" xfId="14836" xr:uid="{321E774C-65C4-4B9A-8C46-85BC07333FD0}"/>
    <cellStyle name="Comma 6 7" xfId="22762" xr:uid="{37A7E8A0-43E7-41E2-BDB1-D7874A32CC13}"/>
    <cellStyle name="Comma 6 8" xfId="12394" xr:uid="{6793FA80-0871-42EE-B221-7655EE8126B8}"/>
    <cellStyle name="Comma 6 9" xfId="29551" xr:uid="{0C85103D-D993-4F13-A57F-2F08993A276F}"/>
    <cellStyle name="Comma 7" xfId="500" xr:uid="{00000000-0005-0000-0000-000087020000}"/>
    <cellStyle name="Comma 7 10" xfId="501" xr:uid="{00000000-0005-0000-0000-000088020000}"/>
    <cellStyle name="Comma 7 10 10" xfId="12671" xr:uid="{0304EF0E-9902-4BD9-8F2D-7BEAF7E53FF3}"/>
    <cellStyle name="Comma 7 10 2" xfId="1710" xr:uid="{00000000-0005-0000-0000-000089020000}"/>
    <cellStyle name="Comma 7 10 2 2" xfId="3052" xr:uid="{00000000-0005-0000-0000-0000FF010000}"/>
    <cellStyle name="Comma 7 10 2 2 2" xfId="8132" xr:uid="{4B684DFA-9692-4A26-A730-995AD8A60843}"/>
    <cellStyle name="Comma 7 10 2 2 2 2" xfId="18512" xr:uid="{3DCD4A56-62ED-4907-88B4-B6AFB0CCF392}"/>
    <cellStyle name="Comma 7 10 2 2 3" xfId="10965" xr:uid="{E4EE2813-7992-41A7-9A04-0DE9EDC9A643}"/>
    <cellStyle name="Comma 7 10 2 2 3 2" xfId="21345" xr:uid="{806F9353-B2D5-4B33-85DA-5F3B6E173F4C}"/>
    <cellStyle name="Comma 7 10 2 2 4" xfId="28480" xr:uid="{E9492947-DB35-4A7F-B79F-84ACAED4A8FC}"/>
    <cellStyle name="Comma 7 10 2 2 5" xfId="27970" xr:uid="{CE260D0E-F8CD-44AD-812E-04CD09475421}"/>
    <cellStyle name="Comma 7 10 2 2 6" xfId="15679" xr:uid="{DA46CC74-2100-4BEE-BE49-53DCA1188B55}"/>
    <cellStyle name="Comma 7 10 2 3" xfId="3556" xr:uid="{00000000-0005-0000-0000-000089020000}"/>
    <cellStyle name="Comma 7 10 2 4" xfId="5601" xr:uid="{9A894E3E-F825-4091-BE58-3404C50F46E5}"/>
    <cellStyle name="Comma 7 10 2 4 2" xfId="30008" xr:uid="{C02D2407-8AD3-422D-A1C1-00D4B7CF985E}"/>
    <cellStyle name="Comma 7 10 2 5" xfId="23340" xr:uid="{47768CD9-A1DD-4C6A-931F-A343C911895F}"/>
    <cellStyle name="Comma 7 10 2 6" xfId="13559" xr:uid="{386DBC66-6ED0-48EA-8136-4AB222A7BF8F}"/>
    <cellStyle name="Comma 7 10 3" xfId="1711" xr:uid="{00000000-0005-0000-0000-00008A020000}"/>
    <cellStyle name="Comma 7 10 3 2" xfId="23284" xr:uid="{471F6C94-CC11-4E87-87AE-598C4CE9FAB7}"/>
    <cellStyle name="Comma 7 10 3 3" xfId="25741" xr:uid="{FA0AC2A2-EC53-4D9A-A288-717BCA4D8A2E}"/>
    <cellStyle name="Comma 7 10 3 4" xfId="30288" xr:uid="{3D1FB32E-905E-4CD8-884D-FEFB3C04CB9C}"/>
    <cellStyle name="Comma 7 10 3 5" xfId="29857" xr:uid="{36EC278E-F99F-4CBE-94AE-79680AEC44AD}"/>
    <cellStyle name="Comma 7 10 4" xfId="1709" xr:uid="{00000000-0005-0000-0000-00008B020000}"/>
    <cellStyle name="Comma 7 10 4 2" xfId="25724" xr:uid="{65959AE7-EB73-4A29-AEDE-5086AD6654D1}"/>
    <cellStyle name="Comma 7 10 4 3" xfId="23897" xr:uid="{A2302EFE-A812-41F1-B7CF-01786DD9FD31}"/>
    <cellStyle name="Comma 7 10 5" xfId="4127" xr:uid="{EBACDF21-4667-4E1B-89A1-775E3F0BDEFB}"/>
    <cellStyle name="Comma 7 10 5 2" xfId="8899" xr:uid="{803B21C8-7816-4590-BDE5-1D23CC6610FF}"/>
    <cellStyle name="Comma 7 10 5 2 2" xfId="19279" xr:uid="{23FE49F9-05A6-4B90-B0F1-AEC2AFF0086A}"/>
    <cellStyle name="Comma 7 10 5 3" xfId="11732" xr:uid="{E7BC460F-C960-4934-8502-7DDBC3D0C3E6}"/>
    <cellStyle name="Comma 7 10 5 3 2" xfId="22112" xr:uid="{40881A6B-4545-4EB1-813A-4E1558B81566}"/>
    <cellStyle name="Comma 7 10 5 4" xfId="26525" xr:uid="{1745E0D8-8A9A-4840-BDB8-0401C09AA039}"/>
    <cellStyle name="Comma 7 10 5 5" xfId="25841" xr:uid="{C11B2212-1E1A-4B71-B465-5670181885CD}"/>
    <cellStyle name="Comma 7 10 5 6" xfId="16446" xr:uid="{E978AE30-B13C-4A2E-90E6-39EA87923D38}"/>
    <cellStyle name="Comma 7 10 6" xfId="4892" xr:uid="{D82BBFC1-9D1D-4AAE-A948-A38D0EF6F03E}"/>
    <cellStyle name="Comma 7 10 6 2" xfId="27644" xr:uid="{F7371CBB-0784-4473-9FC1-85C83B78B35B}"/>
    <cellStyle name="Comma 7 10 6 3" xfId="27261" xr:uid="{B70C7F4C-17C3-43F1-A10A-A7D1DD574EE2}"/>
    <cellStyle name="Comma 7 10 6 4" xfId="14184" xr:uid="{72355FD3-5050-4CF6-9D1E-9B0E83C8FCE6}"/>
    <cellStyle name="Comma 7 10 7" xfId="6637" xr:uid="{1CD37795-67F5-4F29-93F8-992F32C52816}"/>
    <cellStyle name="Comma 7 10 7 2" xfId="17017" xr:uid="{1FCBAEEB-BD9E-40A5-BF83-C0DEA953F239}"/>
    <cellStyle name="Comma 7 10 8" xfId="9470" xr:uid="{572D7F13-2184-45ED-89E4-B39C3263D3EE}"/>
    <cellStyle name="Comma 7 10 8 2" xfId="19850" xr:uid="{7BA8A08F-E23F-4BC4-BFF4-DFC878E4B8CA}"/>
    <cellStyle name="Comma 7 10 9" xfId="22782" xr:uid="{9C9C0777-DD5A-45A2-8B23-CD5FCFC5DE9B}"/>
    <cellStyle name="Comma 7 11" xfId="502" xr:uid="{00000000-0005-0000-0000-00008C020000}"/>
    <cellStyle name="Comma 7 11 2" xfId="1713" xr:uid="{00000000-0005-0000-0000-00008D020000}"/>
    <cellStyle name="Comma 7 11 2 2" xfId="25052" xr:uid="{23ABD4A7-3C9B-4DBA-8948-EF7696DC0549}"/>
    <cellStyle name="Comma 7 11 2 2 2" xfId="30043" xr:uid="{6F88DD90-8B8A-4545-8204-BF25300C196B}"/>
    <cellStyle name="Comma 7 11 2 3" xfId="25318" xr:uid="{7CB5C089-12DC-4C77-B45B-B4312F852EC0}"/>
    <cellStyle name="Comma 7 11 2 4" xfId="30271" xr:uid="{044A7E9D-A336-4050-991E-B83BAC4E7D25}"/>
    <cellStyle name="Comma 7 11 3" xfId="1714" xr:uid="{00000000-0005-0000-0000-00008E020000}"/>
    <cellStyle name="Comma 7 11 4" xfId="1712" xr:uid="{00000000-0005-0000-0000-00008F020000}"/>
    <cellStyle name="Comma 7 11 5" xfId="4893" xr:uid="{4D7EF800-D3FE-4415-997D-80EB71861FD5}"/>
    <cellStyle name="Comma 7 11 5 2" xfId="14185" xr:uid="{237C6960-02C1-47B1-93F9-D85783831FC0}"/>
    <cellStyle name="Comma 7 11 6" xfId="6638" xr:uid="{776ACA04-D065-4D7A-8E37-056C327E74AC}"/>
    <cellStyle name="Comma 7 11 6 2" xfId="17018" xr:uid="{B58752FC-E070-4A46-8BFC-C4F3908814BC}"/>
    <cellStyle name="Comma 7 11 7" xfId="9471" xr:uid="{CCFEF87C-0523-4F7B-9698-9812E0BED44F}"/>
    <cellStyle name="Comma 7 11 7 2" xfId="19851" xr:uid="{E442148C-3B76-4745-96E8-D6C7291F15EF}"/>
    <cellStyle name="Comma 7 11 8" xfId="24935" xr:uid="{252EC419-ABD7-4E53-918F-20AA1B459C38}"/>
    <cellStyle name="Comma 7 11 9" xfId="13369" xr:uid="{A3FFE9F5-7F4C-4076-BC34-FB113FFB58A6}"/>
    <cellStyle name="Comma 7 12" xfId="1715" xr:uid="{00000000-0005-0000-0000-000090020000}"/>
    <cellStyle name="Comma 7 12 2" xfId="2434" xr:uid="{00000000-0005-0000-0000-000001020000}"/>
    <cellStyle name="Comma 7 12 2 2" xfId="7559" xr:uid="{AB6A31A2-356E-46CD-9976-79E7AD8FCA85}"/>
    <cellStyle name="Comma 7 12 2 2 2" xfId="17939" xr:uid="{C69A7172-DB24-4003-8B22-DB81EE1956A1}"/>
    <cellStyle name="Comma 7 12 2 3" xfId="10392" xr:uid="{1C9A0FA7-3839-49B7-B9C6-489E59242394}"/>
    <cellStyle name="Comma 7 12 2 3 2" xfId="20772" xr:uid="{E2D691C5-6C3C-43B7-8FBD-A5642F6BDFE7}"/>
    <cellStyle name="Comma 7 12 2 4" xfId="15106" xr:uid="{394B16FD-FC1A-4870-BC31-909DEE327F64}"/>
    <cellStyle name="Comma 7 12 3" xfId="3597" xr:uid="{00000000-0005-0000-0000-000090020000}"/>
    <cellStyle name="Comma 7 12 4" xfId="5602" xr:uid="{CC94EC69-AD3D-4EA5-A1E0-1BACCD539177}"/>
    <cellStyle name="Comma 7 12 4 2" xfId="29975" xr:uid="{4C0A37D2-C410-480A-A4C6-8B907070FD31}"/>
    <cellStyle name="Comma 7 12 5" xfId="25169" xr:uid="{6BA9F095-9F3A-4460-A1F7-A325C4D59C32}"/>
    <cellStyle name="Comma 7 12 6" xfId="12821" xr:uid="{3CFBD4BE-A3DA-40AF-A535-986B08EC002F}"/>
    <cellStyle name="Comma 7 13" xfId="1716" xr:uid="{00000000-0005-0000-0000-000091020000}"/>
    <cellStyle name="Comma 7 13 2" xfId="2164" xr:uid="{00000000-0005-0000-0000-0000FD010000}"/>
    <cellStyle name="Comma 7 13 2 2" xfId="7291" xr:uid="{99AD7278-2ABB-4875-9167-E25F4A9D15B1}"/>
    <cellStyle name="Comma 7 13 2 2 2" xfId="17671" xr:uid="{10C9ABBA-E04E-44FE-B765-925D5F6F79FA}"/>
    <cellStyle name="Comma 7 13 2 3" xfId="10124" xr:uid="{32999E02-055B-4936-9989-A7D520F08114}"/>
    <cellStyle name="Comma 7 13 2 3 2" xfId="20504" xr:uid="{BDD660AC-D280-40AE-B368-D16E28839034}"/>
    <cellStyle name="Comma 7 13 2 4" xfId="26317" xr:uid="{2AC6C94B-7356-4191-BA37-EB45ACBAC84B}"/>
    <cellStyle name="Comma 7 13 2 5" xfId="26807" xr:uid="{0944EE13-DA40-42AE-8E8C-5FDF7787A62E}"/>
    <cellStyle name="Comma 7 13 2 6" xfId="14838" xr:uid="{61AF3BCA-97D7-42B3-8A16-84395E13F927}"/>
    <cellStyle name="Comma 7 13 3" xfId="3614" xr:uid="{00000000-0005-0000-0000-000091020000}"/>
    <cellStyle name="Comma 7 13 4" xfId="24456" xr:uid="{F36E8AC3-FBF5-44E6-8760-493C50EB9842}"/>
    <cellStyle name="Comma 7 13 4 2" xfId="30090" xr:uid="{EACC8DAA-B575-4D6B-B0BF-37802D1ED8CC}"/>
    <cellStyle name="Comma 7 13 5" xfId="30233" xr:uid="{A8F0A905-0F33-42F3-910B-BB08D1983DB2}"/>
    <cellStyle name="Comma 7 14" xfId="1708" xr:uid="{00000000-0005-0000-0000-000092020000}"/>
    <cellStyle name="Comma 7 14 2" xfId="24640" xr:uid="{A6E59767-7C11-40A9-9CB4-E620D76DFBAF}"/>
    <cellStyle name="Comma 7 14 3" xfId="24749" xr:uid="{21C0A86C-9258-4F6E-BBD2-E1ADC08986B9}"/>
    <cellStyle name="Comma 7 15" xfId="3868" xr:uid="{2754256E-6D37-4A11-A975-622EAD65BCC6}"/>
    <cellStyle name="Comma 7 15 2" xfId="8700" xr:uid="{561E47C7-DA6B-465C-BCFC-FFBE685B396A}"/>
    <cellStyle name="Comma 7 15 2 2" xfId="19080" xr:uid="{CD7DE5AC-2835-4783-AF05-48DAEF1013EA}"/>
    <cellStyle name="Comma 7 15 3" xfId="11533" xr:uid="{75D4BBFA-3F86-4BB1-A4FF-2AB004FAD57D}"/>
    <cellStyle name="Comma 7 15 3 2" xfId="21913" xr:uid="{D1267AA1-09CD-4475-946A-C9A7600627F9}"/>
    <cellStyle name="Comma 7 15 4" xfId="25927" xr:uid="{511ED031-4F53-4851-A0F3-433E6C7ACA29}"/>
    <cellStyle name="Comma 7 15 5" xfId="27477" xr:uid="{2750F14A-290C-48FE-A33E-06E873503059}"/>
    <cellStyle name="Comma 7 15 6" xfId="16247" xr:uid="{5037A1B5-3540-484E-A1E0-2D33F2B1EFAA}"/>
    <cellStyle name="Comma 7 16" xfId="4891" xr:uid="{9D938F77-580A-408F-A5DC-B95515C88082}"/>
    <cellStyle name="Comma 7 16 2" xfId="27237" xr:uid="{2485F0D7-865B-4EC4-8D29-E0C09F609170}"/>
    <cellStyle name="Comma 7 16 3" xfId="27763" xr:uid="{77776977-DA0E-4C33-A557-4E3DE9855C53}"/>
    <cellStyle name="Comma 7 16 4" xfId="14183" xr:uid="{77C17A1F-BFCB-4CA4-9C6B-A7566ACEE98A}"/>
    <cellStyle name="Comma 7 17" xfId="6636" xr:uid="{06719287-4D35-48D9-91FA-3AD51EA5C00F}"/>
    <cellStyle name="Comma 7 17 2" xfId="17016" xr:uid="{12C02C92-AA67-4477-A76D-9D24CEFDBBD2}"/>
    <cellStyle name="Comma 7 18" xfId="9469" xr:uid="{037E75E5-4B4F-4359-8342-D07974811F87}"/>
    <cellStyle name="Comma 7 18 2" xfId="19849" xr:uid="{D2D25E2F-5F87-48AA-A0FE-01F18289E9F4}"/>
    <cellStyle name="Comma 7 19" xfId="24159" xr:uid="{0832A5F7-F858-4707-BC50-D6BDDD0BD129}"/>
    <cellStyle name="Comma 7 2" xfId="503" xr:uid="{00000000-0005-0000-0000-000093020000}"/>
    <cellStyle name="Comma 7 2 10" xfId="4894" xr:uid="{530D3ADF-7987-4D49-9EFA-6E30C8D7268F}"/>
    <cellStyle name="Comma 7 2 10 2" xfId="28462" xr:uid="{8B103A8E-4B77-4E5C-967E-03A935C17D56}"/>
    <cellStyle name="Comma 7 2 10 3" xfId="26637" xr:uid="{E2918D60-2ECD-47F3-8CB5-8B5F1C16456C}"/>
    <cellStyle name="Comma 7 2 10 4" xfId="14186" xr:uid="{BEA559D3-4F46-4A46-9835-B79794AFEE15}"/>
    <cellStyle name="Comma 7 2 11" xfId="6639" xr:uid="{64DA45BB-A7AE-4634-A067-9DF72286BE87}"/>
    <cellStyle name="Comma 7 2 11 2" xfId="17019" xr:uid="{3F3E7C21-E791-45BA-9AD9-1278037C3F4A}"/>
    <cellStyle name="Comma 7 2 12" xfId="9472" xr:uid="{1E43E655-7008-47ED-B8BF-B76CC32CB035}"/>
    <cellStyle name="Comma 7 2 12 2" xfId="19852" xr:uid="{66E43558-9B8D-4365-8C0E-E423D63CE3A6}"/>
    <cellStyle name="Comma 7 2 13" xfId="23810" xr:uid="{38008B6B-AC42-4A63-81DE-9B53E575A996}"/>
    <cellStyle name="Comma 7 2 14" xfId="12419" xr:uid="{CC01182E-400A-44C2-81A4-4E2E219A9FD7}"/>
    <cellStyle name="Comma 7 2 2" xfId="504" xr:uid="{00000000-0005-0000-0000-000094020000}"/>
    <cellStyle name="Comma 7 2 2 10" xfId="6640" xr:uid="{2A77DC5C-2D89-42BF-9ACB-3BB32B12513E}"/>
    <cellStyle name="Comma 7 2 2 10 2" xfId="17020" xr:uid="{91EBB2F5-6581-4B2B-B22B-F4DC8ADF4246}"/>
    <cellStyle name="Comma 7 2 2 11" xfId="9473" xr:uid="{3A622BD8-3179-4D35-A2DC-30C705EFC2CB}"/>
    <cellStyle name="Comma 7 2 2 11 2" xfId="19853" xr:uid="{3C30E10B-6DA1-44E3-8E40-56AB8B6A1943}"/>
    <cellStyle name="Comma 7 2 2 12" xfId="23491" xr:uid="{61AF4FDA-D584-44F6-A33F-07705F937BE3}"/>
    <cellStyle name="Comma 7 2 2 13" xfId="12479" xr:uid="{FC9AB89B-5377-4D05-A78A-79E0897D41EF}"/>
    <cellStyle name="Comma 7 2 2 2" xfId="505" xr:uid="{00000000-0005-0000-0000-000095020000}"/>
    <cellStyle name="Comma 7 2 2 2 10" xfId="9474" xr:uid="{90A31626-BEEC-4D9D-BACA-09E34F3203D6}"/>
    <cellStyle name="Comma 7 2 2 2 10 2" xfId="19854" xr:uid="{C324D3E7-87ED-4BD8-B25C-51EA7A3EFE49}"/>
    <cellStyle name="Comma 7 2 2 2 11" xfId="25417" xr:uid="{A0D02D5D-CF22-4DA0-A1B5-160BE6719CAA}"/>
    <cellStyle name="Comma 7 2 2 2 12" xfId="12515" xr:uid="{389983B5-FD9F-4D30-94EC-2254AA61C755}"/>
    <cellStyle name="Comma 7 2 2 2 2" xfId="1720" xr:uid="{00000000-0005-0000-0000-000096020000}"/>
    <cellStyle name="Comma 7 2 2 2 2 2" xfId="3054" xr:uid="{00000000-0005-0000-0000-000006020000}"/>
    <cellStyle name="Comma 7 2 2 2 2 2 2" xfId="6166" xr:uid="{5810BDEF-6759-4914-8816-FDE91F216B89}"/>
    <cellStyle name="Comma 7 2 2 2 2 2 2 2" xfId="28052" xr:uid="{59D2CCE3-8805-483D-8C2E-5911314942B8}"/>
    <cellStyle name="Comma 7 2 2 2 2 2 2 3" xfId="26417" xr:uid="{17455D0D-93DE-4551-A26B-E455D776DC14}"/>
    <cellStyle name="Comma 7 2 2 2 2 2 2 4" xfId="15681" xr:uid="{9EC0D679-EE73-41E6-A0DB-AD4F7D2B8B1B}"/>
    <cellStyle name="Comma 7 2 2 2 2 2 3" xfId="8134" xr:uid="{20880874-07A4-4036-8343-A5B5A6A3C386}"/>
    <cellStyle name="Comma 7 2 2 2 2 2 3 2" xfId="18514" xr:uid="{568E1962-4282-482D-A641-68D61AEF1954}"/>
    <cellStyle name="Comma 7 2 2 2 2 2 4" xfId="10967" xr:uid="{CBCB3D05-4A2B-42AE-8FF9-1022B8F2B4A4}"/>
    <cellStyle name="Comma 7 2 2 2 2 2 4 2" xfId="21347" xr:uid="{F14E3258-264E-47CF-86BB-EBC33C286A10}"/>
    <cellStyle name="Comma 7 2 2 2 2 2 5" xfId="24853" xr:uid="{36461687-085D-4430-AF28-E721DB9D5341}"/>
    <cellStyle name="Comma 7 2 2 2 2 2 6" xfId="27226" xr:uid="{EA29673A-7055-4AC8-855D-CE4FE2CFE294}"/>
    <cellStyle name="Comma 7 2 2 2 2 2 7" xfId="13561" xr:uid="{D8C6F9D7-CFEC-4834-A277-BC3AC52698C8}"/>
    <cellStyle name="Comma 7 2 2 2 2 3" xfId="2679" xr:uid="{00000000-0005-0000-0000-000005020000}"/>
    <cellStyle name="Comma 7 2 2 2 2 3 2" xfId="7803" xr:uid="{AA4E22A2-6F99-48ED-B552-791446EFB463}"/>
    <cellStyle name="Comma 7 2 2 2 2 3 2 2" xfId="28180" xr:uid="{DDA30167-9ABF-4ED0-BD58-69BF5BC2F8D0}"/>
    <cellStyle name="Comma 7 2 2 2 2 3 2 3" xfId="28057" xr:uid="{99CC565F-F977-4551-A138-A5DFAB2A4BEF}"/>
    <cellStyle name="Comma 7 2 2 2 2 3 2 4" xfId="18183" xr:uid="{0DCB8C91-AD8E-4B0F-92F7-F20B3686550D}"/>
    <cellStyle name="Comma 7 2 2 2 2 3 3" xfId="10636" xr:uid="{59E45658-6A65-4DC0-AFDF-EE8EDE339DBC}"/>
    <cellStyle name="Comma 7 2 2 2 2 3 3 2" xfId="21016" xr:uid="{50CC77C9-2C97-4BA4-BA56-D291510D5A4C}"/>
    <cellStyle name="Comma 7 2 2 2 2 3 4" xfId="24654" xr:uid="{43ADA87A-DE25-47E5-AF8E-7A546C7D213A}"/>
    <cellStyle name="Comma 7 2 2 2 2 3 5" xfId="15350" xr:uid="{E02DAF09-C053-4B2A-9C91-91990EE68988}"/>
    <cellStyle name="Comma 7 2 2 2 2 4" xfId="3674" xr:uid="{00000000-0005-0000-0000-000096020000}"/>
    <cellStyle name="Comma 7 2 2 2 2 4 2" xfId="26165" xr:uid="{EE1A87B6-5E5A-437E-A7D8-9561D25E3C72}"/>
    <cellStyle name="Comma 7 2 2 2 2 4 3" xfId="26559" xr:uid="{28E46E9E-8B0C-4098-BBDF-63BBC3B42520}"/>
    <cellStyle name="Comma 7 2 2 2 2 5" xfId="4263" xr:uid="{0243E97E-C926-436B-8727-66DF406738AD}"/>
    <cellStyle name="Comma 7 2 2 2 2 5 2" xfId="9035" xr:uid="{A8E45C93-4B20-4E43-87B3-8C7477A17BD3}"/>
    <cellStyle name="Comma 7 2 2 2 2 5 2 2" xfId="19415" xr:uid="{271900A1-0EFA-4C61-A8F0-FE6B09544BFB}"/>
    <cellStyle name="Comma 7 2 2 2 2 5 3" xfId="11868" xr:uid="{F5D81B69-13BA-471C-9C12-C510DCAC0DF7}"/>
    <cellStyle name="Comma 7 2 2 2 2 5 3 2" xfId="22248" xr:uid="{CB0AF474-8390-4209-9104-6A8E86D8E350}"/>
    <cellStyle name="Comma 7 2 2 2 2 5 4" xfId="28742" xr:uid="{EA19C7E8-652F-47FF-AC00-1FC49789F6DE}"/>
    <cellStyle name="Comma 7 2 2 2 2 5 5" xfId="27321" xr:uid="{E70C4BDB-2623-4DBB-A3EF-76F0950EDEFF}"/>
    <cellStyle name="Comma 7 2 2 2 2 5 6" xfId="16582" xr:uid="{FA33C490-55B2-411E-9C14-F9FED3675DA5}"/>
    <cellStyle name="Comma 7 2 2 2 2 6" xfId="5605" xr:uid="{B95C3FE5-AEED-4C7E-98FF-7D7759036B02}"/>
    <cellStyle name="Comma 7 2 2 2 2 6 2" xfId="29953" xr:uid="{F15381C0-0011-4899-8F47-6D754AD25685}"/>
    <cellStyle name="Comma 7 2 2 2 2 7" xfId="23401" xr:uid="{5085FF0F-A10D-47CF-A823-16227AEA7CDF}"/>
    <cellStyle name="Comma 7 2 2 2 2 8" xfId="13087" xr:uid="{9F2FE8E8-CDEC-41BA-AA88-B7120368463F}"/>
    <cellStyle name="Comma 7 2 2 2 3" xfId="1721" xr:uid="{00000000-0005-0000-0000-000097020000}"/>
    <cellStyle name="Comma 7 2 2 2 3 2" xfId="3055" xr:uid="{00000000-0005-0000-0000-000007020000}"/>
    <cellStyle name="Comma 7 2 2 2 3 2 2" xfId="8135" xr:uid="{9DD8EB86-AB9D-4563-98E5-8E6000631C18}"/>
    <cellStyle name="Comma 7 2 2 2 3 2 2 2" xfId="28811" xr:uid="{B385DFB9-B51E-4EB7-B120-DA7AE5FC2B15}"/>
    <cellStyle name="Comma 7 2 2 2 3 2 2 3" xfId="26429" xr:uid="{0C944FA2-06FD-488E-AACC-A9FABAD68813}"/>
    <cellStyle name="Comma 7 2 2 2 3 2 2 4" xfId="18515" xr:uid="{CD806919-8E08-4504-A736-0D4A4A2901C4}"/>
    <cellStyle name="Comma 7 2 2 2 3 2 3" xfId="10968" xr:uid="{BB3C8586-BB0C-4196-8BB3-1848EEAC36ED}"/>
    <cellStyle name="Comma 7 2 2 2 3 2 3 2" xfId="21348" xr:uid="{E18B5B2D-F19B-44C0-8D63-ACE6C90EA1DB}"/>
    <cellStyle name="Comma 7 2 2 2 3 2 4" xfId="25728" xr:uid="{B5ACEDD6-C652-4A8C-BF3A-4FA86FBB5315}"/>
    <cellStyle name="Comma 7 2 2 2 3 2 5" xfId="15682" xr:uid="{871FA3D3-09D6-4A00-AADD-E64EB377789A}"/>
    <cellStyle name="Comma 7 2 2 2 3 3" xfId="3648" xr:uid="{00000000-0005-0000-0000-000097020000}"/>
    <cellStyle name="Comma 7 2 2 2 3 4" xfId="4408" xr:uid="{2E431FD9-BDF8-4500-8041-84C831D3FB1C}"/>
    <cellStyle name="Comma 7 2 2 2 3 4 2" xfId="9180" xr:uid="{F943D953-EB9B-4C27-86D3-A0F6B8DC61E1}"/>
    <cellStyle name="Comma 7 2 2 2 3 4 2 2" xfId="19560" xr:uid="{B9C0123D-1762-4075-A637-E47C3ABE72BD}"/>
    <cellStyle name="Comma 7 2 2 2 3 4 3" xfId="12013" xr:uid="{09519B91-43A5-4736-9A80-12426DFEF32E}"/>
    <cellStyle name="Comma 7 2 2 2 3 4 3 2" xfId="22393" xr:uid="{C5EADA94-1AF1-4C0D-A8DE-9A0B643DA124}"/>
    <cellStyle name="Comma 7 2 2 2 3 4 4" xfId="16727" xr:uid="{C0CDE725-0551-42E7-9E11-26E086BBA0C0}"/>
    <cellStyle name="Comma 7 2 2 2 3 5" xfId="5606" xr:uid="{EB5E47A5-1D56-4711-A77C-730EE2D92D9D}"/>
    <cellStyle name="Comma 7 2 2 2 3 5 2" xfId="29944" xr:uid="{1A8556D7-3618-44CE-8D61-295675751EEA}"/>
    <cellStyle name="Comma 7 2 2 2 3 6" xfId="23410" xr:uid="{47952A56-731E-4568-8AC9-70821F472697}"/>
    <cellStyle name="Comma 7 2 2 2 3 7" xfId="13562" xr:uid="{A2940E49-EF08-48B9-9AB5-FB9094CB5DF9}"/>
    <cellStyle name="Comma 7 2 2 2 4" xfId="1719" xr:uid="{00000000-0005-0000-0000-000098020000}"/>
    <cellStyle name="Comma 7 2 2 2 4 2" xfId="3053" xr:uid="{00000000-0005-0000-0000-000008020000}"/>
    <cellStyle name="Comma 7 2 2 2 4 2 2" xfId="8133" xr:uid="{AB1CD1AD-1E91-44E1-B630-75F307F482D7}"/>
    <cellStyle name="Comma 7 2 2 2 4 2 2 2" xfId="28810" xr:uid="{3D7BA444-D91E-48BE-ACD3-8C3C6475D6F6}"/>
    <cellStyle name="Comma 7 2 2 2 4 2 2 3" xfId="26043" xr:uid="{2D6EC994-F9D1-4D88-85E3-400361CD3E71}"/>
    <cellStyle name="Comma 7 2 2 2 4 2 2 4" xfId="18513" xr:uid="{5E2290D4-61F6-49AA-959E-BF3F80A80385}"/>
    <cellStyle name="Comma 7 2 2 2 4 2 3" xfId="10966" xr:uid="{E95DFD0E-0FDC-41FB-9F9E-3AA9CC5983E8}"/>
    <cellStyle name="Comma 7 2 2 2 4 2 3 2" xfId="21346" xr:uid="{41DF47FF-D47A-4176-8050-1F40AF0DFBCB}"/>
    <cellStyle name="Comma 7 2 2 2 4 2 4" xfId="27609" xr:uid="{75B40BA1-7099-4CA1-BC3F-36DC47B08B52}"/>
    <cellStyle name="Comma 7 2 2 2 4 2 5" xfId="15680" xr:uid="{C4C561E7-493C-4F4B-95F5-94C5F431824E}"/>
    <cellStyle name="Comma 7 2 2 2 4 3" xfId="3707" xr:uid="{00000000-0005-0000-0000-000098020000}"/>
    <cellStyle name="Comma 7 2 2 2 4 4" xfId="5604" xr:uid="{77DE114E-6658-4730-9B87-A9E53C509435}"/>
    <cellStyle name="Comma 7 2 2 2 4 4 2" xfId="30185" xr:uid="{D02026D5-477B-4281-A4FF-ABC9E1CA4E9F}"/>
    <cellStyle name="Comma 7 2 2 2 4 5" xfId="25222" xr:uid="{58391C3F-A9C4-4E5F-A8EB-EA62F091FF79}"/>
    <cellStyle name="Comma 7 2 2 2 4 6" xfId="13560" xr:uid="{08E8E22D-05EC-45F3-BFE8-16F150F1890A}"/>
    <cellStyle name="Comma 7 2 2 2 5" xfId="2648" xr:uid="{00000000-0005-0000-0000-000009020000}"/>
    <cellStyle name="Comma 7 2 2 2 5 2" xfId="5910" xr:uid="{3C3E7EC7-2184-4691-9AC4-BDB33C4ED1A8}"/>
    <cellStyle name="Comma 7 2 2 2 5 2 2" xfId="28586" xr:uid="{58418669-99BA-4CC0-89B2-EE7B777B1FC5}"/>
    <cellStyle name="Comma 7 2 2 2 5 2 3" xfId="26963" xr:uid="{2E4783B7-30FA-4DF3-A8A8-7F2E7330E9AB}"/>
    <cellStyle name="Comma 7 2 2 2 5 2 4" xfId="15320" xr:uid="{CC3BBC91-880B-4E9A-9856-C6A55F06FCDC}"/>
    <cellStyle name="Comma 7 2 2 2 5 3" xfId="7773" xr:uid="{594F0663-D5C0-4184-AA77-23A98EB4909A}"/>
    <cellStyle name="Comma 7 2 2 2 5 3 2" xfId="18153" xr:uid="{F98244C6-A9C1-4AA5-A5BC-4BB73E16B1FA}"/>
    <cellStyle name="Comma 7 2 2 2 5 4" xfId="10606" xr:uid="{E82D3956-4897-4A18-B09C-1BFA6B770C54}"/>
    <cellStyle name="Comma 7 2 2 2 5 4 2" xfId="20986" xr:uid="{E91407A8-0454-4D32-A5DD-9768137D237E}"/>
    <cellStyle name="Comma 7 2 2 2 5 5" xfId="23603" xr:uid="{FABF15D8-569C-4CFC-8451-848202E878C5}"/>
    <cellStyle name="Comma 7 2 2 2 5 6" xfId="13044" xr:uid="{374EFE4A-1C81-4856-B341-0B602A76181A}"/>
    <cellStyle name="Comma 7 2 2 2 6" xfId="2283" xr:uid="{00000000-0005-0000-0000-000004020000}"/>
    <cellStyle name="Comma 7 2 2 2 6 2" xfId="7410" xr:uid="{168806BB-5577-467B-9EFD-BDB65CE01807}"/>
    <cellStyle name="Comma 7 2 2 2 6 2 2" xfId="17790" xr:uid="{AC04DF24-D782-4A35-B236-16DBE715C972}"/>
    <cellStyle name="Comma 7 2 2 2 6 3" xfId="10243" xr:uid="{60D0F18A-088C-4CCE-A311-90E2133F75F2}"/>
    <cellStyle name="Comma 7 2 2 2 6 3 2" xfId="20623" xr:uid="{7E6022F5-D3A5-49DB-B8BB-23E514AF7075}"/>
    <cellStyle name="Comma 7 2 2 2 6 4" xfId="24265" xr:uid="{1EDF11DD-A7B8-4F1F-96B9-8BF7D019E926}"/>
    <cellStyle name="Comma 7 2 2 2 6 5" xfId="27304" xr:uid="{26D9E928-3AF4-42C9-918B-AE407327BB9B}"/>
    <cellStyle name="Comma 7 2 2 2 6 6" xfId="14957" xr:uid="{973B851B-8A9D-43D2-B41E-1265712A64F2}"/>
    <cellStyle name="Comma 7 2 2 2 7" xfId="3822" xr:uid="{B8F574E2-AA25-4E75-8215-ABE80016DC4D}"/>
    <cellStyle name="Comma 7 2 2 2 7 2" xfId="8655" xr:uid="{4FA3556E-1B0E-4D67-9E2F-008758AE01B9}"/>
    <cellStyle name="Comma 7 2 2 2 7 2 2" xfId="19035" xr:uid="{1DECBD5F-327B-41D5-9E46-9B338D812278}"/>
    <cellStyle name="Comma 7 2 2 2 7 3" xfId="11488" xr:uid="{344B12EC-92A0-40BE-9459-BDC2347AA1F3}"/>
    <cellStyle name="Comma 7 2 2 2 7 3 2" xfId="21868" xr:uid="{595064FF-5F6C-4022-91BC-54F4D3075E0A}"/>
    <cellStyle name="Comma 7 2 2 2 7 4" xfId="26879" xr:uid="{F3A1A5D8-CA04-472B-AD7D-DFF1D62D4585}"/>
    <cellStyle name="Comma 7 2 2 2 7 5" xfId="27213" xr:uid="{B048532B-A1AA-4267-9760-4ACB46AEED3E}"/>
    <cellStyle name="Comma 7 2 2 2 7 6" xfId="16202" xr:uid="{D7811C68-5C55-46D5-8647-4EBADA1BB060}"/>
    <cellStyle name="Comma 7 2 2 2 8" xfId="4896" xr:uid="{A421A44B-2F81-4574-89CF-D30CACCE2996}"/>
    <cellStyle name="Comma 7 2 2 2 8 2" xfId="14188" xr:uid="{11F13325-9DFF-4406-82C5-8E23844CC804}"/>
    <cellStyle name="Comma 7 2 2 2 9" xfId="6641" xr:uid="{C1FD302E-3F56-4D26-903D-69765C369B3D}"/>
    <cellStyle name="Comma 7 2 2 2 9 2" xfId="17021" xr:uid="{4A3111C2-4426-4DC4-9FFA-F6EEDB9D3103}"/>
    <cellStyle name="Comma 7 2 2 3" xfId="506" xr:uid="{00000000-0005-0000-0000-000099020000}"/>
    <cellStyle name="Comma 7 2 2 3 10" xfId="12673" xr:uid="{AD8FCEDE-D8F7-4B20-BDF8-83F9CA2032CA}"/>
    <cellStyle name="Comma 7 2 2 3 2" xfId="1723" xr:uid="{00000000-0005-0000-0000-00009A020000}"/>
    <cellStyle name="Comma 7 2 2 3 2 2" xfId="3056" xr:uid="{00000000-0005-0000-0000-00000B020000}"/>
    <cellStyle name="Comma 7 2 2 3 2 2 2" xfId="8136" xr:uid="{FDC43637-5505-4108-A063-F76F7F5EE2B1}"/>
    <cellStyle name="Comma 7 2 2 3 2 2 2 2" xfId="28812" xr:uid="{49294946-5434-40E0-B5D3-3686A8C5E893}"/>
    <cellStyle name="Comma 7 2 2 3 2 2 2 3" xfId="26251" xr:uid="{21E4736D-B08C-4A8A-B8A0-D12488E99211}"/>
    <cellStyle name="Comma 7 2 2 3 2 2 2 4" xfId="18516" xr:uid="{6459E389-DC17-4864-B565-2999C057BAC4}"/>
    <cellStyle name="Comma 7 2 2 3 2 2 3" xfId="10969" xr:uid="{68428AFE-C195-434D-89F7-C72834FEFBF3}"/>
    <cellStyle name="Comma 7 2 2 3 2 2 3 2" xfId="21349" xr:uid="{48A368FF-CF4B-4883-B34E-5D734DD48F83}"/>
    <cellStyle name="Comma 7 2 2 3 2 2 4" xfId="25758" xr:uid="{4715D39D-6099-4650-A8C8-B4F509D215AD}"/>
    <cellStyle name="Comma 7 2 2 3 2 2 5" xfId="15683" xr:uid="{D877CD2A-4C7F-4C87-9AE9-5ECD43C5D9BF}"/>
    <cellStyle name="Comma 7 2 2 3 2 3" xfId="3661" xr:uid="{00000000-0005-0000-0000-00009A020000}"/>
    <cellStyle name="Comma 7 2 2 3 2 4" xfId="5607" xr:uid="{F2C21B10-845E-4AC6-B077-E2669363A096}"/>
    <cellStyle name="Comma 7 2 2 3 2 4 2" xfId="30186" xr:uid="{F2CE1F25-E50C-4CB1-AA45-67775D1E31B1}"/>
    <cellStyle name="Comma 7 2 2 3 2 5" xfId="25149" xr:uid="{7D6ACC14-6C55-49B6-8559-C16E994917CA}"/>
    <cellStyle name="Comma 7 2 2 3 2 6" xfId="13563" xr:uid="{16BCFE47-E61A-41F6-8483-69C4078089DB}"/>
    <cellStyle name="Comma 7 2 2 3 3" xfId="1724" xr:uid="{00000000-0005-0000-0000-00009B020000}"/>
    <cellStyle name="Comma 7 2 2 3 3 2" xfId="2678" xr:uid="{00000000-0005-0000-0000-00000C020000}"/>
    <cellStyle name="Comma 7 2 2 3 3 2 2" xfId="7802" xr:uid="{DF6CA789-4DE1-45D0-BDAF-3D8F804FE9FA}"/>
    <cellStyle name="Comma 7 2 2 3 3 2 2 2" xfId="18182" xr:uid="{0AC53ECD-88D9-43D1-B57F-0DA34582FB5C}"/>
    <cellStyle name="Comma 7 2 2 3 3 2 3" xfId="10635" xr:uid="{CA9C5A46-7930-428C-8A09-2292D1634FA8}"/>
    <cellStyle name="Comma 7 2 2 3 3 2 3 2" xfId="21015" xr:uid="{43B5C597-4556-420A-8485-9148A41BC6BF}"/>
    <cellStyle name="Comma 7 2 2 3 3 2 4" xfId="15349" xr:uid="{FF6B8561-0DBC-45D9-8E58-3EF3059F7A44}"/>
    <cellStyle name="Comma 7 2 2 3 3 3" xfId="3609" xr:uid="{00000000-0005-0000-0000-00009B020000}"/>
    <cellStyle name="Comma 7 2 2 3 3 4" xfId="5608" xr:uid="{BC4ED24D-C538-4B6F-951C-1BD6831C47CE}"/>
    <cellStyle name="Comma 7 2 2 3 3 4 2" xfId="30137" xr:uid="{428E88C4-02A7-48F1-A2AE-2996267839AB}"/>
    <cellStyle name="Comma 7 2 2 3 3 5" xfId="23731" xr:uid="{5BC7F251-15BA-4BEA-B372-4A43F049C81F}"/>
    <cellStyle name="Comma 7 2 2 3 3 6" xfId="13086" xr:uid="{65046EA5-B577-4019-B32B-66A9B5D671AC}"/>
    <cellStyle name="Comma 7 2 2 3 4" xfId="1722" xr:uid="{00000000-0005-0000-0000-00009C020000}"/>
    <cellStyle name="Comma 7 2 2 3 4 2" xfId="4654" xr:uid="{5356B861-7AE1-4E33-8A08-0DE134BEFE34}"/>
    <cellStyle name="Comma 7 2 2 3 4 2 2" xfId="9406" xr:uid="{C61F9AEB-2CF2-45AB-8439-B80D44269620}"/>
    <cellStyle name="Comma 7 2 2 3 4 2 2 2" xfId="19786" xr:uid="{3B27F928-8CE1-4D67-AD96-FCB9AC8D097C}"/>
    <cellStyle name="Comma 7 2 2 3 4 2 3" xfId="12239" xr:uid="{B4521F81-AD1D-4AFF-80B3-261CD4D0205C}"/>
    <cellStyle name="Comma 7 2 2 3 4 2 3 2" xfId="22619" xr:uid="{5677930C-C401-4645-830D-A0B77C4C5D24}"/>
    <cellStyle name="Comma 7 2 2 3 4 2 4" xfId="27840" xr:uid="{7241895C-BB31-41E7-8E3B-F88BE0AC858A}"/>
    <cellStyle name="Comma 7 2 2 3 4 2 5" xfId="27522" xr:uid="{B67D4C20-6BD0-4B33-8818-C8EF6F28CD13}"/>
    <cellStyle name="Comma 7 2 2 3 4 2 6" xfId="16953" xr:uid="{B8D7D11B-AD17-4B7D-9F45-79219B68447A}"/>
    <cellStyle name="Comma 7 2 2 3 4 3" xfId="23415" xr:uid="{B3D99E58-3E40-48D6-AE5D-5AA65E3459AF}"/>
    <cellStyle name="Comma 7 2 2 3 5" xfId="4129" xr:uid="{877DD0B7-91C8-4047-8AB6-6A0439980FEB}"/>
    <cellStyle name="Comma 7 2 2 3 5 2" xfId="8901" xr:uid="{508AE782-02EB-43C0-B39B-7479CE7035C5}"/>
    <cellStyle name="Comma 7 2 2 3 5 2 2" xfId="29009" xr:uid="{56E699DF-9D15-4187-925C-C45DA86ACF35}"/>
    <cellStyle name="Comma 7 2 2 3 5 2 3" xfId="27387" xr:uid="{39450833-A300-4B1D-A9D8-61A6D6F6F351}"/>
    <cellStyle name="Comma 7 2 2 3 5 2 4" xfId="19281" xr:uid="{08EEC60C-0099-4E6B-80B6-8C5B3885AA62}"/>
    <cellStyle name="Comma 7 2 2 3 5 3" xfId="11734" xr:uid="{C64CFF5A-B182-4A4F-BA3A-F22E702A79C9}"/>
    <cellStyle name="Comma 7 2 2 3 5 3 2" xfId="22114" xr:uid="{14E9F653-AE5C-4638-A4B3-0B269A475DAB}"/>
    <cellStyle name="Comma 7 2 2 3 5 4" xfId="26890" xr:uid="{B69E732D-8DB3-42AC-96F1-7CDB6781D1AE}"/>
    <cellStyle name="Comma 7 2 2 3 5 5" xfId="16448" xr:uid="{4209CE48-A415-4F6C-8913-F6CCC6C937C6}"/>
    <cellStyle name="Comma 7 2 2 3 6" xfId="4897" xr:uid="{D878CDF5-7139-4AE6-BD55-5F63DCE4E7EC}"/>
    <cellStyle name="Comma 7 2 2 3 6 2" xfId="26020" xr:uid="{A8A868A9-3F59-47A1-AD5E-86D633A124B0}"/>
    <cellStyle name="Comma 7 2 2 3 6 3" xfId="28562" xr:uid="{383A136F-0150-476E-BFCB-F08B3B3269E0}"/>
    <cellStyle name="Comma 7 2 2 3 6 4" xfId="14189" xr:uid="{D18CF7B1-2A7B-4E39-BF5C-0BCE434C80AE}"/>
    <cellStyle name="Comma 7 2 2 3 7" xfId="6642" xr:uid="{D8872408-E6CD-4F1C-BAC2-A1BB6E368BAD}"/>
    <cellStyle name="Comma 7 2 2 3 7 2" xfId="26402" xr:uid="{3942AAA6-0FB2-446F-A804-53E939F1C7FD}"/>
    <cellStyle name="Comma 7 2 2 3 7 3" xfId="25994" xr:uid="{EA0CE032-A618-4632-8989-F8BBC25A4014}"/>
    <cellStyle name="Comma 7 2 2 3 7 4" xfId="17022" xr:uid="{A49136E5-4F8C-4C15-BA3B-8BB7F5B11DF4}"/>
    <cellStyle name="Comma 7 2 2 3 8" xfId="9475" xr:uid="{9720792E-05E4-4E0E-AF59-45DF63CACFC8}"/>
    <cellStyle name="Comma 7 2 2 3 8 2" xfId="19855" xr:uid="{6CA6B623-5B51-4DC1-9D5B-071502C6844E}"/>
    <cellStyle name="Comma 7 2 2 3 9" xfId="24196" xr:uid="{1E1A7BCD-344F-44B6-BD92-656BCA728504}"/>
    <cellStyle name="Comma 7 2 2 4" xfId="1725" xr:uid="{00000000-0005-0000-0000-00009D020000}"/>
    <cellStyle name="Comma 7 2 2 4 2" xfId="3057" xr:uid="{00000000-0005-0000-0000-00000D020000}"/>
    <cellStyle name="Comma 7 2 2 4 2 2" xfId="8137" xr:uid="{79932F5E-9580-48F1-8529-90BCD53E877D}"/>
    <cellStyle name="Comma 7 2 2 4 2 2 2" xfId="28813" xr:uid="{8088152D-8BD2-4879-A03F-A4091A89BE31}"/>
    <cellStyle name="Comma 7 2 2 4 2 2 3" xfId="26528" xr:uid="{5B02E49F-8440-4266-9801-4CAA6E4A26A9}"/>
    <cellStyle name="Comma 7 2 2 4 2 2 4" xfId="18517" xr:uid="{D7CBCCF5-8558-455B-A543-8CE073895AFD}"/>
    <cellStyle name="Comma 7 2 2 4 2 3" xfId="10970" xr:uid="{A2A86666-6078-442D-B35E-F7D351511B16}"/>
    <cellStyle name="Comma 7 2 2 4 2 3 2" xfId="21350" xr:uid="{C2A68EA7-6557-4E95-9A49-BED1CFA33D9A}"/>
    <cellStyle name="Comma 7 2 2 4 2 4" xfId="25663" xr:uid="{9629754C-A6E0-498B-8488-5138591471D4}"/>
    <cellStyle name="Comma 7 2 2 4 2 5" xfId="15684" xr:uid="{7DE48EB4-3A3C-4CF8-AD0F-9988B6357B55}"/>
    <cellStyle name="Comma 7 2 2 4 3" xfId="3680" xr:uid="{00000000-0005-0000-0000-00009D020000}"/>
    <cellStyle name="Comma 7 2 2 4 4" xfId="4409" xr:uid="{2884BD95-8C96-4C48-BFE0-B4B8C01AC220}"/>
    <cellStyle name="Comma 7 2 2 4 4 2" xfId="9181" xr:uid="{51D2ED3C-38AC-433A-8617-49E6706C9BEB}"/>
    <cellStyle name="Comma 7 2 2 4 4 2 2" xfId="19561" xr:uid="{EB9E0A14-A346-4595-B7BB-C9951BF96F16}"/>
    <cellStyle name="Comma 7 2 2 4 4 3" xfId="12014" xr:uid="{074143B9-EF08-49BE-8B75-306F0534EF6B}"/>
    <cellStyle name="Comma 7 2 2 4 4 3 2" xfId="22394" xr:uid="{3FECC5C3-10F9-4369-9243-B299ED0F971F}"/>
    <cellStyle name="Comma 7 2 2 4 4 4" xfId="27638" xr:uid="{56D38DD3-ADC5-4B8B-88E4-C6F4CB1740A2}"/>
    <cellStyle name="Comma 7 2 2 4 4 5" xfId="26102" xr:uid="{00EEF17C-FBC2-431A-A330-61A8937C351F}"/>
    <cellStyle name="Comma 7 2 2 4 4 6" xfId="16728" xr:uid="{1EECA979-426B-44BC-8F1B-4D50B564DF24}"/>
    <cellStyle name="Comma 7 2 2 4 5" xfId="5609" xr:uid="{AA8E1380-6EDE-4CFE-9E40-364B1E2958CC}"/>
    <cellStyle name="Comma 7 2 2 4 5 2" xfId="29926" xr:uid="{3A548E42-4FDD-4200-B8CE-C010441CD347}"/>
    <cellStyle name="Comma 7 2 2 4 6" xfId="23541" xr:uid="{6D5C53B2-FBEB-459F-9948-CB95D208CCAF}"/>
    <cellStyle name="Comma 7 2 2 4 7" xfId="13564" xr:uid="{C2F9C43F-40DF-4C76-97DD-2A17504A1907}"/>
    <cellStyle name="Comma 7 2 2 5" xfId="1726" xr:uid="{00000000-0005-0000-0000-00009E020000}"/>
    <cellStyle name="Comma 7 2 2 5 2" xfId="2875" xr:uid="{00000000-0005-0000-0000-00000E020000}"/>
    <cellStyle name="Comma 7 2 2 5 2 2" xfId="7992" xr:uid="{4F6B9913-684D-4727-8F75-69891E0FA4B4}"/>
    <cellStyle name="Comma 7 2 2 5 2 2 2" xfId="26734" xr:uid="{4DBFEF5A-2872-4625-9421-D24713D43C63}"/>
    <cellStyle name="Comma 7 2 2 5 2 2 3" xfId="26064" xr:uid="{C7FAD55E-F70A-48BB-B368-DD9D077C9848}"/>
    <cellStyle name="Comma 7 2 2 5 2 2 4" xfId="18372" xr:uid="{52C4C18F-CE18-4336-BC90-203CB3284521}"/>
    <cellStyle name="Comma 7 2 2 5 2 3" xfId="10825" xr:uid="{86A97B90-213B-4491-B6A5-A7829C1DC02F}"/>
    <cellStyle name="Comma 7 2 2 5 2 3 2" xfId="21205" xr:uid="{3E5B3E22-8411-48E5-B009-F61566C96075}"/>
    <cellStyle name="Comma 7 2 2 5 2 4" xfId="27969" xr:uid="{D934AE7B-A4F7-45D2-9452-321EA8E1AD95}"/>
    <cellStyle name="Comma 7 2 2 5 2 5" xfId="15539" xr:uid="{99BA62F0-498E-4818-AE98-9AC3BADEA644}"/>
    <cellStyle name="Comma 7 2 2 5 3" xfId="3664" xr:uid="{00000000-0005-0000-0000-00009E020000}"/>
    <cellStyle name="Comma 7 2 2 5 4" xfId="5610" xr:uid="{55EE2DA4-A930-4586-860A-CC8C50FBE5EB}"/>
    <cellStyle name="Comma 7 2 2 5 4 2" xfId="30157" xr:uid="{F8B22C09-17DC-41E9-8498-16F6A6192430}"/>
    <cellStyle name="Comma 7 2 2 5 5" xfId="23494" xr:uid="{344966AD-C75E-4565-9D8C-65B71C58D1D3}"/>
    <cellStyle name="Comma 7 2 2 5 6" xfId="13371" xr:uid="{1239FB64-A269-4C61-9329-8F3A998CEBC3}"/>
    <cellStyle name="Comma 7 2 2 6" xfId="1718" xr:uid="{00000000-0005-0000-0000-00009F020000}"/>
    <cellStyle name="Comma 7 2 2 6 2" xfId="2553" xr:uid="{00000000-0005-0000-0000-00000F020000}"/>
    <cellStyle name="Comma 7 2 2 6 2 2" xfId="7678" xr:uid="{511DF218-10D3-41A3-89B2-F695E6F25ACC}"/>
    <cellStyle name="Comma 7 2 2 6 2 2 2" xfId="18058" xr:uid="{6004069A-33AE-4B86-B581-51C0F7D88F9C}"/>
    <cellStyle name="Comma 7 2 2 6 2 3" xfId="10511" xr:uid="{497BC43F-ABFB-46A9-A07C-8046F2D5D812}"/>
    <cellStyle name="Comma 7 2 2 6 2 3 2" xfId="20891" xr:uid="{5C3335A4-C0FD-452D-B831-470A2861F276}"/>
    <cellStyle name="Comma 7 2 2 6 2 4" xfId="27238" xr:uid="{1F324C63-9201-42AE-903D-289CC68FFA31}"/>
    <cellStyle name="Comma 7 2 2 6 2 5" xfId="26045" xr:uid="{86A3CDEC-0D3A-4062-A12C-B4566F55EDD6}"/>
    <cellStyle name="Comma 7 2 2 6 2 6" xfId="15225" xr:uid="{7DA14D5E-5C09-4907-AA5D-C6ADA3499B16}"/>
    <cellStyle name="Comma 7 2 2 6 3" xfId="2054" xr:uid="{00000000-0005-0000-0000-00009F020000}"/>
    <cellStyle name="Comma 7 2 2 6 4" xfId="5603" xr:uid="{60038AD0-6BE8-4865-B9B6-AD32EB2302CD}"/>
    <cellStyle name="Comma 7 2 2 6 4 2" xfId="30113" xr:uid="{2DE097EE-D716-448C-A563-A536AFD5F3AD}"/>
    <cellStyle name="Comma 7 2 2 6 5" xfId="24801" xr:uid="{A5EB4658-B44E-47BD-80EB-AA6F6EDDBABE}"/>
    <cellStyle name="Comma 7 2 2 6 6" xfId="12941" xr:uid="{BE4D7BAC-6445-4734-AC38-348FDA98C210}"/>
    <cellStyle name="Comma 7 2 2 7" xfId="2247" xr:uid="{00000000-0005-0000-0000-000003020000}"/>
    <cellStyle name="Comma 7 2 2 7 2" xfId="7374" xr:uid="{0A111B7A-E81D-424D-93F3-A1B916F6B206}"/>
    <cellStyle name="Comma 7 2 2 7 2 2" xfId="25893" xr:uid="{3D667DB0-D6E6-4A70-BF42-4FBB51E74154}"/>
    <cellStyle name="Comma 7 2 2 7 2 3" xfId="28631" xr:uid="{33470BA6-13F0-4CAA-8D70-DA911E3060B6}"/>
    <cellStyle name="Comma 7 2 2 7 2 4" xfId="17754" xr:uid="{044D9C97-1D62-4CAB-9159-3ACBE2736603}"/>
    <cellStyle name="Comma 7 2 2 7 3" xfId="10207" xr:uid="{1BC0BCFE-BB52-4B67-AA21-6840686D4F59}"/>
    <cellStyle name="Comma 7 2 2 7 3 2" xfId="20587" xr:uid="{8F17904A-0E3E-47D7-A407-A0DF32549C9E}"/>
    <cellStyle name="Comma 7 2 2 7 4" xfId="25080" xr:uid="{7D39C3BA-B1B2-41F6-BD33-4BBF2AF309A4}"/>
    <cellStyle name="Comma 7 2 2 7 5" xfId="14921" xr:uid="{F2893B11-4C57-4B13-910A-C78E21261ED0}"/>
    <cellStyle name="Comma 7 2 2 8" xfId="3870" xr:uid="{3E5C70AC-0E52-4D30-97B8-177BC30558FD}"/>
    <cellStyle name="Comma 7 2 2 8 2" xfId="8702" xr:uid="{1DF26086-E6D6-46BB-B3D5-9CA7B3E1C7BB}"/>
    <cellStyle name="Comma 7 2 2 8 2 2" xfId="19082" xr:uid="{822059CC-170D-49E2-A8CE-24D298477B31}"/>
    <cellStyle name="Comma 7 2 2 8 3" xfId="11535" xr:uid="{F6DFD62A-5711-43E9-8060-0F22CCA3C240}"/>
    <cellStyle name="Comma 7 2 2 8 3 2" xfId="21915" xr:uid="{58C42CCD-D5F7-42B2-9D23-79A52F8A1A51}"/>
    <cellStyle name="Comma 7 2 2 8 4" xfId="28303" xr:uid="{F97E2B0D-F2EA-4A21-8D3C-320537C9CB57}"/>
    <cellStyle name="Comma 7 2 2 8 5" xfId="28031" xr:uid="{9085F826-80DB-438C-B89D-6546D59AF92F}"/>
    <cellStyle name="Comma 7 2 2 8 6" xfId="16249" xr:uid="{D3E7F2A1-878F-4CC9-8BAC-43A374FE8C04}"/>
    <cellStyle name="Comma 7 2 2 9" xfId="4895" xr:uid="{4DFEC7DB-B081-428A-8B77-89C1B1AA1200}"/>
    <cellStyle name="Comma 7 2 2 9 2" xfId="26377" xr:uid="{9BB1FB6C-B00A-4ACE-BB8F-92CA74CD27D6}"/>
    <cellStyle name="Comma 7 2 2 9 3" xfId="28246" xr:uid="{FAF7AA94-202C-4370-BBA3-E9C59EA1FA8A}"/>
    <cellStyle name="Comma 7 2 2 9 4" xfId="14187" xr:uid="{5A687EC5-4251-4604-8602-52EBD6AE30D7}"/>
    <cellStyle name="Comma 7 2 3" xfId="507" xr:uid="{00000000-0005-0000-0000-0000A0020000}"/>
    <cellStyle name="Comma 7 2 3 10" xfId="9476" xr:uid="{9A1EE7D6-C029-4AB9-A969-2BA6818C8415}"/>
    <cellStyle name="Comma 7 2 3 10 2" xfId="19856" xr:uid="{51A573A9-F72F-4EF7-8550-32B5AF735BD6}"/>
    <cellStyle name="Comma 7 2 3 11" xfId="23201" xr:uid="{A3085440-9DAC-41F5-B662-E357843B7000}"/>
    <cellStyle name="Comma 7 2 3 12" xfId="12514" xr:uid="{28831415-CA58-4F90-B505-6EF8E940A66B}"/>
    <cellStyle name="Comma 7 2 3 2" xfId="1728" xr:uid="{00000000-0005-0000-0000-0000A1020000}"/>
    <cellStyle name="Comma 7 2 3 2 2" xfId="3059" xr:uid="{00000000-0005-0000-0000-000012020000}"/>
    <cellStyle name="Comma 7 2 3 2 2 2" xfId="6167" xr:uid="{3D1BB39A-3BE3-4005-9137-0D2C1CF87CF9}"/>
    <cellStyle name="Comma 7 2 3 2 2 2 2" xfId="25762" xr:uid="{316FF5C7-2B37-4870-B6B2-DFE4297A211E}"/>
    <cellStyle name="Comma 7 2 3 2 2 2 2 2" xfId="26440" xr:uid="{0BA1EC53-1CE3-4703-B000-7F9D92004D12}"/>
    <cellStyle name="Comma 7 2 3 2 2 2 3" xfId="28541" xr:uid="{E85FCAA5-7D0F-4031-91D6-C7896D217910}"/>
    <cellStyle name="Comma 7 2 3 2 2 2 4" xfId="15686" xr:uid="{C1FBB8FC-223C-45A8-99CA-92BA6AF463C5}"/>
    <cellStyle name="Comma 7 2 3 2 2 3" xfId="8139" xr:uid="{2973F88F-A6E1-45E5-B16C-3F4539239A22}"/>
    <cellStyle name="Comma 7 2 3 2 2 3 2" xfId="18519" xr:uid="{D967F906-A1D0-4172-B366-44AF5DDC14C4}"/>
    <cellStyle name="Comma 7 2 3 2 2 4" xfId="10972" xr:uid="{8B31D45B-778C-4090-8F6C-83F37C85A7D2}"/>
    <cellStyle name="Comma 7 2 3 2 2 4 2" xfId="21352" xr:uid="{C7ADC56C-2AE9-4D69-B395-4FDC3C4D1559}"/>
    <cellStyle name="Comma 7 2 3 2 2 5" xfId="23426" xr:uid="{A678EA77-348C-42CF-BBAD-179C4B03D329}"/>
    <cellStyle name="Comma 7 2 3 2 2 6" xfId="28625" xr:uid="{3E47D2C0-5F25-4679-93BB-CCDF18DDD730}"/>
    <cellStyle name="Comma 7 2 3 2 2 7" xfId="13566" xr:uid="{E4A03419-9976-4CDD-BE52-9C868E540586}"/>
    <cellStyle name="Comma 7 2 3 2 3" xfId="2680" xr:uid="{00000000-0005-0000-0000-000011020000}"/>
    <cellStyle name="Comma 7 2 3 2 3 2" xfId="7804" xr:uid="{B0EBD1CB-FB67-4C13-8BE8-49AF77AFAE80}"/>
    <cellStyle name="Comma 7 2 3 2 3 2 2" xfId="26445" xr:uid="{84B21BBA-EEFF-4F82-B9D0-0102C2AA2028}"/>
    <cellStyle name="Comma 7 2 3 2 3 2 3" xfId="28100" xr:uid="{E2998CDD-8A94-4A0D-A7EC-C6F4E022FA6E}"/>
    <cellStyle name="Comma 7 2 3 2 3 2 4" xfId="18184" xr:uid="{5C0C3576-2C95-4198-A4E7-84111A4C940E}"/>
    <cellStyle name="Comma 7 2 3 2 3 3" xfId="10637" xr:uid="{CA16C7B1-DF6A-4EBB-B787-C0D297536080}"/>
    <cellStyle name="Comma 7 2 3 2 3 3 2" xfId="21017" xr:uid="{DE856001-DDF3-41DB-8B31-FF6E1CF1FF49}"/>
    <cellStyle name="Comma 7 2 3 2 3 4" xfId="24726" xr:uid="{3D1B4EA1-45C2-437A-B500-A52569CE8785}"/>
    <cellStyle name="Comma 7 2 3 2 3 5" xfId="15351" xr:uid="{C3C939CB-FB45-4728-982A-733B2CDD9502}"/>
    <cellStyle name="Comma 7 2 3 2 4" xfId="3572" xr:uid="{00000000-0005-0000-0000-0000A1020000}"/>
    <cellStyle name="Comma 7 2 3 2 4 2" xfId="27494" xr:uid="{E74C66D3-BDDD-4527-9E91-499D01B416C2}"/>
    <cellStyle name="Comma 7 2 3 2 4 3" xfId="26596" xr:uid="{6A9E456A-B61A-489A-9460-E446CE99DB04}"/>
    <cellStyle name="Comma 7 2 3 2 5" xfId="4264" xr:uid="{2A99CC70-A246-4DA0-9BEB-785BD96D665B}"/>
    <cellStyle name="Comma 7 2 3 2 5 2" xfId="9036" xr:uid="{A74E6E0D-F160-4EDC-A927-A8D788DDB4A0}"/>
    <cellStyle name="Comma 7 2 3 2 5 2 2" xfId="19416" xr:uid="{BD96A8F4-C2A0-41F4-9E4C-83662DAB7A81}"/>
    <cellStyle name="Comma 7 2 3 2 5 3" xfId="11869" xr:uid="{176C1908-BD14-480D-8D63-CA0ED9B0AD99}"/>
    <cellStyle name="Comma 7 2 3 2 5 3 2" xfId="22249" xr:uid="{7922417B-368A-4540-B1BF-26A882939E9B}"/>
    <cellStyle name="Comma 7 2 3 2 5 4" xfId="27862" xr:uid="{FC47FD16-5367-4145-BA0C-07B44C4F0EBA}"/>
    <cellStyle name="Comma 7 2 3 2 5 5" xfId="27583" xr:uid="{CCAA9180-D060-4ED8-AF68-4C119E44468E}"/>
    <cellStyle name="Comma 7 2 3 2 5 6" xfId="16583" xr:uid="{D62F26F6-0D44-420C-91AE-75F6FFD9E244}"/>
    <cellStyle name="Comma 7 2 3 2 6" xfId="5612" xr:uid="{86CDC6DC-A307-48F6-9100-257FBDE1EE07}"/>
    <cellStyle name="Comma 7 2 3 2 6 2" xfId="29954" xr:uid="{A1F5EE95-5198-4317-9793-92970A3B131F}"/>
    <cellStyle name="Comma 7 2 3 2 7" xfId="24740" xr:uid="{113CF7D5-3CC3-4C78-AA45-6BB36B301A7F}"/>
    <cellStyle name="Comma 7 2 3 2 8" xfId="13088" xr:uid="{84212721-431A-4A5B-A3B6-C12D2C24C27E}"/>
    <cellStyle name="Comma 7 2 3 2 9" xfId="30223" xr:uid="{2C2BEC58-ECDB-4E5C-809E-4854129398A9}"/>
    <cellStyle name="Comma 7 2 3 3" xfId="1729" xr:uid="{00000000-0005-0000-0000-0000A2020000}"/>
    <cellStyle name="Comma 7 2 3 3 2" xfId="3060" xr:uid="{00000000-0005-0000-0000-000013020000}"/>
    <cellStyle name="Comma 7 2 3 3 2 2" xfId="8140" xr:uid="{6DAF77EB-FB96-4AC8-BEE8-6FEAC97173DB}"/>
    <cellStyle name="Comma 7 2 3 3 2 2 2" xfId="28815" xr:uid="{72C055C4-39FE-4BAF-9ABB-F310BE8341FA}"/>
    <cellStyle name="Comma 7 2 3 3 2 2 3" xfId="28221" xr:uid="{708B1898-A359-47D4-B173-0705408D1A01}"/>
    <cellStyle name="Comma 7 2 3 3 2 2 4" xfId="18520" xr:uid="{177D7A2C-5452-4A0F-B0A5-9148CA5FD390}"/>
    <cellStyle name="Comma 7 2 3 3 2 3" xfId="10973" xr:uid="{CF23F9BB-E2C2-467A-AF01-34347383401B}"/>
    <cellStyle name="Comma 7 2 3 3 2 3 2" xfId="21353" xr:uid="{0A5A92A7-0214-4E75-AF35-1495ECB17C0F}"/>
    <cellStyle name="Comma 7 2 3 3 2 4" xfId="23391" xr:uid="{298BF98D-F159-49C5-B22D-BE5AD390A8AC}"/>
    <cellStyle name="Comma 7 2 3 3 2 5" xfId="15687" xr:uid="{9E81E762-4D76-4ADD-BF8D-521D2D21A73D}"/>
    <cellStyle name="Comma 7 2 3 3 3" xfId="3565" xr:uid="{00000000-0005-0000-0000-0000A2020000}"/>
    <cellStyle name="Comma 7 2 3 3 4" xfId="4410" xr:uid="{B4AA6C36-AE1E-44DC-994E-4825DBBD8F35}"/>
    <cellStyle name="Comma 7 2 3 3 4 2" xfId="9182" xr:uid="{85587B4D-CAD4-4032-8AD5-A59B4106C247}"/>
    <cellStyle name="Comma 7 2 3 3 4 2 2" xfId="19562" xr:uid="{7534E3E2-ADF5-4EAE-B6DD-2F9EF213E93F}"/>
    <cellStyle name="Comma 7 2 3 3 4 3" xfId="12015" xr:uid="{06A06909-35C8-4873-987F-AACAE88E6A0D}"/>
    <cellStyle name="Comma 7 2 3 3 4 3 2" xfId="22395" xr:uid="{C8309B11-D9E9-4E6B-BE78-44B8F03D00F4}"/>
    <cellStyle name="Comma 7 2 3 3 4 4" xfId="16729" xr:uid="{3FE30A88-23F4-429B-971D-5405FB557D2F}"/>
    <cellStyle name="Comma 7 2 3 3 5" xfId="5613" xr:uid="{0B567FCE-3EAD-430A-ADFC-79476E3F8D8B}"/>
    <cellStyle name="Comma 7 2 3 3 5 2" xfId="29931" xr:uid="{E1614D0B-3324-4AEE-9A14-432446166E5F}"/>
    <cellStyle name="Comma 7 2 3 3 6" xfId="22735" xr:uid="{7F3E24BF-5A0E-4D79-A227-E0F794633307}"/>
    <cellStyle name="Comma 7 2 3 3 7" xfId="13567" xr:uid="{87DECCAD-5422-434D-BCDF-8063B4A346C0}"/>
    <cellStyle name="Comma 7 2 3 4" xfId="1727" xr:uid="{00000000-0005-0000-0000-0000A3020000}"/>
    <cellStyle name="Comma 7 2 3 4 2" xfId="3058" xr:uid="{00000000-0005-0000-0000-000014020000}"/>
    <cellStyle name="Comma 7 2 3 4 2 2" xfId="8138" xr:uid="{A8203D9E-E043-4B8A-BF67-57D3E61E6E7D}"/>
    <cellStyle name="Comma 7 2 3 4 2 2 2" xfId="28814" xr:uid="{F0E91839-7605-4CCB-A5B1-E1A2CC00B1DC}"/>
    <cellStyle name="Comma 7 2 3 4 2 2 3" xfId="26227" xr:uid="{D198E1A3-1E03-417A-9006-F3344715DFEA}"/>
    <cellStyle name="Comma 7 2 3 4 2 2 4" xfId="18518" xr:uid="{57346C15-DEEB-4790-B4C1-7FAB484851C6}"/>
    <cellStyle name="Comma 7 2 3 4 2 3" xfId="10971" xr:uid="{CEFFE88F-6E64-4128-9614-3DE420D09D09}"/>
    <cellStyle name="Comma 7 2 3 4 2 3 2" xfId="21351" xr:uid="{756BA5ED-BEDD-4A1C-ADDC-B0A7EB7277EF}"/>
    <cellStyle name="Comma 7 2 3 4 2 4" xfId="25703" xr:uid="{1F9F094F-723B-46B5-9CA0-C2DD8CF7C7C3}"/>
    <cellStyle name="Comma 7 2 3 4 2 5" xfId="15685" xr:uid="{2A2B50CF-0E31-4926-9228-892F3D69281D}"/>
    <cellStyle name="Comma 7 2 3 4 3" xfId="3601" xr:uid="{00000000-0005-0000-0000-0000A3020000}"/>
    <cellStyle name="Comma 7 2 3 4 4" xfId="5611" xr:uid="{B015D05F-1EF5-4A33-9017-141199658DDE}"/>
    <cellStyle name="Comma 7 2 3 4 4 2" xfId="30187" xr:uid="{B585496B-3202-417D-A0E9-7710DB875A3C}"/>
    <cellStyle name="Comma 7 2 3 4 5" xfId="23295" xr:uid="{A2C967C4-EA4B-4F18-A429-9C1E97BD0EC3}"/>
    <cellStyle name="Comma 7 2 3 4 6" xfId="13565" xr:uid="{260DE583-A7E0-4BE6-BE16-F57B406F1EBB}"/>
    <cellStyle name="Comma 7 2 3 5" xfId="2596" xr:uid="{00000000-0005-0000-0000-000015020000}"/>
    <cellStyle name="Comma 7 2 3 5 2" xfId="5861" xr:uid="{DCA6FFBF-13D6-4EB6-9BC2-24CAD4DEF891}"/>
    <cellStyle name="Comma 7 2 3 5 2 2" xfId="26663" xr:uid="{747733F0-5315-4476-965E-D92D7DE4A8B1}"/>
    <cellStyle name="Comma 7 2 3 5 2 3" xfId="25962" xr:uid="{D17284AE-DAD2-4375-966B-799D91095B07}"/>
    <cellStyle name="Comma 7 2 3 5 2 4" xfId="15268" xr:uid="{D91D6154-E1B9-4EC6-BBBD-F60F6FD5A178}"/>
    <cellStyle name="Comma 7 2 3 5 3" xfId="7721" xr:uid="{CA472964-12B8-44F9-9DB3-E23253F45684}"/>
    <cellStyle name="Comma 7 2 3 5 3 2" xfId="18101" xr:uid="{F2F47DE1-F74C-4E0E-BE63-BE508F071316}"/>
    <cellStyle name="Comma 7 2 3 5 4" xfId="10554" xr:uid="{F69A24F4-5378-4805-AA93-7CBAAD0869DA}"/>
    <cellStyle name="Comma 7 2 3 5 4 2" xfId="20934" xr:uid="{DF1FA347-EFD0-4A21-99B8-3744DD0E6CBA}"/>
    <cellStyle name="Comma 7 2 3 5 5" xfId="24914" xr:uid="{83E8E163-ACD3-4505-A590-F3D0B6F827E6}"/>
    <cellStyle name="Comma 7 2 3 5 6" xfId="12984" xr:uid="{3A212F0B-0751-4EF9-BCD0-D99948C74859}"/>
    <cellStyle name="Comma 7 2 3 6" xfId="2282" xr:uid="{00000000-0005-0000-0000-000010020000}"/>
    <cellStyle name="Comma 7 2 3 6 2" xfId="7409" xr:uid="{B4A9D789-B2EE-4B47-B9A1-7E513E25A26A}"/>
    <cellStyle name="Comma 7 2 3 6 2 2" xfId="17789" xr:uid="{AC686961-C587-431C-BF82-8F93915F1A31}"/>
    <cellStyle name="Comma 7 2 3 6 3" xfId="10242" xr:uid="{0338E169-2F5F-4093-A5DC-CE942BEFF0F1}"/>
    <cellStyle name="Comma 7 2 3 6 3 2" xfId="20622" xr:uid="{F2E16EE8-6B9C-4324-B188-957791626B0F}"/>
    <cellStyle name="Comma 7 2 3 6 4" xfId="22780" xr:uid="{38695AE0-4EA9-4DC8-957A-0D8720EF8BD4}"/>
    <cellStyle name="Comma 7 2 3 6 5" xfId="25940" xr:uid="{55CE7175-F668-4D91-BF21-F392D9022484}"/>
    <cellStyle name="Comma 7 2 3 6 6" xfId="14956" xr:uid="{532DAA4E-429B-4A50-BD7B-BDEBDF65A81B}"/>
    <cellStyle name="Comma 7 2 3 7" xfId="3821" xr:uid="{7C51F2B8-CC43-45CA-B458-319A66C14278}"/>
    <cellStyle name="Comma 7 2 3 7 2" xfId="8654" xr:uid="{4A191CAA-6F56-4637-B13D-626DFABA59C3}"/>
    <cellStyle name="Comma 7 2 3 7 2 2" xfId="19034" xr:uid="{16DF19C1-C7F4-4AC9-9576-AA1D869283EE}"/>
    <cellStyle name="Comma 7 2 3 7 3" xfId="11487" xr:uid="{CBE1CE50-7D32-47DF-B101-472B84563998}"/>
    <cellStyle name="Comma 7 2 3 7 3 2" xfId="21867" xr:uid="{2A9D3C64-261B-4E3A-8DA7-B7F1014FB2C1}"/>
    <cellStyle name="Comma 7 2 3 7 4" xfId="28412" xr:uid="{DB70D8DA-2F1B-4D63-BF9A-D4AE8CD4D414}"/>
    <cellStyle name="Comma 7 2 3 7 5" xfId="27097" xr:uid="{C9998E32-78FF-4413-85A6-CA6AFF7772DE}"/>
    <cellStyle name="Comma 7 2 3 7 6" xfId="16201" xr:uid="{E4D98F7D-753A-43F1-8912-5551AE6EA406}"/>
    <cellStyle name="Comma 7 2 3 8" xfId="4898" xr:uid="{9A91274E-C3CE-47C3-B40C-A471000DA48E}"/>
    <cellStyle name="Comma 7 2 3 8 2" xfId="14190" xr:uid="{795A9D83-4AB8-4BED-AFF9-FF66176815DE}"/>
    <cellStyle name="Comma 7 2 3 9" xfId="6643" xr:uid="{3813FBD2-3F6E-409D-A87D-F462F655882B}"/>
    <cellStyle name="Comma 7 2 3 9 2" xfId="17023" xr:uid="{C5FDEBD5-83DC-4CFA-A902-FB84FCAA94D2}"/>
    <cellStyle name="Comma 7 2 4" xfId="508" xr:uid="{00000000-0005-0000-0000-0000A4020000}"/>
    <cellStyle name="Comma 7 2 4 10" xfId="12672" xr:uid="{0F75D37F-2AB0-46C8-BB5F-86CCD232BDC9}"/>
    <cellStyle name="Comma 7 2 4 2" xfId="1731" xr:uid="{00000000-0005-0000-0000-0000A5020000}"/>
    <cellStyle name="Comma 7 2 4 2 2" xfId="3061" xr:uid="{00000000-0005-0000-0000-000017020000}"/>
    <cellStyle name="Comma 7 2 4 2 2 2" xfId="8141" xr:uid="{A728D78D-D3BA-44A1-8EAC-AC5DE74B610A}"/>
    <cellStyle name="Comma 7 2 4 2 2 2 2" xfId="28816" xr:uid="{89AF36A5-0852-41A9-BB9C-4EA8DA930051}"/>
    <cellStyle name="Comma 7 2 4 2 2 2 3" xfId="28611" xr:uid="{DA8B76BE-83BD-4F2B-B209-FB3509ED7A52}"/>
    <cellStyle name="Comma 7 2 4 2 2 2 4" xfId="18521" xr:uid="{CE2BBE12-C50C-43BE-B73C-FBF019286217}"/>
    <cellStyle name="Comma 7 2 4 2 2 3" xfId="10974" xr:uid="{AEF5F852-AEC6-488B-BB8B-CB5A68A69607}"/>
    <cellStyle name="Comma 7 2 4 2 2 3 2" xfId="21354" xr:uid="{18923E47-6CA9-486E-9FC3-D0EF8E1044B0}"/>
    <cellStyle name="Comma 7 2 4 2 2 4" xfId="24492" xr:uid="{49EF89CE-2EBF-493D-B300-519FCF13E3FF}"/>
    <cellStyle name="Comma 7 2 4 2 2 5" xfId="15688" xr:uid="{07D45072-101C-4827-B8D1-A00007F60C66}"/>
    <cellStyle name="Comma 7 2 4 2 3" xfId="3578" xr:uid="{00000000-0005-0000-0000-0000A5020000}"/>
    <cellStyle name="Comma 7 2 4 2 4" xfId="5614" xr:uid="{B5F8E063-CC13-48F7-B354-52022C29F059}"/>
    <cellStyle name="Comma 7 2 4 2 4 2" xfId="30009" xr:uid="{B52138BE-9135-4726-A19F-C83FABC5ECAE}"/>
    <cellStyle name="Comma 7 2 4 2 5" xfId="24118" xr:uid="{23CFE5B5-814A-40B4-9D61-E5FD329C9B00}"/>
    <cellStyle name="Comma 7 2 4 2 6" xfId="13568" xr:uid="{A0F3A37A-EBFE-48B6-B3C3-4DFB0EB26A7A}"/>
    <cellStyle name="Comma 7 2 4 3" xfId="1732" xr:uid="{00000000-0005-0000-0000-0000A6020000}"/>
    <cellStyle name="Comma 7 2 4 3 2" xfId="2677" xr:uid="{00000000-0005-0000-0000-000018020000}"/>
    <cellStyle name="Comma 7 2 4 3 2 2" xfId="7801" xr:uid="{C348185F-03C6-41CC-B8E9-D9C1761E344B}"/>
    <cellStyle name="Comma 7 2 4 3 2 2 2" xfId="18181" xr:uid="{DFAC234B-F94F-4626-A62F-A1BB81C64ADB}"/>
    <cellStyle name="Comma 7 2 4 3 2 3" xfId="10634" xr:uid="{828F7050-5423-43A9-94F4-6C4CDEA9DDE5}"/>
    <cellStyle name="Comma 7 2 4 3 2 3 2" xfId="21014" xr:uid="{36910243-03A5-4384-AA37-543A06460B11}"/>
    <cellStyle name="Comma 7 2 4 3 2 4" xfId="15348" xr:uid="{9253CB1D-A89C-49CE-9543-5EEAEF68F735}"/>
    <cellStyle name="Comma 7 2 4 3 3" xfId="3690" xr:uid="{00000000-0005-0000-0000-0000A6020000}"/>
    <cellStyle name="Comma 7 2 4 3 4" xfId="5615" xr:uid="{9A822023-40EF-4024-BA32-71C8DA489B1B}"/>
    <cellStyle name="Comma 7 2 4 3 4 2" xfId="29985" xr:uid="{6AB64DCC-C777-4015-99FA-B13F725BC777}"/>
    <cellStyle name="Comma 7 2 4 3 5" xfId="25151" xr:uid="{8BA78B38-A904-4BC8-A518-F8221BA04843}"/>
    <cellStyle name="Comma 7 2 4 3 6" xfId="13085" xr:uid="{D69D46B7-6D00-4963-9FAC-B7590A5733C5}"/>
    <cellStyle name="Comma 7 2 4 4" xfId="1730" xr:uid="{00000000-0005-0000-0000-0000A7020000}"/>
    <cellStyle name="Comma 7 2 4 4 2" xfId="4677" xr:uid="{7FF1F726-48C0-4E3C-8436-57B334712BE9}"/>
    <cellStyle name="Comma 7 2 4 4 2 2" xfId="9415" xr:uid="{468889FF-DCE8-4C28-9427-D11CA555BBF5}"/>
    <cellStyle name="Comma 7 2 4 4 2 2 2" xfId="19795" xr:uid="{4B9EAE61-5D7A-433F-9001-56AD026AB1A4}"/>
    <cellStyle name="Comma 7 2 4 4 2 3" xfId="12248" xr:uid="{914BC7BF-38FC-4241-90D1-5043D7C1FF68}"/>
    <cellStyle name="Comma 7 2 4 4 2 3 2" xfId="22628" xr:uid="{E28FA847-DDCB-4995-8906-BCE8094CB064}"/>
    <cellStyle name="Comma 7 2 4 4 2 4" xfId="26498" xr:uid="{94586D6B-A30A-4D76-B5BD-173D1CE0B96C}"/>
    <cellStyle name="Comma 7 2 4 4 2 5" xfId="27248" xr:uid="{E82C3440-ECE4-49EB-9077-40D8BBDA0902}"/>
    <cellStyle name="Comma 7 2 4 4 2 6" xfId="16962" xr:uid="{2B0C225D-4B8D-4735-81B0-BE64B512E9FE}"/>
    <cellStyle name="Comma 7 2 4 4 3" xfId="23754" xr:uid="{7F869A60-CCC8-4E3A-927A-1271C14749AF}"/>
    <cellStyle name="Comma 7 2 4 5" xfId="4128" xr:uid="{BFC5390C-2A59-45AD-B9E0-6FFEDD33AB4A}"/>
    <cellStyle name="Comma 7 2 4 5 2" xfId="8900" xr:uid="{6EBE8FDF-A200-45D7-9A14-36305788F322}"/>
    <cellStyle name="Comma 7 2 4 5 2 2" xfId="29008" xr:uid="{F76C256F-2A0C-43FA-83BA-AC50FA9B536B}"/>
    <cellStyle name="Comma 7 2 4 5 2 3" xfId="28274" xr:uid="{99C088C2-E00F-4872-9DA8-21F1F3CC2BB8}"/>
    <cellStyle name="Comma 7 2 4 5 2 4" xfId="19280" xr:uid="{C81C9A0B-602C-40C2-837B-F986A081BC61}"/>
    <cellStyle name="Comma 7 2 4 5 3" xfId="11733" xr:uid="{C7BFC475-CBC2-4F71-9CE0-B99840601691}"/>
    <cellStyle name="Comma 7 2 4 5 3 2" xfId="22113" xr:uid="{E2EF3D74-CD16-4679-AA48-2C05745F7341}"/>
    <cellStyle name="Comma 7 2 4 5 4" xfId="24824" xr:uid="{6D9BBF71-CD7F-445E-A2D8-2804763286F0}"/>
    <cellStyle name="Comma 7 2 4 5 5" xfId="16447" xr:uid="{51474418-17BA-4F2F-B2BB-9B832888E53D}"/>
    <cellStyle name="Comma 7 2 4 6" xfId="4899" xr:uid="{162CEDC1-43B7-474C-95C3-A9B92E1CEDD6}"/>
    <cellStyle name="Comma 7 2 4 6 2" xfId="26336" xr:uid="{E3826C55-B617-4C79-9E8E-6D8184763DB6}"/>
    <cellStyle name="Comma 7 2 4 6 3" xfId="27379" xr:uid="{CC5EA816-BCAB-4DD0-9F6F-EA1794A502AC}"/>
    <cellStyle name="Comma 7 2 4 6 4" xfId="14191" xr:uid="{780B2F84-923D-46AF-8682-AD3692052103}"/>
    <cellStyle name="Comma 7 2 4 7" xfId="6644" xr:uid="{5D8DACF2-E277-40ED-A57A-E778E0DD682F}"/>
    <cellStyle name="Comma 7 2 4 7 2" xfId="27844" xr:uid="{7526C40F-C96C-4739-A2A7-4651BE80C5D5}"/>
    <cellStyle name="Comma 7 2 4 7 3" xfId="28600" xr:uid="{9FF9AF63-491D-40E3-AE82-EAAEB0E7E63D}"/>
    <cellStyle name="Comma 7 2 4 7 4" xfId="17024" xr:uid="{531D5670-B963-4C71-9CD4-4A5F6FD23B89}"/>
    <cellStyle name="Comma 7 2 4 8" xfId="9477" xr:uid="{987F5DE1-40AF-4B68-878D-FBEB5AE91EB9}"/>
    <cellStyle name="Comma 7 2 4 8 2" xfId="19857" xr:uid="{CE8EC75E-57B7-41B6-B4F8-8E109E7DF603}"/>
    <cellStyle name="Comma 7 2 4 9" xfId="24524" xr:uid="{3065228A-29D9-417F-9B00-790F2E229799}"/>
    <cellStyle name="Comma 7 2 5" xfId="509" xr:uid="{00000000-0005-0000-0000-0000A8020000}"/>
    <cellStyle name="Comma 7 2 5 10" xfId="13569" xr:uid="{337843CD-D89E-4EB7-B629-1C4D0EFED20D}"/>
    <cellStyle name="Comma 7 2 5 2" xfId="1734" xr:uid="{00000000-0005-0000-0000-0000A9020000}"/>
    <cellStyle name="Comma 7 2 5 2 2" xfId="23807" xr:uid="{0011FB13-E713-469D-B8B6-F6B81812F5A4}"/>
    <cellStyle name="Comma 7 2 5 2 2 2" xfId="30040" xr:uid="{34706953-6E17-4DDD-8A33-4ED17EEB3BEF}"/>
    <cellStyle name="Comma 7 2 5 2 3" xfId="25638" xr:uid="{B96FBEC1-5BE6-4663-9CFF-AEA34151F77D}"/>
    <cellStyle name="Comma 7 2 5 2 4" xfId="30289" xr:uid="{12582B22-0134-413E-B305-CB2E5E1E030B}"/>
    <cellStyle name="Comma 7 2 5 3" xfId="1735" xr:uid="{00000000-0005-0000-0000-0000AA020000}"/>
    <cellStyle name="Comma 7 2 5 4" xfId="1733" xr:uid="{00000000-0005-0000-0000-0000AB020000}"/>
    <cellStyle name="Comma 7 2 5 5" xfId="4411" xr:uid="{D34833F5-5C65-4394-96C8-665306F97C0A}"/>
    <cellStyle name="Comma 7 2 5 5 2" xfId="9183" xr:uid="{D603904B-2825-4865-9103-051FAFA6C453}"/>
    <cellStyle name="Comma 7 2 5 5 2 2" xfId="19563" xr:uid="{D3296877-B1A8-47A5-9690-A769837DC84B}"/>
    <cellStyle name="Comma 7 2 5 5 3" xfId="12016" xr:uid="{AAD37AC4-C259-43CE-8B27-A03F077D66B1}"/>
    <cellStyle name="Comma 7 2 5 5 3 2" xfId="22396" xr:uid="{66AF6FBF-C03C-478F-9ACD-2071155647CC}"/>
    <cellStyle name="Comma 7 2 5 5 4" xfId="16730" xr:uid="{9F2A43D9-3926-454F-8C5B-6E95C650CAF5}"/>
    <cellStyle name="Comma 7 2 5 6" xfId="4900" xr:uid="{2086C670-384E-4A92-8725-F94ECBC97A60}"/>
    <cellStyle name="Comma 7 2 5 6 2" xfId="14192" xr:uid="{BD2F386F-A2BE-48DA-BE1D-C9B81EECDDBF}"/>
    <cellStyle name="Comma 7 2 5 7" xfId="6645" xr:uid="{939BC2C9-8E29-4531-988D-B89560FB1285}"/>
    <cellStyle name="Comma 7 2 5 7 2" xfId="17025" xr:uid="{37FDFB7B-23F4-4F65-BC5E-3A5B70ED6D7D}"/>
    <cellStyle name="Comma 7 2 5 8" xfId="9478" xr:uid="{8A76806C-F58E-40D3-A851-C7AC4990F8DE}"/>
    <cellStyle name="Comma 7 2 5 8 2" xfId="19858" xr:uid="{3E1C9DFF-3370-41FA-8C6F-801B1F54A661}"/>
    <cellStyle name="Comma 7 2 5 9" xfId="23574" xr:uid="{D92270B7-5FE3-43A2-A456-D436178FBE90}"/>
    <cellStyle name="Comma 7 2 6" xfId="1736" xr:uid="{00000000-0005-0000-0000-0000AC020000}"/>
    <cellStyle name="Comma 7 2 6 2" xfId="2874" xr:uid="{00000000-0005-0000-0000-00001A020000}"/>
    <cellStyle name="Comma 7 2 6 2 2" xfId="7991" xr:uid="{CAF66553-0572-4E90-BD60-957055CB2902}"/>
    <cellStyle name="Comma 7 2 6 2 2 2" xfId="26895" xr:uid="{2E105864-F10C-4F08-8B2C-38FC21AD458C}"/>
    <cellStyle name="Comma 7 2 6 2 2 3" xfId="26701" xr:uid="{62984D6B-AFFA-4E38-8D0C-F77826CA4377}"/>
    <cellStyle name="Comma 7 2 6 2 2 4" xfId="18371" xr:uid="{D9AD4E22-EFA7-41FF-AB95-8B9317FB82FA}"/>
    <cellStyle name="Comma 7 2 6 2 3" xfId="10824" xr:uid="{687D5264-DBB5-401E-8719-049F6D660D79}"/>
    <cellStyle name="Comma 7 2 6 2 3 2" xfId="21204" xr:uid="{C30B3E9E-8769-4163-A620-9FB58DC411B4}"/>
    <cellStyle name="Comma 7 2 6 2 4" xfId="23811" xr:uid="{6A46C7BE-7A40-462D-B3C8-8FA28C9418B2}"/>
    <cellStyle name="Comma 7 2 6 2 5" xfId="15538" xr:uid="{C0C0198F-60BD-4BE4-88FF-6EE07FBE8575}"/>
    <cellStyle name="Comma 7 2 6 3" xfId="3684" xr:uid="{00000000-0005-0000-0000-0000AC020000}"/>
    <cellStyle name="Comma 7 2 6 4" xfId="5616" xr:uid="{3CA19EC9-B78E-44DD-B810-207F7AFDAB36}"/>
    <cellStyle name="Comma 7 2 6 4 2" xfId="29996" xr:uid="{2B4A39D6-95FE-40AB-96B6-7AB4C033A214}"/>
    <cellStyle name="Comma 7 2 6 5" xfId="23337" xr:uid="{7672C8F0-0900-49FD-9BDB-C9CA4655328B}"/>
    <cellStyle name="Comma 7 2 6 6" xfId="13370" xr:uid="{1DA6054B-09D6-406A-8D73-D01D6062D58D}"/>
    <cellStyle name="Comma 7 2 7" xfId="1737" xr:uid="{00000000-0005-0000-0000-0000AD020000}"/>
    <cellStyle name="Comma 7 2 7 2" xfId="2493" xr:uid="{00000000-0005-0000-0000-00001B020000}"/>
    <cellStyle name="Comma 7 2 7 2 2" xfId="7618" xr:uid="{501F984C-7707-4FD2-9717-F6C36BB50D40}"/>
    <cellStyle name="Comma 7 2 7 2 2 2" xfId="17998" xr:uid="{17693E62-144F-418C-8EA3-1BAD9BD2EFDA}"/>
    <cellStyle name="Comma 7 2 7 2 3" xfId="10451" xr:uid="{BBC2B1C2-49A1-4F8D-AB2B-BED5EB09FE78}"/>
    <cellStyle name="Comma 7 2 7 2 3 2" xfId="20831" xr:uid="{73E5473D-B384-4AEB-A3EB-52E5E907B559}"/>
    <cellStyle name="Comma 7 2 7 2 4" xfId="26073" xr:uid="{FA54937D-2523-4660-83C0-2C2756BFC805}"/>
    <cellStyle name="Comma 7 2 7 2 5" xfId="27413" xr:uid="{0DEBC0B3-7280-4F3A-ACE2-031BBAF90176}"/>
    <cellStyle name="Comma 7 2 7 2 6" xfId="15165" xr:uid="{26738D38-C3C1-4DE0-8B38-D33218B9E0E5}"/>
    <cellStyle name="Comma 7 2 7 3" xfId="3620" xr:uid="{00000000-0005-0000-0000-0000AD020000}"/>
    <cellStyle name="Comma 7 2 7 4" xfId="5617" xr:uid="{76F957A8-F298-4B70-A8C8-199C7FA4444C}"/>
    <cellStyle name="Comma 7 2 7 4 2" xfId="30102" xr:uid="{98E9D419-9F1C-41EF-81A1-55F23B176FD9}"/>
    <cellStyle name="Comma 7 2 7 5" xfId="25579" xr:uid="{2DE83F3B-06CE-47B6-BEAB-EDDD427E267E}"/>
    <cellStyle name="Comma 7 2 7 6" xfId="12881" xr:uid="{2B039CD4-3A65-4408-9B2E-D8B7C174E99B}"/>
    <cellStyle name="Comma 7 2 8" xfId="1717" xr:uid="{00000000-0005-0000-0000-0000AE020000}"/>
    <cellStyle name="Comma 7 2 8 2" xfId="2187" xr:uid="{00000000-0005-0000-0000-000002020000}"/>
    <cellStyle name="Comma 7 2 8 2 2" xfId="7314" xr:uid="{305357E2-C639-4C7E-A108-4A34749F8A32}"/>
    <cellStyle name="Comma 7 2 8 2 2 2" xfId="17694" xr:uid="{E7BEED04-BEA2-4880-9ADA-C4114D9E482E}"/>
    <cellStyle name="Comma 7 2 8 2 3" xfId="10147" xr:uid="{75E81427-5C88-4DB7-A436-60DAF55A3CA0}"/>
    <cellStyle name="Comma 7 2 8 2 3 2" xfId="20527" xr:uid="{2FEF4EA1-9E93-42E0-9E2E-911188E08615}"/>
    <cellStyle name="Comma 7 2 8 2 4" xfId="27345" xr:uid="{30D2CEE5-E778-4B6D-91DB-8A903F49B9EB}"/>
    <cellStyle name="Comma 7 2 8 2 5" xfId="28265" xr:uid="{A62F63CD-4029-4B39-95B0-C9C2A94DCB23}"/>
    <cellStyle name="Comma 7 2 8 2 6" xfId="14861" xr:uid="{28C46102-C1E2-4C03-B363-6EB1171E51BE}"/>
    <cellStyle name="Comma 7 2 8 3" xfId="3650" xr:uid="{00000000-0005-0000-0000-0000AE020000}"/>
    <cellStyle name="Comma 7 2 8 4" xfId="24349" xr:uid="{D37F70DB-05AA-47E1-B5F7-2728E2C870A0}"/>
    <cellStyle name="Comma 7 2 9" xfId="3869" xr:uid="{F4D1E9BD-A0FA-4A8D-8E31-D876682FFE4B}"/>
    <cellStyle name="Comma 7 2 9 2" xfId="8701" xr:uid="{8CB8DB38-03CC-41A3-8E7D-CCE0456C8EA4}"/>
    <cellStyle name="Comma 7 2 9 2 2" xfId="19081" xr:uid="{FB4C8D6A-90A4-4CDA-9E2E-5225EC1652DC}"/>
    <cellStyle name="Comma 7 2 9 3" xfId="11534" xr:uid="{5044B8B8-A0B2-45A4-B01F-C0BE711A2698}"/>
    <cellStyle name="Comma 7 2 9 3 2" xfId="21914" xr:uid="{A3D1C56E-4C27-41D2-AF9C-55BCAE5D18B8}"/>
    <cellStyle name="Comma 7 2 9 4" xfId="26500" xr:uid="{125441C2-60E3-40EA-8E2F-2B84B5DE5AE1}"/>
    <cellStyle name="Comma 7 2 9 5" xfId="26350" xr:uid="{43B9A38B-55E7-49F9-9E04-609D5FEEA2C4}"/>
    <cellStyle name="Comma 7 2 9 6" xfId="16248" xr:uid="{78D6CC94-8015-4D6D-89B1-14E112E5F17E}"/>
    <cellStyle name="Comma 7 20" xfId="12396" xr:uid="{F42B3602-9F46-4675-A2BF-201227D87022}"/>
    <cellStyle name="Comma 7 21" xfId="29552" xr:uid="{C7B24164-FE9F-45D3-895E-E967A00C97CC}"/>
    <cellStyle name="Comma 7 3" xfId="510" xr:uid="{00000000-0005-0000-0000-0000AF020000}"/>
    <cellStyle name="Comma 7 3 10" xfId="4901" xr:uid="{0D468BB1-AC9C-4BC3-B782-3D09EF0EB048}"/>
    <cellStyle name="Comma 7 3 10 2" xfId="14193" xr:uid="{478144D2-BDB4-4090-A37E-BAD7E56FE1E8}"/>
    <cellStyle name="Comma 7 3 11" xfId="6646" xr:uid="{43C231E0-DCE5-4583-9F88-DF4521BC36BB}"/>
    <cellStyle name="Comma 7 3 11 2" xfId="17026" xr:uid="{2518C636-5EE9-4BE0-9285-3CEE1C1CA479}"/>
    <cellStyle name="Comma 7 3 12" xfId="9479" xr:uid="{FA7DC2DD-A897-49DF-A04C-CAD2F2B58630}"/>
    <cellStyle name="Comma 7 3 12 2" xfId="19859" xr:uid="{E126D103-F72D-47AB-AD63-1F0C7E11B780}"/>
    <cellStyle name="Comma 7 3 13" xfId="22877" xr:uid="{08A534C2-2A78-4498-B607-6899705451BB}"/>
    <cellStyle name="Comma 7 3 14" xfId="12456" xr:uid="{802E7B73-02F1-4FAD-ADF7-E6FFE78FD74F}"/>
    <cellStyle name="Comma 7 3 2" xfId="511" xr:uid="{00000000-0005-0000-0000-0000B0020000}"/>
    <cellStyle name="Comma 7 3 2 10" xfId="9480" xr:uid="{44C6ED94-6E55-45BC-B8E8-97402F41FA9C}"/>
    <cellStyle name="Comma 7 3 2 10 2" xfId="19860" xr:uid="{C5E5778E-6C31-4DCE-AE34-B55A58F289C1}"/>
    <cellStyle name="Comma 7 3 2 11" xfId="23478" xr:uid="{7D5FB373-D6D4-41C9-BBDF-44A3BCCD4E56}"/>
    <cellStyle name="Comma 7 3 2 12" xfId="12516" xr:uid="{98B905C0-9544-413A-9A3C-B251CFE6B004}"/>
    <cellStyle name="Comma 7 3 2 2" xfId="512" xr:uid="{00000000-0005-0000-0000-0000B1020000}"/>
    <cellStyle name="Comma 7 3 2 2 10" xfId="13090" xr:uid="{314E022B-3F24-45B1-A7D0-81E977900103}"/>
    <cellStyle name="Comma 7 3 2 2 2" xfId="1741" xr:uid="{00000000-0005-0000-0000-0000B2020000}"/>
    <cellStyle name="Comma 7 3 2 2 2 2" xfId="3063" xr:uid="{00000000-0005-0000-0000-00001F020000}"/>
    <cellStyle name="Comma 7 3 2 2 2 2 2" xfId="8143" xr:uid="{9EB58E2A-9628-4E62-B7DB-F1ED9CA45B36}"/>
    <cellStyle name="Comma 7 3 2 2 2 2 2 2" xfId="28818" xr:uid="{F091C59C-15B3-4385-8CD6-D034264F1A15}"/>
    <cellStyle name="Comma 7 3 2 2 2 2 2 3" xfId="27993" xr:uid="{9418F35A-8A7C-40F4-A110-770179FB46B6}"/>
    <cellStyle name="Comma 7 3 2 2 2 2 2 4" xfId="18523" xr:uid="{34EA4903-7091-4F73-860B-EBEBC02E7BEC}"/>
    <cellStyle name="Comma 7 3 2 2 2 2 3" xfId="10976" xr:uid="{5B47F23C-D88F-4522-AF27-CA74BC1778F2}"/>
    <cellStyle name="Comma 7 3 2 2 2 2 3 2" xfId="21356" xr:uid="{F5C5CD3D-8059-479B-87A5-8D444040ECA5}"/>
    <cellStyle name="Comma 7 3 2 2 2 2 4" xfId="25737" xr:uid="{0BD68913-1C0D-4A18-9932-CBE888208981}"/>
    <cellStyle name="Comma 7 3 2 2 2 2 5" xfId="15690" xr:uid="{AB7D13A1-97DD-4AAE-B47E-73DAD8FE81CB}"/>
    <cellStyle name="Comma 7 3 2 2 2 3" xfId="3677" xr:uid="{00000000-0005-0000-0000-0000B2020000}"/>
    <cellStyle name="Comma 7 3 2 2 2 4" xfId="5620" xr:uid="{F8F8D46F-8C1B-40ED-AC69-279F85441D7E}"/>
    <cellStyle name="Comma 7 3 2 2 2 4 2" xfId="30189" xr:uid="{E9A8B3D9-E97F-4678-9659-A334B719A0E1}"/>
    <cellStyle name="Comma 7 3 2 2 2 5" xfId="24595" xr:uid="{E922A290-B943-457D-9DAA-AA591270817C}"/>
    <cellStyle name="Comma 7 3 2 2 2 6" xfId="13571" xr:uid="{C7370AE9-BEDA-4936-9B13-B69FB3350FF3}"/>
    <cellStyle name="Comma 7 3 2 2 3" xfId="1742" xr:uid="{00000000-0005-0000-0000-0000B3020000}"/>
    <cellStyle name="Comma 7 3 2 2 3 2" xfId="4631" xr:uid="{576F16F8-EFE4-4B0A-A5A4-7EEE626B3BDC}"/>
    <cellStyle name="Comma 7 3 2 2 3 2 2" xfId="9398" xr:uid="{99CA9C69-5AD9-4A41-8B72-A5EDCD19BDD1}"/>
    <cellStyle name="Comma 7 3 2 2 3 2 2 2" xfId="19778" xr:uid="{6B755713-890C-4A5E-A9CC-A107DDCC0838}"/>
    <cellStyle name="Comma 7 3 2 2 3 2 3" xfId="12231" xr:uid="{ABFBFCF8-D2A1-43C2-8025-B08A3E571072}"/>
    <cellStyle name="Comma 7 3 2 2 3 2 3 2" xfId="22611" xr:uid="{04BC963B-3C8F-440B-ABC3-86D29417EF50}"/>
    <cellStyle name="Comma 7 3 2 2 3 2 4" xfId="26783" xr:uid="{6BA0A017-502F-40BC-BBAF-E94534540C20}"/>
    <cellStyle name="Comma 7 3 2 2 3 2 5" xfId="28096" xr:uid="{F3B064B6-F93E-42A7-A726-D82A391C3FF3}"/>
    <cellStyle name="Comma 7 3 2 2 3 2 6" xfId="16945" xr:uid="{4846A55E-0158-4755-A3BF-E08F053AA403}"/>
    <cellStyle name="Comma 7 3 2 2 3 3" xfId="25547" xr:uid="{EFC59D73-E1DB-4083-AC6B-5511F1AE4772}"/>
    <cellStyle name="Comma 7 3 2 2 3 3 2" xfId="30139" xr:uid="{DCA68E76-2FB6-4270-BB4D-E01E1E038F4F}"/>
    <cellStyle name="Comma 7 3 2 2 3 4" xfId="30252" xr:uid="{D4AE542F-183D-4DA4-9276-3817C0DF640E}"/>
    <cellStyle name="Comma 7 3 2 2 4" xfId="1740" xr:uid="{00000000-0005-0000-0000-0000B4020000}"/>
    <cellStyle name="Comma 7 3 2 2 4 2" xfId="26934" xr:uid="{BB2C93DE-0EA2-4180-8F0A-5D7729C94327}"/>
    <cellStyle name="Comma 7 3 2 2 4 3" xfId="26331" xr:uid="{4B7EA0F0-A874-4A7A-AA17-A511659378B1}"/>
    <cellStyle name="Comma 7 3 2 2 5" xfId="4266" xr:uid="{BE4A8A92-9203-46B3-B75D-3A4CB87D4F4D}"/>
    <cellStyle name="Comma 7 3 2 2 5 2" xfId="9038" xr:uid="{C08D1657-5658-4B6B-8203-E95C87A7EE0F}"/>
    <cellStyle name="Comma 7 3 2 2 5 2 2" xfId="19418" xr:uid="{193556DE-658A-4F7A-A754-49E699E99DD2}"/>
    <cellStyle name="Comma 7 3 2 2 5 3" xfId="11871" xr:uid="{65A826F5-8FEE-4850-B3C9-DA934B07DBE8}"/>
    <cellStyle name="Comma 7 3 2 2 5 3 2" xfId="22251" xr:uid="{E2266970-DA3E-4959-8D54-961246D0F065}"/>
    <cellStyle name="Comma 7 3 2 2 5 4" xfId="26679" xr:uid="{472FD8A8-2C5E-4413-8C69-428CD7929C68}"/>
    <cellStyle name="Comma 7 3 2 2 5 5" xfId="26536" xr:uid="{351CB8E7-5286-4BB0-8673-78588533E161}"/>
    <cellStyle name="Comma 7 3 2 2 5 6" xfId="16585" xr:uid="{81230DBA-C8ED-4D42-A9E2-A4D137B251E9}"/>
    <cellStyle name="Comma 7 3 2 2 6" xfId="4903" xr:uid="{7B56B96F-699C-47E9-94EB-3A4B767766E9}"/>
    <cellStyle name="Comma 7 3 2 2 6 2" xfId="26151" xr:uid="{DDD6984B-7B18-4C4B-AB55-6355383E7D09}"/>
    <cellStyle name="Comma 7 3 2 2 6 3" xfId="26129" xr:uid="{5B4B9ED0-FD2E-46B2-8091-38B732BF4709}"/>
    <cellStyle name="Comma 7 3 2 2 6 4" xfId="14195" xr:uid="{BCD3727D-14D3-40FC-A791-A68EA4028E6F}"/>
    <cellStyle name="Comma 7 3 2 2 7" xfId="6648" xr:uid="{29FE4C2C-EEC4-467A-BF12-CE2217AF91BE}"/>
    <cellStyle name="Comma 7 3 2 2 7 2" xfId="17028" xr:uid="{BEF2A5CC-C727-49F5-B650-1B971840249F}"/>
    <cellStyle name="Comma 7 3 2 2 8" xfId="9481" xr:uid="{5D6F5411-B2B2-4E75-87E2-ADCDB1886AD9}"/>
    <cellStyle name="Comma 7 3 2 2 8 2" xfId="19861" xr:uid="{6B762266-62EC-4F54-BA17-62DC45832362}"/>
    <cellStyle name="Comma 7 3 2 2 9" xfId="25000" xr:uid="{CD0FD5A6-656A-4CF3-A237-BEBAC252C9C9}"/>
    <cellStyle name="Comma 7 3 2 3" xfId="1743" xr:uid="{00000000-0005-0000-0000-0000B5020000}"/>
    <cellStyle name="Comma 7 3 2 3 2" xfId="3064" xr:uid="{00000000-0005-0000-0000-000020020000}"/>
    <cellStyle name="Comma 7 3 2 3 2 2" xfId="8144" xr:uid="{ACBA072B-CD7A-46B4-ACF4-B6F5FE59E664}"/>
    <cellStyle name="Comma 7 3 2 3 2 2 2" xfId="28819" xr:uid="{FEB05874-AA96-4C3A-A40E-2F3718A94053}"/>
    <cellStyle name="Comma 7 3 2 3 2 2 3" xfId="26424" xr:uid="{321BC57C-4929-4F2A-AB8B-8BF5596252F8}"/>
    <cellStyle name="Comma 7 3 2 3 2 2 4" xfId="18524" xr:uid="{D3EEF176-327A-408E-9BBB-8C3BDE6169C5}"/>
    <cellStyle name="Comma 7 3 2 3 2 3" xfId="10977" xr:uid="{68A0D4CE-7B5F-4751-AD30-677DD43AEC23}"/>
    <cellStyle name="Comma 7 3 2 3 2 3 2" xfId="21357" xr:uid="{DEE53771-88FE-4FB5-A0AF-18B4F08C6191}"/>
    <cellStyle name="Comma 7 3 2 3 2 4" xfId="24202" xr:uid="{5ACDC300-80F5-4574-AE4B-BA33D74AD79A}"/>
    <cellStyle name="Comma 7 3 2 3 2 5" xfId="15691" xr:uid="{27EAE8BC-0A57-4EFA-AD9A-F5DE29E0748A}"/>
    <cellStyle name="Comma 7 3 2 3 3" xfId="3653" xr:uid="{00000000-0005-0000-0000-0000B5020000}"/>
    <cellStyle name="Comma 7 3 2 3 4" xfId="4412" xr:uid="{5056B530-ACD4-453B-8107-ABB5E9A56790}"/>
    <cellStyle name="Comma 7 3 2 3 4 2" xfId="9184" xr:uid="{C3146450-A1D4-429D-8CC8-A6F95F5248A2}"/>
    <cellStyle name="Comma 7 3 2 3 4 2 2" xfId="19564" xr:uid="{1D5F4487-1D7E-4A76-87B7-7F52D3672BAB}"/>
    <cellStyle name="Comma 7 3 2 3 4 3" xfId="12017" xr:uid="{4B9D60CC-1558-4CF5-85C0-E6BAED389BB9}"/>
    <cellStyle name="Comma 7 3 2 3 4 3 2" xfId="22397" xr:uid="{BC6F709E-E6B6-4751-BD45-053EF2E4C980}"/>
    <cellStyle name="Comma 7 3 2 3 4 4" xfId="16731" xr:uid="{986E52A3-796D-4892-814E-09F7E748C9CE}"/>
    <cellStyle name="Comma 7 3 2 3 5" xfId="5621" xr:uid="{B1F56D63-FE69-44E6-98FB-5F3EF823EE62}"/>
    <cellStyle name="Comma 7 3 2 3 5 2" xfId="29922" xr:uid="{007F3390-04D6-4023-BB6E-47A6FE6A7B77}"/>
    <cellStyle name="Comma 7 3 2 3 6" xfId="25216" xr:uid="{154D43D2-A138-420D-A033-02AEFF17C681}"/>
    <cellStyle name="Comma 7 3 2 3 7" xfId="13572" xr:uid="{ED17B5BE-5DC5-41C0-B8EA-E786ED290D87}"/>
    <cellStyle name="Comma 7 3 2 4" xfId="1744" xr:uid="{00000000-0005-0000-0000-0000B6020000}"/>
    <cellStyle name="Comma 7 3 2 4 2" xfId="3062" xr:uid="{00000000-0005-0000-0000-000021020000}"/>
    <cellStyle name="Comma 7 3 2 4 2 2" xfId="8142" xr:uid="{F13E98B3-100B-4B0D-95AB-C4F15D236966}"/>
    <cellStyle name="Comma 7 3 2 4 2 2 2" xfId="28817" xr:uid="{36EB78DD-72C5-4617-8665-328D7D513FE6}"/>
    <cellStyle name="Comma 7 3 2 4 2 2 3" xfId="28599" xr:uid="{A6A52FA0-55DD-4771-97D5-B1F70AAD1644}"/>
    <cellStyle name="Comma 7 3 2 4 2 2 4" xfId="18522" xr:uid="{B93A7AAA-832D-4AB4-8EFB-597F00FF11D4}"/>
    <cellStyle name="Comma 7 3 2 4 2 3" xfId="10975" xr:uid="{17D2B5AD-77A7-4E67-A256-1029155F93D9}"/>
    <cellStyle name="Comma 7 3 2 4 2 3 2" xfId="21355" xr:uid="{7041785A-7A25-413F-A5DB-0CE2C42167D9}"/>
    <cellStyle name="Comma 7 3 2 4 2 4" xfId="25467" xr:uid="{597C771E-BB4A-4233-82D8-4728BD2A2410}"/>
    <cellStyle name="Comma 7 3 2 4 2 5" xfId="15689" xr:uid="{DF33B1DB-3AC8-4F7D-80FA-CD346F7437F2}"/>
    <cellStyle name="Comma 7 3 2 4 3" xfId="3646" xr:uid="{00000000-0005-0000-0000-0000B6020000}"/>
    <cellStyle name="Comma 7 3 2 4 4" xfId="5622" xr:uid="{4CBC5550-7EB1-496E-BF60-43A6D36D04BB}"/>
    <cellStyle name="Comma 7 3 2 4 4 2" xfId="30188" xr:uid="{65CB2697-5BB5-4A98-BC69-452B4349CE2E}"/>
    <cellStyle name="Comma 7 3 2 4 5" xfId="23477" xr:uid="{AB89610E-F3F8-48F9-972C-144B7BDA3CA3}"/>
    <cellStyle name="Comma 7 3 2 4 6" xfId="13570" xr:uid="{29B1F7CA-6AF3-4C00-B1CA-F2A4C220A07E}"/>
    <cellStyle name="Comma 7 3 2 5" xfId="1739" xr:uid="{00000000-0005-0000-0000-0000B7020000}"/>
    <cellStyle name="Comma 7 3 2 5 2" xfId="2530" xr:uid="{00000000-0005-0000-0000-000022020000}"/>
    <cellStyle name="Comma 7 3 2 5 2 2" xfId="7655" xr:uid="{A0E9BFAD-9D8A-4AEE-91DE-9322FF827AA5}"/>
    <cellStyle name="Comma 7 3 2 5 2 2 2" xfId="18035" xr:uid="{E5039BBF-2D65-4D40-9E6C-7C636B16957D}"/>
    <cellStyle name="Comma 7 3 2 5 2 3" xfId="10488" xr:uid="{35B5DE7E-91A0-47CA-8BA5-FB1F6C6FF05D}"/>
    <cellStyle name="Comma 7 3 2 5 2 3 2" xfId="20868" xr:uid="{96864E27-D39C-4DBD-8DFF-A6044A4EF7A4}"/>
    <cellStyle name="Comma 7 3 2 5 2 4" xfId="27810" xr:uid="{761487A3-48A8-4ADB-AC6D-7E1BE69C1CC4}"/>
    <cellStyle name="Comma 7 3 2 5 2 5" xfId="26158" xr:uid="{B4B66CE1-B6F2-4F67-8423-F1AADE9D1483}"/>
    <cellStyle name="Comma 7 3 2 5 2 6" xfId="15202" xr:uid="{A8870507-7518-4BCB-9454-327410C422C3}"/>
    <cellStyle name="Comma 7 3 2 5 3" xfId="3605" xr:uid="{00000000-0005-0000-0000-0000B7020000}"/>
    <cellStyle name="Comma 7 3 2 5 4" xfId="5619" xr:uid="{CB2AB5E2-79BE-4286-B19B-C00594332EC1}"/>
    <cellStyle name="Comma 7 3 2 5 4 2" xfId="30109" xr:uid="{49A26EB4-69A0-4246-AFA8-4FA3B22171BE}"/>
    <cellStyle name="Comma 7 3 2 5 5" xfId="24098" xr:uid="{3BFF258C-BC50-4BCC-9B63-6245FE626A5E}"/>
    <cellStyle name="Comma 7 3 2 5 6" xfId="12918" xr:uid="{E6139DF9-D78A-4089-AB4B-9DCD81B11CFB}"/>
    <cellStyle name="Comma 7 3 2 6" xfId="2284" xr:uid="{00000000-0005-0000-0000-00001D020000}"/>
    <cellStyle name="Comma 7 3 2 6 2" xfId="7411" xr:uid="{A7E362AD-5D73-4E3D-B12B-A277A2FDD2F7}"/>
    <cellStyle name="Comma 7 3 2 6 2 2" xfId="17791" xr:uid="{C5AD4C1E-DDD6-4310-B015-606B4FC97896}"/>
    <cellStyle name="Comma 7 3 2 6 3" xfId="10244" xr:uid="{25D427EB-0150-4447-B639-81B1ACDD4E31}"/>
    <cellStyle name="Comma 7 3 2 6 3 2" xfId="20624" xr:uid="{5A66325E-2258-4062-A820-01F53545E615}"/>
    <cellStyle name="Comma 7 3 2 6 4" xfId="24168" xr:uid="{DDFA4CD8-FD8A-4866-B882-62E98133B4D3}"/>
    <cellStyle name="Comma 7 3 2 6 5" xfId="27868" xr:uid="{74DA4B86-DD9C-4196-8B94-6AB9B111BD0A}"/>
    <cellStyle name="Comma 7 3 2 6 6" xfId="14958" xr:uid="{76F9AC0A-5FF2-4D61-A9F9-D36AB4988D8F}"/>
    <cellStyle name="Comma 7 3 2 7" xfId="3823" xr:uid="{03ECEEC2-4353-437D-B316-8B68B00D3AF0}"/>
    <cellStyle name="Comma 7 3 2 7 2" xfId="8656" xr:uid="{FC321E94-E0DF-422E-9D21-379A6AB43E52}"/>
    <cellStyle name="Comma 7 3 2 7 2 2" xfId="19036" xr:uid="{C9377AC6-D02C-42F7-934A-E35C081CB37A}"/>
    <cellStyle name="Comma 7 3 2 7 3" xfId="11489" xr:uid="{7226042D-36BD-4626-9A09-7C3B0CAC6E9D}"/>
    <cellStyle name="Comma 7 3 2 7 3 2" xfId="21869" xr:uid="{56C6763E-4B23-45A2-8980-96AF0AA2DB66}"/>
    <cellStyle name="Comma 7 3 2 7 4" xfId="26014" xr:uid="{95B82187-8DAE-4F1F-9CCC-8243F0699F75}"/>
    <cellStyle name="Comma 7 3 2 7 5" xfId="28239" xr:uid="{D3D7B5F8-DBFA-4AE4-9090-2AF00756E508}"/>
    <cellStyle name="Comma 7 3 2 7 6" xfId="16203" xr:uid="{7340033E-29D4-4F59-9CD9-CD63A94CB483}"/>
    <cellStyle name="Comma 7 3 2 8" xfId="4902" xr:uid="{D494B231-3065-46A7-991F-77B5E1F38C95}"/>
    <cellStyle name="Comma 7 3 2 8 2" xfId="14194" xr:uid="{5D90722A-B20C-4A66-8ED3-5FC56E73A155}"/>
    <cellStyle name="Comma 7 3 2 9" xfId="6647" xr:uid="{53D4C5DF-D7F4-457D-B25E-535083C5157C}"/>
    <cellStyle name="Comma 7 3 2 9 2" xfId="17027" xr:uid="{35C18319-1AA8-4812-83DF-51B3D28E8D33}"/>
    <cellStyle name="Comma 7 3 3" xfId="513" xr:uid="{00000000-0005-0000-0000-0000B8020000}"/>
    <cellStyle name="Comma 7 3 3 10" xfId="24380" xr:uid="{B095ED9A-E6A6-4358-8D41-6CAC37D9ACA2}"/>
    <cellStyle name="Comma 7 3 3 11" xfId="12674" xr:uid="{276D5E48-B257-4623-AE96-58A3FF637E22}"/>
    <cellStyle name="Comma 7 3 3 2" xfId="1746" xr:uid="{00000000-0005-0000-0000-0000B9020000}"/>
    <cellStyle name="Comma 7 3 3 2 2" xfId="3066" xr:uid="{00000000-0005-0000-0000-000025020000}"/>
    <cellStyle name="Comma 7 3 3 2 2 2" xfId="6168" xr:uid="{6D673163-7F25-45B7-9AA1-F6BAB70BA1AD}"/>
    <cellStyle name="Comma 7 3 3 2 2 2 2" xfId="23052" xr:uid="{3960C535-C0D5-4AAD-ACC0-5FE123D84B57}"/>
    <cellStyle name="Comma 7 3 3 2 2 2 2 2" xfId="26322" xr:uid="{4870EA76-F278-4954-BBA8-4B0853FD14F6}"/>
    <cellStyle name="Comma 7 3 3 2 2 2 3" xfId="26303" xr:uid="{6B2C95C1-CA89-4886-9BAE-53679966970B}"/>
    <cellStyle name="Comma 7 3 3 2 2 2 4" xfId="15693" xr:uid="{C39F6264-43EB-45C0-998C-85F1B14F8777}"/>
    <cellStyle name="Comma 7 3 3 2 2 3" xfId="8146" xr:uid="{60F0084C-47A1-450C-B35D-E978A9728065}"/>
    <cellStyle name="Comma 7 3 3 2 2 3 2" xfId="28821" xr:uid="{60E0681C-3332-429E-98C5-E11F9FC3CE26}"/>
    <cellStyle name="Comma 7 3 3 2 2 3 3" xfId="27424" xr:uid="{14737B44-BF9A-4743-B7D7-A60C8B86DAF2}"/>
    <cellStyle name="Comma 7 3 3 2 2 3 4" xfId="18526" xr:uid="{7CF3DAF5-3F6F-4D6E-B0B5-15E00C091941}"/>
    <cellStyle name="Comma 7 3 3 2 2 4" xfId="10979" xr:uid="{3FB21C9B-FA96-4101-920C-B027AB8E0F7B}"/>
    <cellStyle name="Comma 7 3 3 2 2 4 2" xfId="21359" xr:uid="{88877E39-FB71-4E1D-891D-DD615B3A7B4E}"/>
    <cellStyle name="Comma 7 3 3 2 2 5" xfId="25259" xr:uid="{583F0785-B153-484B-9205-7C521E7A9F90}"/>
    <cellStyle name="Comma 7 3 3 2 2 6" xfId="13574" xr:uid="{71064039-8554-45CF-B9BA-3AF98EDAA231}"/>
    <cellStyle name="Comma 7 3 3 2 3" xfId="2681" xr:uid="{00000000-0005-0000-0000-000024020000}"/>
    <cellStyle name="Comma 7 3 3 2 3 2" xfId="7805" xr:uid="{8025719D-927B-4FD9-B8D0-B054039F4F04}"/>
    <cellStyle name="Comma 7 3 3 2 3 2 2" xfId="28549" xr:uid="{B29A9760-6D5F-4B66-8E5E-0E6086D21D40}"/>
    <cellStyle name="Comma 7 3 3 2 3 2 3" xfId="27650" xr:uid="{452DB3A7-01EF-48C3-AD82-EBD49103C8CF}"/>
    <cellStyle name="Comma 7 3 3 2 3 2 4" xfId="18185" xr:uid="{ED409F29-2503-4DF3-9088-B6B4336573B3}"/>
    <cellStyle name="Comma 7 3 3 2 3 3" xfId="10638" xr:uid="{334BFA20-B957-4785-8CFD-5C5BF7E0DD1C}"/>
    <cellStyle name="Comma 7 3 3 2 3 3 2" xfId="21018" xr:uid="{6155405E-6973-4929-BC09-07F196DABC0A}"/>
    <cellStyle name="Comma 7 3 3 2 3 4" xfId="24719" xr:uid="{9D9FA5ED-78ED-4CB5-B534-5C3F9B30C509}"/>
    <cellStyle name="Comma 7 3 3 2 3 5" xfId="15352" xr:uid="{A94BBE13-A7CE-4EA9-B51D-41D660B6391A}"/>
    <cellStyle name="Comma 7 3 3 2 4" xfId="2064" xr:uid="{00000000-0005-0000-0000-0000B9020000}"/>
    <cellStyle name="Comma 7 3 3 2 5" xfId="4267" xr:uid="{2D091ED4-EBAB-425A-9D32-765D1829A55C}"/>
    <cellStyle name="Comma 7 3 3 2 5 2" xfId="9039" xr:uid="{60436DBA-7D9B-4783-8D98-40974DC07353}"/>
    <cellStyle name="Comma 7 3 3 2 5 2 2" xfId="19419" xr:uid="{5818C368-9E63-4A42-8663-D5347873C583}"/>
    <cellStyle name="Comma 7 3 3 2 5 3" xfId="11872" xr:uid="{2D763480-9900-4BAF-89BD-548D43463C10}"/>
    <cellStyle name="Comma 7 3 3 2 5 3 2" xfId="22252" xr:uid="{A0785BF4-0595-412C-AC40-3B49CB0B9445}"/>
    <cellStyle name="Comma 7 3 3 2 5 4" xfId="26973" xr:uid="{155FA4AD-2CAE-499D-AD34-4A92FCFAB834}"/>
    <cellStyle name="Comma 7 3 3 2 5 5" xfId="27009" xr:uid="{42CCFA58-44B3-4334-BC5C-52448E92816B}"/>
    <cellStyle name="Comma 7 3 3 2 5 6" xfId="16586" xr:uid="{6EFF85A7-D7C1-484B-B8FA-83F6F12B824F}"/>
    <cellStyle name="Comma 7 3 3 2 6" xfId="5624" xr:uid="{A2D3013C-BE82-4915-92F9-26D6E8EE4189}"/>
    <cellStyle name="Comma 7 3 3 2 6 2" xfId="29955" xr:uid="{03042B4D-1157-4D6C-8BB5-88BADF6A7443}"/>
    <cellStyle name="Comma 7 3 3 2 7" xfId="23606" xr:uid="{B41E808F-419D-4112-B57C-FE262ACDB723}"/>
    <cellStyle name="Comma 7 3 3 2 8" xfId="13091" xr:uid="{69C5B4E4-141E-4936-8947-D86E9DB215A7}"/>
    <cellStyle name="Comma 7 3 3 3" xfId="1747" xr:uid="{00000000-0005-0000-0000-0000BA020000}"/>
    <cellStyle name="Comma 7 3 3 3 2" xfId="3067" xr:uid="{00000000-0005-0000-0000-000026020000}"/>
    <cellStyle name="Comma 7 3 3 3 2 2" xfId="8147" xr:uid="{4CEC2DAE-59CC-41E6-9646-DCE43190F6F2}"/>
    <cellStyle name="Comma 7 3 3 3 2 2 2" xfId="28822" xr:uid="{E6AEBC26-2139-41EF-BF0E-6B894FFE6D4B}"/>
    <cellStyle name="Comma 7 3 3 3 2 2 3" xfId="27127" xr:uid="{97775F3B-4113-4C11-BAE6-4697DEEDE1B0}"/>
    <cellStyle name="Comma 7 3 3 3 2 2 4" xfId="18527" xr:uid="{FE9E3587-2DFB-4794-AF77-F275E407F326}"/>
    <cellStyle name="Comma 7 3 3 3 2 3" xfId="10980" xr:uid="{8076B583-2B96-4440-8848-174D54D15947}"/>
    <cellStyle name="Comma 7 3 3 3 2 3 2" xfId="21360" xr:uid="{67EF6649-A77E-4EA8-82A8-3E1ECA01B454}"/>
    <cellStyle name="Comma 7 3 3 3 2 4" xfId="25806" xr:uid="{4C1BCBBD-3DB1-4BFC-8D07-489BC0A36833}"/>
    <cellStyle name="Comma 7 3 3 3 2 5" xfId="15694" xr:uid="{1C54CB16-3831-4652-8659-275E82814D49}"/>
    <cellStyle name="Comma 7 3 3 3 3" xfId="3660" xr:uid="{00000000-0005-0000-0000-0000BA020000}"/>
    <cellStyle name="Comma 7 3 3 3 4" xfId="4413" xr:uid="{C4ADDF44-032A-408C-84C3-86FFFE4E4013}"/>
    <cellStyle name="Comma 7 3 3 3 4 2" xfId="9185" xr:uid="{42AC00F0-9492-4676-BDB2-357D3B18E427}"/>
    <cellStyle name="Comma 7 3 3 3 4 2 2" xfId="19565" xr:uid="{BC7263AB-8221-4FB6-AD8D-910D472E8471}"/>
    <cellStyle name="Comma 7 3 3 3 4 3" xfId="12018" xr:uid="{8793FEAC-978C-441F-969E-0319CEF0B5C5}"/>
    <cellStyle name="Comma 7 3 3 3 4 3 2" xfId="22398" xr:uid="{6DE8221E-12FE-4309-B6B4-8BE2DE924522}"/>
    <cellStyle name="Comma 7 3 3 3 4 4" xfId="16732" xr:uid="{7FBD3671-E1EF-41B2-87B9-392F9A153064}"/>
    <cellStyle name="Comma 7 3 3 3 5" xfId="5625" xr:uid="{4B07D9D7-1EC9-4371-972C-5A57C883344A}"/>
    <cellStyle name="Comma 7 3 3 3 5 2" xfId="29938" xr:uid="{1D5B7076-82AF-45F0-90ED-7EB689813B37}"/>
    <cellStyle name="Comma 7 3 3 3 6" xfId="25367" xr:uid="{85FC2800-D224-481E-B797-ADD3E02151AE}"/>
    <cellStyle name="Comma 7 3 3 3 7" xfId="13575" xr:uid="{7F1783B6-DD95-4E74-AD72-A664F26C4E68}"/>
    <cellStyle name="Comma 7 3 3 4" xfId="1745" xr:uid="{00000000-0005-0000-0000-0000BB020000}"/>
    <cellStyle name="Comma 7 3 3 4 2" xfId="3065" xr:uid="{00000000-0005-0000-0000-000027020000}"/>
    <cellStyle name="Comma 7 3 3 4 2 2" xfId="8145" xr:uid="{4D74363D-0D00-4E7B-897E-59E3B5B44DBC}"/>
    <cellStyle name="Comma 7 3 3 4 2 2 2" xfId="28820" xr:uid="{9F37E984-F48E-4584-AD19-87C55845FBD4}"/>
    <cellStyle name="Comma 7 3 3 4 2 2 3" xfId="26378" xr:uid="{61BE0BF0-831D-405E-B879-9B9756EAFA22}"/>
    <cellStyle name="Comma 7 3 3 4 2 2 4" xfId="18525" xr:uid="{126C449A-9FBD-47E7-AF9C-2B8653641DD4}"/>
    <cellStyle name="Comma 7 3 3 4 2 3" xfId="10978" xr:uid="{BE834253-CA93-4A8C-B698-F251AD5E218A}"/>
    <cellStyle name="Comma 7 3 3 4 2 3 2" xfId="21358" xr:uid="{079D4537-C508-4A8A-916D-10673C4F3264}"/>
    <cellStyle name="Comma 7 3 3 4 2 4" xfId="25823" xr:uid="{1AC7B645-3C68-475E-B23A-FFD3F1E4DC13}"/>
    <cellStyle name="Comma 7 3 3 4 2 5" xfId="15692" xr:uid="{45B48ACC-05C7-4A8D-9343-9C4B23292EA2}"/>
    <cellStyle name="Comma 7 3 3 4 3" xfId="3573" xr:uid="{00000000-0005-0000-0000-0000BB020000}"/>
    <cellStyle name="Comma 7 3 3 4 4" xfId="5623" xr:uid="{2F7F323B-1E99-4199-9FD5-7182F60C697E}"/>
    <cellStyle name="Comma 7 3 3 4 4 2" xfId="30190" xr:uid="{436D198A-56D9-4498-BDCE-929F8949AF15}"/>
    <cellStyle name="Comma 7 3 3 4 5" xfId="23253" xr:uid="{D1618A0B-CB18-46B0-B923-3602E8C2202D}"/>
    <cellStyle name="Comma 7 3 3 4 6" xfId="13573" xr:uid="{2CB183F8-626F-484D-9139-18CA7C95B02A}"/>
    <cellStyle name="Comma 7 3 3 5" xfId="2633" xr:uid="{00000000-0005-0000-0000-000028020000}"/>
    <cellStyle name="Comma 7 3 3 5 2" xfId="5895" xr:uid="{36676AAB-8552-4649-A040-455FB81B4509}"/>
    <cellStyle name="Comma 7 3 3 5 2 2" xfId="28726" xr:uid="{61EA2F39-58EF-4AA1-8414-4464AAC1F37B}"/>
    <cellStyle name="Comma 7 3 3 5 2 3" xfId="27166" xr:uid="{4199FBA4-6D09-484B-8FA6-B61397EA8990}"/>
    <cellStyle name="Comma 7 3 3 5 2 4" xfId="15305" xr:uid="{4EE41382-F934-470E-9BCF-026038F49CA2}"/>
    <cellStyle name="Comma 7 3 3 5 3" xfId="7758" xr:uid="{F84413E1-A4AA-46F3-AA5C-C96CE57F48D3}"/>
    <cellStyle name="Comma 7 3 3 5 3 2" xfId="18138" xr:uid="{D90FC7A3-6858-4F70-8F1E-560A2F4D637F}"/>
    <cellStyle name="Comma 7 3 3 5 4" xfId="10591" xr:uid="{98B11636-9509-4EB7-AE8E-0F7E429A0886}"/>
    <cellStyle name="Comma 7 3 3 5 4 2" xfId="20971" xr:uid="{5F169CDB-BD8C-42AB-A687-B6B96BB97414}"/>
    <cellStyle name="Comma 7 3 3 5 5" xfId="23483" xr:uid="{673B89A2-D9A0-4FB6-829E-981024FA279C}"/>
    <cellStyle name="Comma 7 3 3 5 6" xfId="13021" xr:uid="{98B80837-74CF-4003-800B-FE911047C733}"/>
    <cellStyle name="Comma 7 3 3 6" xfId="4130" xr:uid="{757E601D-C209-4CC5-B656-FFAD7B959A42}"/>
    <cellStyle name="Comma 7 3 3 6 2" xfId="8902" xr:uid="{5B3322E2-9EA7-488B-A54E-4F4A79181686}"/>
    <cellStyle name="Comma 7 3 3 6 2 2" xfId="19282" xr:uid="{EEFD30C4-AED4-4D30-8063-D9B6773E4020}"/>
    <cellStyle name="Comma 7 3 3 6 3" xfId="11735" xr:uid="{E396CB88-FFB8-4CFA-8A42-4E5A7370436D}"/>
    <cellStyle name="Comma 7 3 3 6 3 2" xfId="22115" xr:uid="{304CCAD5-770C-41DC-AAC1-56089804D1CD}"/>
    <cellStyle name="Comma 7 3 3 6 4" xfId="25374" xr:uid="{409B246B-C7BF-4347-9604-D47376DB26DA}"/>
    <cellStyle name="Comma 7 3 3 6 5" xfId="26399" xr:uid="{89FE9C46-DA7B-41BF-BD96-9AE917FBE012}"/>
    <cellStyle name="Comma 7 3 3 6 6" xfId="16449" xr:uid="{EDA4B454-3F8F-45CD-A3A4-D8172BE7DA33}"/>
    <cellStyle name="Comma 7 3 3 7" xfId="4904" xr:uid="{7D2A297D-B50D-4072-9432-83DFC3A3C81C}"/>
    <cellStyle name="Comma 7 3 3 7 2" xfId="28270" xr:uid="{B23DF960-54C1-4930-943A-4B16F930C9D5}"/>
    <cellStyle name="Comma 7 3 3 7 3" xfId="26999" xr:uid="{35F7C694-B2D9-4D6C-92D2-583AC0731BB4}"/>
    <cellStyle name="Comma 7 3 3 7 4" xfId="14196" xr:uid="{43D57C78-9D72-49EA-83EC-86203BB79967}"/>
    <cellStyle name="Comma 7 3 3 8" xfId="6649" xr:uid="{801A5F16-1083-4E87-8B88-1308B3B0DFAB}"/>
    <cellStyle name="Comma 7 3 3 8 2" xfId="17029" xr:uid="{1C7780A4-224B-4B89-BC7E-F3F188E97C49}"/>
    <cellStyle name="Comma 7 3 3 9" xfId="9482" xr:uid="{762E7001-323D-4976-9567-7268E23A04AB}"/>
    <cellStyle name="Comma 7 3 3 9 2" xfId="19862" xr:uid="{F6EACF00-00AA-498A-A183-4F83194EC5F5}"/>
    <cellStyle name="Comma 7 3 4" xfId="514" xr:uid="{00000000-0005-0000-0000-0000BC020000}"/>
    <cellStyle name="Comma 7 3 4 10" xfId="13089" xr:uid="{5D18A68E-661D-476A-94EC-6B141504A13B}"/>
    <cellStyle name="Comma 7 3 4 2" xfId="1749" xr:uid="{00000000-0005-0000-0000-0000BD020000}"/>
    <cellStyle name="Comma 7 3 4 2 2" xfId="3068" xr:uid="{00000000-0005-0000-0000-00002A020000}"/>
    <cellStyle name="Comma 7 3 4 2 2 2" xfId="8148" xr:uid="{F1931F2F-FA1E-4610-B819-B83AC5BC1B32}"/>
    <cellStyle name="Comma 7 3 4 2 2 2 2" xfId="28823" xr:uid="{2B34A51E-562E-47FB-AC6C-A9F13E5A62D8}"/>
    <cellStyle name="Comma 7 3 4 2 2 2 3" xfId="28050" xr:uid="{0AA50304-3480-4DF2-BC26-56196F86B5A1}"/>
    <cellStyle name="Comma 7 3 4 2 2 2 4" xfId="18528" xr:uid="{CFD02403-A5B3-4B34-9D98-25744920ABB0}"/>
    <cellStyle name="Comma 7 3 4 2 2 3" xfId="10981" xr:uid="{E51FA6A8-FAC5-4ECF-97FD-3899F69BAA92}"/>
    <cellStyle name="Comma 7 3 4 2 2 3 2" xfId="21361" xr:uid="{1DB3555B-03E2-42F0-8F73-B9E9BC7E756D}"/>
    <cellStyle name="Comma 7 3 4 2 2 4" xfId="25705" xr:uid="{1B9CE304-0B1C-421A-B852-66ECE11A42FD}"/>
    <cellStyle name="Comma 7 3 4 2 2 5" xfId="15695" xr:uid="{0059FB86-B8E1-47DF-B797-187EC693D0B9}"/>
    <cellStyle name="Comma 7 3 4 2 3" xfId="3567" xr:uid="{00000000-0005-0000-0000-0000BD020000}"/>
    <cellStyle name="Comma 7 3 4 2 4" xfId="5626" xr:uid="{827FF525-FDEF-478D-B14C-FAE5C7BAAA47}"/>
    <cellStyle name="Comma 7 3 4 2 4 2" xfId="30191" xr:uid="{C5ABAC57-A209-4D17-A9C3-F7CEAF6506A0}"/>
    <cellStyle name="Comma 7 3 4 2 5" xfId="23641" xr:uid="{26E0B30D-3726-4688-865B-D1F3204AE96E}"/>
    <cellStyle name="Comma 7 3 4 2 6" xfId="13576" xr:uid="{F4BA8690-D0E4-4844-9953-93C10169E306}"/>
    <cellStyle name="Comma 7 3 4 3" xfId="1750" xr:uid="{00000000-0005-0000-0000-0000BE020000}"/>
    <cellStyle name="Comma 7 3 4 3 2" xfId="3815" xr:uid="{ED0A20C0-851C-43CE-A244-08046447CC9F}"/>
    <cellStyle name="Comma 7 3 4 3 2 2" xfId="8649" xr:uid="{5743A404-81A7-4FC8-9A73-2CF43BBDF2C9}"/>
    <cellStyle name="Comma 7 3 4 3 2 2 2" xfId="19029" xr:uid="{F761ADC4-7297-49D4-9817-D82A827C461C}"/>
    <cellStyle name="Comma 7 3 4 3 2 3" xfId="11482" xr:uid="{6934031F-9FD8-49C2-B8A8-B2C64565D36A}"/>
    <cellStyle name="Comma 7 3 4 3 2 3 2" xfId="21862" xr:uid="{76527055-D680-47A1-9723-5EAC8171A51D}"/>
    <cellStyle name="Comma 7 3 4 3 2 4" xfId="28363" xr:uid="{69F5C42D-3BBD-48AB-8E63-2E21149E3188}"/>
    <cellStyle name="Comma 7 3 4 3 2 5" xfId="27960" xr:uid="{92A982AB-DFE7-450D-92F7-1A82914FB061}"/>
    <cellStyle name="Comma 7 3 4 3 2 6" xfId="16196" xr:uid="{D910A9D7-AD9D-4B05-B81B-13E8634ECBD0}"/>
    <cellStyle name="Comma 7 3 4 3 3" xfId="24322" xr:uid="{9A324CB1-B7DA-4131-BD6A-B17EB30DB498}"/>
    <cellStyle name="Comma 7 3 4 3 3 2" xfId="30138" xr:uid="{4E1281E8-7CBC-49C5-9798-D25791F4DDA7}"/>
    <cellStyle name="Comma 7 3 4 3 4" xfId="30251" xr:uid="{BD930DE9-FE21-4E42-9765-78218B61B7F1}"/>
    <cellStyle name="Comma 7 3 4 4" xfId="1748" xr:uid="{00000000-0005-0000-0000-0000BF020000}"/>
    <cellStyle name="Comma 7 3 4 5" xfId="4265" xr:uid="{6AC4C019-2C26-44B9-9EC3-E3E2D424E32A}"/>
    <cellStyle name="Comma 7 3 4 5 2" xfId="9037" xr:uid="{BA81BD57-2BE5-4DE4-A24B-9A95219BDEBB}"/>
    <cellStyle name="Comma 7 3 4 5 2 2" xfId="19417" xr:uid="{65304B97-A8D6-4B6E-87B2-4B6DC7C72B44}"/>
    <cellStyle name="Comma 7 3 4 5 3" xfId="11870" xr:uid="{A013C49C-ECA8-41BF-96B3-21AC6B269F3A}"/>
    <cellStyle name="Comma 7 3 4 5 3 2" xfId="22250" xr:uid="{38C1A6FF-C5F3-4E12-BE7A-E04070788C11}"/>
    <cellStyle name="Comma 7 3 4 5 4" xfId="27171" xr:uid="{521A88FC-A998-4017-B759-BC483B8ACAD1}"/>
    <cellStyle name="Comma 7 3 4 5 5" xfId="27645" xr:uid="{9E9C4CCF-96E0-4DBC-B421-7EC98AEB14A6}"/>
    <cellStyle name="Comma 7 3 4 5 6" xfId="16584" xr:uid="{FDCE4580-85C0-4BB6-BD76-D4661603676D}"/>
    <cellStyle name="Comma 7 3 4 6" xfId="4905" xr:uid="{114D2B95-BFD8-40C9-A1CB-957B05832063}"/>
    <cellStyle name="Comma 7 3 4 6 2" xfId="14197" xr:uid="{5BA9B63E-C96B-45DE-8274-2E83DCD2C710}"/>
    <cellStyle name="Comma 7 3 4 7" xfId="6650" xr:uid="{506C9779-95AC-4388-83FE-672925C1B02A}"/>
    <cellStyle name="Comma 7 3 4 7 2" xfId="17030" xr:uid="{EF752B79-A60E-4278-8C80-47B41BB97CC3}"/>
    <cellStyle name="Comma 7 3 4 8" xfId="9483" xr:uid="{6CF38CF9-56BB-4978-954E-7E8E65084293}"/>
    <cellStyle name="Comma 7 3 4 8 2" xfId="19863" xr:uid="{592F35B8-062A-4B9B-B09A-3D462665963C}"/>
    <cellStyle name="Comma 7 3 4 9" xfId="23023" xr:uid="{36677A31-1104-4492-9FE6-428E8689CAF8}"/>
    <cellStyle name="Comma 7 3 5" xfId="1751" xr:uid="{00000000-0005-0000-0000-0000C0020000}"/>
    <cellStyle name="Comma 7 3 5 2" xfId="3069" xr:uid="{00000000-0005-0000-0000-00002B020000}"/>
    <cellStyle name="Comma 7 3 5 2 2" xfId="8149" xr:uid="{2C8E21C5-1468-4AAC-9E90-7A13D1302FAA}"/>
    <cellStyle name="Comma 7 3 5 2 2 2" xfId="28824" xr:uid="{0BD52AC1-38D0-4C37-B305-D192EA862043}"/>
    <cellStyle name="Comma 7 3 5 2 2 3" xfId="26547" xr:uid="{8A656009-1284-4B9B-ADF3-ED1BC0BCC3F2}"/>
    <cellStyle name="Comma 7 3 5 2 2 4" xfId="18529" xr:uid="{128F5D68-5A9F-4E36-98C7-8BB7C0E561AD}"/>
    <cellStyle name="Comma 7 3 5 2 3" xfId="10982" xr:uid="{4DD23474-870F-4639-9FE4-AA6A0949A199}"/>
    <cellStyle name="Comma 7 3 5 2 3 2" xfId="21362" xr:uid="{A0882080-46B6-4B65-A5DA-7FD4934AA4B4}"/>
    <cellStyle name="Comma 7 3 5 2 4" xfId="24167" xr:uid="{A8908E9D-CF07-4CC3-93FE-F91D3CCF9DEE}"/>
    <cellStyle name="Comma 7 3 5 2 5" xfId="15696" xr:uid="{148F4EE9-281E-4E13-BB9F-538AA70BEA61}"/>
    <cellStyle name="Comma 7 3 5 3" xfId="3678" xr:uid="{00000000-0005-0000-0000-0000C0020000}"/>
    <cellStyle name="Comma 7 3 5 4" xfId="4414" xr:uid="{39A94735-439D-4714-8C97-340E07D9B1C2}"/>
    <cellStyle name="Comma 7 3 5 4 2" xfId="9186" xr:uid="{F1BC04F7-E54B-48FE-A1A1-A0DB777BD46E}"/>
    <cellStyle name="Comma 7 3 5 4 2 2" xfId="19566" xr:uid="{1394F04B-CC2D-457C-A8E1-742A6790E496}"/>
    <cellStyle name="Comma 7 3 5 4 3" xfId="12019" xr:uid="{706B6DB9-CD9A-4ED7-B159-DF49DA196DEE}"/>
    <cellStyle name="Comma 7 3 5 4 3 2" xfId="22399" xr:uid="{01A9F026-682A-4472-8503-0CDD994EBD1A}"/>
    <cellStyle name="Comma 7 3 5 4 4" xfId="16733" xr:uid="{C73CAD6C-19D9-4C6A-AF12-4F6E33F0C6C6}"/>
    <cellStyle name="Comma 7 3 5 5" xfId="5627" xr:uid="{2FADE1A1-156D-4770-A59C-1D5D492CFF56}"/>
    <cellStyle name="Comma 7 3 5 5 2" xfId="29917" xr:uid="{94479AE5-42DD-4AAA-BF1F-CF8A3EAEC375}"/>
    <cellStyle name="Comma 7 3 5 6" xfId="24707" xr:uid="{CD0367C6-2874-4187-83D9-9B0301BDED90}"/>
    <cellStyle name="Comma 7 3 5 7" xfId="13577" xr:uid="{31C08D88-46F6-44FC-9FAF-C7DFE5A5340F}"/>
    <cellStyle name="Comma 7 3 6" xfId="1752" xr:uid="{00000000-0005-0000-0000-0000C1020000}"/>
    <cellStyle name="Comma 7 3 6 2" xfId="2876" xr:uid="{00000000-0005-0000-0000-00002C020000}"/>
    <cellStyle name="Comma 7 3 6 2 2" xfId="7993" xr:uid="{18FB670C-B086-4649-A49B-AA84A527E1C5}"/>
    <cellStyle name="Comma 7 3 6 2 2 2" xfId="25914" xr:uid="{247261F7-32DF-4C9F-AFC6-1B08B1D6E65D}"/>
    <cellStyle name="Comma 7 3 6 2 2 3" xfId="27828" xr:uid="{DAA8CBF8-1F10-450B-9DE8-9200C3163FD1}"/>
    <cellStyle name="Comma 7 3 6 2 2 4" xfId="18373" xr:uid="{DEA785FC-D636-456D-AF50-1B6058F3F876}"/>
    <cellStyle name="Comma 7 3 6 2 3" xfId="10826" xr:uid="{B9BB6D5B-71C6-485F-AB66-710966D0D397}"/>
    <cellStyle name="Comma 7 3 6 2 3 2" xfId="21206" xr:uid="{3CA70379-CF4C-42E4-B4BE-D9DEA86B0B46}"/>
    <cellStyle name="Comma 7 3 6 2 4" xfId="25752" xr:uid="{F1D9F1EE-C37D-4DBC-9EBE-C21ECE231D19}"/>
    <cellStyle name="Comma 7 3 6 2 5" xfId="15540" xr:uid="{08D89368-48C2-4B55-BAE4-2E63BB5C19EB}"/>
    <cellStyle name="Comma 7 3 6 3" xfId="3584" xr:uid="{00000000-0005-0000-0000-0000C1020000}"/>
    <cellStyle name="Comma 7 3 6 4" xfId="5628" xr:uid="{5B76C98F-C0BF-4CF0-91A7-53BE3B77CE07}"/>
    <cellStyle name="Comma 7 3 6 4 2" xfId="30158" xr:uid="{B5E4ECD2-0A50-46CA-8666-504BB7A8BEDF}"/>
    <cellStyle name="Comma 7 3 6 5" xfId="25566" xr:uid="{337F0B91-D4CC-4CAA-B6E2-253217A3E564}"/>
    <cellStyle name="Comma 7 3 6 6" xfId="13372" xr:uid="{E5E7021E-60E4-49D3-852D-8B9CBD1B477D}"/>
    <cellStyle name="Comma 7 3 7" xfId="1738" xr:uid="{00000000-0005-0000-0000-0000C2020000}"/>
    <cellStyle name="Comma 7 3 7 2" xfId="2470" xr:uid="{00000000-0005-0000-0000-00002D020000}"/>
    <cellStyle name="Comma 7 3 7 2 2" xfId="7595" xr:uid="{7D845A15-6584-4DF0-BD6D-A91976089349}"/>
    <cellStyle name="Comma 7 3 7 2 2 2" xfId="17975" xr:uid="{3AB9C43A-0755-4D8E-9050-2315D93038AC}"/>
    <cellStyle name="Comma 7 3 7 2 3" xfId="10428" xr:uid="{DD76E025-B3B3-4322-8BD0-B8844AAC6C67}"/>
    <cellStyle name="Comma 7 3 7 2 3 2" xfId="20808" xr:uid="{D23E06C4-78BF-428D-8406-91208AE2099D}"/>
    <cellStyle name="Comma 7 3 7 2 4" xfId="28403" xr:uid="{DC6320A0-6526-4250-87A3-7B1F7EEDCB45}"/>
    <cellStyle name="Comma 7 3 7 2 5" xfId="26971" xr:uid="{A42A7536-2CC4-4B9F-AC77-C927C7495088}"/>
    <cellStyle name="Comma 7 3 7 2 6" xfId="15142" xr:uid="{A8223C2E-A5D3-46BC-8E03-DE32AA84F113}"/>
    <cellStyle name="Comma 7 3 7 3" xfId="3669" xr:uid="{00000000-0005-0000-0000-0000C2020000}"/>
    <cellStyle name="Comma 7 3 7 4" xfId="5618" xr:uid="{354E9452-958D-4758-AD14-FEC309CF6342}"/>
    <cellStyle name="Comma 7 3 7 4 2" xfId="30097" xr:uid="{9EEFFD75-780E-466F-9A8B-AEEE5D8A881B}"/>
    <cellStyle name="Comma 7 3 7 5" xfId="22982" xr:uid="{EAAC60EF-B43A-4315-839E-C8B32C50A659}"/>
    <cellStyle name="Comma 7 3 7 6" xfId="12858" xr:uid="{682832E8-95F6-45C8-B43E-58421DD09B80}"/>
    <cellStyle name="Comma 7 3 8" xfId="2224" xr:uid="{00000000-0005-0000-0000-00001C020000}"/>
    <cellStyle name="Comma 7 3 8 2" xfId="7351" xr:uid="{5BC9C21F-183C-4FCE-B8EC-B1B634F9922A}"/>
    <cellStyle name="Comma 7 3 8 2 2" xfId="17731" xr:uid="{1DA734C9-A914-4B89-AFB7-487EBECE364A}"/>
    <cellStyle name="Comma 7 3 8 3" xfId="10184" xr:uid="{2FE99FB6-ECE3-41F4-A934-2F4B90A9C4AB}"/>
    <cellStyle name="Comma 7 3 8 3 2" xfId="20564" xr:uid="{92D13FE9-41BC-4343-9B57-06EAC4534CC4}"/>
    <cellStyle name="Comma 7 3 8 4" xfId="24239" xr:uid="{50855620-BD9B-4122-94BD-2F28CAC11815}"/>
    <cellStyle name="Comma 7 3 8 5" xfId="28643" xr:uid="{ED54405B-B91D-40A4-B0B2-45B0F7BED97A}"/>
    <cellStyle name="Comma 7 3 8 6" xfId="14898" xr:uid="{C5B9B326-55FB-47B5-A3D1-FA1DBA274FDB}"/>
    <cellStyle name="Comma 7 3 9" xfId="3871" xr:uid="{C8A0FAA5-9B7E-4CC6-B126-396DBCBEC0DE}"/>
    <cellStyle name="Comma 7 3 9 2" xfId="8703" xr:uid="{B46FEDDD-A828-4163-B92F-2055CBDEAEB4}"/>
    <cellStyle name="Comma 7 3 9 2 2" xfId="19083" xr:uid="{2034E241-4243-4FAB-90CD-B6EA1F0064C3}"/>
    <cellStyle name="Comma 7 3 9 3" xfId="11536" xr:uid="{F2068EFC-51AD-4FB6-BB65-47749DB0186B}"/>
    <cellStyle name="Comma 7 3 9 3 2" xfId="21916" xr:uid="{2E3C1A11-E99F-4D94-AC42-0F11BDE77AC8}"/>
    <cellStyle name="Comma 7 3 9 4" xfId="25930" xr:uid="{209424B9-46B1-4177-B516-31E1C7847AA8}"/>
    <cellStyle name="Comma 7 3 9 5" xfId="27895" xr:uid="{A8450D4A-2A82-46E6-87BC-80C5ECBA7966}"/>
    <cellStyle name="Comma 7 3 9 6" xfId="16250" xr:uid="{B822606C-21C2-4CB7-955C-9119D754E584}"/>
    <cellStyle name="Comma 7 4" xfId="515" xr:uid="{00000000-0005-0000-0000-0000C3020000}"/>
    <cellStyle name="Comma 7 4 10" xfId="6651" xr:uid="{6CCB234B-3732-4180-9295-30246168D0DE}"/>
    <cellStyle name="Comma 7 4 10 2" xfId="17031" xr:uid="{FE944D4D-C8A5-46A0-B01B-C80842D62473}"/>
    <cellStyle name="Comma 7 4 11" xfId="9484" xr:uid="{50ABA6FC-08DB-406C-BB4A-54F32A4226BD}"/>
    <cellStyle name="Comma 7 4 11 2" xfId="19864" xr:uid="{C827654D-43F0-42CF-BC91-375B9C9A2DA5}"/>
    <cellStyle name="Comma 7 4 12" xfId="24802" xr:uid="{00BF0204-9762-4716-A551-48483A31603F}"/>
    <cellStyle name="Comma 7 4 13" xfId="12436" xr:uid="{13856006-9B60-4428-8901-F69F79C25512}"/>
    <cellStyle name="Comma 7 4 2" xfId="516" xr:uid="{00000000-0005-0000-0000-0000C4020000}"/>
    <cellStyle name="Comma 7 4 2 10" xfId="9485" xr:uid="{C45BCE2B-22E5-4A0D-98DA-7CD2B25CFB72}"/>
    <cellStyle name="Comma 7 4 2 10 2" xfId="19865" xr:uid="{6AE756E6-4060-4F0B-9E6A-DA736F705B0C}"/>
    <cellStyle name="Comma 7 4 2 11" xfId="25398" xr:uid="{E25AB078-2481-493F-BF72-67BB374FB035}"/>
    <cellStyle name="Comma 7 4 2 12" xfId="12517" xr:uid="{0BCCFE48-A043-48E7-AAE1-9BD13473BBED}"/>
    <cellStyle name="Comma 7 4 2 2" xfId="517" xr:uid="{00000000-0005-0000-0000-0000C5020000}"/>
    <cellStyle name="Comma 7 4 2 2 10" xfId="13093" xr:uid="{474830D7-07D3-431C-9957-D008D6DEC804}"/>
    <cellStyle name="Comma 7 4 2 2 2" xfId="1756" xr:uid="{00000000-0005-0000-0000-0000C6020000}"/>
    <cellStyle name="Comma 7 4 2 2 2 2" xfId="3071" xr:uid="{00000000-0005-0000-0000-000031020000}"/>
    <cellStyle name="Comma 7 4 2 2 2 2 2" xfId="8151" xr:uid="{EDFBFDE6-C2AC-4A1B-A48A-ECBE9A76C80F}"/>
    <cellStyle name="Comma 7 4 2 2 2 2 2 2" xfId="28826" xr:uid="{FF22AA6C-8848-44FE-817B-E390CFD62415}"/>
    <cellStyle name="Comma 7 4 2 2 2 2 2 3" xfId="27042" xr:uid="{E7DA5C12-4FDD-472B-AC99-F287BADDBA34}"/>
    <cellStyle name="Comma 7 4 2 2 2 2 2 4" xfId="18531" xr:uid="{EF18A9A0-FF4C-496E-B374-2D3F98E342F5}"/>
    <cellStyle name="Comma 7 4 2 2 2 2 3" xfId="10984" xr:uid="{D374B389-DFB7-4077-AD3D-D1414956DDBF}"/>
    <cellStyle name="Comma 7 4 2 2 2 2 3 2" xfId="21364" xr:uid="{921AD211-D54D-4B02-99A0-38D8C20E35FD}"/>
    <cellStyle name="Comma 7 4 2 2 2 2 4" xfId="25726" xr:uid="{A1B5A541-62DD-4F3C-A2B9-76C97AB30F96}"/>
    <cellStyle name="Comma 7 4 2 2 2 2 5" xfId="15698" xr:uid="{A876339B-699C-4347-AB50-4795736B3C8C}"/>
    <cellStyle name="Comma 7 4 2 2 2 3" xfId="2074" xr:uid="{00000000-0005-0000-0000-0000C6020000}"/>
    <cellStyle name="Comma 7 4 2 2 2 4" xfId="5630" xr:uid="{0F96B69B-244A-4F6D-84EA-8F9BE20B728E}"/>
    <cellStyle name="Comma 7 4 2 2 2 4 2" xfId="30193" xr:uid="{DE8C9309-B78F-41C3-98DB-0BEDEC994A34}"/>
    <cellStyle name="Comma 7 4 2 2 2 5" xfId="25274" xr:uid="{6F6DFA54-4A86-4350-BCF4-C833337EB687}"/>
    <cellStyle name="Comma 7 4 2 2 2 6" xfId="13579" xr:uid="{BB1AD97E-9E89-47BC-B3DF-F183196AF99C}"/>
    <cellStyle name="Comma 7 4 2 2 3" xfId="1757" xr:uid="{00000000-0005-0000-0000-0000C7020000}"/>
    <cellStyle name="Comma 7 4 2 2 3 2" xfId="4653" xr:uid="{A56AE9E9-514F-441A-BEA0-FFD7772ABB59}"/>
    <cellStyle name="Comma 7 4 2 2 3 2 2" xfId="9405" xr:uid="{55022EEA-4842-4678-B4EA-ED753185182C}"/>
    <cellStyle name="Comma 7 4 2 2 3 2 2 2" xfId="19785" xr:uid="{590F2FAA-4B8B-4C56-8E81-CD92CEC869BF}"/>
    <cellStyle name="Comma 7 4 2 2 3 2 3" xfId="12238" xr:uid="{432E2E00-1A98-484E-A074-FBC06ECE9C3D}"/>
    <cellStyle name="Comma 7 4 2 2 3 2 3 2" xfId="22618" xr:uid="{2A646215-255F-4235-A75F-A8C071AB7686}"/>
    <cellStyle name="Comma 7 4 2 2 3 2 4" xfId="28074" xr:uid="{388ED87A-BF05-48C1-AAA9-C428EEC71682}"/>
    <cellStyle name="Comma 7 4 2 2 3 2 5" xfId="27266" xr:uid="{7058C08C-414A-4B93-8499-40C15D815A26}"/>
    <cellStyle name="Comma 7 4 2 2 3 2 6" xfId="16952" xr:uid="{C310694A-51E1-48CD-82B7-9455B44364C9}"/>
    <cellStyle name="Comma 7 4 2 2 3 3" xfId="23803" xr:uid="{C3AD8123-48D2-4D44-978E-10B47EC021EC}"/>
    <cellStyle name="Comma 7 4 2 2 3 3 2" xfId="30141" xr:uid="{D1876F90-4E0F-4309-BF72-BCB7819F8F5F}"/>
    <cellStyle name="Comma 7 4 2 2 3 4" xfId="30253" xr:uid="{073BAE4E-95E5-40FB-8211-618753F5D8C8}"/>
    <cellStyle name="Comma 7 4 2 2 4" xfId="1755" xr:uid="{00000000-0005-0000-0000-0000C8020000}"/>
    <cellStyle name="Comma 7 4 2 2 4 2" xfId="26941" xr:uid="{EACAFCDE-67F4-4E83-A579-0DC3A6628F60}"/>
    <cellStyle name="Comma 7 4 2 2 4 3" xfId="26332" xr:uid="{C333864C-4DD8-4C48-8E8A-BF6D74E07578}"/>
    <cellStyle name="Comma 7 4 2 2 5" xfId="4268" xr:uid="{4C51E4D8-F743-4DB6-846D-6A99EF1E28C9}"/>
    <cellStyle name="Comma 7 4 2 2 5 2" xfId="9040" xr:uid="{FD66BA8B-39FA-421D-ACF0-304D4B252B32}"/>
    <cellStyle name="Comma 7 4 2 2 5 2 2" xfId="19420" xr:uid="{1ADDD720-C7FC-4201-B8B3-B2F16A556C5B}"/>
    <cellStyle name="Comma 7 4 2 2 5 3" xfId="11873" xr:uid="{91611199-EB54-4305-A93B-757A8CCCB962}"/>
    <cellStyle name="Comma 7 4 2 2 5 3 2" xfId="22253" xr:uid="{DC59DBFB-DA34-4F7B-8E76-CC383E74A36A}"/>
    <cellStyle name="Comma 7 4 2 2 5 4" xfId="26660" xr:uid="{7AA1B6D3-94B8-4725-838A-27A287B5A0D0}"/>
    <cellStyle name="Comma 7 4 2 2 5 5" xfId="28413" xr:uid="{781FC03D-2709-4EA3-888D-B585F477CC13}"/>
    <cellStyle name="Comma 7 4 2 2 5 6" xfId="16587" xr:uid="{95E22C73-DEF3-4CF3-8C0C-96AB51B1D510}"/>
    <cellStyle name="Comma 7 4 2 2 6" xfId="4908" xr:uid="{4F05658C-4F8B-4450-8CF2-3C0F842DE943}"/>
    <cellStyle name="Comma 7 4 2 2 6 2" xfId="27809" xr:uid="{3BB74277-8229-4B12-867A-5DDCE5B1C601}"/>
    <cellStyle name="Comma 7 4 2 2 6 3" xfId="26959" xr:uid="{BA5B4B88-4C7E-4D8B-BB9A-4CF57B0987D9}"/>
    <cellStyle name="Comma 7 4 2 2 6 4" xfId="14200" xr:uid="{641BD702-6463-4981-A0CF-AAA51C20EC9B}"/>
    <cellStyle name="Comma 7 4 2 2 7" xfId="6653" xr:uid="{29CFA51F-B91D-472A-A88F-AAFA5013ABB0}"/>
    <cellStyle name="Comma 7 4 2 2 7 2" xfId="17033" xr:uid="{FBA6E820-D212-498D-80FB-8B4FB80C0634}"/>
    <cellStyle name="Comma 7 4 2 2 8" xfId="9486" xr:uid="{8CB5331E-1AEC-455D-AAE1-F89A718D0D5C}"/>
    <cellStyle name="Comma 7 4 2 2 8 2" xfId="19866" xr:uid="{CE9FDB0D-8594-4AE0-B6A4-125E9AFF47E1}"/>
    <cellStyle name="Comma 7 4 2 2 9" xfId="24933" xr:uid="{CCF4802F-B647-45E8-8C90-CC8D4F3B2C96}"/>
    <cellStyle name="Comma 7 4 2 3" xfId="1758" xr:uid="{00000000-0005-0000-0000-0000C9020000}"/>
    <cellStyle name="Comma 7 4 2 3 2" xfId="3072" xr:uid="{00000000-0005-0000-0000-000032020000}"/>
    <cellStyle name="Comma 7 4 2 3 2 2" xfId="8152" xr:uid="{401BA277-190E-4F58-9CDB-792EA14258C3}"/>
    <cellStyle name="Comma 7 4 2 3 2 2 2" xfId="28827" xr:uid="{1BA52ECE-26C0-489B-9DA8-F90D8E7B5CE2}"/>
    <cellStyle name="Comma 7 4 2 3 2 2 3" xfId="26589" xr:uid="{A9A6FA3A-10A1-4B81-9A71-7CB43FE46461}"/>
    <cellStyle name="Comma 7 4 2 3 2 2 4" xfId="18532" xr:uid="{C910133E-F186-4795-B306-35F8DAE47591}"/>
    <cellStyle name="Comma 7 4 2 3 2 3" xfId="10985" xr:uid="{823B96D9-B777-4448-AD31-D8BC2D6D8A43}"/>
    <cellStyle name="Comma 7 4 2 3 2 3 2" xfId="21365" xr:uid="{BEC454D6-21FA-4E5F-8080-F82A664B1815}"/>
    <cellStyle name="Comma 7 4 2 3 2 4" xfId="25569" xr:uid="{CF81D0C3-3EE6-4696-89C5-3B1856A97FDC}"/>
    <cellStyle name="Comma 7 4 2 3 2 5" xfId="15699" xr:uid="{332EB8CD-9113-4FBC-B464-DD354E16ECF1}"/>
    <cellStyle name="Comma 7 4 2 3 3" xfId="3615" xr:uid="{00000000-0005-0000-0000-0000C9020000}"/>
    <cellStyle name="Comma 7 4 2 3 4" xfId="4415" xr:uid="{4B720B26-C75C-4226-9681-0209047D1A81}"/>
    <cellStyle name="Comma 7 4 2 3 4 2" xfId="9187" xr:uid="{E632F89A-5B90-4DF6-B4A8-87869941BBE6}"/>
    <cellStyle name="Comma 7 4 2 3 4 2 2" xfId="19567" xr:uid="{3E0F7026-1F8B-4015-9B9C-9294211715B4}"/>
    <cellStyle name="Comma 7 4 2 3 4 3" xfId="12020" xr:uid="{FA9899FA-E822-41AD-AD85-287577806EBE}"/>
    <cellStyle name="Comma 7 4 2 3 4 3 2" xfId="22400" xr:uid="{8A752706-E6EF-403A-ADAD-CC524FFEA0AD}"/>
    <cellStyle name="Comma 7 4 2 3 4 4" xfId="16734" xr:uid="{05687D9F-3A7B-4E08-8C61-4B266BFF80D4}"/>
    <cellStyle name="Comma 7 4 2 3 5" xfId="5631" xr:uid="{8655C0D7-5098-492F-88C6-7F9808A18537}"/>
    <cellStyle name="Comma 7 4 2 3 5 2" xfId="29934" xr:uid="{0C221A32-734D-4F14-B0D0-D6E51AD261EB}"/>
    <cellStyle name="Comma 7 4 2 3 6" xfId="24442" xr:uid="{E4AF0C8B-5284-4EFA-BE03-D51C5912C1E1}"/>
    <cellStyle name="Comma 7 4 2 3 7" xfId="13580" xr:uid="{2063385F-3AA0-4A2A-AB6F-AE53FCB5E919}"/>
    <cellStyle name="Comma 7 4 2 4" xfId="1759" xr:uid="{00000000-0005-0000-0000-0000CA020000}"/>
    <cellStyle name="Comma 7 4 2 4 2" xfId="3070" xr:uid="{00000000-0005-0000-0000-000033020000}"/>
    <cellStyle name="Comma 7 4 2 4 2 2" xfId="8150" xr:uid="{67EA87D6-BAC2-4F4C-9F76-DC111D6527C8}"/>
    <cellStyle name="Comma 7 4 2 4 2 2 2" xfId="28825" xr:uid="{81AC2B9C-6945-49EA-9AA8-627AEC46B77A}"/>
    <cellStyle name="Comma 7 4 2 4 2 2 3" xfId="27376" xr:uid="{F9B9B077-BD22-4EA8-822A-C1201A44B9CF}"/>
    <cellStyle name="Comma 7 4 2 4 2 2 4" xfId="18530" xr:uid="{2F5165DE-0F18-4DFA-9E76-C6E360EFF2DE}"/>
    <cellStyle name="Comma 7 4 2 4 2 3" xfId="10983" xr:uid="{4286A93B-BC7B-4C0B-8BA9-376812C755B5}"/>
    <cellStyle name="Comma 7 4 2 4 2 3 2" xfId="21363" xr:uid="{E620A8C8-844D-4CA0-B3E5-A5FB7B8181FD}"/>
    <cellStyle name="Comma 7 4 2 4 2 4" xfId="23864" xr:uid="{7A0B68CE-861E-4016-95DE-F4E04C840222}"/>
    <cellStyle name="Comma 7 4 2 4 2 5" xfId="15697" xr:uid="{F666E2A7-9066-44F5-BC43-15818D545E87}"/>
    <cellStyle name="Comma 7 4 2 4 3" xfId="3638" xr:uid="{00000000-0005-0000-0000-0000CA020000}"/>
    <cellStyle name="Comma 7 4 2 4 4" xfId="5632" xr:uid="{FFE912BB-055C-46DF-8818-DF8382E88359}"/>
    <cellStyle name="Comma 7 4 2 4 4 2" xfId="30192" xr:uid="{C5A68D99-101A-4D78-8539-BD57B116654C}"/>
    <cellStyle name="Comma 7 4 2 4 5" xfId="23067" xr:uid="{769159F0-5C0D-45AD-A13C-86CDBB62F980}"/>
    <cellStyle name="Comma 7 4 2 4 6" xfId="13578" xr:uid="{9800965C-BD53-4754-868D-E5123D35909F}"/>
    <cellStyle name="Comma 7 4 2 5" xfId="1754" xr:uid="{00000000-0005-0000-0000-0000CB020000}"/>
    <cellStyle name="Comma 7 4 2 5 2" xfId="2613" xr:uid="{00000000-0005-0000-0000-000034020000}"/>
    <cellStyle name="Comma 7 4 2 5 2 2" xfId="7738" xr:uid="{264B3417-CBC5-4D83-B7A8-2F55D07895CD}"/>
    <cellStyle name="Comma 7 4 2 5 2 2 2" xfId="18118" xr:uid="{D7BC6FBF-51A4-4330-B851-3EE9DFCAB1C5}"/>
    <cellStyle name="Comma 7 4 2 5 2 3" xfId="10571" xr:uid="{4D31655A-AF45-4744-B266-007F93F7754D}"/>
    <cellStyle name="Comma 7 4 2 5 2 3 2" xfId="20951" xr:uid="{1049E83E-33B6-444A-A210-330810576F5E}"/>
    <cellStyle name="Comma 7 4 2 5 2 4" xfId="27066" xr:uid="{F1FB34C1-7873-4C6B-8ADA-ADE9CE3881D3}"/>
    <cellStyle name="Comma 7 4 2 5 2 5" xfId="26467" xr:uid="{9481BDCD-342A-4F51-B132-7DAB60CB44A7}"/>
    <cellStyle name="Comma 7 4 2 5 2 6" xfId="15285" xr:uid="{D0D03222-D2B4-4757-AF32-F9756CC6E30E}"/>
    <cellStyle name="Comma 7 4 2 5 3" xfId="3673" xr:uid="{00000000-0005-0000-0000-0000CB020000}"/>
    <cellStyle name="Comma 7 4 2 5 4" xfId="5629" xr:uid="{1C4CAF15-8B85-423C-8049-2DF4B15A9E04}"/>
    <cellStyle name="Comma 7 4 2 5 4 2" xfId="30119" xr:uid="{31BDAF8E-2612-47E1-A7C8-9516D8F07C2A}"/>
    <cellStyle name="Comma 7 4 2 5 5" xfId="22760" xr:uid="{63A9C5F6-EF77-4C6B-870B-B8420B9A6D50}"/>
    <cellStyle name="Comma 7 4 2 5 6" xfId="13001" xr:uid="{CC3099B8-C7CE-44FA-B70E-D2EAEDDB43B9}"/>
    <cellStyle name="Comma 7 4 2 6" xfId="2285" xr:uid="{00000000-0005-0000-0000-00002F020000}"/>
    <cellStyle name="Comma 7 4 2 6 2" xfId="7412" xr:uid="{E4C36005-5EDC-4729-A3E0-E43290015D95}"/>
    <cellStyle name="Comma 7 4 2 6 2 2" xfId="17792" xr:uid="{178E532A-F0CB-4EAF-AFBB-942C78F28E6D}"/>
    <cellStyle name="Comma 7 4 2 6 3" xfId="10245" xr:uid="{C75A9190-3FC3-47E9-9995-2DF8C9F66013}"/>
    <cellStyle name="Comma 7 4 2 6 3 2" xfId="20625" xr:uid="{54290424-A44E-4F48-B2D1-3C3BA61DA7AA}"/>
    <cellStyle name="Comma 7 4 2 6 4" xfId="22817" xr:uid="{A3D6ACC0-116F-4946-83C3-631641F8A836}"/>
    <cellStyle name="Comma 7 4 2 6 5" xfId="26016" xr:uid="{FE68FD12-9154-4AA7-A0C3-CD68D3A9D720}"/>
    <cellStyle name="Comma 7 4 2 6 6" xfId="14959" xr:uid="{6FA8B3BC-ADED-4CC2-8CC3-FFE0A1B68FE5}"/>
    <cellStyle name="Comma 7 4 2 7" xfId="3824" xr:uid="{B14658B2-FCC4-43CD-A4BC-C6FD30075BC7}"/>
    <cellStyle name="Comma 7 4 2 7 2" xfId="8657" xr:uid="{2C356EDD-54BF-4E47-B774-D6E55FADE4F0}"/>
    <cellStyle name="Comma 7 4 2 7 2 2" xfId="19037" xr:uid="{7811949C-31E2-421D-ADBF-A2352D2AA19E}"/>
    <cellStyle name="Comma 7 4 2 7 3" xfId="11490" xr:uid="{6F3A02B3-9DAA-486E-A01B-91AC2E380B47}"/>
    <cellStyle name="Comma 7 4 2 7 3 2" xfId="21870" xr:uid="{56A9FE8D-D055-4A14-AC81-A7470A84DE3E}"/>
    <cellStyle name="Comma 7 4 2 7 4" xfId="26520" xr:uid="{5FBD1249-0C3E-4921-BE51-79EA2CAC9B29}"/>
    <cellStyle name="Comma 7 4 2 7 5" xfId="27751" xr:uid="{91768008-3678-4E3B-BDC5-DF49DC87299E}"/>
    <cellStyle name="Comma 7 4 2 7 6" xfId="16204" xr:uid="{883239F2-5ACA-48AC-92E0-E80092C3F15F}"/>
    <cellStyle name="Comma 7 4 2 8" xfId="4907" xr:uid="{505D3395-F608-44BD-AEA0-71EDAA867C28}"/>
    <cellStyle name="Comma 7 4 2 8 2" xfId="14199" xr:uid="{3D6D5CD5-AE94-4527-93FF-700D5C6AF69C}"/>
    <cellStyle name="Comma 7 4 2 9" xfId="6652" xr:uid="{0A8693F1-C2C0-478E-B194-10661804C34F}"/>
    <cellStyle name="Comma 7 4 2 9 2" xfId="17032" xr:uid="{38F0DE82-D13B-40DA-9557-A7EDD7239E97}"/>
    <cellStyle name="Comma 7 4 3" xfId="518" xr:uid="{00000000-0005-0000-0000-0000CC020000}"/>
    <cellStyle name="Comma 7 4 3 10" xfId="12675" xr:uid="{E6520FE3-3C5C-4157-946D-CBA5C7996F81}"/>
    <cellStyle name="Comma 7 4 3 2" xfId="1761" xr:uid="{00000000-0005-0000-0000-0000CD020000}"/>
    <cellStyle name="Comma 7 4 3 2 2" xfId="3073" xr:uid="{00000000-0005-0000-0000-000036020000}"/>
    <cellStyle name="Comma 7 4 3 2 2 2" xfId="8153" xr:uid="{BF50235C-D9F5-4BE6-8E57-DA842ACA190A}"/>
    <cellStyle name="Comma 7 4 3 2 2 2 2" xfId="28828" xr:uid="{6BC52DD1-A91F-43FE-B3D1-B5A4132182CA}"/>
    <cellStyle name="Comma 7 4 3 2 2 2 3" xfId="26072" xr:uid="{344878CB-20EA-42C7-8ABE-B293196D2670}"/>
    <cellStyle name="Comma 7 4 3 2 2 2 4" xfId="18533" xr:uid="{D22F1899-2944-4CCB-B36A-5E8A124EFFE5}"/>
    <cellStyle name="Comma 7 4 3 2 2 3" xfId="10986" xr:uid="{9DA86617-6C52-4D0B-BB50-D655114B14BB}"/>
    <cellStyle name="Comma 7 4 3 2 2 3 2" xfId="21366" xr:uid="{0D55057B-18DB-43C2-9C52-2A25422470D3}"/>
    <cellStyle name="Comma 7 4 3 2 2 4" xfId="22743" xr:uid="{F680CB1D-9166-446B-BFD5-A9FF7876BB0F}"/>
    <cellStyle name="Comma 7 4 3 2 2 5" xfId="15700" xr:uid="{03C28C1E-303A-4C32-AADB-57485055AA2F}"/>
    <cellStyle name="Comma 7 4 3 2 3" xfId="3666" xr:uid="{00000000-0005-0000-0000-0000CD020000}"/>
    <cellStyle name="Comma 7 4 3 2 4" xfId="5633" xr:uid="{F42C1CC9-4C1E-4C09-96AA-B1331C9CE94A}"/>
    <cellStyle name="Comma 7 4 3 2 4 2" xfId="30194" xr:uid="{88FC6B08-02F2-44E2-B3ED-CD0605B12815}"/>
    <cellStyle name="Comma 7 4 3 2 5" xfId="23228" xr:uid="{3B4E2DE3-9C5B-4543-9F55-002A6D0DBA63}"/>
    <cellStyle name="Comma 7 4 3 2 6" xfId="13581" xr:uid="{16383BDD-3E14-46A2-97B6-8F35987451FD}"/>
    <cellStyle name="Comma 7 4 3 3" xfId="1762" xr:uid="{00000000-0005-0000-0000-0000CE020000}"/>
    <cellStyle name="Comma 7 4 3 3 2" xfId="2682" xr:uid="{00000000-0005-0000-0000-000037020000}"/>
    <cellStyle name="Comma 7 4 3 3 2 2" xfId="7806" xr:uid="{9C8CB75C-6DD5-4A6E-8B48-84A31B9706F3}"/>
    <cellStyle name="Comma 7 4 3 3 2 2 2" xfId="18186" xr:uid="{7FFE0B91-DF7A-4B57-B83F-494585391AC3}"/>
    <cellStyle name="Comma 7 4 3 3 2 3" xfId="10639" xr:uid="{61B0738B-6FC2-483F-8B6D-B8217C9393CF}"/>
    <cellStyle name="Comma 7 4 3 3 2 3 2" xfId="21019" xr:uid="{E9091CA8-E1E0-439B-B93F-92F6CEC7289E}"/>
    <cellStyle name="Comma 7 4 3 3 2 4" xfId="15353" xr:uid="{E470E6FC-CA99-4ED1-8669-6D41E198481E}"/>
    <cellStyle name="Comma 7 4 3 3 3" xfId="3617" xr:uid="{00000000-0005-0000-0000-0000CE020000}"/>
    <cellStyle name="Comma 7 4 3 3 4" xfId="5634" xr:uid="{C0C64253-4544-4979-A07F-7EEC2FA73C74}"/>
    <cellStyle name="Comma 7 4 3 3 4 2" xfId="30140" xr:uid="{F4AB2814-B0FD-4B35-A496-D69EC20987AB}"/>
    <cellStyle name="Comma 7 4 3 3 5" xfId="25522" xr:uid="{6F3732D1-E16A-4301-8E3F-B27761CF0255}"/>
    <cellStyle name="Comma 7 4 3 3 6" xfId="13092" xr:uid="{74843E64-0A04-40DD-9985-1B3D8C252F4E}"/>
    <cellStyle name="Comma 7 4 3 4" xfId="1760" xr:uid="{00000000-0005-0000-0000-0000CF020000}"/>
    <cellStyle name="Comma 7 4 3 4 2" xfId="3816" xr:uid="{D8562F3A-33C0-47DC-9768-B5E4819A23FF}"/>
    <cellStyle name="Comma 7 4 3 4 2 2" xfId="8650" xr:uid="{0C5A08FC-7258-4858-96EB-178F2F1D7D2A}"/>
    <cellStyle name="Comma 7 4 3 4 2 2 2" xfId="19030" xr:uid="{61DE5C44-A3CE-4400-870E-4156CE6AF8D3}"/>
    <cellStyle name="Comma 7 4 3 4 2 3" xfId="11483" xr:uid="{640F1C62-E8E9-475D-A089-FC636808A532}"/>
    <cellStyle name="Comma 7 4 3 4 2 3 2" xfId="21863" xr:uid="{12B6440F-867B-4044-B185-A1865D631395}"/>
    <cellStyle name="Comma 7 4 3 4 2 4" xfId="26145" xr:uid="{552BB63E-C010-4D93-B642-D969AD86307D}"/>
    <cellStyle name="Comma 7 4 3 4 2 5" xfId="28036" xr:uid="{EBF27C3A-2657-4D29-AF37-80CC896DFA93}"/>
    <cellStyle name="Comma 7 4 3 4 2 6" xfId="16197" xr:uid="{2B3F23E8-0972-4367-BA90-49DE4C62D40D}"/>
    <cellStyle name="Comma 7 4 3 4 3" xfId="24369" xr:uid="{6022CDEA-3303-4688-AF3E-2A06F16DFF68}"/>
    <cellStyle name="Comma 7 4 3 5" xfId="4131" xr:uid="{0C3AEDB6-47D3-4532-AD9F-B747C0D3D348}"/>
    <cellStyle name="Comma 7 4 3 5 2" xfId="8903" xr:uid="{A9D57613-0647-4252-A7DE-F96ACE4D2F25}"/>
    <cellStyle name="Comma 7 4 3 5 2 2" xfId="29010" xr:uid="{3223FC18-17D2-4449-8BCE-D3331DED2D0C}"/>
    <cellStyle name="Comma 7 4 3 5 2 3" xfId="28252" xr:uid="{6C9C8208-8D55-4D64-89B3-93B3A9FA53DD}"/>
    <cellStyle name="Comma 7 4 3 5 2 4" xfId="19283" xr:uid="{6A93D2D0-E2DE-4958-873C-7C9307DAE259}"/>
    <cellStyle name="Comma 7 4 3 5 3" xfId="11736" xr:uid="{5DBDEE2F-CB0E-48E9-B894-F3528BA102EF}"/>
    <cellStyle name="Comma 7 4 3 5 3 2" xfId="22116" xr:uid="{E35B95DF-9B87-4BFF-AE1A-40656154C09C}"/>
    <cellStyle name="Comma 7 4 3 5 4" xfId="24381" xr:uid="{64CB99C8-9B2C-4180-A06C-88ADD89B3129}"/>
    <cellStyle name="Comma 7 4 3 5 5" xfId="16450" xr:uid="{6D5896D9-6706-4E56-88C1-BCFB3F2F4844}"/>
    <cellStyle name="Comma 7 4 3 6" xfId="4909" xr:uid="{DA85075F-94FB-48B1-8890-E36FF3FD70B4}"/>
    <cellStyle name="Comma 7 4 3 6 2" xfId="28141" xr:uid="{4CFE3330-324B-4455-BD55-4159D7D6A5AB}"/>
    <cellStyle name="Comma 7 4 3 6 3" xfId="26163" xr:uid="{BF794F05-5DEE-469D-99FD-CB721AD9A86F}"/>
    <cellStyle name="Comma 7 4 3 6 4" xfId="14201" xr:uid="{253B09F4-F27C-4B2A-ABB8-76CC41B86518}"/>
    <cellStyle name="Comma 7 4 3 7" xfId="6654" xr:uid="{EFDA9DAE-3A68-43F3-A939-F094E59796C1}"/>
    <cellStyle name="Comma 7 4 3 7 2" xfId="27057" xr:uid="{FC4F1DFA-571F-4A4A-A501-8420725FAAB2}"/>
    <cellStyle name="Comma 7 4 3 7 3" xfId="26152" xr:uid="{E58BB649-B87C-4009-B139-0A916F21407C}"/>
    <cellStyle name="Comma 7 4 3 7 4" xfId="17034" xr:uid="{128962EE-7DCA-4045-9132-C4B3DF290F4F}"/>
    <cellStyle name="Comma 7 4 3 8" xfId="9487" xr:uid="{51EE6ED6-E2E0-4CED-910B-E529C0164812}"/>
    <cellStyle name="Comma 7 4 3 8 2" xfId="19867" xr:uid="{30253037-7FE3-4B81-8FD0-86D6676B1E60}"/>
    <cellStyle name="Comma 7 4 3 9" xfId="24011" xr:uid="{518B04B8-B99A-4BF2-90A8-E4814A881679}"/>
    <cellStyle name="Comma 7 4 4" xfId="519" xr:uid="{00000000-0005-0000-0000-0000D0020000}"/>
    <cellStyle name="Comma 7 4 4 10" xfId="13582" xr:uid="{8F87A287-EAB1-4464-80D3-D813300FA58E}"/>
    <cellStyle name="Comma 7 4 4 2" xfId="1764" xr:uid="{00000000-0005-0000-0000-0000D1020000}"/>
    <cellStyle name="Comma 7 4 4 2 2" xfId="25673" xr:uid="{87CCBCDE-2E7E-4962-9235-BD2EE4E989AF}"/>
    <cellStyle name="Comma 7 4 4 2 2 2" xfId="30026" xr:uid="{773D1F1C-A09B-4961-B8DE-0C8FB2A07EED}"/>
    <cellStyle name="Comma 7 4 4 2 3" xfId="24977" xr:uid="{BAF6A2DD-6226-43D4-A684-8150AEF97C75}"/>
    <cellStyle name="Comma 7 4 4 2 4" xfId="30290" xr:uid="{7C403AA2-51C3-486B-AFFD-5DAB9A7C38CA}"/>
    <cellStyle name="Comma 7 4 4 3" xfId="1765" xr:uid="{00000000-0005-0000-0000-0000D2020000}"/>
    <cellStyle name="Comma 7 4 4 4" xfId="1763" xr:uid="{00000000-0005-0000-0000-0000D3020000}"/>
    <cellStyle name="Comma 7 4 4 5" xfId="4416" xr:uid="{A79976AD-E645-441A-AD6C-97FE5F3FEE87}"/>
    <cellStyle name="Comma 7 4 4 5 2" xfId="9188" xr:uid="{5CEDBA4A-068F-49F2-8742-EED7FB556728}"/>
    <cellStyle name="Comma 7 4 4 5 2 2" xfId="19568" xr:uid="{C1D73A54-DF06-43E1-B02D-70138DAC0F65}"/>
    <cellStyle name="Comma 7 4 4 5 3" xfId="12021" xr:uid="{F1F12C03-26D3-472A-A199-CA3BBADF4FF8}"/>
    <cellStyle name="Comma 7 4 4 5 3 2" xfId="22401" xr:uid="{D0600EDC-19A8-4DBE-B021-6AD9B46BC449}"/>
    <cellStyle name="Comma 7 4 4 5 4" xfId="16735" xr:uid="{E03EF074-59AE-4958-9A55-F8150CEC62AC}"/>
    <cellStyle name="Comma 7 4 4 6" xfId="4910" xr:uid="{B5894034-0CBE-4849-944D-A2145E2BA423}"/>
    <cellStyle name="Comma 7 4 4 6 2" xfId="14202" xr:uid="{E0144BC8-5106-4878-99BF-3ABA15849A30}"/>
    <cellStyle name="Comma 7 4 4 7" xfId="6655" xr:uid="{1CE7CD24-6A9B-47E4-A2C8-994D2158C902}"/>
    <cellStyle name="Comma 7 4 4 7 2" xfId="17035" xr:uid="{9A7E1A0B-0986-4842-8671-42445014E238}"/>
    <cellStyle name="Comma 7 4 4 8" xfId="9488" xr:uid="{0AFF9412-21A3-490D-997B-AFB0902370A2}"/>
    <cellStyle name="Comma 7 4 4 8 2" xfId="19868" xr:uid="{2A59CC9B-4745-4CEF-9C04-AE114DA413E5}"/>
    <cellStyle name="Comma 7 4 4 9" xfId="25013" xr:uid="{DA3D3D37-93EA-45C0-8D23-6DE1759E4E8B}"/>
    <cellStyle name="Comma 7 4 5" xfId="1766" xr:uid="{00000000-0005-0000-0000-0000D4020000}"/>
    <cellStyle name="Comma 7 4 5 2" xfId="2877" xr:uid="{00000000-0005-0000-0000-000039020000}"/>
    <cellStyle name="Comma 7 4 5 2 2" xfId="7994" xr:uid="{3436F44C-B494-4C12-B062-B05AE390F7DB}"/>
    <cellStyle name="Comma 7 4 5 2 2 2" xfId="28137" xr:uid="{C4C8EBBF-1363-4EDA-8249-8E2FAC6E891D}"/>
    <cellStyle name="Comma 7 4 5 2 2 3" xfId="28408" xr:uid="{A8388C42-FB4F-4E71-9665-28D8309C8F99}"/>
    <cellStyle name="Comma 7 4 5 2 2 4" xfId="18374" xr:uid="{010E3599-4041-494C-9E8B-47211047F9C8}"/>
    <cellStyle name="Comma 7 4 5 2 3" xfId="10827" xr:uid="{E234D908-EA01-4B18-A72C-F9A351E71EA5}"/>
    <cellStyle name="Comma 7 4 5 2 3 2" xfId="21207" xr:uid="{92EF256B-DCA1-4DAD-A75D-2632903337D1}"/>
    <cellStyle name="Comma 7 4 5 2 4" xfId="23631" xr:uid="{3DF51C16-BD7D-45E9-821B-7CB0DAC33938}"/>
    <cellStyle name="Comma 7 4 5 2 5" xfId="15541" xr:uid="{39C585DA-A2B8-4368-A749-A353297DF4B4}"/>
    <cellStyle name="Comma 7 4 5 3" xfId="3557" xr:uid="{00000000-0005-0000-0000-0000D4020000}"/>
    <cellStyle name="Comma 7 4 5 4" xfId="5635" xr:uid="{F25F8ABD-E47B-4ED6-8D3F-4A5C88232BBD}"/>
    <cellStyle name="Comma 7 4 5 4 2" xfId="30076" xr:uid="{39C52DFE-2ED6-4179-97A6-D68C278D4F4F}"/>
    <cellStyle name="Comma 7 4 5 5" xfId="24303" xr:uid="{34F8396F-3D25-4222-B311-5C22B2557EDE}"/>
    <cellStyle name="Comma 7 4 5 6" xfId="13373" xr:uid="{BD057F28-3B5C-4119-8DED-40BF81C07833}"/>
    <cellStyle name="Comma 7 4 6" xfId="1767" xr:uid="{00000000-0005-0000-0000-0000D5020000}"/>
    <cellStyle name="Comma 7 4 6 2" xfId="2450" xr:uid="{00000000-0005-0000-0000-00003A020000}"/>
    <cellStyle name="Comma 7 4 6 2 2" xfId="7575" xr:uid="{0EC8745B-CADC-4E90-A2A4-B929D2A07332}"/>
    <cellStyle name="Comma 7 4 6 2 2 2" xfId="17955" xr:uid="{8DAB496C-B792-4CAD-B564-5C584D52771C}"/>
    <cellStyle name="Comma 7 4 6 2 3" xfId="10408" xr:uid="{E940CE41-6AA0-4542-ADA4-02A6AA67B06A}"/>
    <cellStyle name="Comma 7 4 6 2 3 2" xfId="20788" xr:uid="{FD7A1908-EC3C-4637-BA0B-59DE488C5758}"/>
    <cellStyle name="Comma 7 4 6 2 4" xfId="28250" xr:uid="{97D421FA-B512-4A65-9020-4AD1C995F528}"/>
    <cellStyle name="Comma 7 4 6 2 5" xfId="27195" xr:uid="{0F71882D-9EE9-4AF9-BB8E-5D4AE3A4E7BE}"/>
    <cellStyle name="Comma 7 4 6 2 6" xfId="15122" xr:uid="{284E2CD2-1AE5-4730-B259-FED1EA434687}"/>
    <cellStyle name="Comma 7 4 6 3" xfId="3598" xr:uid="{00000000-0005-0000-0000-0000D5020000}"/>
    <cellStyle name="Comma 7 4 6 4" xfId="5636" xr:uid="{21A9B409-13AB-40F1-85E0-8DA63EC6AEB6}"/>
    <cellStyle name="Comma 7 4 6 4 2" xfId="30093" xr:uid="{01B39A2F-C395-4C7A-8CB5-0BBCE57D3BE4}"/>
    <cellStyle name="Comma 7 4 6 5" xfId="25568" xr:uid="{10683595-BF23-4CD4-A616-26D637111E13}"/>
    <cellStyle name="Comma 7 4 6 6" xfId="12838" xr:uid="{0809ABC4-139C-4EA3-B4E0-B861784C5782}"/>
    <cellStyle name="Comma 7 4 7" xfId="1753" xr:uid="{00000000-0005-0000-0000-0000D6020000}"/>
    <cellStyle name="Comma 7 4 7 2" xfId="2204" xr:uid="{00000000-0005-0000-0000-00002E020000}"/>
    <cellStyle name="Comma 7 4 7 2 2" xfId="7331" xr:uid="{31F03D0B-5349-4749-B7D7-0B78895A88A5}"/>
    <cellStyle name="Comma 7 4 7 2 2 2" xfId="17711" xr:uid="{F4B4C7F2-E13A-4989-B108-93D02447DCAB}"/>
    <cellStyle name="Comma 7 4 7 2 3" xfId="10164" xr:uid="{BB85DFE3-E287-438D-B6A4-802C96684C4D}"/>
    <cellStyle name="Comma 7 4 7 2 3 2" xfId="20544" xr:uid="{906FE7D4-FA9C-4C0E-83E2-8D42A9C15F0F}"/>
    <cellStyle name="Comma 7 4 7 2 4" xfId="26243" xr:uid="{339CF1EF-81BC-4493-A9F7-6146948D3329}"/>
    <cellStyle name="Comma 7 4 7 2 5" xfId="27631" xr:uid="{E101F0AA-CAB3-44BF-99B8-EFD37EC09B6D}"/>
    <cellStyle name="Comma 7 4 7 2 6" xfId="14878" xr:uid="{160A4B17-A6AC-42DF-8C9C-AE7E27C74696}"/>
    <cellStyle name="Comma 7 4 7 3" xfId="3586" xr:uid="{00000000-0005-0000-0000-0000D6020000}"/>
    <cellStyle name="Comma 7 4 7 4" xfId="23783" xr:uid="{809982DD-55F7-4340-A2D8-962BFBBD17E2}"/>
    <cellStyle name="Comma 7 4 8" xfId="3872" xr:uid="{6D2C64E3-2EB5-4B5F-AB7C-2CFD353A925B}"/>
    <cellStyle name="Comma 7 4 8 2" xfId="8704" xr:uid="{418BB3BF-3B1D-4B63-9BA4-95B5E7B8F262}"/>
    <cellStyle name="Comma 7 4 8 2 2" xfId="19084" xr:uid="{6EB814DC-1EEE-4F0F-9A34-5AF4EF51B40F}"/>
    <cellStyle name="Comma 7 4 8 3" xfId="11537" xr:uid="{D5273CD8-F233-422C-8111-01D3A8CC2859}"/>
    <cellStyle name="Comma 7 4 8 3 2" xfId="21917" xr:uid="{C4937901-0BE3-44C0-B3B0-3522436B49CC}"/>
    <cellStyle name="Comma 7 4 8 4" xfId="26606" xr:uid="{208E59B3-CE85-479B-9D7C-C1E8DADA5EC0}"/>
    <cellStyle name="Comma 7 4 8 5" xfId="26557" xr:uid="{69AD928B-C453-4838-ACD3-276462F0F02B}"/>
    <cellStyle name="Comma 7 4 8 6" xfId="16251" xr:uid="{02070642-8455-4E33-9387-9A0B89000FF9}"/>
    <cellStyle name="Comma 7 4 9" xfId="4906" xr:uid="{AB73B4F1-1147-49B8-BA9C-978935F8249C}"/>
    <cellStyle name="Comma 7 4 9 2" xfId="26524" xr:uid="{A999B94A-0626-4C4E-9E27-FDD4334FC110}"/>
    <cellStyle name="Comma 7 4 9 3" xfId="26850" xr:uid="{95DD793D-BD7E-4FCF-A213-6E764638978F}"/>
    <cellStyle name="Comma 7 4 9 4" xfId="14198" xr:uid="{5569E507-C9A7-4281-98A1-8AC6F1D59175}"/>
    <cellStyle name="Comma 7 5" xfId="520" xr:uid="{00000000-0005-0000-0000-0000D7020000}"/>
    <cellStyle name="Comma 7 5 10" xfId="6656" xr:uid="{5646055F-E7BE-4976-8537-AD1E59322F6A}"/>
    <cellStyle name="Comma 7 5 10 2" xfId="17036" xr:uid="{CE0E45D4-7EE2-4722-BC34-D70527B4C2C8}"/>
    <cellStyle name="Comma 7 5 11" xfId="9489" xr:uid="{7717B620-F26A-4871-B6F1-33D9316F7E93}"/>
    <cellStyle name="Comma 7 5 11 2" xfId="19869" xr:uid="{D05A5041-035E-485E-94FC-5DD078A197C5}"/>
    <cellStyle name="Comma 7 5 12" xfId="22919" xr:uid="{69324D7E-F973-4021-B3C7-B6AD117E2B83}"/>
    <cellStyle name="Comma 7 5 13" xfId="12518" xr:uid="{37A7B014-FB51-47D1-AB9F-B6D1A1CCDEAE}"/>
    <cellStyle name="Comma 7 5 2" xfId="521" xr:uid="{00000000-0005-0000-0000-0000D8020000}"/>
    <cellStyle name="Comma 7 5 2 10" xfId="23732" xr:uid="{7271B6E7-9EC8-45ED-A39F-6A2EE9205006}"/>
    <cellStyle name="Comma 7 5 2 11" xfId="12676" xr:uid="{E3C414B1-985B-448E-A888-8F93AF525D4B}"/>
    <cellStyle name="Comma 7 5 2 2" xfId="522" xr:uid="{00000000-0005-0000-0000-0000D9020000}"/>
    <cellStyle name="Comma 7 5 2 2 2" xfId="1771" xr:uid="{00000000-0005-0000-0000-0000DA020000}"/>
    <cellStyle name="Comma 7 5 2 2 2 2" xfId="24739" xr:uid="{CE9739E2-0E6C-4012-8352-FEFC55D4E5E8}"/>
    <cellStyle name="Comma 7 5 2 2 2 2 2" xfId="30051" xr:uid="{4A16484D-88A6-4D35-9E64-26FC006A8FEA}"/>
    <cellStyle name="Comma 7 5 2 2 2 3" xfId="25615" xr:uid="{E11AB7C8-071A-4B09-83C8-46783A515B04}"/>
    <cellStyle name="Comma 7 5 2 2 2 4" xfId="30291" xr:uid="{0225D7B6-638A-4494-A4B2-AA11A8A11A53}"/>
    <cellStyle name="Comma 7 5 2 2 3" xfId="1772" xr:uid="{00000000-0005-0000-0000-0000DB020000}"/>
    <cellStyle name="Comma 7 5 2 2 3 2" xfId="27030" xr:uid="{4FA6F6FF-3998-4705-9D32-C8FCE46C3B75}"/>
    <cellStyle name="Comma 7 5 2 2 3 3" xfId="27386" xr:uid="{6C331F4C-E5CD-4B44-968E-0F45ABC4B5DD}"/>
    <cellStyle name="Comma 7 5 2 2 4" xfId="1770" xr:uid="{00000000-0005-0000-0000-0000DC020000}"/>
    <cellStyle name="Comma 7 5 2 2 5" xfId="4913" xr:uid="{292E7043-3ECC-4B86-8A68-9553D6F91E71}"/>
    <cellStyle name="Comma 7 5 2 2 5 2" xfId="26639" xr:uid="{499C625A-4CCE-4EF2-A8EA-D9B86F988028}"/>
    <cellStyle name="Comma 7 5 2 2 5 3" xfId="28695" xr:uid="{9658C0DE-99BE-4E79-987E-4296B294C41E}"/>
    <cellStyle name="Comma 7 5 2 2 5 4" xfId="14205" xr:uid="{5B1BE0DE-DB06-4CD0-9D5C-33FEDCF65142}"/>
    <cellStyle name="Comma 7 5 2 2 6" xfId="6658" xr:uid="{D1C9BAC6-1A7E-4DF8-AC19-F1503F2DB7E5}"/>
    <cellStyle name="Comma 7 5 2 2 6 2" xfId="17038" xr:uid="{F5D565DB-66DB-4426-83FE-CA2C1B834E84}"/>
    <cellStyle name="Comma 7 5 2 2 7" xfId="9491" xr:uid="{6A31CE58-6B40-4C65-BC91-7AFB0091B658}"/>
    <cellStyle name="Comma 7 5 2 2 7 2" xfId="19871" xr:uid="{0210F76D-6388-4692-9950-53EF0FA1D003}"/>
    <cellStyle name="Comma 7 5 2 2 8" xfId="23886" xr:uid="{5D62CAE4-9906-433E-88E3-AABC571647DB}"/>
    <cellStyle name="Comma 7 5 2 2 9" xfId="13583" xr:uid="{83868C91-B072-4CE9-B1C4-182C922D8C7E}"/>
    <cellStyle name="Comma 7 5 2 3" xfId="1773" xr:uid="{00000000-0005-0000-0000-0000DD020000}"/>
    <cellStyle name="Comma 7 5 2 3 2" xfId="2683" xr:uid="{00000000-0005-0000-0000-00003E020000}"/>
    <cellStyle name="Comma 7 5 2 3 2 2" xfId="7807" xr:uid="{D680A6ED-2E5B-494C-B20D-A469A372655C}"/>
    <cellStyle name="Comma 7 5 2 3 2 2 2" xfId="18187" xr:uid="{C2A50A2D-2117-475D-8CF9-BB8184BA4D36}"/>
    <cellStyle name="Comma 7 5 2 3 2 3" xfId="10640" xr:uid="{8F13F77B-5886-4B31-9A6B-6F7BBF4680C1}"/>
    <cellStyle name="Comma 7 5 2 3 2 3 2" xfId="21020" xr:uid="{806E31E5-44E7-4543-8EE7-D88714002892}"/>
    <cellStyle name="Comma 7 5 2 3 2 4" xfId="15354" xr:uid="{2B1DDC52-F985-4BDE-9709-0D693B7B1532}"/>
    <cellStyle name="Comma 7 5 2 3 3" xfId="3604" xr:uid="{00000000-0005-0000-0000-0000DD020000}"/>
    <cellStyle name="Comma 7 5 2 3 4" xfId="5637" xr:uid="{22F7C8BC-3E9A-4B2A-806B-9A80343B7F05}"/>
    <cellStyle name="Comma 7 5 2 3 4 2" xfId="29986" xr:uid="{9BD98F47-6236-40A0-A1BF-1F2BFBD581F0}"/>
    <cellStyle name="Comma 7 5 2 3 5" xfId="24910" xr:uid="{F8A8837A-C407-4E3F-923E-3AFB3C58AF5E}"/>
    <cellStyle name="Comma 7 5 2 3 6" xfId="13094" xr:uid="{D1E8E6CF-0015-404D-A40C-C30BA51A8475}"/>
    <cellStyle name="Comma 7 5 2 4" xfId="1774" xr:uid="{00000000-0005-0000-0000-0000DE020000}"/>
    <cellStyle name="Comma 7 5 2 4 2" xfId="4661" xr:uid="{2293452D-99F2-4CAD-A165-3292E92C43D0}"/>
    <cellStyle name="Comma 7 5 2 4 2 2" xfId="9410" xr:uid="{8490B5E4-6184-4B5A-B643-0B3560AA6B22}"/>
    <cellStyle name="Comma 7 5 2 4 2 2 2" xfId="19790" xr:uid="{FCFB48EE-F3DA-40D4-827B-447D467F4461}"/>
    <cellStyle name="Comma 7 5 2 4 2 3" xfId="12243" xr:uid="{6AD03675-E70A-43EC-8DE8-396BC8465545}"/>
    <cellStyle name="Comma 7 5 2 4 2 3 2" xfId="22623" xr:uid="{389CCCCB-5BE5-4301-9249-F53BBA9D0DA1}"/>
    <cellStyle name="Comma 7 5 2 4 2 4" xfId="26518" xr:uid="{70ABF6DC-7723-4A8F-99BB-4DB503F16498}"/>
    <cellStyle name="Comma 7 5 2 4 2 5" xfId="28688" xr:uid="{797ADB1F-1EB8-4FFC-B4C7-4F772DF04221}"/>
    <cellStyle name="Comma 7 5 2 4 2 6" xfId="16957" xr:uid="{54EA9394-C352-4F3E-8333-563BD2D23845}"/>
    <cellStyle name="Comma 7 5 2 4 3" xfId="23108" xr:uid="{4651104D-9B11-4DF9-AF50-B53CB8D8197E}"/>
    <cellStyle name="Comma 7 5 2 4 3 2" xfId="30142" xr:uid="{20BFADCB-F3DB-41FE-A750-DF1CB4CE5D13}"/>
    <cellStyle name="Comma 7 5 2 4 4" xfId="30254" xr:uid="{57F86AC7-EF73-486B-BDC3-421156364329}"/>
    <cellStyle name="Comma 7 5 2 5" xfId="1769" xr:uid="{00000000-0005-0000-0000-0000DF020000}"/>
    <cellStyle name="Comma 7 5 2 5 2" xfId="22841" xr:uid="{D1DB451F-6159-4A74-9B86-700896744C6A}"/>
    <cellStyle name="Comma 7 5 2 5 3" xfId="23334" xr:uid="{93AFDCE7-C4AA-4008-818F-D54818BF790E}"/>
    <cellStyle name="Comma 7 5 2 6" xfId="4132" xr:uid="{6C3FB44E-C3DD-459C-9389-910BF7DB3F9C}"/>
    <cellStyle name="Comma 7 5 2 6 2" xfId="8904" xr:uid="{A90DD8B8-339C-4DFD-9955-5E5A304CC0C4}"/>
    <cellStyle name="Comma 7 5 2 6 2 2" xfId="19284" xr:uid="{B57EC07F-43BA-45E8-95C3-065ABF189734}"/>
    <cellStyle name="Comma 7 5 2 6 3" xfId="11737" xr:uid="{BB3C0E05-D031-4229-ABCD-7D9AF0680012}"/>
    <cellStyle name="Comma 7 5 2 6 3 2" xfId="22117" xr:uid="{EA49C380-52C9-4106-9534-2C5AB97684E3}"/>
    <cellStyle name="Comma 7 5 2 6 4" xfId="26569" xr:uid="{13B4D00C-BF5B-4937-9643-02477EBF71E3}"/>
    <cellStyle name="Comma 7 5 2 6 5" xfId="26506" xr:uid="{AFC1D15D-FE69-4DC5-A4C1-3A148A010EFD}"/>
    <cellStyle name="Comma 7 5 2 6 6" xfId="16451" xr:uid="{1ECDBD2A-CFE2-498B-8B43-F4E11D0599D1}"/>
    <cellStyle name="Comma 7 5 2 7" xfId="4912" xr:uid="{2FF2228D-1314-47F7-A649-B753533FBC8D}"/>
    <cellStyle name="Comma 7 5 2 7 2" xfId="27243" xr:uid="{C4EC5E6E-8F0B-49C6-9EB5-C71C495229DB}"/>
    <cellStyle name="Comma 7 5 2 7 3" xfId="27798" xr:uid="{6DAD2BEF-7EBF-4C6E-A116-18EA70E465FB}"/>
    <cellStyle name="Comma 7 5 2 7 4" xfId="14204" xr:uid="{4BE345BD-8721-4E6B-966D-99DA1638117A}"/>
    <cellStyle name="Comma 7 5 2 8" xfId="6657" xr:uid="{1C3ECEF6-26DB-46B5-BD5A-292C97DA5F61}"/>
    <cellStyle name="Comma 7 5 2 8 2" xfId="17037" xr:uid="{9B548DB4-02BF-4262-AC9A-890BCBFFCE8F}"/>
    <cellStyle name="Comma 7 5 2 9" xfId="9490" xr:uid="{7A9069B7-FCFB-48A7-B514-C0CD8B93DE19}"/>
    <cellStyle name="Comma 7 5 2 9 2" xfId="19870" xr:uid="{C0F14D28-BF11-45A9-8B65-1362B87914A1}"/>
    <cellStyle name="Comma 7 5 3" xfId="523" xr:uid="{00000000-0005-0000-0000-0000E0020000}"/>
    <cellStyle name="Comma 7 5 3 10" xfId="13584" xr:uid="{B1FF3BE9-35A9-4F2E-AB1A-162D9D826A92}"/>
    <cellStyle name="Comma 7 5 3 2" xfId="1776" xr:uid="{00000000-0005-0000-0000-0000E1020000}"/>
    <cellStyle name="Comma 7 5 3 2 2" xfId="22792" xr:uid="{0F83F840-92B1-4135-BB5C-61014B1EB3FA}"/>
    <cellStyle name="Comma 7 5 3 2 2 2" xfId="30030" xr:uid="{CD91AA4B-1A81-4D5F-A449-DD208D2579F0}"/>
    <cellStyle name="Comma 7 5 3 2 3" xfId="24071" xr:uid="{8A811A5F-863A-432D-8845-82D7A335A18F}"/>
    <cellStyle name="Comma 7 5 3 2 3 2" xfId="26964" xr:uid="{ACD1A0F0-669A-46F3-822C-B3E39EEFFB34}"/>
    <cellStyle name="Comma 7 5 3 2 4" xfId="30292" xr:uid="{A3F9FA6B-1D1A-47EA-9464-63698CFCCA97}"/>
    <cellStyle name="Comma 7 5 3 3" xfId="1777" xr:uid="{00000000-0005-0000-0000-0000E2020000}"/>
    <cellStyle name="Comma 7 5 3 4" xfId="1775" xr:uid="{00000000-0005-0000-0000-0000E3020000}"/>
    <cellStyle name="Comma 7 5 3 4 2" xfId="25794" xr:uid="{C46FFFC4-5367-43D9-A0F2-883957F7948E}"/>
    <cellStyle name="Comma 7 5 3 4 3" xfId="25050" xr:uid="{B860A217-F0E0-4C8F-8370-1FADC8BB8F47}"/>
    <cellStyle name="Comma 7 5 3 5" xfId="4417" xr:uid="{C9503F72-C980-4EA6-9C7B-463E12EBFCF4}"/>
    <cellStyle name="Comma 7 5 3 5 2" xfId="9189" xr:uid="{5A1C26EA-F208-48EE-86DD-9FFC88BAFD19}"/>
    <cellStyle name="Comma 7 5 3 5 2 2" xfId="19569" xr:uid="{FCD690AC-5AC5-4154-904A-D83197D1328E}"/>
    <cellStyle name="Comma 7 5 3 5 3" xfId="12022" xr:uid="{FE1AF542-490F-455D-B3A3-CBC2CF555370}"/>
    <cellStyle name="Comma 7 5 3 5 3 2" xfId="22402" xr:uid="{00BE9369-0DF0-4924-8996-08D0CF6B80B1}"/>
    <cellStyle name="Comma 7 5 3 5 4" xfId="26390" xr:uid="{6B4CBF57-0C58-4E6E-8425-E119C9F18CE3}"/>
    <cellStyle name="Comma 7 5 3 5 5" xfId="26812" xr:uid="{2D16A3FA-6801-4321-9577-5BCA3F3D3CF6}"/>
    <cellStyle name="Comma 7 5 3 5 6" xfId="16736" xr:uid="{16B91357-5D72-4047-8D44-EA5C0437341A}"/>
    <cellStyle name="Comma 7 5 3 6" xfId="4914" xr:uid="{52DF5D1D-58FF-4F8F-A9B2-66477038F575}"/>
    <cellStyle name="Comma 7 5 3 6 2" xfId="27201" xr:uid="{6326BB40-03C3-4902-9C37-66E177A6EE9F}"/>
    <cellStyle name="Comma 7 5 3 6 3" xfId="26126" xr:uid="{8D6A2465-16E8-4E6F-A741-2AF012D9129F}"/>
    <cellStyle name="Comma 7 5 3 6 4" xfId="14206" xr:uid="{B4665CA3-479F-4BA8-B01A-97C19FE4190B}"/>
    <cellStyle name="Comma 7 5 3 7" xfId="6659" xr:uid="{1AFEB5F0-FB19-4185-86EE-541F27F587A7}"/>
    <cellStyle name="Comma 7 5 3 7 2" xfId="17039" xr:uid="{958F4867-4E4C-4A39-88B9-A6A66A6A68B3}"/>
    <cellStyle name="Comma 7 5 3 8" xfId="9492" xr:uid="{4B8908AE-1128-4C15-8990-7885F7F4F125}"/>
    <cellStyle name="Comma 7 5 3 8 2" xfId="19872" xr:uid="{57CCC8A8-3DAE-4B38-9E91-BA0D903C5B64}"/>
    <cellStyle name="Comma 7 5 3 9" xfId="25476" xr:uid="{07803372-5954-4D9E-9D44-7FB4212F89A6}"/>
    <cellStyle name="Comma 7 5 4" xfId="524" xr:uid="{00000000-0005-0000-0000-0000E4020000}"/>
    <cellStyle name="Comma 7 5 4 2" xfId="1779" xr:uid="{00000000-0005-0000-0000-0000E5020000}"/>
    <cellStyle name="Comma 7 5 4 2 2" xfId="24447" xr:uid="{BF2EC34A-698B-443F-AAE6-00CE8E0BD838}"/>
    <cellStyle name="Comma 7 5 4 2 2 2" xfId="30044" xr:uid="{8EC5628F-B998-444C-B69A-F86B65AB1FE9}"/>
    <cellStyle name="Comma 7 5 4 2 3" xfId="25559" xr:uid="{57C8C355-B884-4ABB-8802-01C4ABA7B528}"/>
    <cellStyle name="Comma 7 5 4 2 4" xfId="30272" xr:uid="{F153595C-AD6B-4889-AEEC-18EA5BCA7895}"/>
    <cellStyle name="Comma 7 5 4 3" xfId="1780" xr:uid="{00000000-0005-0000-0000-0000E6020000}"/>
    <cellStyle name="Comma 7 5 4 4" xfId="1778" xr:uid="{00000000-0005-0000-0000-0000E7020000}"/>
    <cellStyle name="Comma 7 5 4 5" xfId="4915" xr:uid="{DB919833-4F3D-4DD0-92E0-182B07EEBA4A}"/>
    <cellStyle name="Comma 7 5 4 5 2" xfId="14207" xr:uid="{40ACD453-DF55-4FFD-A391-5CE1BDDCA524}"/>
    <cellStyle name="Comma 7 5 4 6" xfId="6660" xr:uid="{3A3D3219-E4C3-4D65-9D99-82110F79AA60}"/>
    <cellStyle name="Comma 7 5 4 6 2" xfId="17040" xr:uid="{279B2CF0-A082-4FCF-9AAF-773691DA413F}"/>
    <cellStyle name="Comma 7 5 4 7" xfId="9493" xr:uid="{FCA469A8-8931-48F6-926A-41861DF39F45}"/>
    <cellStyle name="Comma 7 5 4 7 2" xfId="19873" xr:uid="{55A2D2CF-771F-45C4-8325-93696FF6CA25}"/>
    <cellStyle name="Comma 7 5 4 8" xfId="22755" xr:uid="{A900A73F-8391-41AF-A37D-A96D0AAB769A}"/>
    <cellStyle name="Comma 7 5 4 9" xfId="13374" xr:uid="{5991FD6E-E04B-4B1E-8779-90B5E1B3389E}"/>
    <cellStyle name="Comma 7 5 5" xfId="1781" xr:uid="{00000000-0005-0000-0000-0000E8020000}"/>
    <cellStyle name="Comma 7 5 5 2" xfId="2510" xr:uid="{00000000-0005-0000-0000-000041020000}"/>
    <cellStyle name="Comma 7 5 5 2 2" xfId="7635" xr:uid="{8BD04E5F-2AF6-4CAB-B0E4-9422C199D6EF}"/>
    <cellStyle name="Comma 7 5 5 2 2 2" xfId="18015" xr:uid="{1522A619-7A17-43D7-9F68-0A37B7D1ACB6}"/>
    <cellStyle name="Comma 7 5 5 2 3" xfId="10468" xr:uid="{F92458F7-2A4F-44FD-AEF2-734C921800EA}"/>
    <cellStyle name="Comma 7 5 5 2 3 2" xfId="20848" xr:uid="{AC8B4F3C-0517-4D8B-A400-6A262C563C4C}"/>
    <cellStyle name="Comma 7 5 5 2 4" xfId="15182" xr:uid="{C2388372-8FDB-4F2C-93F5-96DE42466C4F}"/>
    <cellStyle name="Comma 7 5 5 3" xfId="3668" xr:uid="{00000000-0005-0000-0000-0000E8020000}"/>
    <cellStyle name="Comma 7 5 5 4" xfId="5638" xr:uid="{549DF708-A440-479B-B2F3-1DB44B4EF640}"/>
    <cellStyle name="Comma 7 5 5 4 2" xfId="30077" xr:uid="{E6EA8B56-060D-4250-9865-185D9E116CA7}"/>
    <cellStyle name="Comma 7 5 5 5" xfId="23830" xr:uid="{7ABF10FD-54AF-4FCB-A30B-74C19BFAC23C}"/>
    <cellStyle name="Comma 7 5 5 6" xfId="12898" xr:uid="{2299A01D-B91F-4761-845C-904B07E66C70}"/>
    <cellStyle name="Comma 7 5 6" xfId="1782" xr:uid="{00000000-0005-0000-0000-0000E9020000}"/>
    <cellStyle name="Comma 7 5 6 2" xfId="2286" xr:uid="{00000000-0005-0000-0000-00003B020000}"/>
    <cellStyle name="Comma 7 5 6 2 2" xfId="7413" xr:uid="{96301E53-3181-48FB-8AC6-3E2E435B2651}"/>
    <cellStyle name="Comma 7 5 6 2 2 2" xfId="17793" xr:uid="{E5BBB9F5-82C1-44B3-AB90-B6D07CA561EC}"/>
    <cellStyle name="Comma 7 5 6 2 3" xfId="10246" xr:uid="{1C344A61-EF6C-4749-8CC5-F367E86BAEC6}"/>
    <cellStyle name="Comma 7 5 6 2 3 2" xfId="20626" xr:uid="{6F00D7DF-26C0-4026-B970-FCDB35570BB5}"/>
    <cellStyle name="Comma 7 5 6 2 4" xfId="26704" xr:uid="{25367A79-03FE-4E99-A6D9-B39A4C021B71}"/>
    <cellStyle name="Comma 7 5 6 2 5" xfId="28078" xr:uid="{81956DED-55C2-46FF-BA51-2B1FE576EDA6}"/>
    <cellStyle name="Comma 7 5 6 2 6" xfId="14960" xr:uid="{1FC506FA-B02F-4406-BE5D-1A0AB0002CD6}"/>
    <cellStyle name="Comma 7 5 6 3" xfId="3709" xr:uid="{00000000-0005-0000-0000-0000E9020000}"/>
    <cellStyle name="Comma 7 5 6 4" xfId="23749" xr:uid="{28F6DA41-D61A-4D0F-9CA7-CAF5D179111F}"/>
    <cellStyle name="Comma 7 5 6 4 2" xfId="30105" xr:uid="{9FEAB925-0085-490E-BD28-5666FB016D86}"/>
    <cellStyle name="Comma 7 5 6 5" xfId="30235" xr:uid="{CB3BA7A3-E343-434E-A85C-400C288712B2}"/>
    <cellStyle name="Comma 7 5 7" xfId="1768" xr:uid="{00000000-0005-0000-0000-0000EA020000}"/>
    <cellStyle name="Comma 7 5 7 2" xfId="25768" xr:uid="{F584A0C8-D732-472C-8BC3-DCA82A4452C1}"/>
    <cellStyle name="Comma 7 5 7 3" xfId="24312" xr:uid="{DE1C596D-9290-445D-A960-F019D4EBE472}"/>
    <cellStyle name="Comma 7 5 8" xfId="3873" xr:uid="{48CD740C-5852-4F71-8415-A59533214287}"/>
    <cellStyle name="Comma 7 5 8 2" xfId="8705" xr:uid="{2092291F-6D19-473F-B830-5642A321C9E0}"/>
    <cellStyle name="Comma 7 5 8 2 2" xfId="19085" xr:uid="{3C3C96BC-C15B-42E8-A25D-DFE52D72489C}"/>
    <cellStyle name="Comma 7 5 8 3" xfId="11538" xr:uid="{45226AFF-2E75-4335-B2ED-828ECCDB1B2E}"/>
    <cellStyle name="Comma 7 5 8 3 2" xfId="21918" xr:uid="{3BD3D099-5148-4FEB-9872-FEC1BB64264A}"/>
    <cellStyle name="Comma 7 5 8 4" xfId="27227" xr:uid="{9D9EC285-B6D7-4808-A5A5-F2B84F97DB89}"/>
    <cellStyle name="Comma 7 5 8 5" xfId="26603" xr:uid="{EA04B149-B8A8-46AB-8B5F-D3490B78CF45}"/>
    <cellStyle name="Comma 7 5 8 6" xfId="16252" xr:uid="{0F497EE2-3708-464E-B533-49B9C695DDE7}"/>
    <cellStyle name="Comma 7 5 9" xfId="4911" xr:uid="{EFAE726E-D909-4F3A-A93D-88D212696C5B}"/>
    <cellStyle name="Comma 7 5 9 2" xfId="27480" xr:uid="{5BA3817F-2561-481C-A447-26DAD1F5D2D1}"/>
    <cellStyle name="Comma 7 5 9 3" xfId="28118" xr:uid="{F59C1B3D-7808-45AB-A87E-F0FFD805067B}"/>
    <cellStyle name="Comma 7 5 9 4" xfId="14203" xr:uid="{F41FDCFE-A946-4145-AE37-811A2338AAC6}"/>
    <cellStyle name="Comma 7 6" xfId="525" xr:uid="{00000000-0005-0000-0000-0000EB020000}"/>
    <cellStyle name="Comma 7 6 10" xfId="6661" xr:uid="{3C922A1C-3EDF-4ADB-BCF9-4AAAD0AD9E0B}"/>
    <cellStyle name="Comma 7 6 10 2" xfId="17041" xr:uid="{7F79C41C-4C72-473D-8C7E-2F2111D1976D}"/>
    <cellStyle name="Comma 7 6 11" xfId="9494" xr:uid="{64755B39-2642-4500-B52C-9B7320D95F8E}"/>
    <cellStyle name="Comma 7 6 11 2" xfId="19874" xr:uid="{DFB4B661-D0C2-4C9C-98F4-4E5EC8E5A97B}"/>
    <cellStyle name="Comma 7 6 12" xfId="23727" xr:uid="{5BEAD8CD-3BBE-4F24-849F-DEB87F170612}"/>
    <cellStyle name="Comma 7 6 13" xfId="12519" xr:uid="{30036AA6-4C98-40E0-9CD5-00847A39A7FB}"/>
    <cellStyle name="Comma 7 6 2" xfId="526" xr:uid="{00000000-0005-0000-0000-0000EC020000}"/>
    <cellStyle name="Comma 7 6 2 10" xfId="25115" xr:uid="{814FE15A-4D33-47EF-8D30-EACB30C37661}"/>
    <cellStyle name="Comma 7 6 2 11" xfId="12677" xr:uid="{6724AC7A-9AE5-497A-A10F-2236E9674140}"/>
    <cellStyle name="Comma 7 6 2 2" xfId="527" xr:uid="{00000000-0005-0000-0000-0000ED020000}"/>
    <cellStyle name="Comma 7 6 2 2 2" xfId="1786" xr:uid="{00000000-0005-0000-0000-0000EE020000}"/>
    <cellStyle name="Comma 7 6 2 2 2 2" xfId="24580" xr:uid="{5DC6A7E0-F1A5-4CA2-B4F1-40AE2DEBE743}"/>
    <cellStyle name="Comma 7 6 2 2 2 2 2" xfId="30031" xr:uid="{28D552FC-8A33-4D52-B9BB-6EE2EA69C9F4}"/>
    <cellStyle name="Comma 7 6 2 2 2 3" xfId="23934" xr:uid="{E36F713B-902C-474C-93D2-2A68907E4954}"/>
    <cellStyle name="Comma 7 6 2 2 2 4" xfId="30293" xr:uid="{89B6BA92-01A3-485E-AC53-8A12017FAEB0}"/>
    <cellStyle name="Comma 7 6 2 2 3" xfId="1787" xr:uid="{00000000-0005-0000-0000-0000EF020000}"/>
    <cellStyle name="Comma 7 6 2 2 3 2" xfId="28556" xr:uid="{5E0339E1-F027-4441-B67C-359CFFC3FA81}"/>
    <cellStyle name="Comma 7 6 2 2 3 3" xfId="26688" xr:uid="{49DBD4AD-E167-4C32-A3F1-77C9BEF24AA4}"/>
    <cellStyle name="Comma 7 6 2 2 4" xfId="1785" xr:uid="{00000000-0005-0000-0000-0000F0020000}"/>
    <cellStyle name="Comma 7 6 2 2 5" xfId="4918" xr:uid="{568104A5-BF9E-4CAB-8466-A723EBB6FFCC}"/>
    <cellStyle name="Comma 7 6 2 2 5 2" xfId="27423" xr:uid="{6D27C4D8-3DCA-45E9-B4AB-2A98FB1E5EE5}"/>
    <cellStyle name="Comma 7 6 2 2 5 3" xfId="27497" xr:uid="{C946227B-FD3C-4022-B083-3E43AC2359BB}"/>
    <cellStyle name="Comma 7 6 2 2 5 4" xfId="14210" xr:uid="{E793957B-5283-40B1-A140-FAE3C320445E}"/>
    <cellStyle name="Comma 7 6 2 2 6" xfId="6663" xr:uid="{08D01A92-D402-4010-8F82-1B92687A9318}"/>
    <cellStyle name="Comma 7 6 2 2 6 2" xfId="17043" xr:uid="{2B0FA746-237E-4BCF-9749-FA783E15E6B1}"/>
    <cellStyle name="Comma 7 6 2 2 7" xfId="9496" xr:uid="{CB4BEAF8-8EA1-4E64-B2B4-DB3E3BE6CFC4}"/>
    <cellStyle name="Comma 7 6 2 2 7 2" xfId="19876" xr:uid="{D7BF4F8A-54A9-412F-8ACF-CC7A9377CEF4}"/>
    <cellStyle name="Comma 7 6 2 2 8" xfId="23651" xr:uid="{46A5AAB7-7F4C-49F6-98ED-6349F507F456}"/>
    <cellStyle name="Comma 7 6 2 2 9" xfId="13585" xr:uid="{BF096EB4-D816-419A-A0CF-AECE1917DBF7}"/>
    <cellStyle name="Comma 7 6 2 3" xfId="1788" xr:uid="{00000000-0005-0000-0000-0000F1020000}"/>
    <cellStyle name="Comma 7 6 2 3 2" xfId="2684" xr:uid="{00000000-0005-0000-0000-000045020000}"/>
    <cellStyle name="Comma 7 6 2 3 2 2" xfId="7808" xr:uid="{BF3D237B-7A5C-4AAA-888F-27E9372A55C6}"/>
    <cellStyle name="Comma 7 6 2 3 2 2 2" xfId="18188" xr:uid="{C7FBD44B-FA60-4D74-A7B2-1672FA506946}"/>
    <cellStyle name="Comma 7 6 2 3 2 3" xfId="10641" xr:uid="{6E4FC81E-5D87-4568-B43B-22C6D3B722B4}"/>
    <cellStyle name="Comma 7 6 2 3 2 3 2" xfId="21021" xr:uid="{4C3A11D8-3CA8-4B93-8360-3532C16154E6}"/>
    <cellStyle name="Comma 7 6 2 3 2 4" xfId="15355" xr:uid="{F5ABC2AE-96BF-4503-97DF-050751112AFA}"/>
    <cellStyle name="Comma 7 6 2 3 3" xfId="3618" xr:uid="{00000000-0005-0000-0000-0000F1020000}"/>
    <cellStyle name="Comma 7 6 2 3 4" xfId="5639" xr:uid="{A859882B-B923-4E27-B0EB-8C0E2A828252}"/>
    <cellStyle name="Comma 7 6 2 3 4 2" xfId="29987" xr:uid="{90866F8D-9A6F-42C6-926C-6ABAB04AAB08}"/>
    <cellStyle name="Comma 7 6 2 3 5" xfId="24408" xr:uid="{EC228E64-B2C8-4AC7-BE4E-D17338AB1515}"/>
    <cellStyle name="Comma 7 6 2 3 6" xfId="13095" xr:uid="{C208DBAA-B733-4EC3-AE62-2CF8D1447AE0}"/>
    <cellStyle name="Comma 7 6 2 4" xfId="1789" xr:uid="{00000000-0005-0000-0000-0000F2020000}"/>
    <cellStyle name="Comma 7 6 2 4 2" xfId="4664" xr:uid="{50E6BFA1-74EF-4B19-9EE4-646816D6291E}"/>
    <cellStyle name="Comma 7 6 2 4 2 2" xfId="9412" xr:uid="{6712593D-4D90-4972-B5EA-F02A2074CDB3}"/>
    <cellStyle name="Comma 7 6 2 4 2 2 2" xfId="19792" xr:uid="{8E197436-3704-4568-9E55-6040B877C7C6}"/>
    <cellStyle name="Comma 7 6 2 4 2 3" xfId="12245" xr:uid="{3CB18AEA-CAC2-4D64-9896-F6D9491787E4}"/>
    <cellStyle name="Comma 7 6 2 4 2 3 2" xfId="22625" xr:uid="{0DAC3779-A367-4685-9318-BD1DC710C257}"/>
    <cellStyle name="Comma 7 6 2 4 2 4" xfId="25844" xr:uid="{90FCDCF5-0E73-428A-AD01-8BD32EE7A20A}"/>
    <cellStyle name="Comma 7 6 2 4 2 5" xfId="26944" xr:uid="{FDEAC753-4E39-4E73-BA38-3471ED455783}"/>
    <cellStyle name="Comma 7 6 2 4 2 6" xfId="16959" xr:uid="{FB80DAFC-A2F7-40F0-AB68-3C4DEBDA971E}"/>
    <cellStyle name="Comma 7 6 2 4 3" xfId="23503" xr:uid="{04889AB2-5596-4889-95C2-683574FB893B}"/>
    <cellStyle name="Comma 7 6 2 4 3 2" xfId="30143" xr:uid="{40B2A1C7-25B9-4EF1-A4AC-92AD6BF9FEC8}"/>
    <cellStyle name="Comma 7 6 2 4 4" xfId="30255" xr:uid="{2080E2F4-A2A8-484A-BC5F-838E85B1C38D}"/>
    <cellStyle name="Comma 7 6 2 5" xfId="1784" xr:uid="{00000000-0005-0000-0000-0000F3020000}"/>
    <cellStyle name="Comma 7 6 2 5 2" xfId="25694" xr:uid="{43A0D14E-D700-4A27-B4AB-31B149617AFF}"/>
    <cellStyle name="Comma 7 6 2 5 3" xfId="24099" xr:uid="{54D0671A-307C-4728-BC97-C34C5ECF5973}"/>
    <cellStyle name="Comma 7 6 2 6" xfId="4133" xr:uid="{F945E186-3247-4F6C-B426-F7EFD44BCD80}"/>
    <cellStyle name="Comma 7 6 2 6 2" xfId="8905" xr:uid="{DE90C64F-E618-43DD-89D7-72CB5AD9AA83}"/>
    <cellStyle name="Comma 7 6 2 6 2 2" xfId="19285" xr:uid="{10632414-1D65-4747-948E-6E1245FE22D9}"/>
    <cellStyle name="Comma 7 6 2 6 3" xfId="11738" xr:uid="{5AB719FF-2D36-40CA-B87B-E0EEB0F6B2A4}"/>
    <cellStyle name="Comma 7 6 2 6 3 2" xfId="22118" xr:uid="{EF699C44-1A09-41A7-875A-469875BB7530}"/>
    <cellStyle name="Comma 7 6 2 6 4" xfId="27116" xr:uid="{E4AFD861-E5CC-47DE-95E7-34710AD78800}"/>
    <cellStyle name="Comma 7 6 2 6 5" xfId="26444" xr:uid="{5506A1C8-F541-44DE-857E-8369B4475383}"/>
    <cellStyle name="Comma 7 6 2 6 6" xfId="16452" xr:uid="{6857E195-9D92-4D19-A4E3-236B3934BF3B}"/>
    <cellStyle name="Comma 7 6 2 7" xfId="4917" xr:uid="{FE403337-2F0D-4875-BE3F-AE4E3512D1C4}"/>
    <cellStyle name="Comma 7 6 2 7 2" xfId="27185" xr:uid="{223CDA76-39A1-462B-B62D-67B01570377D}"/>
    <cellStyle name="Comma 7 6 2 7 3" xfId="25876" xr:uid="{2EA461FC-8742-4111-9649-6F3E9C6FB2B2}"/>
    <cellStyle name="Comma 7 6 2 7 4" xfId="14209" xr:uid="{3D7978FF-A8A6-4159-87A7-1406E29B3FFC}"/>
    <cellStyle name="Comma 7 6 2 8" xfId="6662" xr:uid="{6BFB99A7-C150-4A32-91F9-F00DD3F6570A}"/>
    <cellStyle name="Comma 7 6 2 8 2" xfId="17042" xr:uid="{E695DF8E-2F2C-42CB-86B7-745C00487F72}"/>
    <cellStyle name="Comma 7 6 2 9" xfId="9495" xr:uid="{9FEF4260-B3EB-478D-9250-28C108D44304}"/>
    <cellStyle name="Comma 7 6 2 9 2" xfId="19875" xr:uid="{994A1F05-8638-445F-81D5-DDF77F57B939}"/>
    <cellStyle name="Comma 7 6 3" xfId="528" xr:uid="{00000000-0005-0000-0000-0000F4020000}"/>
    <cellStyle name="Comma 7 6 3 10" xfId="13586" xr:uid="{56574CA9-3593-4025-BED2-E7C628883E83}"/>
    <cellStyle name="Comma 7 6 3 2" xfId="1791" xr:uid="{00000000-0005-0000-0000-0000F5020000}"/>
    <cellStyle name="Comma 7 6 3 2 2" xfId="22751" xr:uid="{593812E3-2DDF-4E3E-AF86-94AFED44583B}"/>
    <cellStyle name="Comma 7 6 3 2 2 2" xfId="30038" xr:uid="{4CDFCBA2-639D-4CC7-BDE1-5C057182C801}"/>
    <cellStyle name="Comma 7 6 3 2 3" xfId="25625" xr:uid="{EF760203-0895-4660-ABBE-998EE7974075}"/>
    <cellStyle name="Comma 7 6 3 2 3 2" xfId="26189" xr:uid="{817FEF4E-F9EF-4ACF-AE83-5398CABA09AF}"/>
    <cellStyle name="Comma 7 6 3 2 4" xfId="30294" xr:uid="{7947FC57-C672-43A6-A095-4FAC04E28BBC}"/>
    <cellStyle name="Comma 7 6 3 3" xfId="1792" xr:uid="{00000000-0005-0000-0000-0000F6020000}"/>
    <cellStyle name="Comma 7 6 3 4" xfId="1790" xr:uid="{00000000-0005-0000-0000-0000F7020000}"/>
    <cellStyle name="Comma 7 6 3 4 2" xfId="26138" xr:uid="{E6EA9670-01AD-4097-8942-F95C02BBB311}"/>
    <cellStyle name="Comma 7 6 3 4 3" xfId="27843" xr:uid="{2083A926-FFA6-4312-9EFE-62A3FA2AB227}"/>
    <cellStyle name="Comma 7 6 3 5" xfId="4418" xr:uid="{17EE87F9-E15C-49D6-B698-675BFE4FD544}"/>
    <cellStyle name="Comma 7 6 3 5 2" xfId="9190" xr:uid="{B9F2C594-CA1B-4D92-82B7-FE9881B6570F}"/>
    <cellStyle name="Comma 7 6 3 5 2 2" xfId="19570" xr:uid="{8CB3C512-BA74-4514-9D59-133ED75F9BC5}"/>
    <cellStyle name="Comma 7 6 3 5 3" xfId="12023" xr:uid="{6457D9C0-646F-48BD-A790-54F396FCF5C2}"/>
    <cellStyle name="Comma 7 6 3 5 3 2" xfId="22403" xr:uid="{2AE34014-F6E9-43B0-A9B5-3B3CA21E8788}"/>
    <cellStyle name="Comma 7 6 3 5 4" xfId="28330" xr:uid="{182E924A-FF7E-42F9-9D6F-3A88F64A8DB2}"/>
    <cellStyle name="Comma 7 6 3 5 5" xfId="26327" xr:uid="{F635D046-8281-43E0-AD08-5830F511022A}"/>
    <cellStyle name="Comma 7 6 3 5 6" xfId="16737" xr:uid="{F9D2678E-A41C-40F6-972B-1B0C4D2A6423}"/>
    <cellStyle name="Comma 7 6 3 6" xfId="4919" xr:uid="{33EFC1D5-54EB-4630-90A0-666D9DDD8F4A}"/>
    <cellStyle name="Comma 7 6 3 6 2" xfId="27263" xr:uid="{3DBEA452-D5B7-4573-9611-B22636B32724}"/>
    <cellStyle name="Comma 7 6 3 6 3" xfId="27857" xr:uid="{18868A69-83E5-43C1-B06F-3600A8F65256}"/>
    <cellStyle name="Comma 7 6 3 6 4" xfId="14211" xr:uid="{9E573F68-FCB4-4BA3-B42E-E92861EC75F0}"/>
    <cellStyle name="Comma 7 6 3 7" xfId="6664" xr:uid="{7052F44D-9F59-41BC-8F0E-03F9C92B062F}"/>
    <cellStyle name="Comma 7 6 3 7 2" xfId="17044" xr:uid="{C390A5C7-FDCB-42E1-917F-5CF360D52B23}"/>
    <cellStyle name="Comma 7 6 3 8" xfId="9497" xr:uid="{EA7EDDA5-DEB2-4B2A-B71E-B6740F9D6D4A}"/>
    <cellStyle name="Comma 7 6 3 8 2" xfId="19877" xr:uid="{B355EA29-EC2F-469C-A830-D4B3E64D5A5E}"/>
    <cellStyle name="Comma 7 6 3 9" xfId="23264" xr:uid="{C9357FCF-C68B-423E-8713-5590C530334C}"/>
    <cellStyle name="Comma 7 6 4" xfId="529" xr:uid="{00000000-0005-0000-0000-0000F8020000}"/>
    <cellStyle name="Comma 7 6 4 2" xfId="1794" xr:uid="{00000000-0005-0000-0000-0000F9020000}"/>
    <cellStyle name="Comma 7 6 4 2 2" xfId="23917" xr:uid="{461306F4-CC51-41EF-898A-E9488C332240}"/>
    <cellStyle name="Comma 7 6 4 2 2 2" xfId="30042" xr:uid="{56467050-B36C-4A30-9622-21110CEE0C4A}"/>
    <cellStyle name="Comma 7 6 4 2 3" xfId="24294" xr:uid="{089D13FD-4729-4D15-80E1-E28074858099}"/>
    <cellStyle name="Comma 7 6 4 2 4" xfId="30273" xr:uid="{4825945D-47EB-4BD1-B017-D6D3865F913F}"/>
    <cellStyle name="Comma 7 6 4 3" xfId="1795" xr:uid="{00000000-0005-0000-0000-0000FA020000}"/>
    <cellStyle name="Comma 7 6 4 4" xfId="1793" xr:uid="{00000000-0005-0000-0000-0000FB020000}"/>
    <cellStyle name="Comma 7 6 4 5" xfId="4920" xr:uid="{2C77362A-6873-444E-B14C-FAA30BCA57CB}"/>
    <cellStyle name="Comma 7 6 4 5 2" xfId="14212" xr:uid="{C6C22BA0-4EEC-40BF-9A2B-ECD4F30E0328}"/>
    <cellStyle name="Comma 7 6 4 6" xfId="6665" xr:uid="{B5D98CB2-C2F7-4A23-B0A0-CAFC738FBDA2}"/>
    <cellStyle name="Comma 7 6 4 6 2" xfId="17045" xr:uid="{CB0A4849-9D34-4D9C-828B-FA1FD7A9C39E}"/>
    <cellStyle name="Comma 7 6 4 7" xfId="9498" xr:uid="{A7F82291-B191-4B31-9A00-3C33733B7CDB}"/>
    <cellStyle name="Comma 7 6 4 7 2" xfId="19878" xr:uid="{895531C1-A89E-4C95-A546-1604F409EE1B}"/>
    <cellStyle name="Comma 7 6 4 8" xfId="23399" xr:uid="{1B88D223-F22D-4CD0-9B37-64E4FFB2E99C}"/>
    <cellStyle name="Comma 7 6 4 9" xfId="13375" xr:uid="{D6DEE421-8356-4C29-8B02-F990C6140E48}"/>
    <cellStyle name="Comma 7 6 5" xfId="1796" xr:uid="{00000000-0005-0000-0000-0000FC020000}"/>
    <cellStyle name="Comma 7 6 5 2" xfId="2573" xr:uid="{00000000-0005-0000-0000-000048020000}"/>
    <cellStyle name="Comma 7 6 5 2 2" xfId="7698" xr:uid="{214766C4-5442-4056-BBCF-25EFC9D14903}"/>
    <cellStyle name="Comma 7 6 5 2 2 2" xfId="18078" xr:uid="{7ABFEC52-D2E5-4E24-985B-B77C47CD40DF}"/>
    <cellStyle name="Comma 7 6 5 2 3" xfId="10531" xr:uid="{E4338EB2-8C0F-49BC-AB64-1C26551D1A54}"/>
    <cellStyle name="Comma 7 6 5 2 3 2" xfId="20911" xr:uid="{EE5AFDC6-F44C-47C9-AC73-44AAC855D5F6}"/>
    <cellStyle name="Comma 7 6 5 2 4" xfId="15245" xr:uid="{091C491E-3118-48B7-8179-E6285792460D}"/>
    <cellStyle name="Comma 7 6 5 3" xfId="2063" xr:uid="{00000000-0005-0000-0000-0000FC020000}"/>
    <cellStyle name="Comma 7 6 5 4" xfId="5640" xr:uid="{E6B8AE12-F1B5-499A-8F3E-004979DA9C30}"/>
    <cellStyle name="Comma 7 6 5 4 2" xfId="30078" xr:uid="{85E66C78-BD6F-458A-A3CE-BB0C5E8DB210}"/>
    <cellStyle name="Comma 7 6 5 5" xfId="23316" xr:uid="{186F7AEF-2327-4ED2-96ED-D56E6A0454EA}"/>
    <cellStyle name="Comma 7 6 5 6" xfId="12961" xr:uid="{E7DC528C-F130-4FF3-A64C-873FB2F5F56E}"/>
    <cellStyle name="Comma 7 6 6" xfId="1797" xr:uid="{00000000-0005-0000-0000-0000FD020000}"/>
    <cellStyle name="Comma 7 6 6 2" xfId="2287" xr:uid="{00000000-0005-0000-0000-000042020000}"/>
    <cellStyle name="Comma 7 6 6 2 2" xfId="7414" xr:uid="{DC0BA885-AAD0-406B-8C49-1F80B01D3139}"/>
    <cellStyle name="Comma 7 6 6 2 2 2" xfId="17794" xr:uid="{097FC72B-A4B1-41F1-89FA-E497A9C55EB6}"/>
    <cellStyle name="Comma 7 6 6 2 3" xfId="10247" xr:uid="{519F6ED0-7B20-436A-85EB-0745016D725D}"/>
    <cellStyle name="Comma 7 6 6 2 3 2" xfId="20627" xr:uid="{DF8105FF-DC48-4A5A-A798-92E7F20D62BA}"/>
    <cellStyle name="Comma 7 6 6 2 4" xfId="28720" xr:uid="{E1AB2579-9A5D-455E-A557-06AF11B88023}"/>
    <cellStyle name="Comma 7 6 6 2 5" xfId="27130" xr:uid="{9AA29743-1BB0-42A7-8142-D25BC83613CB}"/>
    <cellStyle name="Comma 7 6 6 2 6" xfId="14961" xr:uid="{D4CDCE7D-8BC5-43F6-B455-A2D94633B00D}"/>
    <cellStyle name="Comma 7 6 6 3" xfId="3566" xr:uid="{00000000-0005-0000-0000-0000FD020000}"/>
    <cellStyle name="Comma 7 6 6 4" xfId="25443" xr:uid="{42872B52-D575-49A2-AA17-DDB0CA2A7F99}"/>
    <cellStyle name="Comma 7 6 6 4 2" xfId="30116" xr:uid="{937090F5-39AE-4DC5-AFA1-3E0092BCD0F8}"/>
    <cellStyle name="Comma 7 6 6 5" xfId="30239" xr:uid="{F04C6EB8-799A-4300-88B3-AC772EA91D3D}"/>
    <cellStyle name="Comma 7 6 7" xfId="1783" xr:uid="{00000000-0005-0000-0000-0000FE020000}"/>
    <cellStyle name="Comma 7 6 7 2" xfId="27963" xr:uid="{1D32C5D1-031B-4E2E-A3F9-D5DB05CFD04C}"/>
    <cellStyle name="Comma 7 6 7 3" xfId="26878" xr:uid="{B323087D-4CC4-4BF7-B52C-5DE2B8509722}"/>
    <cellStyle name="Comma 7 6 8" xfId="3874" xr:uid="{A243BA53-A050-43A4-8A3D-C78E4411F594}"/>
    <cellStyle name="Comma 7 6 8 2" xfId="8706" xr:uid="{733A62D6-3F62-4B36-8242-2EBEEB5A247A}"/>
    <cellStyle name="Comma 7 6 8 2 2" xfId="19086" xr:uid="{81A8AB01-5EDE-492D-B7C3-58BE425DAAA2}"/>
    <cellStyle name="Comma 7 6 8 3" xfId="11539" xr:uid="{B218D86A-0B04-4ADA-B846-E6BC15240D73}"/>
    <cellStyle name="Comma 7 6 8 3 2" xfId="21919" xr:uid="{F31D6500-97F9-4A0D-A795-B6A0706BA972}"/>
    <cellStyle name="Comma 7 6 8 4" xfId="26595" xr:uid="{CAC20320-2EAC-4B05-8692-6D3045E06A47}"/>
    <cellStyle name="Comma 7 6 8 5" xfId="27356" xr:uid="{DEE963F9-8BF7-4796-ACC9-4FE8D34367F4}"/>
    <cellStyle name="Comma 7 6 8 6" xfId="16253" xr:uid="{2D16975B-8A13-4782-9163-3507B8A142AF}"/>
    <cellStyle name="Comma 7 6 9" xfId="4916" xr:uid="{E140A11C-3D15-4805-ADFA-F3493BC37417}"/>
    <cellStyle name="Comma 7 6 9 2" xfId="27838" xr:uid="{DBD250EF-0CB8-46C9-8225-D7982C860CC2}"/>
    <cellStyle name="Comma 7 6 9 3" xfId="26539" xr:uid="{E121BB5B-DD5E-428B-81BD-221BD63329A9}"/>
    <cellStyle name="Comma 7 6 9 4" xfId="14208" xr:uid="{4BEFEFAE-F8A4-43F4-B877-5A604371F221}"/>
    <cellStyle name="Comma 7 7" xfId="530" xr:uid="{00000000-0005-0000-0000-0000FF020000}"/>
    <cellStyle name="Comma 7 7 10" xfId="9499" xr:uid="{50FDD31A-098F-48AB-B132-9EE274435206}"/>
    <cellStyle name="Comma 7 7 10 2" xfId="19879" xr:uid="{A8FC17F2-4D77-4ADA-AD8A-911C3D7D6DEA}"/>
    <cellStyle name="Comma 7 7 11" xfId="25361" xr:uid="{118FA5C7-65DC-45FE-B93C-6554CEF9BCA8}"/>
    <cellStyle name="Comma 7 7 12" xfId="12520" xr:uid="{FF46BF83-0098-4B24-9994-7447DE95D4C9}"/>
    <cellStyle name="Comma 7 7 2" xfId="531" xr:uid="{00000000-0005-0000-0000-000000030000}"/>
    <cellStyle name="Comma 7 7 2 2" xfId="1800" xr:uid="{00000000-0005-0000-0000-000001030000}"/>
    <cellStyle name="Comma 7 7 2 2 2" xfId="2878" xr:uid="{00000000-0005-0000-0000-00004B020000}"/>
    <cellStyle name="Comma 7 7 2 2 2 2" xfId="7995" xr:uid="{D28A7FE0-815E-40F6-B577-8EE44F14115F}"/>
    <cellStyle name="Comma 7 7 2 2 2 2 2" xfId="18375" xr:uid="{7E714202-2115-41B1-BE5B-C9B27748611D}"/>
    <cellStyle name="Comma 7 7 2 2 2 3" xfId="10828" xr:uid="{F74D12D5-5D88-48FF-9BD2-A7E636270A5A}"/>
    <cellStyle name="Comma 7 7 2 2 2 3 2" xfId="21208" xr:uid="{95D531FD-307A-4FF7-8544-4302C89D47C7}"/>
    <cellStyle name="Comma 7 7 2 2 2 4" xfId="27272" xr:uid="{2D36A089-837D-4523-ABDD-F77154AE563C}"/>
    <cellStyle name="Comma 7 7 2 2 2 5" xfId="27935" xr:uid="{DCC99E43-CDA7-4EDE-81A0-F6B7B059AB6F}"/>
    <cellStyle name="Comma 7 7 2 2 2 6" xfId="15542" xr:uid="{04D0BAE1-45A9-4878-AF22-2CF922039EBE}"/>
    <cellStyle name="Comma 7 7 2 2 3" xfId="3580" xr:uid="{00000000-0005-0000-0000-000001030000}"/>
    <cellStyle name="Comma 7 7 2 2 4" xfId="5641" xr:uid="{E60974FD-09CC-420F-88A2-C27C1F08E48E}"/>
    <cellStyle name="Comma 7 7 2 2 4 2" xfId="29997" xr:uid="{7F503F2F-4059-4AA3-88D0-6DB7749F257F}"/>
    <cellStyle name="Comma 7 7 2 2 5" xfId="23738" xr:uid="{DDB5FC3F-E011-4CC3-8D63-61A5361B71E1}"/>
    <cellStyle name="Comma 7 7 2 2 6" xfId="13376" xr:uid="{A6B18B30-EDDD-470D-BDBF-EDBB2C02A202}"/>
    <cellStyle name="Comma 7 7 2 3" xfId="1801" xr:uid="{00000000-0005-0000-0000-000002030000}"/>
    <cellStyle name="Comma 7 7 2 3 2" xfId="25033" xr:uid="{6BDD10C8-D5D2-4B16-8186-157162E3C65A}"/>
    <cellStyle name="Comma 7 7 2 3 3" xfId="23910" xr:uid="{53A23F6E-80A4-406E-B3C9-3A9ED17968CC}"/>
    <cellStyle name="Comma 7 7 2 3 4" xfId="30274" xr:uid="{B1D25108-BF0A-4621-AE92-A546B6408DA6}"/>
    <cellStyle name="Comma 7 7 2 3 5" xfId="29858" xr:uid="{A0F7122C-43F8-40BC-9695-73DDE90E3597}"/>
    <cellStyle name="Comma 7 7 2 4" xfId="1799" xr:uid="{00000000-0005-0000-0000-000003030000}"/>
    <cellStyle name="Comma 7 7 2 4 2" xfId="25969" xr:uid="{928C0968-72D2-40CF-B38F-C587FD022FFD}"/>
    <cellStyle name="Comma 7 7 2 4 3" xfId="26523" xr:uid="{CAC2A65E-3A8D-42D8-84C7-B38C0C2F5982}"/>
    <cellStyle name="Comma 7 7 2 5" xfId="4922" xr:uid="{239690F2-C5AE-4138-BA4B-E931B00A0C76}"/>
    <cellStyle name="Comma 7 7 2 5 2" xfId="27397" xr:uid="{6C46E5A6-E068-48A6-84C8-923B14C8C664}"/>
    <cellStyle name="Comma 7 7 2 5 3" xfId="26345" xr:uid="{1121C310-24E6-43B1-AD4B-C5140617375D}"/>
    <cellStyle name="Comma 7 7 2 5 4" xfId="14214" xr:uid="{E085C55D-9818-4A07-9CBC-6D2769FAA9C6}"/>
    <cellStyle name="Comma 7 7 2 6" xfId="6667" xr:uid="{DD6743ED-F36E-42EF-BCC8-D247E79BEAB5}"/>
    <cellStyle name="Comma 7 7 2 6 2" xfId="28191" xr:uid="{09C40607-E8D7-4EDF-8CAD-2BBBB59E95FE}"/>
    <cellStyle name="Comma 7 7 2 6 3" xfId="25851" xr:uid="{DF3D8436-B356-46BD-B73F-05EBED1C5A82}"/>
    <cellStyle name="Comma 7 7 2 6 4" xfId="17047" xr:uid="{6560A0A3-9F8F-4350-B9D6-8C08EAF729FA}"/>
    <cellStyle name="Comma 7 7 2 7" xfId="9500" xr:uid="{142BE0BF-F0C7-4044-B001-825484052DB6}"/>
    <cellStyle name="Comma 7 7 2 7 2" xfId="19880" xr:uid="{84AFA158-7969-4E74-A9C1-00288C7EAD7F}"/>
    <cellStyle name="Comma 7 7 2 8" xfId="23570" xr:uid="{B2713F2F-A70B-459F-89CB-BF8108D1CB18}"/>
    <cellStyle name="Comma 7 7 2 9" xfId="12678" xr:uid="{90971410-4F47-4005-9D38-04964861F1BA}"/>
    <cellStyle name="Comma 7 7 3" xfId="532" xr:uid="{00000000-0005-0000-0000-000004030000}"/>
    <cellStyle name="Comma 7 7 3 2" xfId="1803" xr:uid="{00000000-0005-0000-0000-000005030000}"/>
    <cellStyle name="Comma 7 7 3 2 2" xfId="28253" xr:uid="{48865CA2-C9C0-4384-9537-03BE2E1C1AEF}"/>
    <cellStyle name="Comma 7 7 3 2 3" xfId="26167" xr:uid="{9DA42141-736D-4760-973F-3846DDC86D5D}"/>
    <cellStyle name="Comma 7 7 3 3" xfId="1804" xr:uid="{00000000-0005-0000-0000-000006030000}"/>
    <cellStyle name="Comma 7 7 3 4" xfId="1802" xr:uid="{00000000-0005-0000-0000-000007030000}"/>
    <cellStyle name="Comma 7 7 3 5" xfId="4923" xr:uid="{8A800B21-38D2-4169-9A0A-C7CE2DCA6913}"/>
    <cellStyle name="Comma 7 7 3 5 2" xfId="27775" xr:uid="{CAC9E993-7576-48F2-90FB-B70206948F53}"/>
    <cellStyle name="Comma 7 7 3 5 3" xfId="28095" xr:uid="{DE909C5A-C2CB-4711-96D7-5834683A1C78}"/>
    <cellStyle name="Comma 7 7 3 5 4" xfId="14215" xr:uid="{2C8A9832-13D5-4034-8A46-573276CE087F}"/>
    <cellStyle name="Comma 7 7 3 6" xfId="6668" xr:uid="{3F43B62D-2338-43C2-89F5-E9BB71FB2183}"/>
    <cellStyle name="Comma 7 7 3 6 2" xfId="17048" xr:uid="{180EEF6C-AB5A-45C3-8317-609457B02BCF}"/>
    <cellStyle name="Comma 7 7 3 7" xfId="9501" xr:uid="{49A3CF87-C7C0-484A-9E72-9F82C0BF2CD2}"/>
    <cellStyle name="Comma 7 7 3 7 2" xfId="19881" xr:uid="{E964E7FB-30E3-4BAB-82A9-8AEB293FFDF0}"/>
    <cellStyle name="Comma 7 7 3 8" xfId="23300" xr:uid="{5096E029-B4D1-48BF-ABDA-3CDC57159BE6}"/>
    <cellStyle name="Comma 7 7 3 9" xfId="13096" xr:uid="{B0F81821-31D7-4208-8FE0-992320CEBD42}"/>
    <cellStyle name="Comma 7 7 4" xfId="1805" xr:uid="{00000000-0005-0000-0000-000008030000}"/>
    <cellStyle name="Comma 7 7 4 2" xfId="2288" xr:uid="{00000000-0005-0000-0000-000049020000}"/>
    <cellStyle name="Comma 7 7 4 2 2" xfId="7415" xr:uid="{F6D21630-6982-45E4-8F24-E3C9FFF045AE}"/>
    <cellStyle name="Comma 7 7 4 2 2 2" xfId="17795" xr:uid="{0EEBBDB9-627A-4B75-83EB-DBD19366E7CC}"/>
    <cellStyle name="Comma 7 7 4 2 3" xfId="10248" xr:uid="{AEA8E18D-997D-4E37-AD37-EF558E62476D}"/>
    <cellStyle name="Comma 7 7 4 2 3 2" xfId="20628" xr:uid="{60FC6F78-5B6C-463A-A447-570A1A607AF0}"/>
    <cellStyle name="Comma 7 7 4 2 4" xfId="26754" xr:uid="{019723D5-8315-480B-8F55-49C0F9153DF4}"/>
    <cellStyle name="Comma 7 7 4 2 5" xfId="27795" xr:uid="{042291AB-C325-4A62-BC20-890E333216F9}"/>
    <cellStyle name="Comma 7 7 4 2 6" xfId="14962" xr:uid="{FDB895C9-DDCC-4F51-B6E5-EBE8D4F40A4C}"/>
    <cellStyle name="Comma 7 7 4 3" xfId="2059" xr:uid="{00000000-0005-0000-0000-000008030000}"/>
    <cellStyle name="Comma 7 7 4 4" xfId="23744" xr:uid="{619F8327-B3EE-4273-8887-4963F8146300}"/>
    <cellStyle name="Comma 7 7 4 4 2" xfId="29969" xr:uid="{D7A909CE-B559-461E-A079-06ED76EBA6D7}"/>
    <cellStyle name="Comma 7 7 4 5" xfId="30079" xr:uid="{B33B8B05-570A-432D-98A2-D450DA92B30E}"/>
    <cellStyle name="Comma 7 7 4 6" xfId="30224" xr:uid="{1F56293E-3631-4ABF-9873-59C48A181F8C}"/>
    <cellStyle name="Comma 7 7 5" xfId="1806" xr:uid="{00000000-0005-0000-0000-000009030000}"/>
    <cellStyle name="Comma 7 7 5 2" xfId="25672" xr:uid="{6DCCAF9D-3C6C-4CF6-ADEB-8BDFB46B6777}"/>
    <cellStyle name="Comma 7 7 5 2 2" xfId="30059" xr:uid="{7FA2B95F-80D6-4299-AB3A-687936051C4B}"/>
    <cellStyle name="Comma 7 7 5 3" xfId="24747" xr:uid="{3D5F4592-4DA7-47D0-9EA5-0B5125233E85}"/>
    <cellStyle name="Comma 7 7 5 4" xfId="30256" xr:uid="{CFEF932C-66E6-44B4-A16D-020FE71CB3A5}"/>
    <cellStyle name="Comma 7 7 6" xfId="1798" xr:uid="{00000000-0005-0000-0000-00000A030000}"/>
    <cellStyle name="Comma 7 7 6 2" xfId="27388" xr:uid="{FD0E0FBD-37AE-490F-91F8-9CCBB4423EF3}"/>
    <cellStyle name="Comma 7 7 6 3" xfId="26161" xr:uid="{9E7C1505-9440-4656-81A5-60B0DA959126}"/>
    <cellStyle name="Comma 7 7 7" xfId="3875" xr:uid="{63484131-385A-48FC-9577-827A00C6C209}"/>
    <cellStyle name="Comma 7 7 7 2" xfId="8707" xr:uid="{6B6E3777-A3F2-4DBF-8000-9E1C7145C7F7}"/>
    <cellStyle name="Comma 7 7 7 2 2" xfId="28966" xr:uid="{93D6C549-71AE-47E8-8365-1C72267D5D1F}"/>
    <cellStyle name="Comma 7 7 7 2 3" xfId="26597" xr:uid="{93FAB1B6-5EB6-47EA-9CAF-F284522760BF}"/>
    <cellStyle name="Comma 7 7 7 2 4" xfId="19087" xr:uid="{475EB69E-4EBA-446C-88F4-239C3C6C2AF1}"/>
    <cellStyle name="Comma 7 7 7 3" xfId="11540" xr:uid="{7DD52BCC-0988-4F95-90B7-2B0A471E3CB8}"/>
    <cellStyle name="Comma 7 7 7 3 2" xfId="21920" xr:uid="{9527B6D8-C9DB-46D7-9789-1171994ADE03}"/>
    <cellStyle name="Comma 7 7 7 4" xfId="28443" xr:uid="{2A04695C-E94E-4851-A7B6-EF551D4FACA7}"/>
    <cellStyle name="Comma 7 7 7 5" xfId="16254" xr:uid="{2AE89966-7AA3-4AD8-AF85-26D5201500BB}"/>
    <cellStyle name="Comma 7 7 8" xfId="4921" xr:uid="{1FF9725F-9C5C-4FEF-A994-E5879C35E46B}"/>
    <cellStyle name="Comma 7 7 8 2" xfId="26560" xr:uid="{F4F273FE-BBED-4FD3-A033-BAEA2F2F1D9B}"/>
    <cellStyle name="Comma 7 7 8 3" xfId="26220" xr:uid="{B5C319B4-74FC-456F-AD1E-DD4723D1A541}"/>
    <cellStyle name="Comma 7 7 8 4" xfId="14213" xr:uid="{9CDD5C5C-5C26-48FC-8E43-907198F456A1}"/>
    <cellStyle name="Comma 7 7 9" xfId="6666" xr:uid="{5D28B574-6165-49B6-9C0A-67D3A5BE9D44}"/>
    <cellStyle name="Comma 7 7 9 2" xfId="28353" xr:uid="{D8B50F86-FF86-4730-90EF-51DF93B57945}"/>
    <cellStyle name="Comma 7 7 9 3" xfId="26617" xr:uid="{5FDBDD01-9F65-4C69-8015-93A6A1BC3AE7}"/>
    <cellStyle name="Comma 7 7 9 4" xfId="17046" xr:uid="{E630287C-B041-4CC3-A8BF-95F48E308AAD}"/>
    <cellStyle name="Comma 7 8" xfId="533" xr:uid="{00000000-0005-0000-0000-00000B030000}"/>
    <cellStyle name="Comma 7 8 10" xfId="9502" xr:uid="{461F5D78-4212-4B9A-BA8E-E1658EDA4F9C}"/>
    <cellStyle name="Comma 7 8 10 2" xfId="19882" xr:uid="{154366DA-16BF-43D6-87AE-1FD7DB703DB4}"/>
    <cellStyle name="Comma 7 8 11" xfId="25560" xr:uid="{7BB37B85-2E11-4E16-93D5-DE9A40AB2DA7}"/>
    <cellStyle name="Comma 7 8 12" xfId="12521" xr:uid="{4E7BAA29-FD58-4EA4-B2C8-58E0CB3D8D7B}"/>
    <cellStyle name="Comma 7 8 2" xfId="534" xr:uid="{00000000-0005-0000-0000-00000C030000}"/>
    <cellStyle name="Comma 7 8 2 2" xfId="1809" xr:uid="{00000000-0005-0000-0000-00000D030000}"/>
    <cellStyle name="Comma 7 8 2 2 2" xfId="2879" xr:uid="{00000000-0005-0000-0000-00004F020000}"/>
    <cellStyle name="Comma 7 8 2 2 2 2" xfId="7996" xr:uid="{CD53C1D8-009B-4791-9A8C-45599DAAB69E}"/>
    <cellStyle name="Comma 7 8 2 2 2 2 2" xfId="18376" xr:uid="{6DA734DC-28A7-4035-BE93-E085BC2161E4}"/>
    <cellStyle name="Comma 7 8 2 2 2 3" xfId="10829" xr:uid="{74B8DE86-C376-4E09-838B-42B6BE90821A}"/>
    <cellStyle name="Comma 7 8 2 2 2 3 2" xfId="21209" xr:uid="{B7791B1F-4DA4-4DDB-B1B7-190DD76C2FB9}"/>
    <cellStyle name="Comma 7 8 2 2 2 4" xfId="26069" xr:uid="{F150A47D-E926-48B2-BF75-9DE9AEF8B5B0}"/>
    <cellStyle name="Comma 7 8 2 2 2 5" xfId="27837" xr:uid="{EDF632D7-0D70-4B26-81C2-8C3E2A45B60A}"/>
    <cellStyle name="Comma 7 8 2 2 2 6" xfId="15543" xr:uid="{50E5CF0A-F2B3-4711-B935-FCE736EECF79}"/>
    <cellStyle name="Comma 7 8 2 2 3" xfId="3672" xr:uid="{00000000-0005-0000-0000-00000D030000}"/>
    <cellStyle name="Comma 7 8 2 2 4" xfId="5642" xr:uid="{9E374B7E-CF60-47C4-B1DD-BDBD665548B0}"/>
    <cellStyle name="Comma 7 8 2 2 4 2" xfId="29998" xr:uid="{86B5C96D-FF75-4373-AB13-91AF6D525B86}"/>
    <cellStyle name="Comma 7 8 2 2 5" xfId="24713" xr:uid="{9A5A09C9-3914-4354-B649-7132336C7DB3}"/>
    <cellStyle name="Comma 7 8 2 2 6" xfId="13377" xr:uid="{6C81D992-67E6-4CFD-8DBA-855A2E3A856C}"/>
    <cellStyle name="Comma 7 8 2 3" xfId="1810" xr:uid="{00000000-0005-0000-0000-00000E030000}"/>
    <cellStyle name="Comma 7 8 2 3 2" xfId="23652" xr:uid="{EB25C3F5-EA75-465E-A70E-F7B9887AEA1A}"/>
    <cellStyle name="Comma 7 8 2 3 3" xfId="23270" xr:uid="{E168AB56-CAC1-4EAC-9C84-294233F63871}"/>
    <cellStyle name="Comma 7 8 2 3 4" xfId="30275" xr:uid="{6B45B107-C837-4FE9-8913-BF99B2F876B1}"/>
    <cellStyle name="Comma 7 8 2 3 5" xfId="29859" xr:uid="{E3738D14-2159-4A92-AAD9-6D12B088C962}"/>
    <cellStyle name="Comma 7 8 2 4" xfId="1808" xr:uid="{00000000-0005-0000-0000-00000F030000}"/>
    <cellStyle name="Comma 7 8 2 4 2" xfId="27624" xr:uid="{E4811423-FA33-410A-9876-3E8BEC2D3065}"/>
    <cellStyle name="Comma 7 8 2 4 3" xfId="25917" xr:uid="{EABA93C2-25D5-4451-B9DE-9B5893A33E3F}"/>
    <cellStyle name="Comma 7 8 2 5" xfId="4925" xr:uid="{D1A1F25A-7A3B-40B1-BEC3-4D4C61326147}"/>
    <cellStyle name="Comma 7 8 2 5 2" xfId="28323" xr:uid="{F6F8DF29-AD51-47CE-B45E-C2AD691D54BC}"/>
    <cellStyle name="Comma 7 8 2 5 3" xfId="26730" xr:uid="{1E6E70BF-F1F1-448D-BA1B-C77D9E174168}"/>
    <cellStyle name="Comma 7 8 2 5 4" xfId="14217" xr:uid="{75CA7517-6A37-4BB9-AEC6-F672F6B531A4}"/>
    <cellStyle name="Comma 7 8 2 6" xfId="6670" xr:uid="{0981CEDA-989B-4C0C-B248-B66D8E8C1C01}"/>
    <cellStyle name="Comma 7 8 2 6 2" xfId="27155" xr:uid="{136CBA79-2251-444D-AC2F-3F6842052E5E}"/>
    <cellStyle name="Comma 7 8 2 6 3" xfId="27897" xr:uid="{16623E2B-23F0-471E-B292-20EDEFF4FA11}"/>
    <cellStyle name="Comma 7 8 2 6 4" xfId="17050" xr:uid="{AC21FBA9-A74E-4B2A-A66B-7E2177BDFDB9}"/>
    <cellStyle name="Comma 7 8 2 7" xfId="9503" xr:uid="{0C4FF75F-2AC2-4B80-9E5D-01B19B29264B}"/>
    <cellStyle name="Comma 7 8 2 7 2" xfId="19883" xr:uid="{66501C24-DCC0-4357-B57E-5A839A2717AC}"/>
    <cellStyle name="Comma 7 8 2 8" xfId="23029" xr:uid="{AAF3A4F9-B1B1-46C1-9D32-F0C7BCE6CA49}"/>
    <cellStyle name="Comma 7 8 2 9" xfId="12679" xr:uid="{6EF18D4A-69CC-4574-9887-CDB47C37F0AE}"/>
    <cellStyle name="Comma 7 8 3" xfId="535" xr:uid="{00000000-0005-0000-0000-000010030000}"/>
    <cellStyle name="Comma 7 8 3 2" xfId="1812" xr:uid="{00000000-0005-0000-0000-000011030000}"/>
    <cellStyle name="Comma 7 8 3 2 2" xfId="27696" xr:uid="{EE97ABFA-D157-4430-A325-5B0F3B9991C9}"/>
    <cellStyle name="Comma 7 8 3 2 3" xfId="26347" xr:uid="{96658A2E-F3EC-4CC7-885E-17AFB1B42EAE}"/>
    <cellStyle name="Comma 7 8 3 3" xfId="1813" xr:uid="{00000000-0005-0000-0000-000012030000}"/>
    <cellStyle name="Comma 7 8 3 4" xfId="1811" xr:uid="{00000000-0005-0000-0000-000013030000}"/>
    <cellStyle name="Comma 7 8 3 5" xfId="4926" xr:uid="{F0790063-54C7-4AD8-9AE8-CBE6BFE99F5F}"/>
    <cellStyle name="Comma 7 8 3 5 2" xfId="26396" xr:uid="{7FBAB89E-9A2E-4B30-8DE2-1B5B9E1B3B7B}"/>
    <cellStyle name="Comma 7 8 3 5 3" xfId="26961" xr:uid="{905EB402-36F7-4334-AF2B-CBB7E0930E43}"/>
    <cellStyle name="Comma 7 8 3 5 4" xfId="14218" xr:uid="{CAF63625-BA47-433D-A2E5-6C304B8F5ADB}"/>
    <cellStyle name="Comma 7 8 3 6" xfId="6671" xr:uid="{D64777B9-39B4-4016-BBF2-2AE4971EE1AF}"/>
    <cellStyle name="Comma 7 8 3 6 2" xfId="17051" xr:uid="{8C8B1E7D-DE6D-448A-8E09-94964748D0F6}"/>
    <cellStyle name="Comma 7 8 3 7" xfId="9504" xr:uid="{84A33AD1-D033-409D-82FF-8B36F66D65E4}"/>
    <cellStyle name="Comma 7 8 3 7 2" xfId="19884" xr:uid="{F7BC0EF3-BD9E-4B91-929E-4003ECF93E0D}"/>
    <cellStyle name="Comma 7 8 3 8" xfId="25291" xr:uid="{B1225EDF-EBF5-4B5F-8E6C-B3A8C984E342}"/>
    <cellStyle name="Comma 7 8 3 9" xfId="13097" xr:uid="{526BFBFF-DA58-4A8D-AD4E-0152291E5DBC}"/>
    <cellStyle name="Comma 7 8 4" xfId="1814" xr:uid="{00000000-0005-0000-0000-000014030000}"/>
    <cellStyle name="Comma 7 8 4 2" xfId="2289" xr:uid="{00000000-0005-0000-0000-00004D020000}"/>
    <cellStyle name="Comma 7 8 4 2 2" xfId="7416" xr:uid="{867495F1-1ECD-434E-A732-4E7A6A51DB48}"/>
    <cellStyle name="Comma 7 8 4 2 2 2" xfId="17796" xr:uid="{E78E2C73-FC82-4138-9644-A92D78C309B8}"/>
    <cellStyle name="Comma 7 8 4 2 3" xfId="10249" xr:uid="{BD492B3B-C3AD-4B81-BCB2-620D31CFDE8F}"/>
    <cellStyle name="Comma 7 8 4 2 3 2" xfId="20629" xr:uid="{396078FF-E548-4743-A8C6-FC817F04D910}"/>
    <cellStyle name="Comma 7 8 4 2 4" xfId="28332" xr:uid="{61DC55D1-8713-427D-9465-1702ADABBB63}"/>
    <cellStyle name="Comma 7 8 4 2 5" xfId="27441" xr:uid="{8D7AEC3E-A32C-440C-BB97-EF9226F8256A}"/>
    <cellStyle name="Comma 7 8 4 2 6" xfId="14963" xr:uid="{8B56D362-DC89-4A56-87CD-D5060D7A5E83}"/>
    <cellStyle name="Comma 7 8 4 3" xfId="3599" xr:uid="{00000000-0005-0000-0000-000014030000}"/>
    <cellStyle name="Comma 7 8 4 4" xfId="24318" xr:uid="{26CBA72F-2AA8-4AE1-958A-63A49970CB47}"/>
    <cellStyle name="Comma 7 8 4 4 2" xfId="29970" xr:uid="{4D7C0CA9-0463-4962-B6B7-A4A1E0ACEBC2}"/>
    <cellStyle name="Comma 7 8 4 5" xfId="30080" xr:uid="{F9804935-AADD-40D4-9E1F-A6C9F1E24795}"/>
    <cellStyle name="Comma 7 8 4 6" xfId="30225" xr:uid="{4720C946-C3DA-4B32-AEB5-457BAF945DC3}"/>
    <cellStyle name="Comma 7 8 5" xfId="1815" xr:uid="{00000000-0005-0000-0000-000015030000}"/>
    <cellStyle name="Comma 7 8 5 2" xfId="23786" xr:uid="{79A225CD-EE67-4FD6-AD4B-AA6D75F99659}"/>
    <cellStyle name="Comma 7 8 5 2 2" xfId="30060" xr:uid="{702DE5B9-7AA1-46E7-84B5-DA51173907BC}"/>
    <cellStyle name="Comma 7 8 5 3" xfId="24113" xr:uid="{BE8CBB68-BEC0-4594-95E1-007E844A55A2}"/>
    <cellStyle name="Comma 7 8 5 4" xfId="30257" xr:uid="{32942656-6546-4F70-A885-661785BACEE9}"/>
    <cellStyle name="Comma 7 8 6" xfId="1807" xr:uid="{00000000-0005-0000-0000-000016030000}"/>
    <cellStyle name="Comma 7 8 6 2" xfId="28223" xr:uid="{1CA307A6-ECBB-4DCD-88E9-ED86F26BE09F}"/>
    <cellStyle name="Comma 7 8 6 3" xfId="27679" xr:uid="{47269680-C7F1-443B-94CC-DB37DC94BFF9}"/>
    <cellStyle name="Comma 7 8 7" xfId="3876" xr:uid="{4E1B37EE-892E-4B22-8A57-FAF1D1C6572E}"/>
    <cellStyle name="Comma 7 8 7 2" xfId="8708" xr:uid="{598D5516-2486-45CE-A842-83BBF8BFD9B2}"/>
    <cellStyle name="Comma 7 8 7 2 2" xfId="28967" xr:uid="{38C60BAA-5968-415B-9F0C-9B0A90809A03}"/>
    <cellStyle name="Comma 7 8 7 2 3" xfId="27200" xr:uid="{3212C4AC-5E4E-45E3-864E-6A8AA009C1C6}"/>
    <cellStyle name="Comma 7 8 7 2 4" xfId="19088" xr:uid="{AD156519-36F4-42C5-978F-CDB42CF7CE6E}"/>
    <cellStyle name="Comma 7 8 7 3" xfId="11541" xr:uid="{34AD759C-EECD-4EB7-A985-94EC25B6BD7C}"/>
    <cellStyle name="Comma 7 8 7 3 2" xfId="21921" xr:uid="{30F5E2A8-98E4-412F-98EA-9E6712A6434F}"/>
    <cellStyle name="Comma 7 8 7 4" xfId="28446" xr:uid="{6D0CA708-58AB-4A0A-8CA3-30F241B6BC9D}"/>
    <cellStyle name="Comma 7 8 7 5" xfId="16255" xr:uid="{F58FAA39-5F5F-40F3-8809-91C495ED2C5F}"/>
    <cellStyle name="Comma 7 8 8" xfId="4924" xr:uid="{FC361A54-B3B9-4526-A514-2FFB01AC2745}"/>
    <cellStyle name="Comma 7 8 8 2" xfId="27984" xr:uid="{CF2A26E8-C53A-49CB-ABB2-819806C7B2B5}"/>
    <cellStyle name="Comma 7 8 8 3" xfId="27485" xr:uid="{E208AC5E-DC00-4A5C-A8D5-24888A084401}"/>
    <cellStyle name="Comma 7 8 8 4" xfId="14216" xr:uid="{FF28E469-B7B7-4857-9622-C399099D8EE9}"/>
    <cellStyle name="Comma 7 8 9" xfId="6669" xr:uid="{B324349D-72A9-450E-9A21-C6036A1E6171}"/>
    <cellStyle name="Comma 7 8 9 2" xfId="28314" xr:uid="{D52010AA-3F8B-4FC2-9CB4-D35A2BD78896}"/>
    <cellStyle name="Comma 7 8 9 3" xfId="27606" xr:uid="{9327B767-1AD5-4B81-9BD1-7CF1E8F56090}"/>
    <cellStyle name="Comma 7 8 9 4" xfId="17049" xr:uid="{3B500CB7-EABF-4A64-AA2B-FAB952617488}"/>
    <cellStyle name="Comma 7 9" xfId="536" xr:uid="{00000000-0005-0000-0000-000017030000}"/>
    <cellStyle name="Comma 7 9 10" xfId="12513" xr:uid="{CA8F814C-E18C-478F-8492-0E3678FE41EE}"/>
    <cellStyle name="Comma 7 9 2" xfId="1817" xr:uid="{00000000-0005-0000-0000-000018030000}"/>
    <cellStyle name="Comma 7 9 2 2" xfId="3074" xr:uid="{00000000-0005-0000-0000-000052020000}"/>
    <cellStyle name="Comma 7 9 2 2 2" xfId="8154" xr:uid="{7EB1558F-4BBD-401A-9BB1-02827B491119}"/>
    <cellStyle name="Comma 7 9 2 2 2 2" xfId="18534" xr:uid="{A51FDFC9-0670-48B5-99DC-EA7F265E4998}"/>
    <cellStyle name="Comma 7 9 2 2 3" xfId="10987" xr:uid="{5A4792B8-16DA-4A10-B4BA-D0A16135D4E9}"/>
    <cellStyle name="Comma 7 9 2 2 3 2" xfId="21367" xr:uid="{407AA900-0444-45C7-87FB-519CD37F3547}"/>
    <cellStyle name="Comma 7 9 2 2 4" xfId="24622" xr:uid="{263D3238-FB6A-4166-9E0F-9A170E5F5491}"/>
    <cellStyle name="Comma 7 9 2 2 5" xfId="26913" xr:uid="{E0B26200-B909-460C-ADFE-F623EC31F0AD}"/>
    <cellStyle name="Comma 7 9 2 2 6" xfId="15701" xr:uid="{4D0F8B44-F253-416E-9952-95114F5388B3}"/>
    <cellStyle name="Comma 7 9 2 3" xfId="3539" xr:uid="{00000000-0005-0000-0000-000018030000}"/>
    <cellStyle name="Comma 7 9 2 3 2" xfId="26006" xr:uid="{A8C73E7C-8AB8-418B-A3AD-AE2E8770E7B7}"/>
    <cellStyle name="Comma 7 9 2 3 3" xfId="26207" xr:uid="{F5144315-CC66-497E-B687-52E38566539C}"/>
    <cellStyle name="Comma 7 9 2 4" xfId="5643" xr:uid="{26AB8BAA-7C90-4332-A8E8-C3C028A6FB41}"/>
    <cellStyle name="Comma 7 9 2 4 2" xfId="30010" xr:uid="{F55A4B7A-F18A-4C6D-86BA-AD300F1D72A8}"/>
    <cellStyle name="Comma 7 9 2 5" xfId="23296" xr:uid="{862CD927-F753-4FFB-9BA2-947802506C9D}"/>
    <cellStyle name="Comma 7 9 2 5 2" xfId="26384" xr:uid="{1DBF96B7-8112-4682-8CB5-A2B389146D52}"/>
    <cellStyle name="Comma 7 9 2 6" xfId="27145" xr:uid="{0D7A1526-65E0-4B55-9E48-AE83E29A2405}"/>
    <cellStyle name="Comma 7 9 2 7" xfId="13587" xr:uid="{3F6E615D-8E56-45E3-9BAA-34C81C32ED6C}"/>
    <cellStyle name="Comma 7 9 3" xfId="1818" xr:uid="{00000000-0005-0000-0000-000019030000}"/>
    <cellStyle name="Comma 7 9 3 2" xfId="2676" xr:uid="{00000000-0005-0000-0000-000053020000}"/>
    <cellStyle name="Comma 7 9 3 2 2" xfId="7800" xr:uid="{EE094E1D-91DD-4AF9-9924-669D955F4440}"/>
    <cellStyle name="Comma 7 9 3 2 2 2" xfId="18180" xr:uid="{168E5124-944A-4736-8237-BA275D072811}"/>
    <cellStyle name="Comma 7 9 3 2 3" xfId="10633" xr:uid="{8DE6D478-554F-48FC-97D3-FC2A598600F1}"/>
    <cellStyle name="Comma 7 9 3 2 3 2" xfId="21013" xr:uid="{BFCF240F-9FCF-4BBE-8720-4984D125AD11}"/>
    <cellStyle name="Comma 7 9 3 2 4" xfId="15347" xr:uid="{068C15C1-0248-4BB5-91C4-591913BAB33F}"/>
    <cellStyle name="Comma 7 9 3 3" xfId="3679" xr:uid="{00000000-0005-0000-0000-000019030000}"/>
    <cellStyle name="Comma 7 9 3 4" xfId="5644" xr:uid="{E6BE7499-77E4-463B-BA19-0EA0E6022915}"/>
    <cellStyle name="Comma 7 9 3 4 2" xfId="29984" xr:uid="{2811A0D8-CC45-4677-9C3C-521C1FF5B439}"/>
    <cellStyle name="Comma 7 9 3 5" xfId="25276" xr:uid="{7D0B094D-0CA5-4323-8D1E-92D1204A0A44}"/>
    <cellStyle name="Comma 7 9 3 6" xfId="13084" xr:uid="{2CB02459-2C4D-42D2-BC60-59F6E613B83F}"/>
    <cellStyle name="Comma 7 9 4" xfId="1816" xr:uid="{00000000-0005-0000-0000-00001A030000}"/>
    <cellStyle name="Comma 7 9 4 2" xfId="2281" xr:uid="{00000000-0005-0000-0000-000051020000}"/>
    <cellStyle name="Comma 7 9 4 2 2" xfId="7408" xr:uid="{ECA70E22-B669-47E5-B237-A70B09FDC2A2}"/>
    <cellStyle name="Comma 7 9 4 2 2 2" xfId="17788" xr:uid="{1D6C3169-C893-45C9-B5B3-340E7E6A62A5}"/>
    <cellStyle name="Comma 7 9 4 2 3" xfId="10241" xr:uid="{11770743-9A61-4906-A0ED-1A5ACCCDCA38}"/>
    <cellStyle name="Comma 7 9 4 2 3 2" xfId="20621" xr:uid="{7675E9C0-FB1D-44AD-B035-05F10DA62EA6}"/>
    <cellStyle name="Comma 7 9 4 2 4" xfId="27526" xr:uid="{95FCDC5A-9251-463A-A380-C6D5AD704ABD}"/>
    <cellStyle name="Comma 7 9 4 2 5" xfId="27305" xr:uid="{324D5791-4AA4-4432-A12B-D8FC4773221C}"/>
    <cellStyle name="Comma 7 9 4 2 6" xfId="14955" xr:uid="{F01CC1D9-EF50-417F-A807-BBAB256F29E1}"/>
    <cellStyle name="Comma 7 9 4 3" xfId="3554" xr:uid="{00000000-0005-0000-0000-00001A030000}"/>
    <cellStyle name="Comma 7 9 4 4" xfId="24762" xr:uid="{B4293C2A-2C20-4FDE-A651-4B5858E9672E}"/>
    <cellStyle name="Comma 7 9 5" xfId="3820" xr:uid="{3D055A9D-8184-4A6C-9135-4B8A07BEEB18}"/>
    <cellStyle name="Comma 7 9 5 2" xfId="8653" xr:uid="{7EB7CAAC-EB41-4A44-8227-8CF10A5544D8}"/>
    <cellStyle name="Comma 7 9 5 2 2" xfId="28960" xr:uid="{5CC8E82A-50BA-42E3-9621-4DBC89A6A158}"/>
    <cellStyle name="Comma 7 9 5 2 3" xfId="27856" xr:uid="{A5444BD1-DD3C-40FE-AECF-8FCD53DAD86E}"/>
    <cellStyle name="Comma 7 9 5 2 4" xfId="19033" xr:uid="{71F6C542-F48E-4D3B-A0C7-337AF60739F8}"/>
    <cellStyle name="Comma 7 9 5 3" xfId="11486" xr:uid="{3BD67E6A-DC58-4E0D-997C-E91619E70115}"/>
    <cellStyle name="Comma 7 9 5 3 2" xfId="21866" xr:uid="{CD9BBADF-ACEF-46B7-BFF9-58818B2D56C8}"/>
    <cellStyle name="Comma 7 9 5 4" xfId="25785" xr:uid="{D48D0E3E-A5CA-4B91-83E5-67DD914A8009}"/>
    <cellStyle name="Comma 7 9 5 5" xfId="16200" xr:uid="{F94D35A4-ECAF-49AC-BD3F-70DB8DD4B1B3}"/>
    <cellStyle name="Comma 7 9 6" xfId="4927" xr:uid="{D22195E0-32A3-453D-9C14-4748AEF3F690}"/>
    <cellStyle name="Comma 7 9 6 2" xfId="26466" xr:uid="{B179DB98-8514-4BDE-8987-D81C391102FC}"/>
    <cellStyle name="Comma 7 9 6 3" xfId="26827" xr:uid="{D9F1185C-06C9-42E9-B7C4-CEDEA200AE0E}"/>
    <cellStyle name="Comma 7 9 6 4" xfId="14219" xr:uid="{1D9C0D45-4A3E-4F7A-9E4C-C409913351A3}"/>
    <cellStyle name="Comma 7 9 7" xfId="6672" xr:uid="{A29537A1-F65B-4843-AF0C-05B168F8C09C}"/>
    <cellStyle name="Comma 7 9 7 2" xfId="27161" xr:uid="{55520C70-263D-4AB1-9319-FCA27D1942CD}"/>
    <cellStyle name="Comma 7 9 7 3" xfId="28105" xr:uid="{3DEC0D27-D036-43CE-80BF-8AA8FB19AFF0}"/>
    <cellStyle name="Comma 7 9 7 4" xfId="17052" xr:uid="{34C2D03F-AC0D-41F1-9799-D9E2EBFC00DD}"/>
    <cellStyle name="Comma 7 9 8" xfId="9505" xr:uid="{8F55B808-19E6-440B-84BB-7FBA72F377C5}"/>
    <cellStyle name="Comma 7 9 8 2" xfId="19885" xr:uid="{1D27389B-E2DF-4746-8101-736D586E99AF}"/>
    <cellStyle name="Comma 7 9 9" xfId="25140" xr:uid="{80C7AA19-964D-41F1-ACB4-443F7B2D85F5}"/>
    <cellStyle name="Comma 8" xfId="537" xr:uid="{00000000-0005-0000-0000-00001B030000}"/>
    <cellStyle name="Comma 9" xfId="538" xr:uid="{00000000-0005-0000-0000-00001C030000}"/>
    <cellStyle name="Comma 9 10" xfId="4928" xr:uid="{D81A1123-0425-468A-A1BB-1DD38680E9D1}"/>
    <cellStyle name="Comma 9 10 2" xfId="26367" xr:uid="{2F7F6436-B119-4AAD-9BB4-535464C9DAF3}"/>
    <cellStyle name="Comma 9 10 3" xfId="26330" xr:uid="{11FB18E3-EF94-4ED6-AAB4-FB17CD4BE561}"/>
    <cellStyle name="Comma 9 10 4" xfId="14220" xr:uid="{C2272325-F265-4852-9258-DAE0CE633BD7}"/>
    <cellStyle name="Comma 9 11" xfId="6673" xr:uid="{95397FF4-3D6A-4510-9989-BDDD317F97F2}"/>
    <cellStyle name="Comma 9 11 2" xfId="17053" xr:uid="{6A8550DD-A343-468B-A01C-05090AE9B719}"/>
    <cellStyle name="Comma 9 12" xfId="9506" xr:uid="{37183DA1-35CA-425D-87D1-F35C8D8A3F5E}"/>
    <cellStyle name="Comma 9 12 2" xfId="19886" xr:uid="{AA8AB3EF-C4D8-40C4-888D-AD22826DDFE1}"/>
    <cellStyle name="Comma 9 13" xfId="24007" xr:uid="{90CABFF4-ACC6-474D-BA61-1A43940CC5A2}"/>
    <cellStyle name="Comma 9 14" xfId="12406" xr:uid="{E2A8DE87-DBCD-4E16-9E4C-5722B7CB5393}"/>
    <cellStyle name="Comma 9 2" xfId="539" xr:uid="{00000000-0005-0000-0000-00001D030000}"/>
    <cellStyle name="Comma 9 2 10" xfId="6674" xr:uid="{800B4AE7-61CF-406F-BD50-717A47770535}"/>
    <cellStyle name="Comma 9 2 10 2" xfId="17054" xr:uid="{EA88CEC4-AC8C-4B27-B2D7-D33FADE80FF7}"/>
    <cellStyle name="Comma 9 2 11" xfId="9507" xr:uid="{F115FB81-E8DA-404A-892D-70F80F1B972C}"/>
    <cellStyle name="Comma 9 2 11 2" xfId="19887" xr:uid="{D7387538-8BF7-4F07-8FF0-AA9EC494776E}"/>
    <cellStyle name="Comma 9 2 12" xfId="24299" xr:uid="{E705879D-9FBA-4AEB-9FC8-2CC39AD5F36B}"/>
    <cellStyle name="Comma 9 2 13" xfId="12466" xr:uid="{8235A749-3C40-4A9B-8E8C-82B30F51A632}"/>
    <cellStyle name="Comma 9 2 2" xfId="540" xr:uid="{00000000-0005-0000-0000-00001E030000}"/>
    <cellStyle name="Comma 9 2 2 10" xfId="9508" xr:uid="{60CE9C71-F376-4025-821D-C30B7ED78186}"/>
    <cellStyle name="Comma 9 2 2 10 2" xfId="19888" xr:uid="{18234C9B-D2F9-4D6B-A13E-6C37086F7DF7}"/>
    <cellStyle name="Comma 9 2 2 11" xfId="25519" xr:uid="{6F546E97-01B6-477F-8094-EFA3F2FE1901}"/>
    <cellStyle name="Comma 9 2 2 12" xfId="12523" xr:uid="{DA9AA6E8-DB69-4F4C-A37A-A4469B73781E}"/>
    <cellStyle name="Comma 9 2 2 2" xfId="1822" xr:uid="{00000000-0005-0000-0000-00001F030000}"/>
    <cellStyle name="Comma 9 2 2 2 2" xfId="3076" xr:uid="{00000000-0005-0000-0000-000059020000}"/>
    <cellStyle name="Comma 9 2 2 2 2 2" xfId="6169" xr:uid="{1695681D-ACBD-434B-92F0-1F63368C6589}"/>
    <cellStyle name="Comma 9 2 2 2 2 2 2" xfId="25923" xr:uid="{1B1CBA3A-40E4-44FA-A7A4-CC0EB921C6F7}"/>
    <cellStyle name="Comma 9 2 2 2 2 2 3" xfId="26613" xr:uid="{DC9B371E-C0E3-4F73-83D3-29213CEBA90B}"/>
    <cellStyle name="Comma 9 2 2 2 2 2 4" xfId="15703" xr:uid="{447748E3-8314-4430-86E0-135F2EC6ED2D}"/>
    <cellStyle name="Comma 9 2 2 2 2 3" xfId="8156" xr:uid="{8046AE2B-9CD5-45A1-9232-B44A496B2A17}"/>
    <cellStyle name="Comma 9 2 2 2 2 3 2" xfId="18536" xr:uid="{F9F494A4-A347-41BB-86CB-E0B86E0FE416}"/>
    <cellStyle name="Comma 9 2 2 2 2 4" xfId="10989" xr:uid="{9B606771-FA20-4716-AFBD-6E37C66FE5D7}"/>
    <cellStyle name="Comma 9 2 2 2 2 4 2" xfId="21369" xr:uid="{90959D85-FFB6-4460-9FE8-52FDA187F7E2}"/>
    <cellStyle name="Comma 9 2 2 2 2 5" xfId="23820" xr:uid="{AD747A12-C7F9-41AF-8F2D-7D7060459104}"/>
    <cellStyle name="Comma 9 2 2 2 2 6" xfId="27342" xr:uid="{1A746590-4CA1-467D-848F-B895E1094CB2}"/>
    <cellStyle name="Comma 9 2 2 2 2 7" xfId="13589" xr:uid="{E7ABC69F-1CB5-411E-9E74-C2F9145DA71A}"/>
    <cellStyle name="Comma 9 2 2 2 3" xfId="2687" xr:uid="{00000000-0005-0000-0000-000058020000}"/>
    <cellStyle name="Comma 9 2 2 2 3 2" xfId="7811" xr:uid="{2128038F-D34A-47F5-90D6-38092A039B87}"/>
    <cellStyle name="Comma 9 2 2 2 3 2 2" xfId="27021" xr:uid="{A3DF1628-9D36-42BB-8086-112FB6BCA36B}"/>
    <cellStyle name="Comma 9 2 2 2 3 2 3" xfId="27860" xr:uid="{A5C60455-71A0-4AFE-8333-7E52BDF26654}"/>
    <cellStyle name="Comma 9 2 2 2 3 2 4" xfId="18191" xr:uid="{D77EA3DE-65CE-420F-B482-3F239AB4629E}"/>
    <cellStyle name="Comma 9 2 2 2 3 3" xfId="10644" xr:uid="{21EEC8A8-4538-49B0-9259-9092C61F7629}"/>
    <cellStyle name="Comma 9 2 2 2 3 3 2" xfId="21024" xr:uid="{6EF02B8B-FD2A-423A-9119-A24F9D043202}"/>
    <cellStyle name="Comma 9 2 2 2 3 4" xfId="25012" xr:uid="{E65E7057-6A9B-4E73-B147-10E224C434CB}"/>
    <cellStyle name="Comma 9 2 2 2 3 5" xfId="15358" xr:uid="{65EDEDBF-9135-4EDF-B076-15DD1724FE14}"/>
    <cellStyle name="Comma 9 2 2 2 4" xfId="2046" xr:uid="{00000000-0005-0000-0000-00001F030000}"/>
    <cellStyle name="Comma 9 2 2 2 4 2" xfId="26109" xr:uid="{122440CA-696A-44E0-9E96-A87373C105F9}"/>
    <cellStyle name="Comma 9 2 2 2 4 3" xfId="27292" xr:uid="{4E4768B2-7AB8-4453-8074-05036922F932}"/>
    <cellStyle name="Comma 9 2 2 2 5" xfId="4269" xr:uid="{15F18BA8-7F97-4777-9066-8253069EFE6E}"/>
    <cellStyle name="Comma 9 2 2 2 5 2" xfId="9041" xr:uid="{9FE3AAF4-1EE5-47ED-B8D4-F93ABC268CE4}"/>
    <cellStyle name="Comma 9 2 2 2 5 2 2" xfId="19421" xr:uid="{6A6573BE-1A19-4442-870C-069C69D8A52C}"/>
    <cellStyle name="Comma 9 2 2 2 5 3" xfId="11874" xr:uid="{D66D2D42-7EBA-40C4-BE58-4D64A5059408}"/>
    <cellStyle name="Comma 9 2 2 2 5 3 2" xfId="22254" xr:uid="{6B46C0D7-EBC5-4194-90D8-6BCEC8A7CC97}"/>
    <cellStyle name="Comma 9 2 2 2 5 4" xfId="28387" xr:uid="{7BC0D46E-3348-466F-8DFC-3BD610176F0D}"/>
    <cellStyle name="Comma 9 2 2 2 5 5" xfId="27901" xr:uid="{B715E0BE-8612-4D9B-8094-A86B31BEC63D}"/>
    <cellStyle name="Comma 9 2 2 2 5 6" xfId="16588" xr:uid="{16CD614C-D92C-43D8-816F-40DF7AA64539}"/>
    <cellStyle name="Comma 9 2 2 2 6" xfId="5647" xr:uid="{668570A6-D60D-4778-B198-50FD03580688}"/>
    <cellStyle name="Comma 9 2 2 2 6 2" xfId="29956" xr:uid="{B1079E71-D398-4CE8-BBFA-2F0906C5103E}"/>
    <cellStyle name="Comma 9 2 2 2 7" xfId="25138" xr:uid="{C3EE7BD6-8743-4519-9C3D-CB652EFF1857}"/>
    <cellStyle name="Comma 9 2 2 2 8" xfId="13100" xr:uid="{E9F47D49-DC26-47D8-9B66-DEB5C8F17696}"/>
    <cellStyle name="Comma 9 2 2 3" xfId="1823" xr:uid="{00000000-0005-0000-0000-000020030000}"/>
    <cellStyle name="Comma 9 2 2 3 2" xfId="3077" xr:uid="{00000000-0005-0000-0000-00005A020000}"/>
    <cellStyle name="Comma 9 2 2 3 2 2" xfId="8157" xr:uid="{BA1A08A8-8F25-42BA-8FF5-CF4370543494}"/>
    <cellStyle name="Comma 9 2 2 3 2 2 2" xfId="28830" xr:uid="{FEA450FD-A44B-4F78-B887-6FBB04F43C55}"/>
    <cellStyle name="Comma 9 2 2 3 2 2 3" xfId="26385" xr:uid="{4ABFB2F1-EFEF-44B5-B10D-DE0D3C6BDABA}"/>
    <cellStyle name="Comma 9 2 2 3 2 2 4" xfId="18537" xr:uid="{6D88F806-B1B0-4D9A-BBC6-DBDC26EA2E99}"/>
    <cellStyle name="Comma 9 2 2 3 2 3" xfId="10990" xr:uid="{4C570C57-C828-4E9B-9C5B-D3D470D1304A}"/>
    <cellStyle name="Comma 9 2 2 3 2 3 2" xfId="21370" xr:uid="{85E85D4A-641F-4B1F-B4B2-73E48F5F3F73}"/>
    <cellStyle name="Comma 9 2 2 3 2 4" xfId="24874" xr:uid="{3C1C18F6-326F-4101-B42C-CAFA790586F4}"/>
    <cellStyle name="Comma 9 2 2 3 2 5" xfId="15704" xr:uid="{5E62D3EB-52D8-4B2A-8967-E1EC80A96F32}"/>
    <cellStyle name="Comma 9 2 2 3 3" xfId="2090" xr:uid="{00000000-0005-0000-0000-000020030000}"/>
    <cellStyle name="Comma 9 2 2 3 4" xfId="4419" xr:uid="{51ADD6C0-603D-4098-9009-CBEFA0A69A4B}"/>
    <cellStyle name="Comma 9 2 2 3 4 2" xfId="9191" xr:uid="{F3BDC41A-CFD9-47C5-A0ED-1DF0D97D107C}"/>
    <cellStyle name="Comma 9 2 2 3 4 2 2" xfId="19571" xr:uid="{6A163FFC-6407-458E-95EF-1755EB510D2C}"/>
    <cellStyle name="Comma 9 2 2 3 4 3" xfId="12024" xr:uid="{B8CDA8CB-E142-4092-9D7D-1F70CFFAECDF}"/>
    <cellStyle name="Comma 9 2 2 3 4 3 2" xfId="22404" xr:uid="{A2F09515-9B43-40E8-8E58-EDBDFCCA4661}"/>
    <cellStyle name="Comma 9 2 2 3 4 4" xfId="16738" xr:uid="{EAE4FB54-618E-4BD5-8A10-FD59118FE55B}"/>
    <cellStyle name="Comma 9 2 2 3 5" xfId="5648" xr:uid="{1753FA6C-087A-430B-A68A-C681B0D13A8B}"/>
    <cellStyle name="Comma 9 2 2 3 5 2" xfId="29942" xr:uid="{3E916F2D-3DE4-4124-9A8D-11FE16B41590}"/>
    <cellStyle name="Comma 9 2 2 3 6" xfId="24154" xr:uid="{41DAB614-918F-4599-BF83-9AA4B418D79E}"/>
    <cellStyle name="Comma 9 2 2 3 7" xfId="13590" xr:uid="{2E3B28A3-F72F-46DD-9CA8-18228347FB64}"/>
    <cellStyle name="Comma 9 2 2 4" xfId="1821" xr:uid="{00000000-0005-0000-0000-000021030000}"/>
    <cellStyle name="Comma 9 2 2 4 2" xfId="3075" xr:uid="{00000000-0005-0000-0000-00005B020000}"/>
    <cellStyle name="Comma 9 2 2 4 2 2" xfId="8155" xr:uid="{3821D36B-E30A-436A-ADD2-C492AC21B492}"/>
    <cellStyle name="Comma 9 2 2 4 2 2 2" xfId="28829" xr:uid="{75B182AE-DD33-43EB-BD11-5250C85A4E01}"/>
    <cellStyle name="Comma 9 2 2 4 2 2 3" xfId="26310" xr:uid="{BA6A95AF-6109-40B1-B3B9-241F006D302F}"/>
    <cellStyle name="Comma 9 2 2 4 2 2 4" xfId="18535" xr:uid="{6DC6F597-8D99-4D70-85A2-BCF10AE0AD8E}"/>
    <cellStyle name="Comma 9 2 2 4 2 3" xfId="10988" xr:uid="{2A3734C0-6283-4588-9F43-DBEA24F07785}"/>
    <cellStyle name="Comma 9 2 2 4 2 3 2" xfId="21368" xr:uid="{73BB00D0-276E-47F7-A419-031530E0420D}"/>
    <cellStyle name="Comma 9 2 2 4 2 4" xfId="26316" xr:uid="{4114B98C-05CB-4B13-B488-16099DD307AD}"/>
    <cellStyle name="Comma 9 2 2 4 2 5" xfId="15702" xr:uid="{6AE8E6BF-8A14-431C-99B4-E9E63BED19BF}"/>
    <cellStyle name="Comma 9 2 2 4 3" xfId="3607" xr:uid="{00000000-0005-0000-0000-000021030000}"/>
    <cellStyle name="Comma 9 2 2 4 4" xfId="5646" xr:uid="{8B26A1BB-AE5F-48D9-8E42-E69CDD492616}"/>
    <cellStyle name="Comma 9 2 2 4 4 2" xfId="30195" xr:uid="{776E45E6-DD9C-4B7C-AA37-0DB78BFA61A0}"/>
    <cellStyle name="Comma 9 2 2 4 5" xfId="24327" xr:uid="{8BA3453A-B276-4F0C-8B80-BF13CA76962C}"/>
    <cellStyle name="Comma 9 2 2 4 6" xfId="13588" xr:uid="{1A9E97E1-72D1-4AFC-BB30-AF8F5B6BAA27}"/>
    <cellStyle name="Comma 9 2 2 5" xfId="2642" xr:uid="{00000000-0005-0000-0000-00005C020000}"/>
    <cellStyle name="Comma 9 2 2 5 2" xfId="5904" xr:uid="{45A164FE-5FE9-43B5-9529-C545256EB1C7}"/>
    <cellStyle name="Comma 9 2 2 5 2 2" xfId="28650" xr:uid="{F52522D7-FE86-4CED-8031-4C36F7BDC289}"/>
    <cellStyle name="Comma 9 2 2 5 2 3" xfId="27235" xr:uid="{C3BE4EB7-43AA-4AC7-BEFF-8B26A3BE7026}"/>
    <cellStyle name="Comma 9 2 2 5 2 4" xfId="15314" xr:uid="{08E79145-1382-4681-9832-B0F6E2DADE39}"/>
    <cellStyle name="Comma 9 2 2 5 3" xfId="7767" xr:uid="{5D0B9A8F-12FE-41D9-A9E6-A0FC75FD3FD8}"/>
    <cellStyle name="Comma 9 2 2 5 3 2" xfId="18147" xr:uid="{0A8DFB72-F3C6-4083-88C0-C732F813D519}"/>
    <cellStyle name="Comma 9 2 2 5 4" xfId="10600" xr:uid="{4B064456-B3B1-4B04-A024-41F9964ADD43}"/>
    <cellStyle name="Comma 9 2 2 5 4 2" xfId="20980" xr:uid="{755E6D50-A281-4A13-84B5-51D522FD572A}"/>
    <cellStyle name="Comma 9 2 2 5 5" xfId="23656" xr:uid="{435834F1-E757-4761-960E-34D3DB17B906}"/>
    <cellStyle name="Comma 9 2 2 5 6" xfId="13031" xr:uid="{5AE173AE-BF38-4842-AA91-78EA7873D122}"/>
    <cellStyle name="Comma 9 2 2 6" xfId="2291" xr:uid="{00000000-0005-0000-0000-000057020000}"/>
    <cellStyle name="Comma 9 2 2 6 2" xfId="7418" xr:uid="{F0EED383-DED6-4BF2-97EE-EDD10841C3A9}"/>
    <cellStyle name="Comma 9 2 2 6 2 2" xfId="17798" xr:uid="{E2E25D04-1C5B-42F3-971A-9693DBE7026D}"/>
    <cellStyle name="Comma 9 2 2 6 3" xfId="10251" xr:uid="{94DC420B-AA21-4FD5-93D5-21B40811B1C2}"/>
    <cellStyle name="Comma 9 2 2 6 3 2" xfId="20631" xr:uid="{E6D15CCE-188C-46C1-8F19-27097D48CB9C}"/>
    <cellStyle name="Comma 9 2 2 6 4" xfId="22652" xr:uid="{D0547388-BB56-43F0-887B-5DC1986503B8}"/>
    <cellStyle name="Comma 9 2 2 6 5" xfId="26805" xr:uid="{140F2489-462A-432C-AAD8-2C4B4DBDF3A3}"/>
    <cellStyle name="Comma 9 2 2 6 6" xfId="14965" xr:uid="{93BB5F1A-804A-42CC-B8EB-C9CEF1F05211}"/>
    <cellStyle name="Comma 9 2 2 7" xfId="3826" xr:uid="{F187D117-A490-47DB-9E10-75EB17734E90}"/>
    <cellStyle name="Comma 9 2 2 7 2" xfId="8659" xr:uid="{644F7400-21EC-44AC-96AB-03542AB9BCFE}"/>
    <cellStyle name="Comma 9 2 2 7 2 2" xfId="19039" xr:uid="{C00F856F-2CD0-4E3B-A3DA-35E428B0F0FE}"/>
    <cellStyle name="Comma 9 2 2 7 3" xfId="11492" xr:uid="{DC85BDFB-B499-4C6E-A0B1-105AFB53FA00}"/>
    <cellStyle name="Comma 9 2 2 7 3 2" xfId="21872" xr:uid="{2AB65E47-B840-4E3A-9190-E4321AA48705}"/>
    <cellStyle name="Comma 9 2 2 7 4" xfId="26443" xr:uid="{0585DF1F-C5C2-4D34-BBE6-8DFF8DBF905E}"/>
    <cellStyle name="Comma 9 2 2 7 5" xfId="28042" xr:uid="{BEC9E2EF-CCA4-4CC5-8AB1-C4763C60ED1D}"/>
    <cellStyle name="Comma 9 2 2 7 6" xfId="16206" xr:uid="{F05C9D44-64C0-4600-BDB2-376264D8F02B}"/>
    <cellStyle name="Comma 9 2 2 8" xfId="4930" xr:uid="{3AD1A3B8-0529-4279-AFBA-6A259E6478D4}"/>
    <cellStyle name="Comma 9 2 2 8 2" xfId="14222" xr:uid="{3A55FC0C-5526-4111-8F2F-A420A93B599F}"/>
    <cellStyle name="Comma 9 2 2 9" xfId="6675" xr:uid="{6EFE6E0B-F24A-4847-A285-0AA765FBEBDF}"/>
    <cellStyle name="Comma 9 2 2 9 2" xfId="17055" xr:uid="{0ECC4CAE-5358-4A94-B368-95E70F3C5906}"/>
    <cellStyle name="Comma 9 2 3" xfId="541" xr:uid="{00000000-0005-0000-0000-000022030000}"/>
    <cellStyle name="Comma 9 2 3 10" xfId="12681" xr:uid="{F4C62D95-DF88-450B-B844-5FCA3C4178EF}"/>
    <cellStyle name="Comma 9 2 3 2" xfId="1825" xr:uid="{00000000-0005-0000-0000-000023030000}"/>
    <cellStyle name="Comma 9 2 3 2 2" xfId="3078" xr:uid="{00000000-0005-0000-0000-00005E020000}"/>
    <cellStyle name="Comma 9 2 3 2 2 2" xfId="8158" xr:uid="{00C34E79-4A12-4FEF-8FD7-A120007AC003}"/>
    <cellStyle name="Comma 9 2 3 2 2 2 2" xfId="28831" xr:uid="{9400F8BF-E03C-47B4-8A73-79D8316A2F57}"/>
    <cellStyle name="Comma 9 2 3 2 2 2 3" xfId="28633" xr:uid="{7A2BE245-EA15-44B8-97A3-BD9684DEFF4F}"/>
    <cellStyle name="Comma 9 2 3 2 2 2 4" xfId="18538" xr:uid="{11C459B9-9635-43E5-A2CE-CA3DDB0927D6}"/>
    <cellStyle name="Comma 9 2 3 2 2 3" xfId="10991" xr:uid="{179EA3D4-61C5-47DF-BA03-BCD2392F900C}"/>
    <cellStyle name="Comma 9 2 3 2 2 3 2" xfId="21371" xr:uid="{2A1FE7AD-F25F-4C3B-8926-616BF3F7D3E5}"/>
    <cellStyle name="Comma 9 2 3 2 2 4" xfId="25748" xr:uid="{942CDB3C-31B9-48FD-A9C8-9181B9986ACB}"/>
    <cellStyle name="Comma 9 2 3 2 2 5" xfId="15705" xr:uid="{A62BBE42-1AD1-4C98-BC5F-080129262303}"/>
    <cellStyle name="Comma 9 2 3 2 3" xfId="3698" xr:uid="{00000000-0005-0000-0000-000023030000}"/>
    <cellStyle name="Comma 9 2 3 2 4" xfId="5649" xr:uid="{E79966CE-366E-44ED-8CF4-EF18FE3B9A08}"/>
    <cellStyle name="Comma 9 2 3 2 4 2" xfId="30196" xr:uid="{D2454EBC-757E-4496-9FCB-B5148132C159}"/>
    <cellStyle name="Comma 9 2 3 2 5" xfId="23091" xr:uid="{7BC34336-6CF0-4232-A50B-C2757E6B9AA2}"/>
    <cellStyle name="Comma 9 2 3 2 6" xfId="13591" xr:uid="{AE8E06AD-96D0-46A8-B033-8D8865597D33}"/>
    <cellStyle name="Comma 9 2 3 3" xfId="1826" xr:uid="{00000000-0005-0000-0000-000024030000}"/>
    <cellStyle name="Comma 9 2 3 3 2" xfId="2686" xr:uid="{00000000-0005-0000-0000-00005F020000}"/>
    <cellStyle name="Comma 9 2 3 3 2 2" xfId="7810" xr:uid="{B9ACF73D-5345-46F9-B10F-7BF577F6FA2C}"/>
    <cellStyle name="Comma 9 2 3 3 2 2 2" xfId="18190" xr:uid="{7BDE12E2-F66C-43CB-A936-014FC451446C}"/>
    <cellStyle name="Comma 9 2 3 3 2 3" xfId="10643" xr:uid="{7B796FA2-53F4-4E07-ACB6-8A1AA81C96CF}"/>
    <cellStyle name="Comma 9 2 3 3 2 3 2" xfId="21023" xr:uid="{865B3BD9-33FF-4391-A8D9-6B5ECEDC6CF6}"/>
    <cellStyle name="Comma 9 2 3 3 2 4" xfId="15357" xr:uid="{372507FF-8B1F-490B-A74C-426CD780667A}"/>
    <cellStyle name="Comma 9 2 3 3 3" xfId="2079" xr:uid="{00000000-0005-0000-0000-000024030000}"/>
    <cellStyle name="Comma 9 2 3 3 4" xfId="5650" xr:uid="{CE82BC05-DECC-433A-A1AE-079FA93D71A1}"/>
    <cellStyle name="Comma 9 2 3 3 4 2" xfId="30144" xr:uid="{7B5BB517-0730-4DD9-85B9-4242C43A43BA}"/>
    <cellStyle name="Comma 9 2 3 3 5" xfId="25041" xr:uid="{6B690C1C-4E4E-4CEB-9458-3070211420B8}"/>
    <cellStyle name="Comma 9 2 3 3 6" xfId="13099" xr:uid="{9A279FFC-6243-4F00-B96A-9C2520A46EDC}"/>
    <cellStyle name="Comma 9 2 3 4" xfId="1824" xr:uid="{00000000-0005-0000-0000-000025030000}"/>
    <cellStyle name="Comma 9 2 3 4 2" xfId="4655" xr:uid="{2B316BF8-A02B-4FA6-9E0C-A81BF302FB1E}"/>
    <cellStyle name="Comma 9 2 3 4 2 2" xfId="9407" xr:uid="{83C3117E-0556-4527-B429-6733E7FC28FB}"/>
    <cellStyle name="Comma 9 2 3 4 2 2 2" xfId="19787" xr:uid="{75F44DC8-6775-40EE-BB1B-FE5900228869}"/>
    <cellStyle name="Comma 9 2 3 4 2 3" xfId="12240" xr:uid="{02383733-3AC8-4F33-847D-F4EDED4B1500}"/>
    <cellStyle name="Comma 9 2 3 4 2 3 2" xfId="22620" xr:uid="{7E9B7457-55E4-47A6-AEC3-2AB45A85A26B}"/>
    <cellStyle name="Comma 9 2 3 4 2 4" xfId="28309" xr:uid="{517B9FA5-CA7B-4147-8281-57997331AEA6}"/>
    <cellStyle name="Comma 9 2 3 4 2 5" xfId="27040" xr:uid="{67CB897C-285F-4C47-BC05-557ED67C8AB1}"/>
    <cellStyle name="Comma 9 2 3 4 2 6" xfId="16954" xr:uid="{3AB9AAA6-8579-4953-89F0-8E36A6C0DD15}"/>
    <cellStyle name="Comma 9 2 3 4 3" xfId="22758" xr:uid="{53723204-0815-4045-A056-7FCD23F7396E}"/>
    <cellStyle name="Comma 9 2 3 5" xfId="4135" xr:uid="{58960FB7-AA3D-4773-B9E0-BAA94B5F7831}"/>
    <cellStyle name="Comma 9 2 3 5 2" xfId="8907" xr:uid="{45BD0102-A3DB-46F1-B996-4B740B50B967}"/>
    <cellStyle name="Comma 9 2 3 5 2 2" xfId="29012" xr:uid="{FD6FD515-24A7-44F7-9B6A-EE8B41326D0B}"/>
    <cellStyle name="Comma 9 2 3 5 2 3" xfId="27360" xr:uid="{4196D849-59CB-4781-A66E-CA6616B641F1}"/>
    <cellStyle name="Comma 9 2 3 5 2 4" xfId="19287" xr:uid="{1B49DD98-D93E-4499-8109-0BF6F8E1781D}"/>
    <cellStyle name="Comma 9 2 3 5 3" xfId="11740" xr:uid="{FEEBFF0E-3A22-490B-94EE-A20B651F3918}"/>
    <cellStyle name="Comma 9 2 3 5 3 2" xfId="22120" xr:uid="{7BCDA1FB-7008-4553-90F2-782DDE9547DF}"/>
    <cellStyle name="Comma 9 2 3 5 4" xfId="28102" xr:uid="{6B05F112-D1B4-4987-9ED9-AD61916186A5}"/>
    <cellStyle name="Comma 9 2 3 5 5" xfId="16454" xr:uid="{E2103747-DE1C-424E-A121-811632EDB617}"/>
    <cellStyle name="Comma 9 2 3 6" xfId="4931" xr:uid="{B11DD8E7-1558-472B-8FE9-B7DE5AE1C3AA}"/>
    <cellStyle name="Comma 9 2 3 6 2" xfId="28259" xr:uid="{B5064F52-1DEC-48C6-AD6C-94D57ED80CDC}"/>
    <cellStyle name="Comma 9 2 3 6 3" xfId="27717" xr:uid="{90953E80-ECF8-4692-9972-22BB6C8DE61E}"/>
    <cellStyle name="Comma 9 2 3 6 4" xfId="14223" xr:uid="{6FE659B4-9790-4D04-B838-7A04B11F19B9}"/>
    <cellStyle name="Comma 9 2 3 7" xfId="6676" xr:uid="{A3767453-1D26-4077-9762-3232EF5FAEF7}"/>
    <cellStyle name="Comma 9 2 3 7 2" xfId="28416" xr:uid="{C0ECF8F6-3BBF-4631-AE2A-78AAE82D9245}"/>
    <cellStyle name="Comma 9 2 3 7 3" xfId="27284" xr:uid="{A1AC7B48-6458-4882-A59B-BA808F918EEC}"/>
    <cellStyle name="Comma 9 2 3 7 4" xfId="17056" xr:uid="{C6323C8C-63AA-4061-9C69-B64F539EFDEC}"/>
    <cellStyle name="Comma 9 2 3 8" xfId="9509" xr:uid="{19B45FED-76C2-4145-940D-2F2BC325C947}"/>
    <cellStyle name="Comma 9 2 3 8 2" xfId="19889" xr:uid="{A7D0349A-2623-433A-82FA-CC129D323731}"/>
    <cellStyle name="Comma 9 2 3 9" xfId="25166" xr:uid="{491DEFD9-42C7-46F8-B951-F96D761D4FA0}"/>
    <cellStyle name="Comma 9 2 4" xfId="1827" xr:uid="{00000000-0005-0000-0000-000026030000}"/>
    <cellStyle name="Comma 9 2 4 2" xfId="3079" xr:uid="{00000000-0005-0000-0000-000060020000}"/>
    <cellStyle name="Comma 9 2 4 2 2" xfId="8159" xr:uid="{3871DE92-AD0D-4C55-9FDA-EB07377910AF}"/>
    <cellStyle name="Comma 9 2 4 2 2 2" xfId="28832" xr:uid="{35DDB46A-9F32-451D-BE4A-FB8BA2BFC5CB}"/>
    <cellStyle name="Comma 9 2 4 2 2 3" xfId="27382" xr:uid="{1D429F61-482C-40AA-9F51-7ED2D3E08585}"/>
    <cellStyle name="Comma 9 2 4 2 2 4" xfId="18539" xr:uid="{E513781B-C37F-4A79-B6A8-73A52D5D952C}"/>
    <cellStyle name="Comma 9 2 4 2 3" xfId="10992" xr:uid="{5FAD14CD-9E4E-4A54-B659-08425DC4EB51}"/>
    <cellStyle name="Comma 9 2 4 2 3 2" xfId="21372" xr:uid="{D5BA3C34-8A17-499D-9401-2290B594129A}"/>
    <cellStyle name="Comma 9 2 4 2 4" xfId="25662" xr:uid="{DE4B7DEE-3DFB-4D95-9D94-5B6697CA1424}"/>
    <cellStyle name="Comma 9 2 4 2 5" xfId="15706" xr:uid="{B32A986E-B469-403A-9A26-89063FFD10F3}"/>
    <cellStyle name="Comma 9 2 4 3" xfId="3619" xr:uid="{00000000-0005-0000-0000-000026030000}"/>
    <cellStyle name="Comma 9 2 4 4" xfId="4420" xr:uid="{730607A7-848F-4DD4-AC1A-3254E1DC46BC}"/>
    <cellStyle name="Comma 9 2 4 4 2" xfId="9192" xr:uid="{C7AB3644-B0B6-4154-BE4F-C29BF5ECB030}"/>
    <cellStyle name="Comma 9 2 4 4 2 2" xfId="19572" xr:uid="{7AE53B1F-54DA-4F06-99C4-5B8CE011620E}"/>
    <cellStyle name="Comma 9 2 4 4 3" xfId="12025" xr:uid="{05AB095B-DD55-4F70-B186-D55D3B66DE04}"/>
    <cellStyle name="Comma 9 2 4 4 3 2" xfId="22405" xr:uid="{83C0AEC2-D7F8-4FB1-8063-95763749ADDC}"/>
    <cellStyle name="Comma 9 2 4 4 4" xfId="27981" xr:uid="{48E7C24F-7C7F-4635-9EBC-9D453F175853}"/>
    <cellStyle name="Comma 9 2 4 4 5" xfId="28162" xr:uid="{38EC5DA3-2ECC-43FA-AFF3-4E44C4962149}"/>
    <cellStyle name="Comma 9 2 4 4 6" xfId="16739" xr:uid="{E7145DA8-4655-4CB9-96FD-E1E6B4F01E4F}"/>
    <cellStyle name="Comma 9 2 4 5" xfId="5651" xr:uid="{D9BE428C-8235-4EF9-B20E-E5BB3AFC6747}"/>
    <cellStyle name="Comma 9 2 4 5 2" xfId="29924" xr:uid="{08F646FB-9198-4706-87CB-1D7EF2F3AAA1}"/>
    <cellStyle name="Comma 9 2 4 6" xfId="24676" xr:uid="{6EEEF6C0-BA3C-4450-82E6-71744843DDBB}"/>
    <cellStyle name="Comma 9 2 4 7" xfId="13592" xr:uid="{81F21B33-152E-41A4-8622-BE740F8B59B3}"/>
    <cellStyle name="Comma 9 2 5" xfId="1828" xr:uid="{00000000-0005-0000-0000-000027030000}"/>
    <cellStyle name="Comma 9 2 5 2" xfId="2881" xr:uid="{00000000-0005-0000-0000-000061020000}"/>
    <cellStyle name="Comma 9 2 5 2 2" xfId="7998" xr:uid="{30435070-21F0-450E-8F48-DD2475E78426}"/>
    <cellStyle name="Comma 9 2 5 2 2 2" xfId="27245" xr:uid="{B2DCA550-CDEE-430E-8093-FA1E260FBBA3}"/>
    <cellStyle name="Comma 9 2 5 2 2 3" xfId="26153" xr:uid="{A90172AA-ECBA-49AF-A27D-7287150C6C55}"/>
    <cellStyle name="Comma 9 2 5 2 2 4" xfId="18378" xr:uid="{BB53FA4A-1DDF-48F5-8459-C96D8C66B94A}"/>
    <cellStyle name="Comma 9 2 5 2 3" xfId="10831" xr:uid="{8DBDF390-F889-45B9-8090-2E42DC2B125A}"/>
    <cellStyle name="Comma 9 2 5 2 3 2" xfId="21211" xr:uid="{3D817999-D32B-42D4-A4EE-FDDC6CAAAB75}"/>
    <cellStyle name="Comma 9 2 5 2 4" xfId="28531" xr:uid="{EFD68B7B-CEB1-42E8-96C8-A4CE64C8ED24}"/>
    <cellStyle name="Comma 9 2 5 2 5" xfId="15545" xr:uid="{178AD210-1937-49B9-920C-01104FD1710F}"/>
    <cellStyle name="Comma 9 2 5 3" xfId="3537" xr:uid="{00000000-0005-0000-0000-000027030000}"/>
    <cellStyle name="Comma 9 2 5 4" xfId="5652" xr:uid="{D7164F72-134C-4D46-901D-95E30936FD2B}"/>
    <cellStyle name="Comma 9 2 5 4 2" xfId="30159" xr:uid="{B16CC595-212F-4666-B4D2-A0B3AE83B1CE}"/>
    <cellStyle name="Comma 9 2 5 5" xfId="25505" xr:uid="{683D3246-020B-45A9-8F05-CD8C07E60BC7}"/>
    <cellStyle name="Comma 9 2 5 6" xfId="13379" xr:uid="{D127C0C3-511A-4158-94C4-3B598D743006}"/>
    <cellStyle name="Comma 9 2 6" xfId="1820" xr:uid="{00000000-0005-0000-0000-000028030000}"/>
    <cellStyle name="Comma 9 2 6 2" xfId="2540" xr:uid="{00000000-0005-0000-0000-000062020000}"/>
    <cellStyle name="Comma 9 2 6 2 2" xfId="7665" xr:uid="{12A85B8F-612E-4B7E-8375-3FD272B72C3E}"/>
    <cellStyle name="Comma 9 2 6 2 2 2" xfId="18045" xr:uid="{63602DFF-BD8A-4BE0-91FF-331DD6264E16}"/>
    <cellStyle name="Comma 9 2 6 2 3" xfId="10498" xr:uid="{61B4E7AC-8DB2-43F1-868D-FAA2881C85E4}"/>
    <cellStyle name="Comma 9 2 6 2 3 2" xfId="20878" xr:uid="{1BB267DC-2623-4AAD-9299-6628C1181669}"/>
    <cellStyle name="Comma 9 2 6 2 4" xfId="28008" xr:uid="{93DFBBE4-AEC2-43A7-B32D-98AE37918C88}"/>
    <cellStyle name="Comma 9 2 6 2 5" xfId="27053" xr:uid="{3C93F917-4687-49AB-A2DE-9CFA582651C6}"/>
    <cellStyle name="Comma 9 2 6 2 6" xfId="15212" xr:uid="{B954EB0A-A415-4D84-A87E-51039639E08C}"/>
    <cellStyle name="Comma 9 2 6 3" xfId="3706" xr:uid="{00000000-0005-0000-0000-000028030000}"/>
    <cellStyle name="Comma 9 2 6 4" xfId="5645" xr:uid="{D898191B-5E99-42ED-AE9E-BA7EEF98ED5F}"/>
    <cellStyle name="Comma 9 2 6 4 2" xfId="30111" xr:uid="{C2226862-202F-449C-B837-544008848688}"/>
    <cellStyle name="Comma 9 2 6 5" xfId="23855" xr:uid="{D61276F4-B8A3-4202-B41B-BD1945D207E6}"/>
    <cellStyle name="Comma 9 2 6 6" xfId="12928" xr:uid="{0F80994B-85B6-4398-ADA2-8150445C52AA}"/>
    <cellStyle name="Comma 9 2 7" xfId="2234" xr:uid="{00000000-0005-0000-0000-000056020000}"/>
    <cellStyle name="Comma 9 2 7 2" xfId="7361" xr:uid="{C4B32B00-5182-49D8-9EA5-796AE2208F5A}"/>
    <cellStyle name="Comma 9 2 7 2 2" xfId="26720" xr:uid="{E24BCB5C-C6EA-4FDB-9EC3-913147FB8779}"/>
    <cellStyle name="Comma 9 2 7 2 3" xfId="28268" xr:uid="{90482539-1104-4FEC-A0B4-4BBC91205F8D}"/>
    <cellStyle name="Comma 9 2 7 2 4" xfId="17741" xr:uid="{A997357B-75E5-4FBD-8E85-7D845313D2E4}"/>
    <cellStyle name="Comma 9 2 7 3" xfId="10194" xr:uid="{6CC74026-AB08-411B-B16F-52096AABA2AE}"/>
    <cellStyle name="Comma 9 2 7 3 2" xfId="20574" xr:uid="{D660BE8F-3CEC-43C8-B3F2-515CBFAE10A6}"/>
    <cellStyle name="Comma 9 2 7 4" xfId="25034" xr:uid="{6B933433-0728-4A4C-81A0-760F81048C5E}"/>
    <cellStyle name="Comma 9 2 7 5" xfId="14908" xr:uid="{9E029389-AF9E-4E2C-80CF-C3A6CB490564}"/>
    <cellStyle name="Comma 9 2 8" xfId="3878" xr:uid="{14ABF57D-7E2D-49B0-92F4-00CADDA395CB}"/>
    <cellStyle name="Comma 9 2 8 2" xfId="8710" xr:uid="{A7E88751-1D29-4175-B2B8-DA20A976F5E3}"/>
    <cellStyle name="Comma 9 2 8 2 2" xfId="19090" xr:uid="{E69C0CF9-2C8E-461A-BD73-73D7F51D1663}"/>
    <cellStyle name="Comma 9 2 8 3" xfId="11543" xr:uid="{95E42C6C-C80A-4C6F-AEA5-4FFFB2425A1A}"/>
    <cellStyle name="Comma 9 2 8 3 2" xfId="21923" xr:uid="{7A3F958E-C57F-4788-976D-1AE8E6A57944}"/>
    <cellStyle name="Comma 9 2 8 4" xfId="26413" xr:uid="{FD7B0B76-E8B9-487D-8AAD-C9933C1ACB6C}"/>
    <cellStyle name="Comma 9 2 8 5" xfId="27761" xr:uid="{AC65A6F0-19BB-40A6-9BE0-0678F17B6B3B}"/>
    <cellStyle name="Comma 9 2 8 6" xfId="16257" xr:uid="{6C8D399F-9CD0-4228-9326-262AC491334C}"/>
    <cellStyle name="Comma 9 2 9" xfId="4929" xr:uid="{BD7D2C77-C633-4CFC-AAC8-AEB80D7AE154}"/>
    <cellStyle name="Comma 9 2 9 2" xfId="25984" xr:uid="{FF5AE70A-CB98-46FE-AEBC-034F7A064D0C}"/>
    <cellStyle name="Comma 9 2 9 3" xfId="27780" xr:uid="{9617A20E-B9DC-4147-BB81-6D931C61435A}"/>
    <cellStyle name="Comma 9 2 9 4" xfId="14221" xr:uid="{B60DB025-08CD-4CE5-A225-EF26AA61A2E6}"/>
    <cellStyle name="Comma 9 3" xfId="542" xr:uid="{00000000-0005-0000-0000-000029030000}"/>
    <cellStyle name="Comma 9 3 10" xfId="9510" xr:uid="{E7E81DE3-7484-41E0-8FA9-F356A46CD991}"/>
    <cellStyle name="Comma 9 3 10 2" xfId="19890" xr:uid="{ABE7FEB3-D309-49D2-9D77-CEDDF86F8FC8}"/>
    <cellStyle name="Comma 9 3 11" xfId="24495" xr:uid="{D4380A83-A032-4878-B2BD-F5EDC2355B6A}"/>
    <cellStyle name="Comma 9 3 12" xfId="12522" xr:uid="{1EC29B22-E11A-4F03-9D04-7890D63A35C8}"/>
    <cellStyle name="Comma 9 3 2" xfId="1830" xr:uid="{00000000-0005-0000-0000-00002A030000}"/>
    <cellStyle name="Comma 9 3 2 2" xfId="3081" xr:uid="{00000000-0005-0000-0000-000065020000}"/>
    <cellStyle name="Comma 9 3 2 2 2" xfId="6170" xr:uid="{5D3F1E2F-6C13-4865-A186-7E6BC20EDFBA}"/>
    <cellStyle name="Comma 9 3 2 2 2 2" xfId="24147" xr:uid="{7FAC486F-3150-4423-B79F-82D92D5D4315}"/>
    <cellStyle name="Comma 9 3 2 2 2 2 2" xfId="28013" xr:uid="{6EDB3307-FB2D-428A-B7BB-51FD25238CFA}"/>
    <cellStyle name="Comma 9 3 2 2 2 3" xfId="26869" xr:uid="{652D5C03-1AD5-43F2-95C2-87421CEC1E98}"/>
    <cellStyle name="Comma 9 3 2 2 2 4" xfId="15708" xr:uid="{4A7AF802-84FA-4651-8493-69DBEFBEF268}"/>
    <cellStyle name="Comma 9 3 2 2 3" xfId="8161" xr:uid="{41C885F3-2F9F-457C-9A41-B93334694117}"/>
    <cellStyle name="Comma 9 3 2 2 3 2" xfId="18541" xr:uid="{52F9EBF8-6C8D-4A10-9E5C-BDDF8CD76353}"/>
    <cellStyle name="Comma 9 3 2 2 4" xfId="10994" xr:uid="{6690BEA3-7986-4505-B2F3-1A50EFC06E03}"/>
    <cellStyle name="Comma 9 3 2 2 4 2" xfId="21374" xr:uid="{16FA8055-7EF8-4083-8B83-CB2D93CE4C92}"/>
    <cellStyle name="Comma 9 3 2 2 5" xfId="24468" xr:uid="{C74E39ED-E802-4F6C-B356-E5113AB4E949}"/>
    <cellStyle name="Comma 9 3 2 2 6" xfId="27865" xr:uid="{1092D0DD-8FB3-44DD-86EE-6FC6DA4E3B78}"/>
    <cellStyle name="Comma 9 3 2 2 7" xfId="13594" xr:uid="{20D41558-9592-4905-9B8D-FAFB5DB1DBDE}"/>
    <cellStyle name="Comma 9 3 2 3" xfId="2688" xr:uid="{00000000-0005-0000-0000-000064020000}"/>
    <cellStyle name="Comma 9 3 2 3 2" xfId="7812" xr:uid="{45825168-987C-424D-9B12-52F792D7F9B4}"/>
    <cellStyle name="Comma 9 3 2 3 2 2" xfId="28522" xr:uid="{E0FBFBB5-EC4B-4CDC-A0B7-7F4A0932546C}"/>
    <cellStyle name="Comma 9 3 2 3 2 3" xfId="28378" xr:uid="{B1C725C8-4663-4026-A58A-6EC98692EB7D}"/>
    <cellStyle name="Comma 9 3 2 3 2 4" xfId="18192" xr:uid="{CF70C67C-65D6-4BF2-9FF7-5986B90AEE6F}"/>
    <cellStyle name="Comma 9 3 2 3 3" xfId="10645" xr:uid="{51C13CA6-B671-4F5D-917F-E88F4B3AEAF6}"/>
    <cellStyle name="Comma 9 3 2 3 3 2" xfId="21025" xr:uid="{4A99DD87-1800-46CD-ADE8-C5F3EF349A55}"/>
    <cellStyle name="Comma 9 3 2 3 4" xfId="22681" xr:uid="{3EB0B22D-8F5E-48CF-B5FA-63B60A9EE603}"/>
    <cellStyle name="Comma 9 3 2 3 5" xfId="15359" xr:uid="{F541BCBC-753B-4B7B-AEF7-D891549388FA}"/>
    <cellStyle name="Comma 9 3 2 4" xfId="3695" xr:uid="{00000000-0005-0000-0000-00002A030000}"/>
    <cellStyle name="Comma 9 3 2 4 2" xfId="26650" xr:uid="{5A147B94-5AF9-4CDC-8BC6-C737EBE8A913}"/>
    <cellStyle name="Comma 9 3 2 4 3" xfId="26683" xr:uid="{FB1D1AC5-9D11-429C-BF39-EEAC07E5768E}"/>
    <cellStyle name="Comma 9 3 2 5" xfId="4270" xr:uid="{F1DB953E-CDE1-43E8-9BEA-964C5E5A9856}"/>
    <cellStyle name="Comma 9 3 2 5 2" xfId="9042" xr:uid="{F26FC550-BC30-48DE-A2FC-AF981BC732EC}"/>
    <cellStyle name="Comma 9 3 2 5 2 2" xfId="19422" xr:uid="{6FDAA852-56CA-4BF6-BB17-4AA7D4E56C64}"/>
    <cellStyle name="Comma 9 3 2 5 3" xfId="11875" xr:uid="{A33959D1-ED4C-4C55-92A7-CC84556D1C9C}"/>
    <cellStyle name="Comma 9 3 2 5 3 2" xfId="22255" xr:uid="{D062A147-5A9C-4F48-A79B-58F7E85DB901}"/>
    <cellStyle name="Comma 9 3 2 5 4" xfId="27367" xr:uid="{FD0C7BF0-A587-4637-98FE-1287570FBD22}"/>
    <cellStyle name="Comma 9 3 2 5 5" xfId="28426" xr:uid="{A03FA1EB-B70A-4B0D-B080-7587374271FE}"/>
    <cellStyle name="Comma 9 3 2 5 6" xfId="16589" xr:uid="{9A425600-8E7C-4649-8D14-D414987A8C3D}"/>
    <cellStyle name="Comma 9 3 2 6" xfId="5654" xr:uid="{77D156F7-476C-46F2-93AE-31A8AC882BEE}"/>
    <cellStyle name="Comma 9 3 2 6 2" xfId="29957" xr:uid="{9222F092-313B-4460-B0CA-09DFA5ADAD8A}"/>
    <cellStyle name="Comma 9 3 2 7" xfId="25227" xr:uid="{32CD50D2-C9AE-4571-939C-C8C54DC3B34F}"/>
    <cellStyle name="Comma 9 3 2 8" xfId="13101" xr:uid="{B68D3080-BA5F-48EA-9188-311DC047BBAB}"/>
    <cellStyle name="Comma 9 3 2 9" xfId="30226" xr:uid="{67117861-C06F-4A68-8C3A-1ABC8CD38058}"/>
    <cellStyle name="Comma 9 3 3" xfId="1831" xr:uid="{00000000-0005-0000-0000-00002B030000}"/>
    <cellStyle name="Comma 9 3 3 2" xfId="3082" xr:uid="{00000000-0005-0000-0000-000066020000}"/>
    <cellStyle name="Comma 9 3 3 2 2" xfId="8162" xr:uid="{30BFB4DD-F5E5-4102-846B-4027E615BCE0}"/>
    <cellStyle name="Comma 9 3 3 2 2 2" xfId="28834" xr:uid="{1D3DCD9E-22E3-4A2B-BFEA-68D716F7632B}"/>
    <cellStyle name="Comma 9 3 3 2 2 3" xfId="27469" xr:uid="{761CFDA3-BD8E-439D-AE3A-6616D3D38BC8}"/>
    <cellStyle name="Comma 9 3 3 2 2 4" xfId="18542" xr:uid="{6FF6D2FD-49D1-478F-8C56-148E459735BA}"/>
    <cellStyle name="Comma 9 3 3 2 3" xfId="10995" xr:uid="{8A4A876A-3AFA-455C-9C42-6A97F80DED57}"/>
    <cellStyle name="Comma 9 3 3 2 3 2" xfId="21375" xr:uid="{9FE326AD-216F-4337-A89B-6ED14C842C11}"/>
    <cellStyle name="Comma 9 3 3 2 4" xfId="24095" xr:uid="{4A6A6AAB-A78E-43A5-A912-AA5037B542FD}"/>
    <cellStyle name="Comma 9 3 3 2 5" xfId="15709" xr:uid="{4224EED2-F5B5-4C80-A76D-50B890931CA9}"/>
    <cellStyle name="Comma 9 3 3 3" xfId="3705" xr:uid="{00000000-0005-0000-0000-00002B030000}"/>
    <cellStyle name="Comma 9 3 3 4" xfId="4421" xr:uid="{18170F86-C2D3-41E7-9BBC-5C6417543022}"/>
    <cellStyle name="Comma 9 3 3 4 2" xfId="9193" xr:uid="{26B92FD6-E0D8-470C-9556-778A5F8FEAFF}"/>
    <cellStyle name="Comma 9 3 3 4 2 2" xfId="19573" xr:uid="{F377DAD8-5711-4268-8A8B-9A61CD9EDB6C}"/>
    <cellStyle name="Comma 9 3 3 4 3" xfId="12026" xr:uid="{84CDBBE9-88B1-45BB-84B9-365383A18EEB}"/>
    <cellStyle name="Comma 9 3 3 4 3 2" xfId="22406" xr:uid="{11C3063F-87D1-4D1E-B343-A620DEF1A22B}"/>
    <cellStyle name="Comma 9 3 3 4 4" xfId="16740" xr:uid="{A83B7572-DEFE-4674-B9BC-F693F0EB8DA2}"/>
    <cellStyle name="Comma 9 3 3 5" xfId="5655" xr:uid="{B525BE71-296E-4A8D-A239-535718B25E1D}"/>
    <cellStyle name="Comma 9 3 3 5 2" xfId="29928" xr:uid="{03A8D41F-606F-47DA-ACB5-84193C058176}"/>
    <cellStyle name="Comma 9 3 3 6" xfId="24665" xr:uid="{3D67FC07-C30E-4BB2-B210-DB9C3EA33BDF}"/>
    <cellStyle name="Comma 9 3 3 7" xfId="13595" xr:uid="{5FA0F202-D403-4101-916A-106D8E59EF14}"/>
    <cellStyle name="Comma 9 3 4" xfId="1829" xr:uid="{00000000-0005-0000-0000-00002C030000}"/>
    <cellStyle name="Comma 9 3 4 2" xfId="3080" xr:uid="{00000000-0005-0000-0000-000067020000}"/>
    <cellStyle name="Comma 9 3 4 2 2" xfId="8160" xr:uid="{A44917E5-A260-4E57-A00D-74E81142C856}"/>
    <cellStyle name="Comma 9 3 4 2 2 2" xfId="28833" xr:uid="{E1D0D1D7-BCBC-4025-A9A4-65F4CA9D0DA2}"/>
    <cellStyle name="Comma 9 3 4 2 2 3" xfId="26695" xr:uid="{6EFBF9CB-8F8C-49E7-9369-5F3AF238C536}"/>
    <cellStyle name="Comma 9 3 4 2 2 4" xfId="18540" xr:uid="{411A0BFC-0770-4A0F-9BFF-5513F5ADE6E2}"/>
    <cellStyle name="Comma 9 3 4 2 3" xfId="10993" xr:uid="{379F143A-75EE-4D4F-83EE-FE40F42B0461}"/>
    <cellStyle name="Comma 9 3 4 2 3 2" xfId="21373" xr:uid="{0A5CACF6-8CDA-4E18-9620-A72C6691C0CE}"/>
    <cellStyle name="Comma 9 3 4 2 4" xfId="25175" xr:uid="{96CFF20C-9ADF-43F2-ABAD-249183DF8F3F}"/>
    <cellStyle name="Comma 9 3 4 2 5" xfId="15707" xr:uid="{12C4A8BE-B9AB-4776-A2A2-D7A439B32A7B}"/>
    <cellStyle name="Comma 9 3 4 3" xfId="3670" xr:uid="{00000000-0005-0000-0000-00002C030000}"/>
    <cellStyle name="Comma 9 3 4 4" xfId="5653" xr:uid="{2992C92C-8EDE-4819-B747-CFD197F07934}"/>
    <cellStyle name="Comma 9 3 4 4 2" xfId="30197" xr:uid="{5851F50E-EE73-49D5-8AFA-02A81B3D599D}"/>
    <cellStyle name="Comma 9 3 4 5" xfId="22864" xr:uid="{7A0D85F2-7603-4244-8EA4-BCE31E460284}"/>
    <cellStyle name="Comma 9 3 4 6" xfId="13593" xr:uid="{E59C85B5-D30B-41E2-8D24-850FCB8A133A}"/>
    <cellStyle name="Comma 9 3 5" xfId="2583" xr:uid="{00000000-0005-0000-0000-000068020000}"/>
    <cellStyle name="Comma 9 3 5 2" xfId="5848" xr:uid="{9AFCFEEE-2505-4F6D-A481-F03D7C6B099D}"/>
    <cellStyle name="Comma 9 3 5 2 2" xfId="27706" xr:uid="{71638D3E-073B-465B-8079-C421AEEF8FCF}"/>
    <cellStyle name="Comma 9 3 5 2 3" xfId="28111" xr:uid="{88E78A97-D798-40B1-B121-601BFA26463A}"/>
    <cellStyle name="Comma 9 3 5 2 4" xfId="15255" xr:uid="{876EBB0C-63E8-4A7B-9EDA-9C1C3871BA2F}"/>
    <cellStyle name="Comma 9 3 5 3" xfId="7708" xr:uid="{BEA5950F-02E1-43FC-B1F1-A36C58FBB631}"/>
    <cellStyle name="Comma 9 3 5 3 2" xfId="18088" xr:uid="{FF85433C-FEC8-47E7-B6A5-8EEC6298B380}"/>
    <cellStyle name="Comma 9 3 5 4" xfId="10541" xr:uid="{65183B43-D80D-49BA-BEF9-F6E503BD1F06}"/>
    <cellStyle name="Comma 9 3 5 4 2" xfId="20921" xr:uid="{21238C72-15FC-4007-A9F9-B93D39F31BED}"/>
    <cellStyle name="Comma 9 3 5 5" xfId="23343" xr:uid="{E1FCD651-C478-44B8-92D8-7921DAE26410}"/>
    <cellStyle name="Comma 9 3 5 6" xfId="12971" xr:uid="{D658D3A0-00E0-4869-960E-19BC6F8649B5}"/>
    <cellStyle name="Comma 9 3 6" xfId="2290" xr:uid="{00000000-0005-0000-0000-000063020000}"/>
    <cellStyle name="Comma 9 3 6 2" xfId="7417" xr:uid="{025F373A-BE43-4E48-85A7-5A7239E2FC8F}"/>
    <cellStyle name="Comma 9 3 6 2 2" xfId="17797" xr:uid="{A00288B0-3EAD-4837-B259-F6C4CCB3457F}"/>
    <cellStyle name="Comma 9 3 6 3" xfId="10250" xr:uid="{CA02812C-EBA4-4234-A901-7D6F1FC3AB91}"/>
    <cellStyle name="Comma 9 3 6 3 2" xfId="20630" xr:uid="{8FCD722B-FB2D-486A-89B1-ACD6791E1381}"/>
    <cellStyle name="Comma 9 3 6 4" xfId="25403" xr:uid="{7C46B817-38A3-42C6-882C-98B3949A937A}"/>
    <cellStyle name="Comma 9 3 6 5" xfId="27260" xr:uid="{93B1D2DF-2A26-4BF0-ACE2-6FB4605820E9}"/>
    <cellStyle name="Comma 9 3 6 6" xfId="14964" xr:uid="{828B998B-8124-4DEA-903D-2B09FAA8B816}"/>
    <cellStyle name="Comma 9 3 7" xfId="3825" xr:uid="{9D146E72-9673-49A7-806E-FB272B5C17CE}"/>
    <cellStyle name="Comma 9 3 7 2" xfId="8658" xr:uid="{BC26A82D-0058-4EFB-8C47-948475657A86}"/>
    <cellStyle name="Comma 9 3 7 2 2" xfId="19038" xr:uid="{55C8ACED-B877-4D7A-A9B1-AC60BCE92CAA}"/>
    <cellStyle name="Comma 9 3 7 3" xfId="11491" xr:uid="{FDD557D6-8B8B-4718-92FD-32760A075EE3}"/>
    <cellStyle name="Comma 9 3 7 3 2" xfId="21871" xr:uid="{0FD211B6-4E5B-487B-87A0-EE2F7A318503}"/>
    <cellStyle name="Comma 9 3 7 4" xfId="26117" xr:uid="{0E9C60C0-50AC-45C5-A9CD-C7BE1E7C0246}"/>
    <cellStyle name="Comma 9 3 7 5" xfId="28094" xr:uid="{1633684F-EEAE-4F4D-8516-7185672DF3DD}"/>
    <cellStyle name="Comma 9 3 7 6" xfId="16205" xr:uid="{301EE679-6692-44AB-93B8-513D570952F7}"/>
    <cellStyle name="Comma 9 3 8" xfId="4932" xr:uid="{77B32B7E-E9F2-43A7-9503-9206BCE0429D}"/>
    <cellStyle name="Comma 9 3 8 2" xfId="14224" xr:uid="{84EDABC1-9EAF-47EA-9F3B-282B5B0532D7}"/>
    <cellStyle name="Comma 9 3 9" xfId="6677" xr:uid="{E1EE7C5D-FE69-4EF7-AC70-A5F4889A2F0D}"/>
    <cellStyle name="Comma 9 3 9 2" xfId="17057" xr:uid="{742713B6-8D96-48AF-8C04-8C2D9EA52616}"/>
    <cellStyle name="Comma 9 4" xfId="543" xr:uid="{00000000-0005-0000-0000-00002D030000}"/>
    <cellStyle name="Comma 9 4 10" xfId="12680" xr:uid="{3C78FD5E-2306-4C10-B6FB-57929E2C1CCB}"/>
    <cellStyle name="Comma 9 4 2" xfId="1833" xr:uid="{00000000-0005-0000-0000-00002E030000}"/>
    <cellStyle name="Comma 9 4 2 2" xfId="3083" xr:uid="{00000000-0005-0000-0000-00006A020000}"/>
    <cellStyle name="Comma 9 4 2 2 2" xfId="8163" xr:uid="{D45C281E-EDA4-4C74-897C-FA30A35FA9EC}"/>
    <cellStyle name="Comma 9 4 2 2 2 2" xfId="28835" xr:uid="{5EAC4C5F-3550-465C-8620-97567FEA2F7B}"/>
    <cellStyle name="Comma 9 4 2 2 2 3" xfId="28400" xr:uid="{D04C0551-F87A-4571-AF8D-4BD6E13F12A9}"/>
    <cellStyle name="Comma 9 4 2 2 2 4" xfId="18543" xr:uid="{0B0475C1-0F95-4754-8A42-092F6CFCE269}"/>
    <cellStyle name="Comma 9 4 2 2 3" xfId="10996" xr:uid="{505883EF-447C-4761-BB1F-648E3A0C6355}"/>
    <cellStyle name="Comma 9 4 2 2 3 2" xfId="21376" xr:uid="{3D737D26-8D47-42D5-BB22-1E4818534386}"/>
    <cellStyle name="Comma 9 4 2 2 4" xfId="24005" xr:uid="{96A29539-771F-4E38-884F-6CC3BCAFD248}"/>
    <cellStyle name="Comma 9 4 2 2 5" xfId="15710" xr:uid="{412DA1D9-9811-42B5-8081-0F6DE9609973}"/>
    <cellStyle name="Comma 9 4 2 3" xfId="2863" xr:uid="{00000000-0005-0000-0000-00002E030000}"/>
    <cellStyle name="Comma 9 4 2 4" xfId="5656" xr:uid="{FACDA99C-DDD8-460F-90C1-E63427823092}"/>
    <cellStyle name="Comma 9 4 2 4 2" xfId="30011" xr:uid="{F9277746-6A64-43A1-BF4A-DE8ED6895C90}"/>
    <cellStyle name="Comma 9 4 2 5" xfId="24264" xr:uid="{3265BF72-9522-42AA-B61C-3BDC8B8C2FEA}"/>
    <cellStyle name="Comma 9 4 2 6" xfId="13596" xr:uid="{777200A9-6584-4AD9-8F33-936578F81C45}"/>
    <cellStyle name="Comma 9 4 3" xfId="1834" xr:uid="{00000000-0005-0000-0000-00002F030000}"/>
    <cellStyle name="Comma 9 4 3 2" xfId="2685" xr:uid="{00000000-0005-0000-0000-00006B020000}"/>
    <cellStyle name="Comma 9 4 3 2 2" xfId="7809" xr:uid="{E331375F-8633-44FE-825C-9D28423035A0}"/>
    <cellStyle name="Comma 9 4 3 2 2 2" xfId="18189" xr:uid="{1DAC768A-1B7D-40B1-827C-C4417E242BA6}"/>
    <cellStyle name="Comma 9 4 3 2 3" xfId="10642" xr:uid="{70FCB1B9-77A8-47C2-8CD6-DDBFED7DE979}"/>
    <cellStyle name="Comma 9 4 3 2 3 2" xfId="21022" xr:uid="{F4D14E92-635C-44F3-AF4A-2EE9D0000A5A}"/>
    <cellStyle name="Comma 9 4 3 2 4" xfId="15356" xr:uid="{A80AE682-E449-4C51-8007-0414D76349D1}"/>
    <cellStyle name="Comma 9 4 3 3" xfId="2865" xr:uid="{00000000-0005-0000-0000-00002F030000}"/>
    <cellStyle name="Comma 9 4 3 4" xfId="5657" xr:uid="{5A2DC35C-DA84-47EE-9C97-6ECF34E3F1B9}"/>
    <cellStyle name="Comma 9 4 3 4 2" xfId="29988" xr:uid="{A43E6B4C-C699-43DC-9983-A3B7412237BA}"/>
    <cellStyle name="Comma 9 4 3 5" xfId="23996" xr:uid="{5E6A089C-D917-41FC-BC1A-85B936181ADC}"/>
    <cellStyle name="Comma 9 4 3 6" xfId="13098" xr:uid="{CA7AFE53-3DF3-4060-99A5-F06C7E393E9D}"/>
    <cellStyle name="Comma 9 4 4" xfId="1832" xr:uid="{00000000-0005-0000-0000-000030030000}"/>
    <cellStyle name="Comma 9 4 4 2" xfId="4625" xr:uid="{FE65B954-A8A9-4EAA-8C9D-BB93F9307337}"/>
    <cellStyle name="Comma 9 4 4 2 2" xfId="9397" xr:uid="{CC2D082B-9568-4061-BFBC-7503E89197A5}"/>
    <cellStyle name="Comma 9 4 4 2 2 2" xfId="19777" xr:uid="{1081FF1A-E036-4CD8-8BA8-9FC86411E3A1}"/>
    <cellStyle name="Comma 9 4 4 2 3" xfId="12230" xr:uid="{857A7544-3BCE-4D2B-A6D8-4060EFC69FAD}"/>
    <cellStyle name="Comma 9 4 4 2 3 2" xfId="22610" xr:uid="{3C845386-DD0D-4613-A146-6785A04FC2CA}"/>
    <cellStyle name="Comma 9 4 4 2 4" xfId="28495" xr:uid="{A373CDC8-DBDB-4B19-BFB6-C534F20C37EB}"/>
    <cellStyle name="Comma 9 4 4 2 5" xfId="26181" xr:uid="{54DC8C73-61C9-4057-873E-9401108C2B6F}"/>
    <cellStyle name="Comma 9 4 4 2 6" xfId="16944" xr:uid="{52C391CC-B8A7-420E-80D5-E049C16AC34D}"/>
    <cellStyle name="Comma 9 4 4 3" xfId="25130" xr:uid="{2F96BC45-D1A8-477B-912B-54E4C4A93C35}"/>
    <cellStyle name="Comma 9 4 5" xfId="4134" xr:uid="{3A5B6A9D-E2F9-4176-8736-970E7F931A38}"/>
    <cellStyle name="Comma 9 4 5 2" xfId="8906" xr:uid="{231E58DE-E60E-4884-A444-43E1D087A008}"/>
    <cellStyle name="Comma 9 4 5 2 2" xfId="29011" xr:uid="{50BE6FA5-AEA9-4730-8B03-94597896F2AC}"/>
    <cellStyle name="Comma 9 4 5 2 3" xfId="27946" xr:uid="{FC375E88-CEB9-42BF-B05D-CC17C8C7FACB}"/>
    <cellStyle name="Comma 9 4 5 2 4" xfId="19286" xr:uid="{8C961C43-0FD4-4DE2-AF9A-F682BF2269EA}"/>
    <cellStyle name="Comma 9 4 5 3" xfId="11739" xr:uid="{97DBAD62-6B6E-4B36-BEDA-3E9C71377653}"/>
    <cellStyle name="Comma 9 4 5 3 2" xfId="22119" xr:uid="{5B2E8434-CDB6-4456-9914-5C1A52D21BA2}"/>
    <cellStyle name="Comma 9 4 5 4" xfId="23808" xr:uid="{43B1E241-E8F2-4E70-A670-726EB7856799}"/>
    <cellStyle name="Comma 9 4 5 5" xfId="16453" xr:uid="{1D690D66-5B99-40BC-A859-3606B2565E5A}"/>
    <cellStyle name="Comma 9 4 6" xfId="4933" xr:uid="{0091691E-B76B-4D47-B30A-70E1F774625F}"/>
    <cellStyle name="Comma 9 4 6 2" xfId="27140" xr:uid="{03F91043-8AF1-4A18-845A-F17760B2E279}"/>
    <cellStyle name="Comma 9 4 6 3" xfId="26024" xr:uid="{60957D1F-98E5-47F2-8A98-70467DECF462}"/>
    <cellStyle name="Comma 9 4 6 4" xfId="14225" xr:uid="{5C397A5E-5721-42D2-9020-F116BDBE3D50}"/>
    <cellStyle name="Comma 9 4 7" xfId="6678" xr:uid="{BF37F11C-F416-4874-9EC2-E625A9DD0D55}"/>
    <cellStyle name="Comma 9 4 7 2" xfId="25856" xr:uid="{6DBE41EF-36D8-4C35-8416-709ECA033017}"/>
    <cellStyle name="Comma 9 4 7 3" xfId="27649" xr:uid="{12019546-0995-48DF-B220-09A66AC498C8}"/>
    <cellStyle name="Comma 9 4 7 4" xfId="17058" xr:uid="{32AF84CE-B18D-464C-A70E-6DE5EC154F9A}"/>
    <cellStyle name="Comma 9 4 8" xfId="9511" xr:uid="{9CB2F9B3-66D1-40D1-952E-C5E337CE3155}"/>
    <cellStyle name="Comma 9 4 8 2" xfId="19891" xr:uid="{EACFA2CD-C989-4EFF-B1E9-0B93E72AA165}"/>
    <cellStyle name="Comma 9 4 9" xfId="23380" xr:uid="{DC4BC53C-6F1B-438D-AE51-C463E2080EF4}"/>
    <cellStyle name="Comma 9 5" xfId="544" xr:uid="{00000000-0005-0000-0000-000031030000}"/>
    <cellStyle name="Comma 9 5 10" xfId="13597" xr:uid="{83B15E35-6B93-4D49-AEF8-1630BB09035E}"/>
    <cellStyle name="Comma 9 5 2" xfId="1836" xr:uid="{00000000-0005-0000-0000-000032030000}"/>
    <cellStyle name="Comma 9 5 2 2" xfId="23872" xr:uid="{DCC8170A-53AF-458D-A295-81F5DBDF94FB}"/>
    <cellStyle name="Comma 9 5 2 2 2" xfId="29965" xr:uid="{905441AF-FB3D-4F6D-9C02-293AB172806E}"/>
    <cellStyle name="Comma 9 5 2 3" xfId="25740" xr:uid="{BD4F76CC-DB4F-408A-9F04-DD94FC6E59F4}"/>
    <cellStyle name="Comma 9 5 2 4" xfId="30295" xr:uid="{00281F77-EE0F-479E-8662-D25776625577}"/>
    <cellStyle name="Comma 9 5 3" xfId="1837" xr:uid="{00000000-0005-0000-0000-000033030000}"/>
    <cellStyle name="Comma 9 5 4" xfId="1835" xr:uid="{00000000-0005-0000-0000-000034030000}"/>
    <cellStyle name="Comma 9 5 5" xfId="4422" xr:uid="{8EC6386D-C2C1-405F-852E-EAC3F4EC2A41}"/>
    <cellStyle name="Comma 9 5 5 2" xfId="9194" xr:uid="{8A7F21B0-5A5D-4C74-B81C-486ACD5191D6}"/>
    <cellStyle name="Comma 9 5 5 2 2" xfId="19574" xr:uid="{E6AFE00C-408F-49CE-97BB-B98173877846}"/>
    <cellStyle name="Comma 9 5 5 3" xfId="12027" xr:uid="{5D6BBF46-0E92-42E9-8FE6-45DB54368DB5}"/>
    <cellStyle name="Comma 9 5 5 3 2" xfId="22407" xr:uid="{BDC8279A-D582-4486-AC4B-D513E2A5B65C}"/>
    <cellStyle name="Comma 9 5 5 4" xfId="16741" xr:uid="{537E17A7-7BE3-4DD4-B5E0-334C97CB41B1}"/>
    <cellStyle name="Comma 9 5 6" xfId="4934" xr:uid="{3BEECAB2-096E-478B-8733-052CC5DA46D1}"/>
    <cellStyle name="Comma 9 5 6 2" xfId="14226" xr:uid="{132FD597-578A-4B73-932F-F8193B464CB5}"/>
    <cellStyle name="Comma 9 5 7" xfId="6679" xr:uid="{C13BDEBE-EC6F-4B5B-B3FF-187FD5333AD1}"/>
    <cellStyle name="Comma 9 5 7 2" xfId="17059" xr:uid="{640FFE14-AE5F-4D33-94EA-47F986E50348}"/>
    <cellStyle name="Comma 9 5 8" xfId="9512" xr:uid="{A92927A1-ABCD-49F8-9AAF-A2700459F7EF}"/>
    <cellStyle name="Comma 9 5 8 2" xfId="19892" xr:uid="{6FC0863A-4F9B-40B6-857E-4D242A7598FA}"/>
    <cellStyle name="Comma 9 5 9" xfId="25537" xr:uid="{D2C37B91-35F4-4516-8914-A4B4F52CA9F9}"/>
    <cellStyle name="Comma 9 6" xfId="1838" xr:uid="{00000000-0005-0000-0000-000035030000}"/>
    <cellStyle name="Comma 9 6 2" xfId="2880" xr:uid="{00000000-0005-0000-0000-00006D020000}"/>
    <cellStyle name="Comma 9 6 2 2" xfId="7997" xr:uid="{F8DF9D05-4BF2-44A5-8B37-515E769FFBD5}"/>
    <cellStyle name="Comma 9 6 2 2 2" xfId="28512" xr:uid="{72FA9D96-51E4-4F4A-978B-4A85F827A191}"/>
    <cellStyle name="Comma 9 6 2 2 3" xfId="28128" xr:uid="{13D8EEBD-E61C-47F1-8E6D-4914C778CF50}"/>
    <cellStyle name="Comma 9 6 2 2 4" xfId="18377" xr:uid="{2FBE579A-0724-40CE-A96C-AE6C5A8A6738}"/>
    <cellStyle name="Comma 9 6 2 3" xfId="10830" xr:uid="{117361D7-DE3B-48DA-A416-490B2DBE8F56}"/>
    <cellStyle name="Comma 9 6 2 3 2" xfId="21210" xr:uid="{4B1EFDCC-AF3A-4AA3-A4B3-4EA13FEE091E}"/>
    <cellStyle name="Comma 9 6 2 4" xfId="23707" xr:uid="{52309564-43A7-44AD-ACC3-88FC48623B4F}"/>
    <cellStyle name="Comma 9 6 2 5" xfId="15544" xr:uid="{A5167BCE-42C2-4F06-B756-5F61D70AB861}"/>
    <cellStyle name="Comma 9 6 3" xfId="3701" xr:uid="{00000000-0005-0000-0000-000035030000}"/>
    <cellStyle name="Comma 9 6 4" xfId="5658" xr:uid="{F0889DBC-5892-417F-8EE7-FA192F9E9925}"/>
    <cellStyle name="Comma 9 6 4 2" xfId="29999" xr:uid="{300B74BE-5C7F-4E32-BCF4-085508F9B217}"/>
    <cellStyle name="Comma 9 6 5" xfId="24583" xr:uid="{56AB86CB-57DE-41F5-A230-5CEEE65EC711}"/>
    <cellStyle name="Comma 9 6 6" xfId="13378" xr:uid="{9075C2A9-E0C7-42DA-8F05-B5C16EE5D13C}"/>
    <cellStyle name="Comma 9 7" xfId="1839" xr:uid="{00000000-0005-0000-0000-000036030000}"/>
    <cellStyle name="Comma 9 7 2" xfId="2480" xr:uid="{00000000-0005-0000-0000-00006E020000}"/>
    <cellStyle name="Comma 9 7 2 2" xfId="7605" xr:uid="{D5B135C5-3CB5-4DF1-B349-0B52A0BC6519}"/>
    <cellStyle name="Comma 9 7 2 2 2" xfId="17985" xr:uid="{839A207B-8E9A-435A-B9A2-4DB69BB8C548}"/>
    <cellStyle name="Comma 9 7 2 3" xfId="10438" xr:uid="{7A2A9931-09CA-4C00-8628-5260613B428F}"/>
    <cellStyle name="Comma 9 7 2 3 2" xfId="20818" xr:uid="{BB635F78-7B5F-469E-A4E1-A95E414DCC15}"/>
    <cellStyle name="Comma 9 7 2 4" xfId="27708" xr:uid="{E697571F-732E-4AA2-8232-8ADA520FD7E3}"/>
    <cellStyle name="Comma 9 7 2 5" xfId="27043" xr:uid="{2C8384A5-EDEB-4BC1-BCE6-5F8E40BA29C5}"/>
    <cellStyle name="Comma 9 7 2 6" xfId="15152" xr:uid="{5BA22906-1C66-4AAA-9480-D2A998B67ED2}"/>
    <cellStyle name="Comma 9 7 3" xfId="3659" xr:uid="{00000000-0005-0000-0000-000036030000}"/>
    <cellStyle name="Comma 9 7 4" xfId="5659" xr:uid="{30261AFC-BC09-4145-A1C1-20C674F34240}"/>
    <cellStyle name="Comma 9 7 4 2" xfId="30099" xr:uid="{8C4FE2D3-A058-4C8B-B580-E4F5DF843076}"/>
    <cellStyle name="Comma 9 7 5" xfId="24924" xr:uid="{29E6EB39-4CF9-46EE-BB9A-ACC34553CA10}"/>
    <cellStyle name="Comma 9 7 6" xfId="12868" xr:uid="{B716D2F0-27D6-45B7-9D21-02D2AFFE409C}"/>
    <cellStyle name="Comma 9 8" xfId="1819" xr:uid="{00000000-0005-0000-0000-000037030000}"/>
    <cellStyle name="Comma 9 8 2" xfId="2174" xr:uid="{00000000-0005-0000-0000-000055020000}"/>
    <cellStyle name="Comma 9 8 2 2" xfId="7301" xr:uid="{0681815D-DA0A-44AC-B63D-096C72FAF05F}"/>
    <cellStyle name="Comma 9 8 2 2 2" xfId="17681" xr:uid="{4E66BBA4-5680-4D52-8C98-7FD554A826E1}"/>
    <cellStyle name="Comma 9 8 2 3" xfId="10134" xr:uid="{8A8E8938-B03B-4A5B-B9C5-378A6A3693A6}"/>
    <cellStyle name="Comma 9 8 2 3 2" xfId="20514" xr:uid="{50971F9A-6718-488A-A0F2-E7DA43E14EA9}"/>
    <cellStyle name="Comma 9 8 2 4" xfId="27925" xr:uid="{0F5FA70B-01F5-4593-A104-BDD6E3273FAB}"/>
    <cellStyle name="Comma 9 8 2 5" xfId="25964" xr:uid="{B66DC2D6-5D54-4F8E-82C0-EC4FEB159109}"/>
    <cellStyle name="Comma 9 8 2 6" xfId="14848" xr:uid="{80F29169-2463-4D00-9FF7-78830790E047}"/>
    <cellStyle name="Comma 9 8 3" xfId="3546" xr:uid="{00000000-0005-0000-0000-000037030000}"/>
    <cellStyle name="Comma 9 8 4" xfId="25254" xr:uid="{002E24B2-B2C8-44B9-8713-3DE11B6D9157}"/>
    <cellStyle name="Comma 9 9" xfId="3877" xr:uid="{843F6AD1-FCB4-445A-AA8D-FE1C9F50769F}"/>
    <cellStyle name="Comma 9 9 2" xfId="8709" xr:uid="{95A34064-24CD-4754-9807-8A57438B2F68}"/>
    <cellStyle name="Comma 9 9 2 2" xfId="19089" xr:uid="{7555BDD1-0452-4A18-A1C8-2D9D28563F51}"/>
    <cellStyle name="Comma 9 9 3" xfId="11542" xr:uid="{6B5AB9F2-6D06-45A2-91F3-BB97F134CEA2}"/>
    <cellStyle name="Comma 9 9 3 2" xfId="21922" xr:uid="{5C5B9B25-98D4-49A4-940B-809F1F4D44DD}"/>
    <cellStyle name="Comma 9 9 4" xfId="28054" xr:uid="{86BCF2E4-A5F7-4B4D-9E16-0B7509DA28D2}"/>
    <cellStyle name="Comma 9 9 5" xfId="28683" xr:uid="{7A68E2DD-3DD2-483A-8D01-3717E66A3056}"/>
    <cellStyle name="Comma 9 9 6" xfId="16256" xr:uid="{C6FC2547-1541-496E-83B5-C02EE9239EC9}"/>
    <cellStyle name="Currency" xfId="545" builtinId="4"/>
    <cellStyle name="Currency 10" xfId="9513" xr:uid="{E689EB5D-FEBE-4207-8328-F59950977F17}"/>
    <cellStyle name="Currency 10 2" xfId="19893" xr:uid="{2B6095D5-BCD8-4CCD-85E7-EE646FEB2A7C}"/>
    <cellStyle name="Currency 2" xfId="546" xr:uid="{00000000-0005-0000-0000-000039030000}"/>
    <cellStyle name="Currency 2 2" xfId="547" xr:uid="{00000000-0005-0000-0000-00003A030000}"/>
    <cellStyle name="Currency 2 2 2" xfId="1841" xr:uid="{00000000-0005-0000-0000-00003B030000}"/>
    <cellStyle name="Currency 2 2 2 2" xfId="25523" xr:uid="{F33B5A7B-A6F4-4F39-9943-AAAD1FE7791C}"/>
    <cellStyle name="Currency 2 2 2 2 2" xfId="29907" xr:uid="{2B8A1B26-C027-4F58-8ACA-4B3F0047A5DB}"/>
    <cellStyle name="Currency 2 2 2 3" xfId="25761" xr:uid="{8F717FAC-E6A7-4309-961E-F4148D0E234D}"/>
    <cellStyle name="Currency 2 2 3" xfId="1842" xr:uid="{00000000-0005-0000-0000-00003C030000}"/>
    <cellStyle name="Currency 2 2 4" xfId="1840" xr:uid="{00000000-0005-0000-0000-00003D030000}"/>
    <cellStyle name="Currency 2 3" xfId="548" xr:uid="{00000000-0005-0000-0000-00003E030000}"/>
    <cellStyle name="Currency 2 4" xfId="549" xr:uid="{00000000-0005-0000-0000-00003F030000}"/>
    <cellStyle name="Currency 2 4 10" xfId="27032" xr:uid="{E2BB59DD-EAC6-4905-8F26-36D6C8445F5A}"/>
    <cellStyle name="Currency 2 4 11" xfId="14228" xr:uid="{EFB3DA06-E140-4491-AB6E-684BE1B48751}"/>
    <cellStyle name="Currency 2 4 2" xfId="550" xr:uid="{00000000-0005-0000-0000-000040030000}"/>
    <cellStyle name="Currency 2 4 2 2" xfId="1845" xr:uid="{00000000-0005-0000-0000-000041030000}"/>
    <cellStyle name="Currency 2 4 2 3" xfId="1846" xr:uid="{00000000-0005-0000-0000-000042030000}"/>
    <cellStyle name="Currency 2 4 2 4" xfId="1844" xr:uid="{00000000-0005-0000-0000-000043030000}"/>
    <cellStyle name="Currency 2 4 2 5" xfId="6682" xr:uid="{6B07941A-733F-4265-B589-986D489FB7FB}"/>
    <cellStyle name="Currency 2 4 2 5 2" xfId="17062" xr:uid="{A75C8787-838D-458D-9893-435FAFB16D29}"/>
    <cellStyle name="Currency 2 4 2 6" xfId="9515" xr:uid="{4A2CCE91-071D-4DFC-94AA-3F311A8B76DD}"/>
    <cellStyle name="Currency 2 4 2 6 2" xfId="19895" xr:uid="{F9F12B49-8742-44E9-86C5-23FD4B485300}"/>
    <cellStyle name="Currency 2 4 2 7" xfId="25185" xr:uid="{8C613C50-0C1C-451F-91C4-8486798283CE}"/>
    <cellStyle name="Currency 2 4 2 8" xfId="14229" xr:uid="{F0C44351-F905-47A4-AD58-729DEE0B4430}"/>
    <cellStyle name="Currency 2 4 3" xfId="1847" xr:uid="{00000000-0005-0000-0000-000044030000}"/>
    <cellStyle name="Currency 2 4 4" xfId="1848" xr:uid="{00000000-0005-0000-0000-000045030000}"/>
    <cellStyle name="Currency 2 4 5" xfId="1843" xr:uid="{00000000-0005-0000-0000-000046030000}"/>
    <cellStyle name="Currency 2 4 6" xfId="6681" xr:uid="{8CFBB05E-FC06-4B48-9CB7-78AB3B06959E}"/>
    <cellStyle name="Currency 2 4 6 2" xfId="17061" xr:uid="{24208534-EA6E-486C-9511-89CD5A46A0BC}"/>
    <cellStyle name="Currency 2 4 6 3" xfId="30052" xr:uid="{3D9CCF30-E2DF-4B37-A88B-820BB16D0536}"/>
    <cellStyle name="Currency 2 4 7" xfId="9514" xr:uid="{E9C1AF90-268C-4F7A-A2C6-48777BDDBCCB}"/>
    <cellStyle name="Currency 2 4 7 2" xfId="19894" xr:uid="{58A25324-231A-479A-B501-749E4161E97F}"/>
    <cellStyle name="Currency 2 4 8" xfId="24633" xr:uid="{27BCA51D-A890-4632-B002-5D71C0530BA5}"/>
    <cellStyle name="Currency 2 4 9" xfId="22901" xr:uid="{F015D0BA-F72C-4632-855D-37F062B28834}"/>
    <cellStyle name="Currency 2 5" xfId="1849" xr:uid="{00000000-0005-0000-0000-000047030000}"/>
    <cellStyle name="Currency 3" xfId="551" xr:uid="{00000000-0005-0000-0000-000048030000}"/>
    <cellStyle name="Currency 3 2" xfId="552" xr:uid="{00000000-0005-0000-0000-000049030000}"/>
    <cellStyle name="Currency 3 2 2" xfId="1851" xr:uid="{00000000-0005-0000-0000-00004A030000}"/>
    <cellStyle name="Currency 3 2 3" xfId="1852" xr:uid="{00000000-0005-0000-0000-00004B030000}"/>
    <cellStyle name="Currency 3 2 4" xfId="1850" xr:uid="{00000000-0005-0000-0000-00004C030000}"/>
    <cellStyle name="Currency 3 2 5" xfId="6683" xr:uid="{4FCFE811-3755-46F4-8803-2EFC844A90DA}"/>
    <cellStyle name="Currency 3 2 5 2" xfId="17063" xr:uid="{1F927C96-6E01-4C40-9B2D-7222789598FC}"/>
    <cellStyle name="Currency 3 2 6" xfId="9516" xr:uid="{A25B73E7-4A18-4EDD-982A-FC35F1B762F1}"/>
    <cellStyle name="Currency 3 2 6 2" xfId="19896" xr:uid="{FCE94371-A497-4F1A-B43C-D5DF03027CDF}"/>
    <cellStyle name="Currency 3 2 7" xfId="25617" xr:uid="{E1682AC9-7E11-46F4-8DF3-337BFBCF6CAC}"/>
    <cellStyle name="Currency 3 2 8" xfId="14230" xr:uid="{ADDB2CFA-D549-4A22-A71D-B2AEB10EA70D}"/>
    <cellStyle name="Currency 4" xfId="553" xr:uid="{00000000-0005-0000-0000-00004D030000}"/>
    <cellStyle name="Currency 4 10" xfId="554" xr:uid="{00000000-0005-0000-0000-00004E030000}"/>
    <cellStyle name="Currency 4 10 10" xfId="12682" xr:uid="{C89A52B3-84DE-4D56-AB19-F2222440D6C3}"/>
    <cellStyle name="Currency 4 10 2" xfId="1855" xr:uid="{00000000-0005-0000-0000-00004F030000}"/>
    <cellStyle name="Currency 4 10 2 2" xfId="3084" xr:uid="{00000000-0005-0000-0000-000075020000}"/>
    <cellStyle name="Currency 4 10 2 2 2" xfId="8164" xr:uid="{7A792EC4-ACE5-466A-BF18-DA894CE6B7E6}"/>
    <cellStyle name="Currency 4 10 2 2 2 2" xfId="18544" xr:uid="{82EF5D85-311B-4726-91D4-7AEA7459CB9A}"/>
    <cellStyle name="Currency 4 10 2 2 3" xfId="10997" xr:uid="{18F09CAA-3970-48F4-8028-B9700EEADCCB}"/>
    <cellStyle name="Currency 4 10 2 2 3 2" xfId="21377" xr:uid="{FBE3B2B8-BF65-4F7D-810C-65B197035DF8}"/>
    <cellStyle name="Currency 4 10 2 2 4" xfId="28669" xr:uid="{6B3573D9-B002-4527-BE7A-14C87DB37E3F}"/>
    <cellStyle name="Currency 4 10 2 2 5" xfId="28003" xr:uid="{3458A60A-E96B-4782-9C92-3C1E6BE08ED3}"/>
    <cellStyle name="Currency 4 10 2 2 6" xfId="15711" xr:uid="{EE4DF844-B7A5-4C38-8430-F6129C4964E3}"/>
    <cellStyle name="Currency 4 10 2 3" xfId="2052" xr:uid="{00000000-0005-0000-0000-00004F030000}"/>
    <cellStyle name="Currency 4 10 2 4" xfId="5660" xr:uid="{A2AAE002-0A20-488C-9C52-4228652B0BF6}"/>
    <cellStyle name="Currency 4 10 2 4 2" xfId="30012" xr:uid="{3BB578AE-4DB2-4437-A22F-EA3B1C10BFBF}"/>
    <cellStyle name="Currency 4 10 2 5" xfId="25410" xr:uid="{B0582985-45F2-4C4B-80A7-F2EC0648FFB9}"/>
    <cellStyle name="Currency 4 10 2 6" xfId="13598" xr:uid="{22E4A5B0-9FF4-47B3-85B5-231E69F48698}"/>
    <cellStyle name="Currency 4 10 3" xfId="1856" xr:uid="{00000000-0005-0000-0000-000050030000}"/>
    <cellStyle name="Currency 4 10 3 2" xfId="24734" xr:uid="{CA990BB0-C204-4B40-886F-F2954B0D0D94}"/>
    <cellStyle name="Currency 4 10 3 3" xfId="24531" xr:uid="{7D6C6936-280A-4C1C-8BFF-53EA962C5745}"/>
    <cellStyle name="Currency 4 10 3 4" xfId="30296" xr:uid="{1906B052-622C-4547-A735-95B616FF272E}"/>
    <cellStyle name="Currency 4 10 3 5" xfId="29860" xr:uid="{11FD2D69-10D4-40C8-865A-F8C19287F4E1}"/>
    <cellStyle name="Currency 4 10 4" xfId="1854" xr:uid="{00000000-0005-0000-0000-000051030000}"/>
    <cellStyle name="Currency 4 10 4 2" xfId="24284" xr:uid="{ED9A845B-35BA-45AD-AF0D-05D9F0ECF894}"/>
    <cellStyle name="Currency 4 10 4 3" xfId="23779" xr:uid="{D5B3556B-A73E-4DB9-A41F-1F71F0BEC923}"/>
    <cellStyle name="Currency 4 10 5" xfId="4136" xr:uid="{28316C04-2271-4F96-8382-FEA953367420}"/>
    <cellStyle name="Currency 4 10 5 2" xfId="8908" xr:uid="{21AE18FF-01CE-414B-8875-3BAD9B9FCB74}"/>
    <cellStyle name="Currency 4 10 5 2 2" xfId="19288" xr:uid="{9966A440-B95F-4ADC-9324-D570952B48A6}"/>
    <cellStyle name="Currency 4 10 5 3" xfId="11741" xr:uid="{8EDF15E3-3BF4-4105-81C3-E58B929AF5B2}"/>
    <cellStyle name="Currency 4 10 5 3 2" xfId="22121" xr:uid="{567DDC84-5198-4391-AC59-3C901AD1288D}"/>
    <cellStyle name="Currency 4 10 5 4" xfId="25951" xr:uid="{60920962-F1EA-43F0-A991-A08232A9634E}"/>
    <cellStyle name="Currency 4 10 5 5" xfId="28207" xr:uid="{D87AB717-F7E9-4807-B0A8-76E8CF9660A8}"/>
    <cellStyle name="Currency 4 10 5 6" xfId="16455" xr:uid="{B11E6810-51CE-4318-A490-C1192DB9235C}"/>
    <cellStyle name="Currency 4 10 6" xfId="4937" xr:uid="{F803A6F7-BC98-40BE-B52A-DDBD368BD4A7}"/>
    <cellStyle name="Currency 4 10 6 2" xfId="28038" xr:uid="{24DF6FA4-CC8D-41D8-A018-9EF7C39184F9}"/>
    <cellStyle name="Currency 4 10 6 3" xfId="28439" xr:uid="{BE24D556-7083-4982-A77C-092D2A3B50D3}"/>
    <cellStyle name="Currency 4 10 6 4" xfId="14232" xr:uid="{77673FEB-C8F7-4DBD-9C8B-128DB655EB07}"/>
    <cellStyle name="Currency 4 10 7" xfId="6685" xr:uid="{E7B1152D-13C8-4C51-99D0-C1CE86CA2672}"/>
    <cellStyle name="Currency 4 10 7 2" xfId="17065" xr:uid="{9F440BE2-68A6-4EF1-861E-6FCD31280449}"/>
    <cellStyle name="Currency 4 10 8" xfId="9518" xr:uid="{69CFF2B3-C837-4AF4-82CA-58394D59C04B}"/>
    <cellStyle name="Currency 4 10 8 2" xfId="19898" xr:uid="{2252050E-2952-4216-9021-BCEE2F54784E}"/>
    <cellStyle name="Currency 4 10 9" xfId="24282" xr:uid="{6C0D5AE9-E8ED-4663-A503-398A88041B84}"/>
    <cellStyle name="Currency 4 11" xfId="555" xr:uid="{00000000-0005-0000-0000-000052030000}"/>
    <cellStyle name="Currency 4 11 2" xfId="1858" xr:uid="{00000000-0005-0000-0000-000053030000}"/>
    <cellStyle name="Currency 4 11 2 2" xfId="25670" xr:uid="{6AE32305-D723-4F2B-9726-69A14A97E3DF}"/>
    <cellStyle name="Currency 4 11 2 2 2" xfId="30028" xr:uid="{93C1DFC4-5CCA-4774-9DFD-A78C4E82AF92}"/>
    <cellStyle name="Currency 4 11 2 3" xfId="22791" xr:uid="{5ABBA574-11C1-4A53-8D6F-81175CE6891C}"/>
    <cellStyle name="Currency 4 11 2 4" xfId="30276" xr:uid="{D211C86A-29AD-4689-B3E0-98548FC39E79}"/>
    <cellStyle name="Currency 4 11 3" xfId="1859" xr:uid="{00000000-0005-0000-0000-000054030000}"/>
    <cellStyle name="Currency 4 11 4" xfId="1857" xr:uid="{00000000-0005-0000-0000-000055030000}"/>
    <cellStyle name="Currency 4 11 5" xfId="4938" xr:uid="{BFC9E390-F889-4696-9995-875A71621CBA}"/>
    <cellStyle name="Currency 4 11 5 2" xfId="14233" xr:uid="{8AECC12D-B054-4142-9C5F-758968040410}"/>
    <cellStyle name="Currency 4 11 6" xfId="6686" xr:uid="{0B58B3C8-2CC9-497F-8371-C9F709B7FDE3}"/>
    <cellStyle name="Currency 4 11 6 2" xfId="17066" xr:uid="{3DC1AB66-354C-4573-99AC-B2AFCBB0FB06}"/>
    <cellStyle name="Currency 4 11 7" xfId="9519" xr:uid="{8147509B-15A1-4C96-A0C2-45BD4C595CC9}"/>
    <cellStyle name="Currency 4 11 7 2" xfId="19899" xr:uid="{41CBA3BB-6B53-4097-A6A0-65C21B147329}"/>
    <cellStyle name="Currency 4 11 8" xfId="25120" xr:uid="{04ACA9BD-851F-42B7-91D0-95019CD4E73C}"/>
    <cellStyle name="Currency 4 11 9" xfId="13380" xr:uid="{F2C1A7B9-8D2A-4045-8439-6F7BD31BCAD2}"/>
    <cellStyle name="Currency 4 12" xfId="1860" xr:uid="{00000000-0005-0000-0000-000056030000}"/>
    <cellStyle name="Currency 4 12 2" xfId="2435" xr:uid="{00000000-0005-0000-0000-000077020000}"/>
    <cellStyle name="Currency 4 12 2 2" xfId="7560" xr:uid="{3D331767-DFA7-49F7-B67B-E2844C1A1125}"/>
    <cellStyle name="Currency 4 12 2 2 2" xfId="17940" xr:uid="{47AE85F2-3195-456D-AD1F-5296A0FD07A1}"/>
    <cellStyle name="Currency 4 12 2 3" xfId="10393" xr:uid="{74AA856C-1546-48A1-902B-0B9C48E13197}"/>
    <cellStyle name="Currency 4 12 2 3 2" xfId="20773" xr:uid="{DB56C7FD-1566-4A75-8FCC-9C848565BFF6}"/>
    <cellStyle name="Currency 4 12 2 4" xfId="15107" xr:uid="{29096738-BB6A-486C-9D3B-D9E98C7DF5A2}"/>
    <cellStyle name="Currency 4 12 3" xfId="3606" xr:uid="{00000000-0005-0000-0000-000056030000}"/>
    <cellStyle name="Currency 4 12 4" xfId="5661" xr:uid="{442882FD-A814-4225-99B5-C1E0B22554C2}"/>
    <cellStyle name="Currency 4 12 4 2" xfId="29976" xr:uid="{D2B28E5F-189F-484D-BA16-06D8B959E7E9}"/>
    <cellStyle name="Currency 4 12 5" xfId="22761" xr:uid="{63F35A41-69FD-49A0-A60E-7B3978025D2D}"/>
    <cellStyle name="Currency 4 12 6" xfId="12822" xr:uid="{BE8AD55E-3093-4446-86E2-D073A8C1FFA1}"/>
    <cellStyle name="Currency 4 13" xfId="1861" xr:uid="{00000000-0005-0000-0000-000057030000}"/>
    <cellStyle name="Currency 4 13 2" xfId="2165" xr:uid="{00000000-0005-0000-0000-000073020000}"/>
    <cellStyle name="Currency 4 13 2 2" xfId="7292" xr:uid="{ED095754-1457-4145-9AB5-64B9CBFBC360}"/>
    <cellStyle name="Currency 4 13 2 2 2" xfId="17672" xr:uid="{8091C615-6AC9-417A-9B8D-39A46392F9F0}"/>
    <cellStyle name="Currency 4 13 2 3" xfId="10125" xr:uid="{842A2EB4-2F05-4C39-8A60-C6703A06F64D}"/>
    <cellStyle name="Currency 4 13 2 3 2" xfId="20505" xr:uid="{258F88F9-5150-4BC3-96C5-9ED93391EAFF}"/>
    <cellStyle name="Currency 4 13 2 4" xfId="28297" xr:uid="{53E75C48-0B63-4183-9B7C-D7E63C929532}"/>
    <cellStyle name="Currency 4 13 2 5" xfId="27338" xr:uid="{C17836A6-C549-4DBA-A4BB-6076037FA8EE}"/>
    <cellStyle name="Currency 4 13 2 6" xfId="14839" xr:uid="{14041440-C9DD-441B-854D-DD8735680B6E}"/>
    <cellStyle name="Currency 4 13 3" xfId="2077" xr:uid="{00000000-0005-0000-0000-000057030000}"/>
    <cellStyle name="Currency 4 13 4" xfId="23379" xr:uid="{D88FAFBE-9691-4F2E-80BC-179C5A201D6E}"/>
    <cellStyle name="Currency 4 13 4 2" xfId="30091" xr:uid="{A73B7D51-00C6-49FA-838D-3EDCFE5141D8}"/>
    <cellStyle name="Currency 4 13 5" xfId="30234" xr:uid="{2E8039E4-F4DF-481E-9F48-7B2A63E3A5BB}"/>
    <cellStyle name="Currency 4 14" xfId="1853" xr:uid="{00000000-0005-0000-0000-000058030000}"/>
    <cellStyle name="Currency 4 14 2" xfId="25803" xr:uid="{FBE6B4CA-BCAB-44EE-A7E9-70F4C6699F61}"/>
    <cellStyle name="Currency 4 14 3" xfId="25776" xr:uid="{9A16FB8B-ADB5-4AC7-9F1A-D13AAB955871}"/>
    <cellStyle name="Currency 4 15" xfId="3881" xr:uid="{8A16B6F4-4C91-4357-9C17-F36A8BA48B18}"/>
    <cellStyle name="Currency 4 15 2" xfId="8713" xr:uid="{8EB94A9F-EF8B-4EA7-897E-FE94FBF423D5}"/>
    <cellStyle name="Currency 4 15 2 2" xfId="19093" xr:uid="{98BB6A6F-5B49-4748-8DB0-C0E4275141D6}"/>
    <cellStyle name="Currency 4 15 3" xfId="11546" xr:uid="{38A5F320-0DE0-46D5-A927-27C5471EBED7}"/>
    <cellStyle name="Currency 4 15 3 2" xfId="21926" xr:uid="{571A51F8-6074-48F7-BBB4-1AC0F039850E}"/>
    <cellStyle name="Currency 4 15 4" xfId="27295" xr:uid="{B2877688-2F6B-4368-95B5-4718C229756B}"/>
    <cellStyle name="Currency 4 15 5" xfId="26519" xr:uid="{C27C6762-C1D9-464C-B909-10F478B0DAED}"/>
    <cellStyle name="Currency 4 15 6" xfId="16260" xr:uid="{C60FEDF8-8FD8-476E-B86E-1BEECE6D3847}"/>
    <cellStyle name="Currency 4 16" xfId="4936" xr:uid="{2E48FC4A-ACA0-4D64-BB27-D26AB243475C}"/>
    <cellStyle name="Currency 4 16 2" xfId="27591" xr:uid="{7DBE2F17-F500-45BB-8C28-33AA7DF16E87}"/>
    <cellStyle name="Currency 4 16 3" xfId="26841" xr:uid="{5E6EA418-A6FA-41B7-A169-4158FC19B3FD}"/>
    <cellStyle name="Currency 4 16 4" xfId="14231" xr:uid="{E5BB4F4D-65E4-4119-89EF-B26E1F145ED9}"/>
    <cellStyle name="Currency 4 17" xfId="6684" xr:uid="{23119076-1826-438F-A532-AFC5D5908B0C}"/>
    <cellStyle name="Currency 4 17 2" xfId="17064" xr:uid="{84C8C268-56AD-4B42-9168-6A1E80FAA892}"/>
    <cellStyle name="Currency 4 18" xfId="9517" xr:uid="{DEE09A3A-0523-4291-B302-B35F22E14947}"/>
    <cellStyle name="Currency 4 18 2" xfId="19897" xr:uid="{B2E97F39-C4B4-4017-88F1-E8DB22F1FEF5}"/>
    <cellStyle name="Currency 4 19" xfId="22844" xr:uid="{CD82A28B-6BBC-4D24-BA6B-DBE201BB073F}"/>
    <cellStyle name="Currency 4 2" xfId="556" xr:uid="{00000000-0005-0000-0000-000059030000}"/>
    <cellStyle name="Currency 4 2 10" xfId="4939" xr:uid="{7CE55DFC-6AB4-49FF-B062-66C91C3D19B3}"/>
    <cellStyle name="Currency 4 2 10 2" xfId="27654" xr:uid="{B5983676-F40C-431A-A600-57A48763A5C4}"/>
    <cellStyle name="Currency 4 2 10 3" xfId="26911" xr:uid="{2AA3DBB0-A053-4C1D-ACC6-1B9B3D63B6E8}"/>
    <cellStyle name="Currency 4 2 10 4" xfId="14234" xr:uid="{D104C87A-7ABC-4ED6-A828-217CB3DD3CA6}"/>
    <cellStyle name="Currency 4 2 11" xfId="6687" xr:uid="{B5AC1A94-00AB-423D-9ED8-093C7331C0FA}"/>
    <cellStyle name="Currency 4 2 11 2" xfId="17067" xr:uid="{FA29BC29-6948-4046-9E61-620462271D69}"/>
    <cellStyle name="Currency 4 2 12" xfId="9520" xr:uid="{99278EF3-BC64-40D5-A41C-D1BBB7E92051}"/>
    <cellStyle name="Currency 4 2 12 2" xfId="19900" xr:uid="{CF63DCC8-C075-4F0E-9FCB-66AA89898ADA}"/>
    <cellStyle name="Currency 4 2 13" xfId="23306" xr:uid="{C0F291B2-0F24-468C-A470-39546BA1EA8C}"/>
    <cellStyle name="Currency 4 2 14" xfId="12420" xr:uid="{61B0A083-6D10-4333-BA5F-38A9CD77F14B}"/>
    <cellStyle name="Currency 4 2 2" xfId="557" xr:uid="{00000000-0005-0000-0000-00005A030000}"/>
    <cellStyle name="Currency 4 2 2 10" xfId="6688" xr:uid="{E924E7D5-EEB2-48A0-AB3C-FC2465E48362}"/>
    <cellStyle name="Currency 4 2 2 10 2" xfId="17068" xr:uid="{2AC6DD1D-EB61-45BE-863B-CD2611824E85}"/>
    <cellStyle name="Currency 4 2 2 11" xfId="9521" xr:uid="{E04CC9AF-519D-4284-9439-E38B1CBDB025}"/>
    <cellStyle name="Currency 4 2 2 11 2" xfId="19901" xr:uid="{179D9FE8-DC4A-4A66-90F9-01A96618D461}"/>
    <cellStyle name="Currency 4 2 2 12" xfId="24835" xr:uid="{557BFA1C-DCB3-4381-8D1D-328BAAF1BB48}"/>
    <cellStyle name="Currency 4 2 2 13" xfId="12480" xr:uid="{48380BA2-5D42-43E8-9181-C7C6489F582C}"/>
    <cellStyle name="Currency 4 2 2 2" xfId="558" xr:uid="{00000000-0005-0000-0000-00005B030000}"/>
    <cellStyle name="Currency 4 2 2 2 10" xfId="9522" xr:uid="{D7792FC4-660D-4C69-8479-83A98CBA5288}"/>
    <cellStyle name="Currency 4 2 2 2 10 2" xfId="19902" xr:uid="{F61283B0-DDE0-4A4D-8DDA-38AF6E104196}"/>
    <cellStyle name="Currency 4 2 2 2 11" xfId="23796" xr:uid="{6BFC9E81-2557-4A8A-A80C-6DBBCE540376}"/>
    <cellStyle name="Currency 4 2 2 2 12" xfId="12526" xr:uid="{BD0B3595-35FD-4A85-BCA8-12D04857AA2D}"/>
    <cellStyle name="Currency 4 2 2 2 2" xfId="1865" xr:uid="{00000000-0005-0000-0000-00005C030000}"/>
    <cellStyle name="Currency 4 2 2 2 2 2" xfId="3086" xr:uid="{00000000-0005-0000-0000-00007C020000}"/>
    <cellStyle name="Currency 4 2 2 2 2 2 2" xfId="6171" xr:uid="{3688B7CC-920A-49CE-8F5C-A63ADC39A1FD}"/>
    <cellStyle name="Currency 4 2 2 2 2 2 2 2" xfId="28276" xr:uid="{DCF2970D-8D47-4C4A-B66C-0F5DF9A0326F}"/>
    <cellStyle name="Currency 4 2 2 2 2 2 2 3" xfId="28319" xr:uid="{43DE835C-E4BB-4BA9-AE0C-0D6D1B34494B}"/>
    <cellStyle name="Currency 4 2 2 2 2 2 2 4" xfId="15713" xr:uid="{B4E63A51-BF19-41A6-A3F9-C86E5DA7D71B}"/>
    <cellStyle name="Currency 4 2 2 2 2 2 3" xfId="8166" xr:uid="{11B0660F-2B66-45A8-ABB5-D7786E6025C7}"/>
    <cellStyle name="Currency 4 2 2 2 2 2 3 2" xfId="18546" xr:uid="{3677FF65-3179-47D8-BF89-8023B736CC7B}"/>
    <cellStyle name="Currency 4 2 2 2 2 2 4" xfId="10999" xr:uid="{F4B7426D-37A2-4AD3-9108-2BF0B5D8E954}"/>
    <cellStyle name="Currency 4 2 2 2 2 2 4 2" xfId="21379" xr:uid="{E1A63A5C-6CD3-4859-A95B-383D2421C311}"/>
    <cellStyle name="Currency 4 2 2 2 2 2 5" xfId="25288" xr:uid="{3B11134B-3D6C-47C6-9D7D-3220DDA33DE8}"/>
    <cellStyle name="Currency 4 2 2 2 2 2 6" xfId="27210" xr:uid="{8F821E97-BBE8-4B19-903E-01305D917831}"/>
    <cellStyle name="Currency 4 2 2 2 2 2 7" xfId="13600" xr:uid="{2F5E4AA7-08A4-4739-9D5C-0FD9A020F792}"/>
    <cellStyle name="Currency 4 2 2 2 2 3" xfId="2693" xr:uid="{00000000-0005-0000-0000-00007B020000}"/>
    <cellStyle name="Currency 4 2 2 2 2 3 2" xfId="7817" xr:uid="{1FF16178-2B08-4E6A-AB25-0B4BFD600FA2}"/>
    <cellStyle name="Currency 4 2 2 2 2 3 2 2" xfId="28006" xr:uid="{BA6C94ED-13EE-42EF-B9BB-F915C33DECC8}"/>
    <cellStyle name="Currency 4 2 2 2 2 3 2 3" xfId="27468" xr:uid="{8236B4FE-D5FC-4F0B-9702-DB72491E0818}"/>
    <cellStyle name="Currency 4 2 2 2 2 3 2 4" xfId="18197" xr:uid="{CE04EA8D-052C-4BBD-93ED-F0D5F91FA45F}"/>
    <cellStyle name="Currency 4 2 2 2 2 3 3" xfId="10650" xr:uid="{9CFBD146-D83F-4CC8-AF4A-A9B8D5843DF2}"/>
    <cellStyle name="Currency 4 2 2 2 2 3 3 2" xfId="21030" xr:uid="{4AFCC743-FA0D-4F2A-94CB-96E5BC9C847F}"/>
    <cellStyle name="Currency 4 2 2 2 2 3 4" xfId="24059" xr:uid="{C57C7806-3BB8-4151-AFF1-2022B9C2BAA7}"/>
    <cellStyle name="Currency 4 2 2 2 2 3 5" xfId="15364" xr:uid="{C5369981-2202-4D8C-9F0D-B27E3412C25A}"/>
    <cellStyle name="Currency 4 2 2 2 2 4" xfId="3703" xr:uid="{00000000-0005-0000-0000-00005C030000}"/>
    <cellStyle name="Currency 4 2 2 2 2 4 2" xfId="26599" xr:uid="{F886625C-0AFC-492F-A3D1-E841A6F7365F}"/>
    <cellStyle name="Currency 4 2 2 2 2 4 3" xfId="26881" xr:uid="{F81CAD20-DEED-47B7-BD1C-8459B3A8B952}"/>
    <cellStyle name="Currency 4 2 2 2 2 5" xfId="4272" xr:uid="{DB678E1F-F1EB-415D-8189-981646C9AD72}"/>
    <cellStyle name="Currency 4 2 2 2 2 5 2" xfId="9044" xr:uid="{A997A002-51DC-428D-9D9A-8390B6CA7F20}"/>
    <cellStyle name="Currency 4 2 2 2 2 5 2 2" xfId="19424" xr:uid="{5779248A-0167-4B0D-97F6-18172432DF5A}"/>
    <cellStyle name="Currency 4 2 2 2 2 5 3" xfId="11877" xr:uid="{B570B061-A6FE-4BE4-8262-8A3A437A7EC0}"/>
    <cellStyle name="Currency 4 2 2 2 2 5 3 2" xfId="22257" xr:uid="{549C98A1-7C4B-4065-9044-14CFB49B77DC}"/>
    <cellStyle name="Currency 4 2 2 2 2 5 4" xfId="27521" xr:uid="{0E0B8DDC-1564-46C0-BC44-A2A8C5F7C96A}"/>
    <cellStyle name="Currency 4 2 2 2 2 5 5" xfId="27603" xr:uid="{69244FEA-B661-4569-8F52-94339BC4842D}"/>
    <cellStyle name="Currency 4 2 2 2 2 5 6" xfId="16591" xr:uid="{A45FA4F4-052B-49EC-A1CC-7DEE362FD4CB}"/>
    <cellStyle name="Currency 4 2 2 2 2 6" xfId="5664" xr:uid="{BF7DF391-C85B-4BD0-A2FA-E856C1E1B837}"/>
    <cellStyle name="Currency 4 2 2 2 2 6 2" xfId="29958" xr:uid="{4911F167-F0DF-4761-BC04-1B1F9CAC867D}"/>
    <cellStyle name="Currency 4 2 2 2 2 7" xfId="22683" xr:uid="{AB73C219-89C9-4191-8E87-5E4330197BFE}"/>
    <cellStyle name="Currency 4 2 2 2 2 8" xfId="13106" xr:uid="{1655F9DF-4D17-4F9F-9CAE-DC6F8C6EF0E8}"/>
    <cellStyle name="Currency 4 2 2 2 3" xfId="1866" xr:uid="{00000000-0005-0000-0000-00005D030000}"/>
    <cellStyle name="Currency 4 2 2 2 3 2" xfId="3087" xr:uid="{00000000-0005-0000-0000-00007D020000}"/>
    <cellStyle name="Currency 4 2 2 2 3 2 2" xfId="8167" xr:uid="{9D23410F-F07A-447E-A7A6-0CAFF5985449}"/>
    <cellStyle name="Currency 4 2 2 2 3 2 2 2" xfId="28837" xr:uid="{06941125-7C96-42BA-A28D-34E6CCA3D8C6}"/>
    <cellStyle name="Currency 4 2 2 2 3 2 2 3" xfId="26853" xr:uid="{77F1A8C5-0AA4-4CC9-9F31-861556EFC010}"/>
    <cellStyle name="Currency 4 2 2 2 3 2 2 4" xfId="18547" xr:uid="{E759ECE0-2A5E-40BE-86E4-AE97AA408258}"/>
    <cellStyle name="Currency 4 2 2 2 3 2 3" xfId="11000" xr:uid="{BA158067-73CD-43F9-AEB2-2278BDB95667}"/>
    <cellStyle name="Currency 4 2 2 2 3 2 3 2" xfId="21380" xr:uid="{E1421810-EB1E-48A1-B126-9B300EE9C975}"/>
    <cellStyle name="Currency 4 2 2 2 3 2 4" xfId="25648" xr:uid="{256A75EC-637D-4BE9-AD3C-BB4054B363D8}"/>
    <cellStyle name="Currency 4 2 2 2 3 2 5" xfId="15714" xr:uid="{EBFF9E94-0DD9-4222-A386-91E2CA987D69}"/>
    <cellStyle name="Currency 4 2 2 2 3 3" xfId="2088" xr:uid="{00000000-0005-0000-0000-00005D030000}"/>
    <cellStyle name="Currency 4 2 2 2 3 4" xfId="4423" xr:uid="{3F8880EA-BDCC-4264-BCE8-60BF4BA92E42}"/>
    <cellStyle name="Currency 4 2 2 2 3 4 2" xfId="9195" xr:uid="{FD36FD56-46F6-4D3B-B9F6-689E1F5F0734}"/>
    <cellStyle name="Currency 4 2 2 2 3 4 2 2" xfId="19575" xr:uid="{6F9AA829-FAFE-4260-A170-9D6A9F5DEBC9}"/>
    <cellStyle name="Currency 4 2 2 2 3 4 3" xfId="12028" xr:uid="{749C648E-FE14-4E78-88E1-738DB6998D09}"/>
    <cellStyle name="Currency 4 2 2 2 3 4 3 2" xfId="22408" xr:uid="{8C8B550F-F6E7-4047-A75E-4E13D2B95563}"/>
    <cellStyle name="Currency 4 2 2 2 3 4 4" xfId="16742" xr:uid="{0A45D439-F008-4276-BCCC-1A592538F7EB}"/>
    <cellStyle name="Currency 4 2 2 2 3 5" xfId="5665" xr:uid="{2D7828CB-E2C0-4146-9476-187DEA31046E}"/>
    <cellStyle name="Currency 4 2 2 2 3 5 2" xfId="29945" xr:uid="{7377B76A-435F-45AC-8FFC-7A2824024BC5}"/>
    <cellStyle name="Currency 4 2 2 2 3 6" xfId="22667" xr:uid="{15B918AE-678C-49C0-9E66-682B52E15F1F}"/>
    <cellStyle name="Currency 4 2 2 2 3 7" xfId="13601" xr:uid="{CD1D9F12-7423-4636-BB08-F1DA4C51B085}"/>
    <cellStyle name="Currency 4 2 2 2 4" xfId="1864" xr:uid="{00000000-0005-0000-0000-00005E030000}"/>
    <cellStyle name="Currency 4 2 2 2 4 2" xfId="3085" xr:uid="{00000000-0005-0000-0000-00007E020000}"/>
    <cellStyle name="Currency 4 2 2 2 4 2 2" xfId="8165" xr:uid="{3E0C9CBD-1BDD-4D4D-AC3B-38B36802B03E}"/>
    <cellStyle name="Currency 4 2 2 2 4 2 2 2" xfId="28836" xr:uid="{6D84C83D-A4D2-4098-AD3E-999BE8D72815}"/>
    <cellStyle name="Currency 4 2 2 2 4 2 2 3" xfId="27099" xr:uid="{E06DE2C2-9923-4FB1-B7F5-5027FA1F3B76}"/>
    <cellStyle name="Currency 4 2 2 2 4 2 2 4" xfId="18545" xr:uid="{70AEAA82-E9C7-4677-B3D2-4A044445B867}"/>
    <cellStyle name="Currency 4 2 2 2 4 2 3" xfId="10998" xr:uid="{87D96046-58A7-4656-BC78-7523A2D5308F}"/>
    <cellStyle name="Currency 4 2 2 2 4 2 3 2" xfId="21378" xr:uid="{911DE9A5-E645-4507-9539-A78CE5E85084}"/>
    <cellStyle name="Currency 4 2 2 2 4 2 4" xfId="27550" xr:uid="{9E5508BD-0A72-4689-AF3B-59B978984740}"/>
    <cellStyle name="Currency 4 2 2 2 4 2 5" xfId="15712" xr:uid="{F311196B-7DF4-4496-A2E5-2D96B7A7FEA7}"/>
    <cellStyle name="Currency 4 2 2 2 4 3" xfId="3587" xr:uid="{00000000-0005-0000-0000-00005E030000}"/>
    <cellStyle name="Currency 4 2 2 2 4 4" xfId="5663" xr:uid="{06882770-1EE0-45F0-A226-52CE0F863C5B}"/>
    <cellStyle name="Currency 4 2 2 2 4 4 2" xfId="30198" xr:uid="{664FC7CB-DE31-4502-B093-71E06392EB09}"/>
    <cellStyle name="Currency 4 2 2 2 4 5" xfId="24698" xr:uid="{68697844-2BE1-45A1-8C80-4FCA89377120}"/>
    <cellStyle name="Currency 4 2 2 2 4 6" xfId="13599" xr:uid="{3B8B31F1-F86F-4BB4-B066-241BD2D4A438}"/>
    <cellStyle name="Currency 4 2 2 2 5" xfId="2649" xr:uid="{00000000-0005-0000-0000-00007F020000}"/>
    <cellStyle name="Currency 4 2 2 2 5 2" xfId="5911" xr:uid="{83E46272-0DC1-48F9-A571-1CF062190DDF}"/>
    <cellStyle name="Currency 4 2 2 2 5 2 2" xfId="26289" xr:uid="{28B265D6-57F6-46F1-B54D-41941B40D1D7}"/>
    <cellStyle name="Currency 4 2 2 2 5 2 3" xfId="28173" xr:uid="{DC7D8C25-8C23-4107-BDC1-B746510148FB}"/>
    <cellStyle name="Currency 4 2 2 2 5 2 4" xfId="15321" xr:uid="{A98FC3E3-572A-40ED-A21E-F5ECEABB3036}"/>
    <cellStyle name="Currency 4 2 2 2 5 3" xfId="7774" xr:uid="{25711A40-4108-4F35-A2B4-70F996F6CED1}"/>
    <cellStyle name="Currency 4 2 2 2 5 3 2" xfId="18154" xr:uid="{3408E077-60C0-4AFB-95A8-135D5E7B625E}"/>
    <cellStyle name="Currency 4 2 2 2 5 4" xfId="10607" xr:uid="{704F98E0-1C98-4DFD-9553-83B92A07B364}"/>
    <cellStyle name="Currency 4 2 2 2 5 4 2" xfId="20987" xr:uid="{A371C0BE-95BF-4651-940A-4FB05495D601}"/>
    <cellStyle name="Currency 4 2 2 2 5 5" xfId="23496" xr:uid="{60D28789-341B-47F0-8C26-505604337F32}"/>
    <cellStyle name="Currency 4 2 2 2 5 6" xfId="13045" xr:uid="{6ED3DC99-6AC8-4E10-BAE0-B6C7CD7F2146}"/>
    <cellStyle name="Currency 4 2 2 2 6" xfId="2294" xr:uid="{00000000-0005-0000-0000-00007A020000}"/>
    <cellStyle name="Currency 4 2 2 2 6 2" xfId="7421" xr:uid="{F671DDA7-3E30-4C62-82F6-73444BD626D3}"/>
    <cellStyle name="Currency 4 2 2 2 6 2 2" xfId="17801" xr:uid="{DDDE0EDC-E9B1-422B-8168-05F3B033392F}"/>
    <cellStyle name="Currency 4 2 2 2 6 3" xfId="10254" xr:uid="{BCEA1E7E-7C7A-447F-9F10-C5A83EEDA9C7}"/>
    <cellStyle name="Currency 4 2 2 2 6 3 2" xfId="20634" xr:uid="{C45980F5-9E3F-4555-B7F5-17068C6F33AC}"/>
    <cellStyle name="Currency 4 2 2 2 6 4" xfId="22867" xr:uid="{518C6954-DE2D-4A1F-B51B-FD39A6713FDC}"/>
    <cellStyle name="Currency 4 2 2 2 6 5" xfId="26799" xr:uid="{CBFD2042-DFFD-4375-BCFF-EC63999D1C44}"/>
    <cellStyle name="Currency 4 2 2 2 6 6" xfId="14968" xr:uid="{0492F95F-2C72-41AC-8F42-86FE9E07F6D7}"/>
    <cellStyle name="Currency 4 2 2 2 7" xfId="3829" xr:uid="{AEDD572E-49A8-4592-81DB-9FDFE8A31D30}"/>
    <cellStyle name="Currency 4 2 2 2 7 2" xfId="8662" xr:uid="{F5FA23B3-90C2-4BF7-A52B-E182D1D987E7}"/>
    <cellStyle name="Currency 4 2 2 2 7 2 2" xfId="19042" xr:uid="{D96DD5AE-ECD6-4C43-8598-7B0529A20AB6}"/>
    <cellStyle name="Currency 4 2 2 2 7 3" xfId="11495" xr:uid="{BBF68987-22E1-4A7F-9D1E-3AEE85A9A77A}"/>
    <cellStyle name="Currency 4 2 2 2 7 3 2" xfId="21875" xr:uid="{F0317D2F-E882-438D-ADF9-5A31A6255D9C}"/>
    <cellStyle name="Currency 4 2 2 2 7 4" xfId="26216" xr:uid="{6750DDDB-9048-4B28-97CC-33D0EF6C2B58}"/>
    <cellStyle name="Currency 4 2 2 2 7 5" xfId="26293" xr:uid="{73484976-F7E6-4EF2-BE00-4B7F773BD133}"/>
    <cellStyle name="Currency 4 2 2 2 7 6" xfId="16209" xr:uid="{1750DA11-4588-4CA5-8D39-D176BD0A9D3D}"/>
    <cellStyle name="Currency 4 2 2 2 8" xfId="4941" xr:uid="{740CED31-770C-481C-B112-BA20FC30C448}"/>
    <cellStyle name="Currency 4 2 2 2 8 2" xfId="14236" xr:uid="{D5F5BC0A-4A43-44E9-BE67-3E39B11243A7}"/>
    <cellStyle name="Currency 4 2 2 2 9" xfId="6689" xr:uid="{A7F7E3E4-0F05-4536-9E3B-CC3F3C6D97F5}"/>
    <cellStyle name="Currency 4 2 2 2 9 2" xfId="17069" xr:uid="{7D8C6FF3-2185-4AF1-9706-F4F5A1E7BD83}"/>
    <cellStyle name="Currency 4 2 2 3" xfId="559" xr:uid="{00000000-0005-0000-0000-00005F030000}"/>
    <cellStyle name="Currency 4 2 2 3 10" xfId="12684" xr:uid="{12FB2570-54E9-49DD-9D58-A74BA829CB74}"/>
    <cellStyle name="Currency 4 2 2 3 2" xfId="1868" xr:uid="{00000000-0005-0000-0000-000060030000}"/>
    <cellStyle name="Currency 4 2 2 3 2 2" xfId="3088" xr:uid="{00000000-0005-0000-0000-000081020000}"/>
    <cellStyle name="Currency 4 2 2 3 2 2 2" xfId="8168" xr:uid="{2D1CDA98-77C7-48FC-960A-6583ECA88D6E}"/>
    <cellStyle name="Currency 4 2 2 3 2 2 2 2" xfId="28838" xr:uid="{18A7D48F-E35C-43F1-BA04-69DE9CF7540D}"/>
    <cellStyle name="Currency 4 2 2 3 2 2 2 3" xfId="28626" xr:uid="{D5812786-C032-4CDF-9EDA-498A1EE67794}"/>
    <cellStyle name="Currency 4 2 2 3 2 2 2 4" xfId="18548" xr:uid="{45EED34F-0258-46DF-8948-96EFD8EAFA27}"/>
    <cellStyle name="Currency 4 2 2 3 2 2 3" xfId="11001" xr:uid="{6F15308D-77B7-45E6-8AD3-9B2CFCA37476}"/>
    <cellStyle name="Currency 4 2 2 3 2 2 3 2" xfId="21381" xr:uid="{7F1298BF-0552-4CFA-B969-9AB32C01784D}"/>
    <cellStyle name="Currency 4 2 2 3 2 2 4" xfId="24201" xr:uid="{1DAE9C54-2866-43E3-8327-95AAB3BC852E}"/>
    <cellStyle name="Currency 4 2 2 3 2 2 5" xfId="15715" xr:uid="{7AE32027-111A-482B-B7C3-2C8BEBD24D70}"/>
    <cellStyle name="Currency 4 2 2 3 2 3" xfId="3588" xr:uid="{00000000-0005-0000-0000-000060030000}"/>
    <cellStyle name="Currency 4 2 2 3 2 4" xfId="5666" xr:uid="{8018743C-C0EA-4511-8D4B-89AF2CE609A2}"/>
    <cellStyle name="Currency 4 2 2 3 2 4 2" xfId="30199" xr:uid="{15AEC962-1B8D-47F1-838E-E916669EE7B0}"/>
    <cellStyle name="Currency 4 2 2 3 2 5" xfId="24413" xr:uid="{1F3EC9DF-3A17-44F8-BCD3-8F434B9ACAE7}"/>
    <cellStyle name="Currency 4 2 2 3 2 6" xfId="13602" xr:uid="{D2ED86B0-06EC-40E1-B798-C5EA65BD5F87}"/>
    <cellStyle name="Currency 4 2 2 3 3" xfId="1869" xr:uid="{00000000-0005-0000-0000-000061030000}"/>
    <cellStyle name="Currency 4 2 2 3 3 2" xfId="2692" xr:uid="{00000000-0005-0000-0000-000082020000}"/>
    <cellStyle name="Currency 4 2 2 3 3 2 2" xfId="7816" xr:uid="{E7254797-DD52-4F58-B785-D77F75FC3C5E}"/>
    <cellStyle name="Currency 4 2 2 3 3 2 2 2" xfId="18196" xr:uid="{F9AA6FD1-34E3-4F94-A6AC-969C0D5DB479}"/>
    <cellStyle name="Currency 4 2 2 3 3 2 3" xfId="10649" xr:uid="{1A451A4B-7CE6-4ECD-9171-CA89AA3AC624}"/>
    <cellStyle name="Currency 4 2 2 3 3 2 3 2" xfId="21029" xr:uid="{06392627-01C8-474B-9D68-76A9C022F644}"/>
    <cellStyle name="Currency 4 2 2 3 3 2 4" xfId="15363" xr:uid="{539A20AD-36D9-4CB3-B257-FCB66F05D8B7}"/>
    <cellStyle name="Currency 4 2 2 3 3 3" xfId="3657" xr:uid="{00000000-0005-0000-0000-000061030000}"/>
    <cellStyle name="Currency 4 2 2 3 3 4" xfId="5667" xr:uid="{54673D43-2BB9-4497-8CC5-C0E86AE657BC}"/>
    <cellStyle name="Currency 4 2 2 3 3 4 2" xfId="30145" xr:uid="{BF2E8F3E-3656-4683-846D-A363EB517747}"/>
    <cellStyle name="Currency 4 2 2 3 3 5" xfId="24679" xr:uid="{8D09122D-84F4-4960-9374-9E24DCCB9E3A}"/>
    <cellStyle name="Currency 4 2 2 3 3 6" xfId="13105" xr:uid="{B6B5EFCA-9112-4ABA-BFEE-B840EF71AE48}"/>
    <cellStyle name="Currency 4 2 2 3 4" xfId="1867" xr:uid="{00000000-0005-0000-0000-000062030000}"/>
    <cellStyle name="Currency 4 2 2 3 4 2" xfId="4657" xr:uid="{CC980793-D0C8-4424-A7C5-AE4A8E64578E}"/>
    <cellStyle name="Currency 4 2 2 3 4 2 2" xfId="9409" xr:uid="{AED29F7E-434E-42FA-8E6A-C66FF95573B4}"/>
    <cellStyle name="Currency 4 2 2 3 4 2 2 2" xfId="19789" xr:uid="{3117212E-7C17-4F6C-9C44-E06FC96A4C80}"/>
    <cellStyle name="Currency 4 2 2 3 4 2 3" xfId="12242" xr:uid="{011EA6B3-49D7-4835-AAD1-9FBAB145647D}"/>
    <cellStyle name="Currency 4 2 2 3 4 2 3 2" xfId="22622" xr:uid="{8337E57A-7EAC-4C18-8CA6-458217DE41E4}"/>
    <cellStyle name="Currency 4 2 2 3 4 2 4" xfId="25925" xr:uid="{DC08C6D1-B735-40EB-A43C-FF0621B728A5}"/>
    <cellStyle name="Currency 4 2 2 3 4 2 5" xfId="26459" xr:uid="{DE2F6A7B-293C-4CCE-9EAD-3A88EB6DCAF3}"/>
    <cellStyle name="Currency 4 2 2 3 4 2 6" xfId="16956" xr:uid="{0D780D72-C747-452F-A29B-D4296A86D028}"/>
    <cellStyle name="Currency 4 2 2 3 4 3" xfId="25278" xr:uid="{8CE549D3-FDA6-487B-943C-0B255D4EA3CA}"/>
    <cellStyle name="Currency 4 2 2 3 5" xfId="4138" xr:uid="{95FA858A-2BDC-4173-BFEE-BF2ABA95A8C7}"/>
    <cellStyle name="Currency 4 2 2 3 5 2" xfId="8910" xr:uid="{1C92966F-C3D2-4662-B0CA-E68A72E70994}"/>
    <cellStyle name="Currency 4 2 2 3 5 2 2" xfId="29014" xr:uid="{9831571E-A929-40C4-9791-AFA563C1D249}"/>
    <cellStyle name="Currency 4 2 2 3 5 2 3" xfId="27999" xr:uid="{3A23BD10-8C90-4E9E-A470-3426702BB18A}"/>
    <cellStyle name="Currency 4 2 2 3 5 2 4" xfId="19290" xr:uid="{90BD0B2D-3193-410C-96C9-313653765774}"/>
    <cellStyle name="Currency 4 2 2 3 5 3" xfId="11743" xr:uid="{426FC3C0-6268-42CE-8128-FC1454B2F22D}"/>
    <cellStyle name="Currency 4 2 2 3 5 3 2" xfId="22123" xr:uid="{C265E806-E5E1-4BD8-8320-E58B3EE5BF41}"/>
    <cellStyle name="Currency 4 2 2 3 5 4" xfId="26185" xr:uid="{590F1586-4CEF-447B-9C49-1778174C47A7}"/>
    <cellStyle name="Currency 4 2 2 3 5 5" xfId="16457" xr:uid="{9AB822C2-1588-42F8-943D-E0258AB25A9A}"/>
    <cellStyle name="Currency 4 2 2 3 6" xfId="4942" xr:uid="{66E85FEB-3D31-49A1-8112-4EA1334B0591}"/>
    <cellStyle name="Currency 4 2 2 3 6 2" xfId="25932" xr:uid="{A128CCC4-F47A-4B50-A174-18F517781FE9}"/>
    <cellStyle name="Currency 4 2 2 3 6 3" xfId="27597" xr:uid="{0A2C335F-ADB7-43CE-AEB9-B2A88B3C7C2A}"/>
    <cellStyle name="Currency 4 2 2 3 6 4" xfId="14237" xr:uid="{F7241AC6-56D9-4A60-98A9-B4C740F85212}"/>
    <cellStyle name="Currency 4 2 2 3 7" xfId="6690" xr:uid="{86F2CBE7-DEE3-4F39-B0A0-F72FF436338F}"/>
    <cellStyle name="Currency 4 2 2 3 7 2" xfId="27507" xr:uid="{682B9FDD-1A05-400E-92AE-A006F4ABDC57}"/>
    <cellStyle name="Currency 4 2 2 3 7 3" xfId="27081" xr:uid="{CE759CE1-7EF2-445D-BC83-7828FB74C5F0}"/>
    <cellStyle name="Currency 4 2 2 3 7 4" xfId="17070" xr:uid="{FD0314CA-2EC9-4017-AA15-A8E7FF309620}"/>
    <cellStyle name="Currency 4 2 2 3 8" xfId="9523" xr:uid="{AFD745C1-6FE5-41C6-9F9B-3C2CD35EBF91}"/>
    <cellStyle name="Currency 4 2 2 3 8 2" xfId="19903" xr:uid="{47128C4A-90B2-49E8-9482-60BEA9C11F66}"/>
    <cellStyle name="Currency 4 2 2 3 9" xfId="25214" xr:uid="{3120D515-0BF3-471E-B23D-AC38E91AAB33}"/>
    <cellStyle name="Currency 4 2 2 4" xfId="1870" xr:uid="{00000000-0005-0000-0000-000063030000}"/>
    <cellStyle name="Currency 4 2 2 4 2" xfId="3089" xr:uid="{00000000-0005-0000-0000-000083020000}"/>
    <cellStyle name="Currency 4 2 2 4 2 2" xfId="8169" xr:uid="{B249E808-69BA-41E5-8517-06DD57AB579C}"/>
    <cellStyle name="Currency 4 2 2 4 2 2 2" xfId="28839" xr:uid="{D6F6C0B3-24CD-49D3-9FE1-5B5A449CBB59}"/>
    <cellStyle name="Currency 4 2 2 4 2 2 3" xfId="27663" xr:uid="{FE1F9BD8-45C0-4168-80EA-FFDAF9B57489}"/>
    <cellStyle name="Currency 4 2 2 4 2 2 4" xfId="18549" xr:uid="{F48EE902-35A7-4BF1-9B26-C1E31B105C17}"/>
    <cellStyle name="Currency 4 2 2 4 2 3" xfId="11002" xr:uid="{E1C145DE-9ED4-4C61-A237-6B63AB3CB48E}"/>
    <cellStyle name="Currency 4 2 2 4 2 3 2" xfId="21382" xr:uid="{B0FC5EB6-BB8C-4AB1-B5D6-872074AAD62C}"/>
    <cellStyle name="Currency 4 2 2 4 2 4" xfId="25710" xr:uid="{A6864269-8090-4440-A199-8765F072ADFD}"/>
    <cellStyle name="Currency 4 2 2 4 2 5" xfId="15716" xr:uid="{1A8C1341-98D4-4639-9C51-3862C5A8F731}"/>
    <cellStyle name="Currency 4 2 2 4 3" xfId="3658" xr:uid="{00000000-0005-0000-0000-000063030000}"/>
    <cellStyle name="Currency 4 2 2 4 4" xfId="4424" xr:uid="{CF69BC13-52B8-4798-8E81-C7268A38C4FA}"/>
    <cellStyle name="Currency 4 2 2 4 4 2" xfId="9196" xr:uid="{25EC9408-17FB-4110-9134-B0181A0953B7}"/>
    <cellStyle name="Currency 4 2 2 4 4 2 2" xfId="19576" xr:uid="{EB5CBB7B-9B8D-4BF2-A01D-4B991EC898A3}"/>
    <cellStyle name="Currency 4 2 2 4 4 3" xfId="12029" xr:uid="{45D01D25-64E5-4D7B-B559-F428CC890CC5}"/>
    <cellStyle name="Currency 4 2 2 4 4 3 2" xfId="22409" xr:uid="{B1793D73-9662-4491-B6B8-AD4071769B2C}"/>
    <cellStyle name="Currency 4 2 2 4 4 4" xfId="26830" xr:uid="{86EEE576-954E-46C6-8F94-D72670018F49}"/>
    <cellStyle name="Currency 4 2 2 4 4 5" xfId="27078" xr:uid="{B8309A1A-9020-4BB3-B765-C3DD96BB5058}"/>
    <cellStyle name="Currency 4 2 2 4 4 6" xfId="16743" xr:uid="{80C1B030-FA98-4752-BD54-270B469BDE53}"/>
    <cellStyle name="Currency 4 2 2 4 5" xfId="5668" xr:uid="{9E1FAF8C-48F2-4F7F-A8B8-765DCFB35246}"/>
    <cellStyle name="Currency 4 2 2 4 5 2" xfId="29927" xr:uid="{267A0CF2-98C9-463A-9A8D-325FB2EE456F}"/>
    <cellStyle name="Currency 4 2 2 4 6" xfId="23817" xr:uid="{35ADBFBA-A85C-477A-84F5-63440B36A8E0}"/>
    <cellStyle name="Currency 4 2 2 4 7" xfId="13603" xr:uid="{5DF953C3-1FED-4440-A60D-B6FE9F74927B}"/>
    <cellStyle name="Currency 4 2 2 5" xfId="1871" xr:uid="{00000000-0005-0000-0000-000064030000}"/>
    <cellStyle name="Currency 4 2 2 5 2" xfId="2883" xr:uid="{00000000-0005-0000-0000-000084020000}"/>
    <cellStyle name="Currency 4 2 2 5 2 2" xfId="8000" xr:uid="{39A33189-87A6-47F7-AE7B-3CE47C8BD1E0}"/>
    <cellStyle name="Currency 4 2 2 5 2 2 2" xfId="28696" xr:uid="{CB894F0A-1EC9-4C97-B186-4672DCD65E4E}"/>
    <cellStyle name="Currency 4 2 2 5 2 2 3" xfId="27641" xr:uid="{C1626618-0956-44A0-841F-AC04F55A02CD}"/>
    <cellStyle name="Currency 4 2 2 5 2 2 4" xfId="18380" xr:uid="{6E6533DC-EAC9-4A28-9F2E-162B9DFA2256}"/>
    <cellStyle name="Currency 4 2 2 5 2 3" xfId="10833" xr:uid="{C2851AB1-8DD7-440F-9C38-6DB498380CD3}"/>
    <cellStyle name="Currency 4 2 2 5 2 3 2" xfId="21213" xr:uid="{17197483-858B-441E-8415-CE8B299F041B}"/>
    <cellStyle name="Currency 4 2 2 5 2 4" xfId="28513" xr:uid="{D122D015-4BB5-48E6-8525-1DB2A3C3DCB6}"/>
    <cellStyle name="Currency 4 2 2 5 2 5" xfId="15547" xr:uid="{06D4D528-8926-46F3-A3DA-B3E62D726AD4}"/>
    <cellStyle name="Currency 4 2 2 5 3" xfId="3583" xr:uid="{00000000-0005-0000-0000-000064030000}"/>
    <cellStyle name="Currency 4 2 2 5 4" xfId="5669" xr:uid="{58D8500D-FBEA-4C98-8081-053458571054}"/>
    <cellStyle name="Currency 4 2 2 5 4 2" xfId="30160" xr:uid="{242A8DBC-30D9-4325-B4DE-42A240BBF71E}"/>
    <cellStyle name="Currency 4 2 2 5 5" xfId="24709" xr:uid="{1126450A-31DB-4C4F-A335-641F4D6358E9}"/>
    <cellStyle name="Currency 4 2 2 5 6" xfId="13382" xr:uid="{B9CC0FFD-36D7-45F1-8435-2944F2221DC5}"/>
    <cellStyle name="Currency 4 2 2 6" xfId="1863" xr:uid="{00000000-0005-0000-0000-000065030000}"/>
    <cellStyle name="Currency 4 2 2 6 2" xfId="2554" xr:uid="{00000000-0005-0000-0000-000085020000}"/>
    <cellStyle name="Currency 4 2 2 6 2 2" xfId="7679" xr:uid="{3D87AF66-468E-446E-8E2A-12333BEEC211}"/>
    <cellStyle name="Currency 4 2 2 6 2 2 2" xfId="18059" xr:uid="{9D1B622F-8CE9-4FAE-8DE9-FF2B53091631}"/>
    <cellStyle name="Currency 4 2 2 6 2 3" xfId="10512" xr:uid="{AE359255-6574-4D24-BC2C-EC9BC5BE4DD1}"/>
    <cellStyle name="Currency 4 2 2 6 2 3 2" xfId="20892" xr:uid="{B859BCC4-C3FA-4BDC-A65D-0286EBFF7CE3}"/>
    <cellStyle name="Currency 4 2 2 6 2 4" xfId="28247" xr:uid="{A12BB49D-A8F9-4964-9A34-0C236A16D621}"/>
    <cellStyle name="Currency 4 2 2 6 2 5" xfId="25942" xr:uid="{B0A45D3E-317E-4D72-B4F1-4EEBBA210DD0}"/>
    <cellStyle name="Currency 4 2 2 6 2 6" xfId="15226" xr:uid="{F8B74700-4FBE-4A67-97B7-952F3D106425}"/>
    <cellStyle name="Currency 4 2 2 6 3" xfId="3622" xr:uid="{00000000-0005-0000-0000-000065030000}"/>
    <cellStyle name="Currency 4 2 2 6 4" xfId="5662" xr:uid="{229CF4C7-E3F3-480B-A319-0C1C5676E734}"/>
    <cellStyle name="Currency 4 2 2 6 4 2" xfId="30114" xr:uid="{9AA8C518-AE48-46BA-89A0-4652456BD4C2}"/>
    <cellStyle name="Currency 4 2 2 6 5" xfId="25123" xr:uid="{07D8DC91-EC45-4BF7-9FC3-FFAF7C1D6E88}"/>
    <cellStyle name="Currency 4 2 2 6 6" xfId="12942" xr:uid="{A5B3E042-E960-477F-9489-5C7CF4EE0B5B}"/>
    <cellStyle name="Currency 4 2 2 7" xfId="2248" xr:uid="{00000000-0005-0000-0000-000079020000}"/>
    <cellStyle name="Currency 4 2 2 7 2" xfId="7375" xr:uid="{CF61BC43-D246-40C1-8228-F46B8E85AA20}"/>
    <cellStyle name="Currency 4 2 2 7 2 2" xfId="27457" xr:uid="{155B2DC9-5B67-461A-8EAA-84F12AA59FCC}"/>
    <cellStyle name="Currency 4 2 2 7 2 3" xfId="27141" xr:uid="{F94D2FD7-9A02-40AF-8B43-7BF5C73AF079}"/>
    <cellStyle name="Currency 4 2 2 7 2 4" xfId="17755" xr:uid="{DBAA10A6-010A-4A90-8EA4-0D37EA7DA690}"/>
    <cellStyle name="Currency 4 2 2 7 3" xfId="10208" xr:uid="{B5A59965-5130-43D4-BD34-6120EF025F3B}"/>
    <cellStyle name="Currency 4 2 2 7 3 2" xfId="20588" xr:uid="{C290ED95-C53C-4400-AF1F-4BBD0AF54E79}"/>
    <cellStyle name="Currency 4 2 2 7 4" xfId="25139" xr:uid="{263A0DD8-E8EA-4EAC-8584-88E97C69B1A3}"/>
    <cellStyle name="Currency 4 2 2 7 5" xfId="14922" xr:uid="{83F0063F-A364-4B33-9973-13665D2F9F7E}"/>
    <cellStyle name="Currency 4 2 2 8" xfId="3883" xr:uid="{02D6025C-9008-4080-A62F-87941E94EAC3}"/>
    <cellStyle name="Currency 4 2 2 8 2" xfId="8715" xr:uid="{31ABCD9A-557C-4FBD-B23D-4E8EA293FC85}"/>
    <cellStyle name="Currency 4 2 2 8 2 2" xfId="19095" xr:uid="{00DFE264-E757-4BD1-BEED-EDC5FF6E9E40}"/>
    <cellStyle name="Currency 4 2 2 8 3" xfId="11548" xr:uid="{555440EB-A1AE-4960-8CF0-72DF55CCC59F}"/>
    <cellStyle name="Currency 4 2 2 8 3 2" xfId="21928" xr:uid="{86593793-E730-4EA6-BCCA-C72710799FA4}"/>
    <cellStyle name="Currency 4 2 2 8 4" xfId="27788" xr:uid="{F66A2384-47A5-4FA5-820D-9018DE561E82}"/>
    <cellStyle name="Currency 4 2 2 8 5" xfId="26745" xr:uid="{186FE025-C58D-40FD-8360-E37021ADA0FB}"/>
    <cellStyle name="Currency 4 2 2 8 6" xfId="16262" xr:uid="{A5E47255-A51E-4511-8025-47516A45DD44}"/>
    <cellStyle name="Currency 4 2 2 9" xfId="4940" xr:uid="{A4837D9E-0938-4336-AB79-069CE2A75BEB}"/>
    <cellStyle name="Currency 4 2 2 9 2" xfId="28367" xr:uid="{3DF05A3F-F5D8-48EB-9C06-9CE90129E617}"/>
    <cellStyle name="Currency 4 2 2 9 3" xfId="27347" xr:uid="{34372BF1-5B0F-4D78-8F8E-BE7F7FE86EE0}"/>
    <cellStyle name="Currency 4 2 2 9 4" xfId="14235" xr:uid="{B87B5004-9D66-42A9-B637-834375DCC983}"/>
    <cellStyle name="Currency 4 2 3" xfId="560" xr:uid="{00000000-0005-0000-0000-000066030000}"/>
    <cellStyle name="Currency 4 2 3 10" xfId="9524" xr:uid="{695ED208-2620-44DF-8ED8-E638FF8739D1}"/>
    <cellStyle name="Currency 4 2 3 10 2" xfId="19904" xr:uid="{8EC27CBF-38A1-4ACC-A7E0-07191E691C39}"/>
    <cellStyle name="Currency 4 2 3 11" xfId="23275" xr:uid="{E3E388FA-5DD8-4981-84F3-518176296E34}"/>
    <cellStyle name="Currency 4 2 3 12" xfId="12525" xr:uid="{92D5FDE4-7754-4360-AE4E-375B07903A2C}"/>
    <cellStyle name="Currency 4 2 3 2" xfId="1873" xr:uid="{00000000-0005-0000-0000-000067030000}"/>
    <cellStyle name="Currency 4 2 3 2 2" xfId="3091" xr:uid="{00000000-0005-0000-0000-000088020000}"/>
    <cellStyle name="Currency 4 2 3 2 2 2" xfId="6172" xr:uid="{529FDFE1-490E-439F-9A13-75EB267CAC06}"/>
    <cellStyle name="Currency 4 2 3 2 2 2 2" xfId="25786" xr:uid="{F431D705-0B00-4DD5-933D-39E3B7975FE7}"/>
    <cellStyle name="Currency 4 2 3 2 2 2 2 2" xfId="28577" xr:uid="{33859A7B-3E3E-44FA-AB81-4F9A6CEE3E82}"/>
    <cellStyle name="Currency 4 2 3 2 2 2 3" xfId="27869" xr:uid="{A981DF5B-5B04-4B53-915B-2398880F7EA4}"/>
    <cellStyle name="Currency 4 2 3 2 2 2 4" xfId="15718" xr:uid="{C24EDAA9-5D1E-4600-86CF-2ED8BEF3ABA6}"/>
    <cellStyle name="Currency 4 2 3 2 2 3" xfId="8171" xr:uid="{34656554-6727-4A10-9ACA-B181A3EE2E28}"/>
    <cellStyle name="Currency 4 2 3 2 2 3 2" xfId="18551" xr:uid="{F72D74B5-7058-43DA-857E-5760BF2B87F3}"/>
    <cellStyle name="Currency 4 2 3 2 2 4" xfId="11004" xr:uid="{5932ADF4-53B9-4E05-9A00-5465848E08D8}"/>
    <cellStyle name="Currency 4 2 3 2 2 4 2" xfId="21384" xr:uid="{525AD4BB-1C5B-4334-9322-D0C6B119D911}"/>
    <cellStyle name="Currency 4 2 3 2 2 5" xfId="24238" xr:uid="{1A5353D5-0119-46F7-B2FB-9B1991F58909}"/>
    <cellStyle name="Currency 4 2 3 2 2 6" xfId="26206" xr:uid="{2BC38E44-7C15-46FF-BAD3-946606B00C78}"/>
    <cellStyle name="Currency 4 2 3 2 2 7" xfId="13605" xr:uid="{6932969E-A1A3-4AC4-8909-D1F94B61B969}"/>
    <cellStyle name="Currency 4 2 3 2 3" xfId="2694" xr:uid="{00000000-0005-0000-0000-000087020000}"/>
    <cellStyle name="Currency 4 2 3 2 3 2" xfId="7818" xr:uid="{5DFFB09E-D274-43B4-B6E0-BD55CF92B166}"/>
    <cellStyle name="Currency 4 2 3 2 3 2 2" xfId="28182" xr:uid="{63F14ABF-E145-4E7D-B680-BE1E0C62CDDA}"/>
    <cellStyle name="Currency 4 2 3 2 3 2 3" xfId="27692" xr:uid="{7619C5EA-2AFE-4ABE-BAFA-968FD09C35B7}"/>
    <cellStyle name="Currency 4 2 3 2 3 2 4" xfId="18198" xr:uid="{421F896E-D0D1-4FB9-A760-44BC4C8C6E60}"/>
    <cellStyle name="Currency 4 2 3 2 3 3" xfId="10651" xr:uid="{845C16D8-8D3E-41C7-8397-39891DB842CE}"/>
    <cellStyle name="Currency 4 2 3 2 3 3 2" xfId="21031" xr:uid="{4541039F-E2E9-43CB-B98F-E3493F725D50}"/>
    <cellStyle name="Currency 4 2 3 2 3 4" xfId="24102" xr:uid="{43A3297C-4A6C-4FA1-84AD-A107F954B7B8}"/>
    <cellStyle name="Currency 4 2 3 2 3 5" xfId="15365" xr:uid="{4D537A8F-8D36-4A54-87CC-7F5812182BA3}"/>
    <cellStyle name="Currency 4 2 3 2 4" xfId="3616" xr:uid="{00000000-0005-0000-0000-000067030000}"/>
    <cellStyle name="Currency 4 2 3 2 4 2" xfId="28594" xr:uid="{34300D74-C053-4AAD-9447-88E2ED878C9A}"/>
    <cellStyle name="Currency 4 2 3 2 4 3" xfId="26231" xr:uid="{149D8F1A-E6C2-4FB7-87CA-FA6E9DD07168}"/>
    <cellStyle name="Currency 4 2 3 2 5" xfId="4273" xr:uid="{6C21EA1C-5FC1-4AF8-8D45-861CCF0AD6F3}"/>
    <cellStyle name="Currency 4 2 3 2 5 2" xfId="9045" xr:uid="{D2CE4BA3-C487-47E9-9CAE-F483B713702D}"/>
    <cellStyle name="Currency 4 2 3 2 5 2 2" xfId="19425" xr:uid="{4E1B1DE2-BE2D-429C-ABFB-2D7273E3FB02}"/>
    <cellStyle name="Currency 4 2 3 2 5 3" xfId="11878" xr:uid="{BE6DA673-B497-4F82-B97B-096E06E1E983}"/>
    <cellStyle name="Currency 4 2 3 2 5 3 2" xfId="22258" xr:uid="{819E14CE-8029-4574-8034-A7B24823BEAB}"/>
    <cellStyle name="Currency 4 2 3 2 5 4" xfId="28717" xr:uid="{61A02F48-DA36-4DA1-BB9A-2CEFB590F505}"/>
    <cellStyle name="Currency 4 2 3 2 5 5" xfId="25921" xr:uid="{329B915E-4F03-4FBD-9623-05CA2ADFF798}"/>
    <cellStyle name="Currency 4 2 3 2 5 6" xfId="16592" xr:uid="{7C3E439B-919E-4FBE-BCB6-38BA65C38AC5}"/>
    <cellStyle name="Currency 4 2 3 2 6" xfId="5671" xr:uid="{ECC4CDE5-61C7-4742-B2AF-01B672A90F98}"/>
    <cellStyle name="Currency 4 2 3 2 6 2" xfId="29959" xr:uid="{66A46A64-EF36-4236-9F21-AC8EC5782025}"/>
    <cellStyle name="Currency 4 2 3 2 7" xfId="23523" xr:uid="{E6D4F43F-005B-44E0-A529-E07D81929683}"/>
    <cellStyle name="Currency 4 2 3 2 8" xfId="13107" xr:uid="{2F7DCC0A-CB6C-48C1-8D0F-8FB466F04FD1}"/>
    <cellStyle name="Currency 4 2 3 2 9" xfId="30227" xr:uid="{484B03A7-459F-40FC-83BC-3B52F260967D}"/>
    <cellStyle name="Currency 4 2 3 3" xfId="1874" xr:uid="{00000000-0005-0000-0000-000068030000}"/>
    <cellStyle name="Currency 4 2 3 3 2" xfId="3092" xr:uid="{00000000-0005-0000-0000-000089020000}"/>
    <cellStyle name="Currency 4 2 3 3 2 2" xfId="8172" xr:uid="{D83CBDCA-093F-4CCB-8B52-A7FE5C85D8BC}"/>
    <cellStyle name="Currency 4 2 3 3 2 2 2" xfId="28841" xr:uid="{8E98CBE0-E801-4D1E-8075-39B91C1C3D46}"/>
    <cellStyle name="Currency 4 2 3 3 2 2 3" xfId="28362" xr:uid="{19617199-D83D-4AC7-90B6-59B24B7F329C}"/>
    <cellStyle name="Currency 4 2 3 3 2 2 4" xfId="18552" xr:uid="{3E2E16FA-DCE9-46FF-B8A4-F05A297A4526}"/>
    <cellStyle name="Currency 4 2 3 3 2 3" xfId="11005" xr:uid="{7CFAE4A0-4080-4C07-80C7-E28373BFBF7D}"/>
    <cellStyle name="Currency 4 2 3 3 2 3 2" xfId="21385" xr:uid="{D0FE9186-B2E3-43CB-B7F5-B0B8BC9A5375}"/>
    <cellStyle name="Currency 4 2 3 3 2 4" xfId="25536" xr:uid="{44024CD4-E30C-4AB6-BC07-6BA716230037}"/>
    <cellStyle name="Currency 4 2 3 3 2 5" xfId="15719" xr:uid="{9693027F-2390-42EA-BA52-62532ADB1EB8}"/>
    <cellStyle name="Currency 4 2 3 3 3" xfId="3696" xr:uid="{00000000-0005-0000-0000-000068030000}"/>
    <cellStyle name="Currency 4 2 3 3 4" xfId="4425" xr:uid="{5BDB5EC5-CCD8-4C46-BD80-392ACA59EAB0}"/>
    <cellStyle name="Currency 4 2 3 3 4 2" xfId="9197" xr:uid="{C1E69659-3681-45CB-91F0-E14049CFA03C}"/>
    <cellStyle name="Currency 4 2 3 3 4 2 2" xfId="19577" xr:uid="{85A96AB0-93FD-45A8-96BD-571FE5277C62}"/>
    <cellStyle name="Currency 4 2 3 3 4 3" xfId="12030" xr:uid="{DF8D0B10-B80B-4C88-AA50-4ED2ED041C8A}"/>
    <cellStyle name="Currency 4 2 3 3 4 3 2" xfId="22410" xr:uid="{4FB6F006-0045-4513-A45D-725B561FB53A}"/>
    <cellStyle name="Currency 4 2 3 3 4 4" xfId="16744" xr:uid="{856CCB70-DBD9-45B6-B09F-84B16CE69444}"/>
    <cellStyle name="Currency 4 2 3 3 5" xfId="5672" xr:uid="{742C104B-D487-477C-A233-160ADA915D3F}"/>
    <cellStyle name="Currency 4 2 3 3 5 2" xfId="29932" xr:uid="{CEDE6499-98CF-4C03-936E-B92C8D338A9C}"/>
    <cellStyle name="Currency 4 2 3 3 6" xfId="24725" xr:uid="{BD39BC1E-AABB-4030-A7E8-3000083EDE7C}"/>
    <cellStyle name="Currency 4 2 3 3 7" xfId="13606" xr:uid="{F03C87AD-13DC-43F5-B66B-1FB7AEC9B24E}"/>
    <cellStyle name="Currency 4 2 3 4" xfId="1872" xr:uid="{00000000-0005-0000-0000-000069030000}"/>
    <cellStyle name="Currency 4 2 3 4 2" xfId="3090" xr:uid="{00000000-0005-0000-0000-00008A020000}"/>
    <cellStyle name="Currency 4 2 3 4 2 2" xfId="8170" xr:uid="{5C881F30-0B2B-4648-A0A4-7DBA5ED0CCAD}"/>
    <cellStyle name="Currency 4 2 3 4 2 2 2" xfId="28840" xr:uid="{AC3AFC22-5037-4FFD-B57F-C0946715E48A}"/>
    <cellStyle name="Currency 4 2 3 4 2 2 3" xfId="27348" xr:uid="{814C2E99-50A8-4FF5-8C1F-28C53EAAAF84}"/>
    <cellStyle name="Currency 4 2 3 4 2 2 4" xfId="18550" xr:uid="{D6C59507-A017-43D8-903A-AB98D4BECB59}"/>
    <cellStyle name="Currency 4 2 3 4 2 3" xfId="11003" xr:uid="{7D840997-B835-4F73-AEA9-AC9E4299B1E8}"/>
    <cellStyle name="Currency 4 2 3 4 2 3 2" xfId="21383" xr:uid="{958B9C8A-4531-4E13-B949-0D70D92A0A8B}"/>
    <cellStyle name="Currency 4 2 3 4 2 4" xfId="24006" xr:uid="{2F9351C4-E203-419F-9DCF-75B9A7A27534}"/>
    <cellStyle name="Currency 4 2 3 4 2 5" xfId="15717" xr:uid="{887C9BDA-5D0E-4F0C-8D00-8C51FE003AF2}"/>
    <cellStyle name="Currency 4 2 3 4 3" xfId="2078" xr:uid="{00000000-0005-0000-0000-000069030000}"/>
    <cellStyle name="Currency 4 2 3 4 4" xfId="5670" xr:uid="{49E33153-542F-4E88-B6C3-166F4B1C18DC}"/>
    <cellStyle name="Currency 4 2 3 4 4 2" xfId="30200" xr:uid="{3998F2D3-5C11-43A5-B480-0A1CC5BD34DA}"/>
    <cellStyle name="Currency 4 2 3 4 5" xfId="22650" xr:uid="{62BA27C6-77E6-41BD-8D63-3BCD72104C5F}"/>
    <cellStyle name="Currency 4 2 3 4 6" xfId="13604" xr:uid="{A451A3AB-0BB6-4084-8903-9C99083D7011}"/>
    <cellStyle name="Currency 4 2 3 5" xfId="2597" xr:uid="{00000000-0005-0000-0000-00008B020000}"/>
    <cellStyle name="Currency 4 2 3 5 2" xfId="5862" xr:uid="{BF8B7BF8-8050-4AE5-86B0-FCA739EDFF6C}"/>
    <cellStyle name="Currency 4 2 3 5 2 2" xfId="27996" xr:uid="{52F07813-E789-4CF5-9D08-E661A5C701DE}"/>
    <cellStyle name="Currency 4 2 3 5 2 3" xfId="28390" xr:uid="{8E563ED7-F0F0-45B6-BAE0-76BA186494E3}"/>
    <cellStyle name="Currency 4 2 3 5 2 4" xfId="15269" xr:uid="{3CE94080-81E3-4EA5-89A9-06744ACA887F}"/>
    <cellStyle name="Currency 4 2 3 5 3" xfId="7722" xr:uid="{10A27F76-22D1-40F1-9D4E-3B6CD16079DF}"/>
    <cellStyle name="Currency 4 2 3 5 3 2" xfId="18102" xr:uid="{7F7DFED3-7BB8-455F-9995-CEFD7DF182BF}"/>
    <cellStyle name="Currency 4 2 3 5 4" xfId="10555" xr:uid="{8E36015E-7D5F-43EF-AC56-4E500078CE31}"/>
    <cellStyle name="Currency 4 2 3 5 4 2" xfId="20935" xr:uid="{EB5A8D79-EB5E-45E2-999F-30A02B06F379}"/>
    <cellStyle name="Currency 4 2 3 5 5" xfId="23648" xr:uid="{8D2AA314-6331-4CE2-A009-BA60DC777D95}"/>
    <cellStyle name="Currency 4 2 3 5 6" xfId="12985" xr:uid="{01C63BBB-8E9A-4A69-8249-8F15043C4F8F}"/>
    <cellStyle name="Currency 4 2 3 6" xfId="2293" xr:uid="{00000000-0005-0000-0000-000086020000}"/>
    <cellStyle name="Currency 4 2 3 6 2" xfId="7420" xr:uid="{3EDDEF0C-1170-44FC-9E29-73084BA92D9B}"/>
    <cellStyle name="Currency 4 2 3 6 2 2" xfId="17800" xr:uid="{5DB08EA5-B4BF-4D08-AE10-B1BCA4637284}"/>
    <cellStyle name="Currency 4 2 3 6 3" xfId="10253" xr:uid="{766D3AD7-0F8A-4BEB-99F0-47B8CFBA1265}"/>
    <cellStyle name="Currency 4 2 3 6 3 2" xfId="20633" xr:uid="{5CBF30F4-97C8-4CD2-8F89-56254FCB70D3}"/>
    <cellStyle name="Currency 4 2 3 6 4" xfId="24491" xr:uid="{08A6B700-F4DA-43CF-B126-E5EA9D210A08}"/>
    <cellStyle name="Currency 4 2 3 6 5" xfId="26180" xr:uid="{20347FE0-F2EA-44A7-A8C9-696BEDCF4246}"/>
    <cellStyle name="Currency 4 2 3 6 6" xfId="14967" xr:uid="{5271A6B4-83D2-498D-870F-F8FBF77613DD}"/>
    <cellStyle name="Currency 4 2 3 7" xfId="3828" xr:uid="{9411D43E-CDD6-4FE8-9E7A-3AD695C85148}"/>
    <cellStyle name="Currency 4 2 3 7 2" xfId="8661" xr:uid="{5519AB10-F8F2-4D99-B35F-2920FBCAB596}"/>
    <cellStyle name="Currency 4 2 3 7 2 2" xfId="19041" xr:uid="{3762F2F5-1A6B-4987-99BC-7F33792DA194}"/>
    <cellStyle name="Currency 4 2 3 7 3" xfId="11494" xr:uid="{03272CB4-0F1F-487B-8764-901F797A1C04}"/>
    <cellStyle name="Currency 4 2 3 7 3 2" xfId="21874" xr:uid="{0567CB41-A16A-4CB1-B5E6-4355AB676991}"/>
    <cellStyle name="Currency 4 2 3 7 4" xfId="27170" xr:uid="{B50D6951-3AFD-4C0A-AAB4-FA29C68C8620}"/>
    <cellStyle name="Currency 4 2 3 7 5" xfId="27293" xr:uid="{75015154-D464-4CCB-BD13-E277D11AC6A7}"/>
    <cellStyle name="Currency 4 2 3 7 6" xfId="16208" xr:uid="{1F217B41-0735-48D3-AEE7-8886CA084B4B}"/>
    <cellStyle name="Currency 4 2 3 8" xfId="4943" xr:uid="{77780067-030E-49AF-8FFE-4CA465D3A5C6}"/>
    <cellStyle name="Currency 4 2 3 8 2" xfId="14238" xr:uid="{600B4770-E496-4DD5-AFE1-1860E27E30CF}"/>
    <cellStyle name="Currency 4 2 3 9" xfId="6691" xr:uid="{BF23809D-EBF7-4EFE-86D3-CF7C525534CF}"/>
    <cellStyle name="Currency 4 2 3 9 2" xfId="17071" xr:uid="{1DF2657B-E75C-44F5-9CF7-84E234C571AD}"/>
    <cellStyle name="Currency 4 2 4" xfId="561" xr:uid="{00000000-0005-0000-0000-00006A030000}"/>
    <cellStyle name="Currency 4 2 4 10" xfId="12683" xr:uid="{9DA9BDBB-D445-405D-BA27-E0B7D5CB6604}"/>
    <cellStyle name="Currency 4 2 4 2" xfId="1876" xr:uid="{00000000-0005-0000-0000-00006B030000}"/>
    <cellStyle name="Currency 4 2 4 2 2" xfId="3093" xr:uid="{00000000-0005-0000-0000-00008D020000}"/>
    <cellStyle name="Currency 4 2 4 2 2 2" xfId="8173" xr:uid="{CFB74B2A-0CBE-40EE-92E1-1BACF4A65146}"/>
    <cellStyle name="Currency 4 2 4 2 2 2 2" xfId="28842" xr:uid="{ED178F4A-FEEE-466E-AC2A-B99B31DCC047}"/>
    <cellStyle name="Currency 4 2 4 2 2 2 3" xfId="26434" xr:uid="{E651ACCA-3D04-4362-9B0F-584E41BCF71F}"/>
    <cellStyle name="Currency 4 2 4 2 2 2 4" xfId="18553" xr:uid="{440D2D27-4EF5-4E3E-86BE-831E0D4C899A}"/>
    <cellStyle name="Currency 4 2 4 2 2 3" xfId="11006" xr:uid="{FCA3847D-3FF1-4472-B67C-BE8CF608A60C}"/>
    <cellStyle name="Currency 4 2 4 2 2 3 2" xfId="21386" xr:uid="{361E8EA1-4C7C-4CF3-9F7C-90F78BB283B3}"/>
    <cellStyle name="Currency 4 2 4 2 2 4" xfId="25525" xr:uid="{020CC287-4FBA-4C24-A9A5-7C37D3A3181B}"/>
    <cellStyle name="Currency 4 2 4 2 2 5" xfId="15720" xr:uid="{B01317A4-4A1D-4031-9F10-55C58A1D8E6D}"/>
    <cellStyle name="Currency 4 2 4 2 3" xfId="2862" xr:uid="{00000000-0005-0000-0000-00006B030000}"/>
    <cellStyle name="Currency 4 2 4 2 4" xfId="5673" xr:uid="{B894F6FB-E5D2-4426-BAE5-F361ED958DC3}"/>
    <cellStyle name="Currency 4 2 4 2 4 2" xfId="30013" xr:uid="{5A96290C-F2BF-4D6F-9B24-B486B2987938}"/>
    <cellStyle name="Currency 4 2 4 2 5" xfId="24064" xr:uid="{645DD58F-3869-4C0D-9441-67FA2EE6DC69}"/>
    <cellStyle name="Currency 4 2 4 2 6" xfId="13607" xr:uid="{706296AA-0A5B-4EAF-BF06-F3AE995AD1C0}"/>
    <cellStyle name="Currency 4 2 4 3" xfId="1877" xr:uid="{00000000-0005-0000-0000-00006C030000}"/>
    <cellStyle name="Currency 4 2 4 3 2" xfId="2691" xr:uid="{00000000-0005-0000-0000-00008E020000}"/>
    <cellStyle name="Currency 4 2 4 3 2 2" xfId="7815" xr:uid="{45B4AD22-B857-4B3D-868F-EF1F991F9401}"/>
    <cellStyle name="Currency 4 2 4 3 2 2 2" xfId="18195" xr:uid="{C2AE4201-2DB8-47A4-962A-FDF7425F1B76}"/>
    <cellStyle name="Currency 4 2 4 3 2 3" xfId="10648" xr:uid="{425932D7-C8FB-4693-9F2C-0F54D708A077}"/>
    <cellStyle name="Currency 4 2 4 3 2 3 2" xfId="21028" xr:uid="{46A72BFD-107A-45BA-B43C-9ACD1F1572C4}"/>
    <cellStyle name="Currency 4 2 4 3 2 4" xfId="15362" xr:uid="{56B20FC1-F91B-4CCE-8163-6DCC8E68F688}"/>
    <cellStyle name="Currency 4 2 4 3 3" xfId="3544" xr:uid="{00000000-0005-0000-0000-00006C030000}"/>
    <cellStyle name="Currency 4 2 4 3 4" xfId="5674" xr:uid="{08E421AE-DDE3-4B6C-AA1C-46544E7401B9}"/>
    <cellStyle name="Currency 4 2 4 3 4 2" xfId="29990" xr:uid="{CD5F8B7A-7860-4D30-B13F-017B6DAA0CBC}"/>
    <cellStyle name="Currency 4 2 4 3 5" xfId="25345" xr:uid="{08DAE02F-1B6E-44AD-A9C8-912AD3AAD387}"/>
    <cellStyle name="Currency 4 2 4 3 6" xfId="13104" xr:uid="{82EBEC48-3D43-4E9D-B56D-7E929E0E1A17}"/>
    <cellStyle name="Currency 4 2 4 4" xfId="1875" xr:uid="{00000000-0005-0000-0000-00006D030000}"/>
    <cellStyle name="Currency 4 2 4 4 2" xfId="4674" xr:uid="{C9DA1A56-732E-4961-B2D9-0A915ACCB4C5}"/>
    <cellStyle name="Currency 4 2 4 4 2 2" xfId="9414" xr:uid="{7E88755F-A896-471C-8857-39454F619F9C}"/>
    <cellStyle name="Currency 4 2 4 4 2 2 2" xfId="19794" xr:uid="{4538922B-7154-4E44-BB56-F4171AAAE1F4}"/>
    <cellStyle name="Currency 4 2 4 4 2 3" xfId="12247" xr:uid="{DE8A55F2-EE62-41C6-8A66-CB165A7E6D10}"/>
    <cellStyle name="Currency 4 2 4 4 2 3 2" xfId="22627" xr:uid="{786E37C1-C954-4926-BD86-4FC6456CF137}"/>
    <cellStyle name="Currency 4 2 4 4 2 4" xfId="27425" xr:uid="{4843839A-BCB9-41CE-8805-8D0614D92E2A}"/>
    <cellStyle name="Currency 4 2 4 4 2 5" xfId="26256" xr:uid="{D30ADB09-C3D5-4D8C-886A-89143E520A69}"/>
    <cellStyle name="Currency 4 2 4 4 2 6" xfId="16961" xr:uid="{4D75FEE1-E172-457D-8E34-8A272A4E5949}"/>
    <cellStyle name="Currency 4 2 4 4 3" xfId="22701" xr:uid="{820DF042-B0AA-4327-B8F4-D655FDAD1E0D}"/>
    <cellStyle name="Currency 4 2 4 5" xfId="4137" xr:uid="{0946DA19-72C4-4F96-A1A1-F785B9C6BDD3}"/>
    <cellStyle name="Currency 4 2 4 5 2" xfId="8909" xr:uid="{52D4BD7B-0DFF-4DF8-B14E-5D13184F5469}"/>
    <cellStyle name="Currency 4 2 4 5 2 2" xfId="29013" xr:uid="{E710C129-20D4-4EA0-A247-8B6E8FB27B7F}"/>
    <cellStyle name="Currency 4 2 4 5 2 3" xfId="27995" xr:uid="{A14DBC58-1E78-4416-B710-8CEE806D9C5C}"/>
    <cellStyle name="Currency 4 2 4 5 2 4" xfId="19289" xr:uid="{45E24BB5-B74E-4C6E-A80D-67E7CC7F8C32}"/>
    <cellStyle name="Currency 4 2 4 5 3" xfId="11742" xr:uid="{2D06F008-726C-4EA8-9BFA-B27F239E95B8}"/>
    <cellStyle name="Currency 4 2 4 5 3 2" xfId="22122" xr:uid="{B2CB1173-AC2D-48EF-99F8-74AE1DAD9F27}"/>
    <cellStyle name="Currency 4 2 4 5 4" xfId="23874" xr:uid="{24B491C3-5B43-4CC6-B7EF-7621C2CD760B}"/>
    <cellStyle name="Currency 4 2 4 5 5" xfId="16456" xr:uid="{4C351AFE-E773-49FC-B65C-B8A5A1A6D29E}"/>
    <cellStyle name="Currency 4 2 4 6" xfId="4944" xr:uid="{A85A3DAA-772F-42F7-BF9C-C31803A88D2F}"/>
    <cellStyle name="Currency 4 2 4 6 2" xfId="26950" xr:uid="{03811147-8C50-47E1-923A-26744278F7C8}"/>
    <cellStyle name="Currency 4 2 4 6 3" xfId="28170" xr:uid="{302BAD18-AED0-4DA1-A413-14D8B1B5424A}"/>
    <cellStyle name="Currency 4 2 4 6 4" xfId="14239" xr:uid="{D9AEFE65-B40E-45B2-9368-CB1A5C7C5D7C}"/>
    <cellStyle name="Currency 4 2 4 7" xfId="6692" xr:uid="{D7EBC9D8-EC36-4DE1-A16C-BF75E4923FA1}"/>
    <cellStyle name="Currency 4 2 4 7 2" xfId="27797" xr:uid="{50E52D62-6867-4317-BEEB-33758CF09BA5}"/>
    <cellStyle name="Currency 4 2 4 7 3" xfId="27054" xr:uid="{E8E6F158-4E81-48AC-9BA8-01025F1229BD}"/>
    <cellStyle name="Currency 4 2 4 7 4" xfId="17072" xr:uid="{0D456588-FC15-4460-9B0C-F6C7C29288FC}"/>
    <cellStyle name="Currency 4 2 4 8" xfId="9525" xr:uid="{B089C968-59EF-458D-82E3-1CFD27974824}"/>
    <cellStyle name="Currency 4 2 4 8 2" xfId="19905" xr:uid="{03179FD1-793B-47CD-ABA0-805593513C97}"/>
    <cellStyle name="Currency 4 2 4 9" xfId="25437" xr:uid="{429B4003-C873-4D2F-BCDF-EF56C7FA5C47}"/>
    <cellStyle name="Currency 4 2 5" xfId="562" xr:uid="{00000000-0005-0000-0000-00006E030000}"/>
    <cellStyle name="Currency 4 2 5 10" xfId="13608" xr:uid="{87F1B163-5B83-4557-A952-E2C29472F216}"/>
    <cellStyle name="Currency 4 2 5 2" xfId="1879" xr:uid="{00000000-0005-0000-0000-00006F030000}"/>
    <cellStyle name="Currency 4 2 5 2 2" xfId="24954" xr:uid="{BBEF5993-F8AC-4524-941D-112A15F3447D}"/>
    <cellStyle name="Currency 4 2 5 2 2 2" xfId="29910" xr:uid="{20BACB90-BEB1-49A1-919E-F0C51DD459D8}"/>
    <cellStyle name="Currency 4 2 5 2 3" xfId="23374" xr:uid="{043B26EB-F4A5-45D7-8163-B3F881D5C636}"/>
    <cellStyle name="Currency 4 2 5 2 4" xfId="30297" xr:uid="{363F2FE6-5537-428A-9A54-0005A53FBD22}"/>
    <cellStyle name="Currency 4 2 5 3" xfId="1880" xr:uid="{00000000-0005-0000-0000-000070030000}"/>
    <cellStyle name="Currency 4 2 5 4" xfId="1878" xr:uid="{00000000-0005-0000-0000-000071030000}"/>
    <cellStyle name="Currency 4 2 5 5" xfId="4426" xr:uid="{FDF6B367-10B3-4EAE-9E49-B3C45734BFB2}"/>
    <cellStyle name="Currency 4 2 5 5 2" xfId="9198" xr:uid="{E85DF9EB-311B-4F81-9D96-394CE20C5CC6}"/>
    <cellStyle name="Currency 4 2 5 5 2 2" xfId="19578" xr:uid="{9A4B6684-C591-4F16-BFB6-3361E96139EE}"/>
    <cellStyle name="Currency 4 2 5 5 3" xfId="12031" xr:uid="{8D53D6CB-B4E3-489F-BBCC-35A064EF6FAF}"/>
    <cellStyle name="Currency 4 2 5 5 3 2" xfId="22411" xr:uid="{64F3B7EC-0534-43AB-9EAD-0CC24A310D9A}"/>
    <cellStyle name="Currency 4 2 5 5 4" xfId="16745" xr:uid="{70F4C88B-8E51-42FE-8C6F-8A063CDA9E59}"/>
    <cellStyle name="Currency 4 2 5 6" xfId="4945" xr:uid="{D75D85CF-44E9-4C80-9CB6-9D9124C48907}"/>
    <cellStyle name="Currency 4 2 5 6 2" xfId="14240" xr:uid="{27564A53-3BA4-430B-B3EF-BF70748DDED5}"/>
    <cellStyle name="Currency 4 2 5 7" xfId="6693" xr:uid="{EF48389A-C1B4-42B8-8C4B-650B09C9B780}"/>
    <cellStyle name="Currency 4 2 5 7 2" xfId="17073" xr:uid="{F8AB562E-FFA0-4A7F-8969-4F39454F2260}"/>
    <cellStyle name="Currency 4 2 5 8" xfId="9526" xr:uid="{952B69F6-6B5D-4A85-847A-6DEDE172799E}"/>
    <cellStyle name="Currency 4 2 5 8 2" xfId="19906" xr:uid="{CEE02A62-0CD3-4293-B7B4-71B8F3D0F850}"/>
    <cellStyle name="Currency 4 2 5 9" xfId="23847" xr:uid="{2A72D9E9-32D0-4D14-AF50-E3BAE811FBCB}"/>
    <cellStyle name="Currency 4 2 6" xfId="1881" xr:uid="{00000000-0005-0000-0000-000072030000}"/>
    <cellStyle name="Currency 4 2 6 2" xfId="2882" xr:uid="{00000000-0005-0000-0000-000090020000}"/>
    <cellStyle name="Currency 4 2 6 2 2" xfId="7999" xr:uid="{5D8F085F-F860-4350-BA19-9FEA730AB68D}"/>
    <cellStyle name="Currency 4 2 6 2 2 2" xfId="26386" xr:uid="{4A5CEC5D-6DA3-4D94-BF9E-322F0E90D597}"/>
    <cellStyle name="Currency 4 2 6 2 2 3" xfId="26504" xr:uid="{890B3BF8-48AC-47C6-AAC9-605649711EC0}"/>
    <cellStyle name="Currency 4 2 6 2 2 4" xfId="18379" xr:uid="{7FB0E7EE-E818-4648-B60B-1C8120B2A2CA}"/>
    <cellStyle name="Currency 4 2 6 2 3" xfId="10832" xr:uid="{61056E6D-32BB-45EE-8590-72DB29A983E9}"/>
    <cellStyle name="Currency 4 2 6 2 3 2" xfId="21212" xr:uid="{258AFFD5-7A7C-4EB2-84E4-9C0DB9D58681}"/>
    <cellStyle name="Currency 4 2 6 2 4" xfId="24955" xr:uid="{73DD1256-9F3D-417F-B69C-12C22E4E672C}"/>
    <cellStyle name="Currency 4 2 6 2 5" xfId="15546" xr:uid="{315A732A-0586-4DCE-A71C-DF0DB78775B4}"/>
    <cellStyle name="Currency 4 2 6 3" xfId="3621" xr:uid="{00000000-0005-0000-0000-000072030000}"/>
    <cellStyle name="Currency 4 2 6 4" xfId="5675" xr:uid="{4939E943-A2E0-427A-AEC4-B21F9D4F8159}"/>
    <cellStyle name="Currency 4 2 6 4 2" xfId="30000" xr:uid="{C152C96D-2195-4F40-89B3-32014941054D}"/>
    <cellStyle name="Currency 4 2 6 5" xfId="25114" xr:uid="{E30B2578-1288-47A3-B3BA-30B1805299C3}"/>
    <cellStyle name="Currency 4 2 6 6" xfId="13381" xr:uid="{8C718C21-172C-44CD-A8BD-BFF25B26646A}"/>
    <cellStyle name="Currency 4 2 7" xfId="1882" xr:uid="{00000000-0005-0000-0000-000073030000}"/>
    <cellStyle name="Currency 4 2 7 2" xfId="2494" xr:uid="{00000000-0005-0000-0000-000091020000}"/>
    <cellStyle name="Currency 4 2 7 2 2" xfId="7619" xr:uid="{1DE766FD-5D05-4437-B056-8A76C40DDAC2}"/>
    <cellStyle name="Currency 4 2 7 2 2 2" xfId="17999" xr:uid="{B4E5BD64-019F-4A22-A7FE-7D1E16BC3D5A}"/>
    <cellStyle name="Currency 4 2 7 2 3" xfId="10452" xr:uid="{4947354B-127E-4991-A5AF-5B8FEC7AE1DC}"/>
    <cellStyle name="Currency 4 2 7 2 3 2" xfId="20832" xr:uid="{ECFD314C-DBD6-41EE-86B1-BF20A1FB9818}"/>
    <cellStyle name="Currency 4 2 7 2 4" xfId="27944" xr:uid="{AC587898-EBF3-48E3-B172-2974943146AE}"/>
    <cellStyle name="Currency 4 2 7 2 5" xfId="27889" xr:uid="{16D58729-C246-4B37-87BA-1A2F3AFA2EBE}"/>
    <cellStyle name="Currency 4 2 7 2 6" xfId="15166" xr:uid="{3994FC5A-32A5-45BA-BD59-4D7DDBD598D6}"/>
    <cellStyle name="Currency 4 2 7 3" xfId="3603" xr:uid="{00000000-0005-0000-0000-000073030000}"/>
    <cellStyle name="Currency 4 2 7 4" xfId="5676" xr:uid="{EA961475-3856-4FED-AB9C-654EB4EC64FD}"/>
    <cellStyle name="Currency 4 2 7 4 2" xfId="30103" xr:uid="{67FBD8BE-BAD7-471C-AF71-1E4C244B4940}"/>
    <cellStyle name="Currency 4 2 7 5" xfId="23894" xr:uid="{CB6FFF07-08EE-4C7E-B764-E810EDFDC868}"/>
    <cellStyle name="Currency 4 2 7 6" xfId="12882" xr:uid="{88AABC15-3833-4375-B132-D2ADFE52CB51}"/>
    <cellStyle name="Currency 4 2 8" xfId="1862" xr:uid="{00000000-0005-0000-0000-000074030000}"/>
    <cellStyle name="Currency 4 2 8 2" xfId="2188" xr:uid="{00000000-0005-0000-0000-000078020000}"/>
    <cellStyle name="Currency 4 2 8 2 2" xfId="7315" xr:uid="{ADD0A165-ABE0-4F90-A33F-077F5FF9274C}"/>
    <cellStyle name="Currency 4 2 8 2 2 2" xfId="17695" xr:uid="{C1BBF7D4-FBF1-47C1-BB55-91EFC3948301}"/>
    <cellStyle name="Currency 4 2 8 2 3" xfId="10148" xr:uid="{33E315B1-4D3D-49E9-A76E-8054D92275A7}"/>
    <cellStyle name="Currency 4 2 8 2 3 2" xfId="20528" xr:uid="{88A0F51E-EE8C-447C-B6BC-64E9415C38E1}"/>
    <cellStyle name="Currency 4 2 8 2 4" xfId="26698" xr:uid="{36B731ED-7B10-4707-8CE6-205628889D4E}"/>
    <cellStyle name="Currency 4 2 8 2 5" xfId="27853" xr:uid="{C058DF41-89BC-4679-BC90-E6969DEB80F2}"/>
    <cellStyle name="Currency 4 2 8 2 6" xfId="14862" xr:uid="{99E20BDB-1FDA-4F7A-9084-46C793C71BFD}"/>
    <cellStyle name="Currency 4 2 8 3" xfId="3651" xr:uid="{00000000-0005-0000-0000-000074030000}"/>
    <cellStyle name="Currency 4 2 8 4" xfId="24962" xr:uid="{3F0C25D4-5FA2-4F09-A128-283041A580CB}"/>
    <cellStyle name="Currency 4 2 9" xfId="3882" xr:uid="{DC251A4F-5AD9-45C1-BD34-8461C5214166}"/>
    <cellStyle name="Currency 4 2 9 2" xfId="8714" xr:uid="{C1BC6D1A-7EE7-4C47-87C8-C0673B800AAC}"/>
    <cellStyle name="Currency 4 2 9 2 2" xfId="19094" xr:uid="{648BA1C2-C386-4F11-BB8B-8B4A1CC8CB92}"/>
    <cellStyle name="Currency 4 2 9 3" xfId="11547" xr:uid="{BF03B1AD-0DE8-47DE-A307-4E2A32AA0B13}"/>
    <cellStyle name="Currency 4 2 9 3 2" xfId="21927" xr:uid="{0D3D9BC0-3938-4572-A44C-6B9F1688C330}"/>
    <cellStyle name="Currency 4 2 9 4" xfId="27236" xr:uid="{11A01AB7-B43D-42C9-8214-AD90DCB92BD5}"/>
    <cellStyle name="Currency 4 2 9 5" xfId="27203" xr:uid="{20CAEDD4-581A-49A6-A983-2D7BD69C167F}"/>
    <cellStyle name="Currency 4 2 9 6" xfId="16261" xr:uid="{35051925-8774-429B-B45F-CA6B9A703F0C}"/>
    <cellStyle name="Currency 4 20" xfId="12397" xr:uid="{66CD73B6-8B5C-4CEE-B1C4-83C336E77431}"/>
    <cellStyle name="Currency 4 3" xfId="563" xr:uid="{00000000-0005-0000-0000-000075030000}"/>
    <cellStyle name="Currency 4 3 10" xfId="4946" xr:uid="{9A699C1C-8F3B-46EB-83CA-1AEA14EAD978}"/>
    <cellStyle name="Currency 4 3 10 2" xfId="14241" xr:uid="{533075EF-05BA-4DF2-AB97-D7CA5F6AAFE4}"/>
    <cellStyle name="Currency 4 3 11" xfId="6694" xr:uid="{A047A60A-45CE-407B-A049-2223B505892E}"/>
    <cellStyle name="Currency 4 3 11 2" xfId="17074" xr:uid="{8CD57AC2-6D36-4FFB-9CDE-DCF555BE769C}"/>
    <cellStyle name="Currency 4 3 12" xfId="9527" xr:uid="{F62B27D1-058D-4BAB-B5E3-7E6115F0D553}"/>
    <cellStyle name="Currency 4 3 12 2" xfId="19907" xr:uid="{A08D132D-B56D-4C61-9E3E-B618E503E16E}"/>
    <cellStyle name="Currency 4 3 13" xfId="23763" xr:uid="{8560C23E-977A-4A64-B47A-9FD147CA5650}"/>
    <cellStyle name="Currency 4 3 14" xfId="12457" xr:uid="{4762B291-B850-4854-8306-35256D12D3FD}"/>
    <cellStyle name="Currency 4 3 2" xfId="564" xr:uid="{00000000-0005-0000-0000-000076030000}"/>
    <cellStyle name="Currency 4 3 2 10" xfId="9528" xr:uid="{27C6D75F-52DE-487D-BC75-E0B3602422C3}"/>
    <cellStyle name="Currency 4 3 2 10 2" xfId="19908" xr:uid="{1B5D55DB-60E2-4650-A86B-78944CCAE8EB}"/>
    <cellStyle name="Currency 4 3 2 11" xfId="25157" xr:uid="{7ED0C198-C02C-4ECA-8665-A8C06E408FE9}"/>
    <cellStyle name="Currency 4 3 2 12" xfId="12527" xr:uid="{92334CDC-3C23-41BD-96F3-07E3CBAB7346}"/>
    <cellStyle name="Currency 4 3 2 2" xfId="565" xr:uid="{00000000-0005-0000-0000-000077030000}"/>
    <cellStyle name="Currency 4 3 2 2 10" xfId="13109" xr:uid="{D3D01A0B-D037-4579-A100-754466682299}"/>
    <cellStyle name="Currency 4 3 2 2 2" xfId="1886" xr:uid="{00000000-0005-0000-0000-000078030000}"/>
    <cellStyle name="Currency 4 3 2 2 2 2" xfId="3095" xr:uid="{00000000-0005-0000-0000-000095020000}"/>
    <cellStyle name="Currency 4 3 2 2 2 2 2" xfId="8175" xr:uid="{431901E0-513B-4CF2-8D5D-986A9E846F3A}"/>
    <cellStyle name="Currency 4 3 2 2 2 2 2 2" xfId="28844" xr:uid="{922F41E3-1DB6-434C-A0D9-A6FF7A394730}"/>
    <cellStyle name="Currency 4 3 2 2 2 2 2 3" xfId="26575" xr:uid="{664EEE51-80C3-4F52-8D6F-16F5EDD72CB5}"/>
    <cellStyle name="Currency 4 3 2 2 2 2 2 4" xfId="18555" xr:uid="{BF461208-CAF5-4577-A105-16DBE970C91D}"/>
    <cellStyle name="Currency 4 3 2 2 2 2 3" xfId="11008" xr:uid="{573BC5E8-3CBD-4FA2-B415-D13A00A46334}"/>
    <cellStyle name="Currency 4 3 2 2 2 2 3 2" xfId="21388" xr:uid="{355DB9A7-1995-4D56-813E-1DEF9DBC9DA3}"/>
    <cellStyle name="Currency 4 3 2 2 2 2 4" xfId="25335" xr:uid="{2B76BC04-7F80-4A50-A4AC-4067138F4F14}"/>
    <cellStyle name="Currency 4 3 2 2 2 2 5" xfId="15722" xr:uid="{7A68242E-E209-4C5B-A7EE-931705DD0DC6}"/>
    <cellStyle name="Currency 4 3 2 2 2 3" xfId="2051" xr:uid="{00000000-0005-0000-0000-000078030000}"/>
    <cellStyle name="Currency 4 3 2 2 2 4" xfId="5679" xr:uid="{61CE8434-0474-4A82-9F1F-8BA9FFBDF874}"/>
    <cellStyle name="Currency 4 3 2 2 2 4 2" xfId="30202" xr:uid="{FF79B32E-6624-44D1-9CB6-E74AD9D99A37}"/>
    <cellStyle name="Currency 4 3 2 2 2 5" xfId="25270" xr:uid="{33DFC427-3C70-4236-B0CE-940975B9A690}"/>
    <cellStyle name="Currency 4 3 2 2 2 6" xfId="13610" xr:uid="{967115A1-23CB-4789-979C-E6482BE18D03}"/>
    <cellStyle name="Currency 4 3 2 2 3" xfId="1887" xr:uid="{00000000-0005-0000-0000-000079030000}"/>
    <cellStyle name="Currency 4 3 2 2 3 2" xfId="4683" xr:uid="{D687D2B6-DA4A-4542-A697-38DDD98C7F33}"/>
    <cellStyle name="Currency 4 3 2 2 3 2 2" xfId="9418" xr:uid="{D7FB4EC8-26ED-4030-9003-C2309259B9E9}"/>
    <cellStyle name="Currency 4 3 2 2 3 2 2 2" xfId="19798" xr:uid="{8B040653-5A27-43E5-99DA-246719ED798D}"/>
    <cellStyle name="Currency 4 3 2 2 3 2 3" xfId="12251" xr:uid="{33F75AFC-4D16-4F09-B9C3-B835056393B0}"/>
    <cellStyle name="Currency 4 3 2 2 3 2 3 2" xfId="22631" xr:uid="{96ECDE40-5D39-4568-B7FC-3DA71F52A446}"/>
    <cellStyle name="Currency 4 3 2 2 3 2 4" xfId="26190" xr:uid="{8C2499C7-1BB1-4D22-A139-187B9857C1C6}"/>
    <cellStyle name="Currency 4 3 2 2 3 2 5" xfId="27316" xr:uid="{005548B2-6083-46C7-874E-DB5A032DBE42}"/>
    <cellStyle name="Currency 4 3 2 2 3 2 6" xfId="16965" xr:uid="{66D36A2C-378A-41BD-B227-E81F29D242ED}"/>
    <cellStyle name="Currency 4 3 2 2 3 3" xfId="23752" xr:uid="{CC39D2C1-EDB8-46AE-990C-9B1731256481}"/>
    <cellStyle name="Currency 4 3 2 2 3 3 2" xfId="30147" xr:uid="{BD5BC038-0307-4E77-9C92-0F6C4F32252C}"/>
    <cellStyle name="Currency 4 3 2 2 3 4" xfId="30259" xr:uid="{D4B75519-008E-44F0-8F47-9C007967DA1F}"/>
    <cellStyle name="Currency 4 3 2 2 4" xfId="1885" xr:uid="{00000000-0005-0000-0000-00007A030000}"/>
    <cellStyle name="Currency 4 3 2 2 4 2" xfId="26962" xr:uid="{DB772303-1715-451F-983D-FA4084595956}"/>
    <cellStyle name="Currency 4 3 2 2 4 3" xfId="26337" xr:uid="{B0BAF356-AC96-4D61-AF66-90BA33F5234A}"/>
    <cellStyle name="Currency 4 3 2 2 5" xfId="4275" xr:uid="{A7A2FC4F-1B1A-43AE-B621-BB9F2BE98CD3}"/>
    <cellStyle name="Currency 4 3 2 2 5 2" xfId="9047" xr:uid="{2F16989A-4C37-47DA-A55F-50A0BD59F9D8}"/>
    <cellStyle name="Currency 4 3 2 2 5 2 2" xfId="19427" xr:uid="{8689B158-0518-473E-BD0D-57F774152E57}"/>
    <cellStyle name="Currency 4 3 2 2 5 3" xfId="11880" xr:uid="{E4603E20-55BE-4014-BABB-902A708700C4}"/>
    <cellStyle name="Currency 4 3 2 2 5 3 2" xfId="22260" xr:uid="{F991F5B0-BFFF-4E23-8F84-EB2D2F643857}"/>
    <cellStyle name="Currency 4 3 2 2 5 4" xfId="27637" xr:uid="{31792131-8CCE-4EE1-B222-AE2C8621D08A}"/>
    <cellStyle name="Currency 4 3 2 2 5 5" xfId="25999" xr:uid="{270E6B12-61FF-49F3-B084-548FD7B3F23B}"/>
    <cellStyle name="Currency 4 3 2 2 5 6" xfId="16594" xr:uid="{1926910E-F59C-4D08-B99B-D9ADC6666F7F}"/>
    <cellStyle name="Currency 4 3 2 2 6" xfId="4948" xr:uid="{65C9F64E-A345-4F6D-B067-E29F264CEBF1}"/>
    <cellStyle name="Currency 4 3 2 2 6 2" xfId="26270" xr:uid="{E4C9A842-FCE7-42FB-8EA1-B50F3956D4E8}"/>
    <cellStyle name="Currency 4 3 2 2 6 3" xfId="26018" xr:uid="{8942F952-991D-4545-B1C8-7054C9722F12}"/>
    <cellStyle name="Currency 4 3 2 2 6 4" xfId="14243" xr:uid="{6E39C487-927A-43EB-B196-1CFC238D7AB4}"/>
    <cellStyle name="Currency 4 3 2 2 7" xfId="6696" xr:uid="{1E6FCB53-9A9F-48E2-AE4D-948B598459AA}"/>
    <cellStyle name="Currency 4 3 2 2 7 2" xfId="17076" xr:uid="{6D6D364E-56A0-4083-97C6-B7ABE2445DE3}"/>
    <cellStyle name="Currency 4 3 2 2 8" xfId="9529" xr:uid="{8E041D61-AC19-44A3-9FCA-06C6CF48BC2D}"/>
    <cellStyle name="Currency 4 3 2 2 8 2" xfId="19909" xr:uid="{DA438EE4-CD2F-474E-8A82-E4887BC253B2}"/>
    <cellStyle name="Currency 4 3 2 2 9" xfId="22906" xr:uid="{9470BD46-6C7B-4129-9FE4-95AE546C6D94}"/>
    <cellStyle name="Currency 4 3 2 3" xfId="1888" xr:uid="{00000000-0005-0000-0000-00007B030000}"/>
    <cellStyle name="Currency 4 3 2 3 2" xfId="3096" xr:uid="{00000000-0005-0000-0000-000096020000}"/>
    <cellStyle name="Currency 4 3 2 3 2 2" xfId="8176" xr:uid="{5272ADC5-508E-411B-A874-76D8F5F024FC}"/>
    <cellStyle name="Currency 4 3 2 3 2 2 2" xfId="28845" xr:uid="{6C67E993-C03E-461A-93EC-806EE3E12229}"/>
    <cellStyle name="Currency 4 3 2 3 2 2 3" xfId="28034" xr:uid="{C1BAA7E1-189B-4F7B-9825-9D14D5E6F70D}"/>
    <cellStyle name="Currency 4 3 2 3 2 2 4" xfId="18556" xr:uid="{7F99C888-7723-41E2-82D6-9C1AD52869EF}"/>
    <cellStyle name="Currency 4 3 2 3 2 3" xfId="11009" xr:uid="{52DCBDCA-C818-497D-9869-FA4E869D9771}"/>
    <cellStyle name="Currency 4 3 2 3 2 3 2" xfId="21389" xr:uid="{73E0972A-E446-4E7A-88F6-E7F33842FBBB}"/>
    <cellStyle name="Currency 4 3 2 3 2 4" xfId="25661" xr:uid="{73031C5A-7497-4E29-BDA7-0512A1953CC8}"/>
    <cellStyle name="Currency 4 3 2 3 2 5" xfId="15723" xr:uid="{9E20F832-96A2-4E8D-90E0-9A69DE3190FF}"/>
    <cellStyle name="Currency 4 3 2 3 3" xfId="3600" xr:uid="{00000000-0005-0000-0000-00007B030000}"/>
    <cellStyle name="Currency 4 3 2 3 4" xfId="4427" xr:uid="{6DDD7D65-28CE-4D3E-A44A-510FBD4F835A}"/>
    <cellStyle name="Currency 4 3 2 3 4 2" xfId="9199" xr:uid="{12518834-FEB3-4C1E-B124-6B3AE272E447}"/>
    <cellStyle name="Currency 4 3 2 3 4 2 2" xfId="19579" xr:uid="{3AEC82BC-741C-4963-A6A7-E69D788CF2B4}"/>
    <cellStyle name="Currency 4 3 2 3 4 3" xfId="12032" xr:uid="{324E1B08-31D5-433A-B7EF-B14FB1EE9A77}"/>
    <cellStyle name="Currency 4 3 2 3 4 3 2" xfId="22412" xr:uid="{D2A73898-9C50-4702-A7E4-FDD42B4EFF43}"/>
    <cellStyle name="Currency 4 3 2 3 4 4" xfId="16746" xr:uid="{26A21FF5-F3E3-46B8-892F-02FEDF25E251}"/>
    <cellStyle name="Currency 4 3 2 3 5" xfId="5680" xr:uid="{B3D1B3D3-BD8D-4388-8905-3C78189C9462}"/>
    <cellStyle name="Currency 4 3 2 3 5 2" xfId="29923" xr:uid="{872A282B-DCBC-42A4-B0E6-35372D2CDCA5}"/>
    <cellStyle name="Currency 4 3 2 3 6" xfId="23331" xr:uid="{A28249A9-1B42-46FA-8253-9E0649BE0E8D}"/>
    <cellStyle name="Currency 4 3 2 3 7" xfId="13611" xr:uid="{4366B9E4-935E-4BC4-A2FC-D62291D3DD33}"/>
    <cellStyle name="Currency 4 3 2 4" xfId="1889" xr:uid="{00000000-0005-0000-0000-00007C030000}"/>
    <cellStyle name="Currency 4 3 2 4 2" xfId="3094" xr:uid="{00000000-0005-0000-0000-000097020000}"/>
    <cellStyle name="Currency 4 3 2 4 2 2" xfId="8174" xr:uid="{2AA79186-35BF-4AB7-8615-D8FC3006284E}"/>
    <cellStyle name="Currency 4 3 2 4 2 2 2" xfId="28843" xr:uid="{0748F1C7-BF01-4D79-99D3-CC23532C7C08}"/>
    <cellStyle name="Currency 4 3 2 4 2 2 3" xfId="26369" xr:uid="{F5636C90-FA6E-4D36-A794-409EDA9FC76C}"/>
    <cellStyle name="Currency 4 3 2 4 2 2 4" xfId="18554" xr:uid="{E3F93777-0AA8-4E8E-9CB1-D33EEC051AFE}"/>
    <cellStyle name="Currency 4 3 2 4 2 3" xfId="11007" xr:uid="{8800727E-E687-49E5-8545-D324E313515D}"/>
    <cellStyle name="Currency 4 3 2 4 2 3 2" xfId="21387" xr:uid="{CCA90335-FFEC-42FA-BFFE-9F6E4BFCE406}"/>
    <cellStyle name="Currency 4 3 2 4 2 4" xfId="25749" xr:uid="{61F83009-EE7B-4FE2-B8A1-D1361417A92E}"/>
    <cellStyle name="Currency 4 3 2 4 2 5" xfId="15721" xr:uid="{6B04E6E0-2145-4AC9-8D43-6CEAA1964412}"/>
    <cellStyle name="Currency 4 3 2 4 3" xfId="3643" xr:uid="{00000000-0005-0000-0000-00007C030000}"/>
    <cellStyle name="Currency 4 3 2 4 4" xfId="5681" xr:uid="{C640D449-3274-4163-9177-C2B189F2C72C}"/>
    <cellStyle name="Currency 4 3 2 4 4 2" xfId="30201" xr:uid="{39BC2332-9A00-4A98-B055-B98803E50BB3}"/>
    <cellStyle name="Currency 4 3 2 4 5" xfId="24438" xr:uid="{CBE45B56-A6D5-48B2-BEEC-1DBA16F13214}"/>
    <cellStyle name="Currency 4 3 2 4 6" xfId="13609" xr:uid="{503D5554-44FB-47EB-AA47-30AFC02FDB54}"/>
    <cellStyle name="Currency 4 3 2 5" xfId="1884" xr:uid="{00000000-0005-0000-0000-00007D030000}"/>
    <cellStyle name="Currency 4 3 2 5 2" xfId="2531" xr:uid="{00000000-0005-0000-0000-000098020000}"/>
    <cellStyle name="Currency 4 3 2 5 2 2" xfId="7656" xr:uid="{45782A99-C040-476D-8109-DAB93457B98C}"/>
    <cellStyle name="Currency 4 3 2 5 2 2 2" xfId="18036" xr:uid="{1BCC0329-9BBF-4386-9AAE-ED987479FE29}"/>
    <cellStyle name="Currency 4 3 2 5 2 3" xfId="10489" xr:uid="{011D311B-C356-48D3-8513-12AD3C693DF2}"/>
    <cellStyle name="Currency 4 3 2 5 2 3 2" xfId="20869" xr:uid="{BD679459-1A5C-4A83-B445-DDDE95068A0D}"/>
    <cellStyle name="Currency 4 3 2 5 2 4" xfId="26040" xr:uid="{CB20989F-4E56-4E42-BAD2-C3CE414364C8}"/>
    <cellStyle name="Currency 4 3 2 5 2 5" xfId="26488" xr:uid="{D744808E-988F-4667-8697-41C769EA1F94}"/>
    <cellStyle name="Currency 4 3 2 5 2 6" xfId="15203" xr:uid="{CAB2C7AB-E0FA-4038-A976-C4C0141F17C3}"/>
    <cellStyle name="Currency 4 3 2 5 3" xfId="3595" xr:uid="{00000000-0005-0000-0000-00007D030000}"/>
    <cellStyle name="Currency 4 3 2 5 4" xfId="5678" xr:uid="{9B281BAA-7273-431B-858A-DC8F830D672D}"/>
    <cellStyle name="Currency 4 3 2 5 4 2" xfId="30110" xr:uid="{FAE7216A-C039-40D3-BDBC-2A8F9FE5F988}"/>
    <cellStyle name="Currency 4 3 2 5 5" xfId="25527" xr:uid="{A433C727-125E-4712-80D9-2249998B7C61}"/>
    <cellStyle name="Currency 4 3 2 5 6" xfId="12919" xr:uid="{72BAE5A0-0A62-461D-B319-92C955040D75}"/>
    <cellStyle name="Currency 4 3 2 6" xfId="2295" xr:uid="{00000000-0005-0000-0000-000093020000}"/>
    <cellStyle name="Currency 4 3 2 6 2" xfId="7422" xr:uid="{573730B2-6DF5-4968-8E53-BB584D4D9B5D}"/>
    <cellStyle name="Currency 4 3 2 6 2 2" xfId="17802" xr:uid="{7098C69E-C26E-4964-A488-545F50883304}"/>
    <cellStyle name="Currency 4 3 2 6 3" xfId="10255" xr:uid="{8DA82A10-A801-49D3-BCF1-829C12A7EDEF}"/>
    <cellStyle name="Currency 4 3 2 6 3 2" xfId="20635" xr:uid="{226D0063-D70E-4F9F-8CCA-5E9A3E3909BF}"/>
    <cellStyle name="Currency 4 3 2 6 4" xfId="24221" xr:uid="{1F2D0923-44FE-43C1-9D3A-DF58C45ECA3B}"/>
    <cellStyle name="Currency 4 3 2 6 5" xfId="28448" xr:uid="{35900C64-B02A-47CB-8F4F-F6318E6CBECD}"/>
    <cellStyle name="Currency 4 3 2 6 6" xfId="14969" xr:uid="{20358FD6-C655-4F25-AB71-B4D9B5677E40}"/>
    <cellStyle name="Currency 4 3 2 7" xfId="3830" xr:uid="{CC8AB601-20F8-46A1-99F0-FF82EF572E23}"/>
    <cellStyle name="Currency 4 3 2 7 2" xfId="8663" xr:uid="{B92CC1AF-3C75-469F-8E7A-C9B323D68897}"/>
    <cellStyle name="Currency 4 3 2 7 2 2" xfId="19043" xr:uid="{8CFA6148-FB25-419F-A120-58823471F241}"/>
    <cellStyle name="Currency 4 3 2 7 3" xfId="11496" xr:uid="{345BC201-8947-4FBD-A505-FEF6E28E0FEC}"/>
    <cellStyle name="Currency 4 3 2 7 3 2" xfId="21876" xr:uid="{814F75CD-0E58-42C0-8E63-2349D83BA6CB}"/>
    <cellStyle name="Currency 4 3 2 7 4" xfId="27430" xr:uid="{7847A7E7-6D3B-4782-93C0-383385C0D8C6}"/>
    <cellStyle name="Currency 4 3 2 7 5" xfId="28304" xr:uid="{1631A1B8-97AE-4868-9C2F-0408EF79A9F8}"/>
    <cellStyle name="Currency 4 3 2 7 6" xfId="16210" xr:uid="{4B7FC55B-1059-4DDE-BC2C-45759D2EE56F}"/>
    <cellStyle name="Currency 4 3 2 8" xfId="4947" xr:uid="{149C158A-2C1F-4B22-97C4-837DB49A74A5}"/>
    <cellStyle name="Currency 4 3 2 8 2" xfId="14242" xr:uid="{DF30DEBC-9468-405C-A55A-4779272FD582}"/>
    <cellStyle name="Currency 4 3 2 9" xfId="6695" xr:uid="{36C16F1A-DD89-4C2A-B4BB-531D28BE5BF9}"/>
    <cellStyle name="Currency 4 3 2 9 2" xfId="17075" xr:uid="{87BE574B-570A-471A-BCE6-4273FB47E94E}"/>
    <cellStyle name="Currency 4 3 3" xfId="566" xr:uid="{00000000-0005-0000-0000-00007E030000}"/>
    <cellStyle name="Currency 4 3 3 10" xfId="24259" xr:uid="{BBD9D141-9D54-4B0B-B012-1A12C50B7675}"/>
    <cellStyle name="Currency 4 3 3 11" xfId="12685" xr:uid="{D013353A-95BF-4B51-8603-30728729F02A}"/>
    <cellStyle name="Currency 4 3 3 2" xfId="1891" xr:uid="{00000000-0005-0000-0000-00007F030000}"/>
    <cellStyle name="Currency 4 3 3 2 2" xfId="3098" xr:uid="{00000000-0005-0000-0000-00009B020000}"/>
    <cellStyle name="Currency 4 3 3 2 2 2" xfId="6173" xr:uid="{245EEFC1-6B63-448A-97EC-91AE304FE9B6}"/>
    <cellStyle name="Currency 4 3 3 2 2 2 2" xfId="23166" xr:uid="{F17C049D-B39A-479C-878E-B4531B11AF40}"/>
    <cellStyle name="Currency 4 3 3 2 2 2 2 2" xfId="26358" xr:uid="{67DD8835-D50D-46F0-AFB8-584049758599}"/>
    <cellStyle name="Currency 4 3 3 2 2 2 3" xfId="26943" xr:uid="{B29565CC-6216-4006-88B0-F2500B66673A}"/>
    <cellStyle name="Currency 4 3 3 2 2 2 4" xfId="15725" xr:uid="{0AD99BDE-7CDA-449F-805C-DB52653259F5}"/>
    <cellStyle name="Currency 4 3 3 2 2 3" xfId="8178" xr:uid="{23BEF528-081F-49B6-A416-3D3638EBE064}"/>
    <cellStyle name="Currency 4 3 3 2 2 3 2" xfId="28847" xr:uid="{42028672-A77A-429F-BD9C-D23E941022C8}"/>
    <cellStyle name="Currency 4 3 3 2 2 3 3" xfId="28048" xr:uid="{D72A9D18-7426-49D8-99A8-DC9811BD7C70}"/>
    <cellStyle name="Currency 4 3 3 2 2 3 4" xfId="18558" xr:uid="{53366010-FDCE-42DF-BEDC-19E65E079376}"/>
    <cellStyle name="Currency 4 3 3 2 2 4" xfId="11011" xr:uid="{D6215F48-4D36-4238-AACC-55FE6CB2BA47}"/>
    <cellStyle name="Currency 4 3 3 2 2 4 2" xfId="21391" xr:uid="{58CF0DD9-1988-4660-B353-8EEEB994E4B5}"/>
    <cellStyle name="Currency 4 3 3 2 2 5" xfId="25113" xr:uid="{8C8C27A2-B225-4307-8FAC-A39C3F654CA1}"/>
    <cellStyle name="Currency 4 3 3 2 2 6" xfId="13613" xr:uid="{74DC2818-4F22-4589-A48B-CC099277795E}"/>
    <cellStyle name="Currency 4 3 3 2 3" xfId="2695" xr:uid="{00000000-0005-0000-0000-00009A020000}"/>
    <cellStyle name="Currency 4 3 3 2 3 2" xfId="7819" xr:uid="{9D515FEF-8A85-47C8-8397-199D56B57A6B}"/>
    <cellStyle name="Currency 4 3 3 2 3 2 2" xfId="28040" xr:uid="{5BC7E876-1AC7-42F3-9B06-D43958D69461}"/>
    <cellStyle name="Currency 4 3 3 2 3 2 3" xfId="26325" xr:uid="{B0F2F618-7156-4AA4-9660-479C72FA1DB4}"/>
    <cellStyle name="Currency 4 3 3 2 3 2 4" xfId="18199" xr:uid="{A51AF457-E504-460D-A4C6-447A6BFFAA1E}"/>
    <cellStyle name="Currency 4 3 3 2 3 3" xfId="10652" xr:uid="{58092095-639B-4C55-8F73-07474A03EB78}"/>
    <cellStyle name="Currency 4 3 3 2 3 3 2" xfId="21032" xr:uid="{0A5B0C68-DC37-4547-8D6F-8FFC80CCAE6E}"/>
    <cellStyle name="Currency 4 3 3 2 3 4" xfId="22914" xr:uid="{2E94CA68-84F5-4371-997B-9A9E2FB2C410}"/>
    <cellStyle name="Currency 4 3 3 2 3 5" xfId="15366" xr:uid="{085F8945-E70C-4C5B-81B7-4BA41C04168F}"/>
    <cellStyle name="Currency 4 3 3 2 4" xfId="2062" xr:uid="{00000000-0005-0000-0000-00007F030000}"/>
    <cellStyle name="Currency 4 3 3 2 5" xfId="4276" xr:uid="{A9A18A0C-B394-4F5F-BF25-6004A0FCDDA6}"/>
    <cellStyle name="Currency 4 3 3 2 5 2" xfId="9048" xr:uid="{F2DEDE17-5381-434E-91FC-A24B5A2A9568}"/>
    <cellStyle name="Currency 4 3 3 2 5 2 2" xfId="19428" xr:uid="{5FE51EAB-0B6A-4106-9FF9-085D964A5C33}"/>
    <cellStyle name="Currency 4 3 3 2 5 3" xfId="11881" xr:uid="{997E97EB-6E8E-4CCA-B091-B182EDB645CE}"/>
    <cellStyle name="Currency 4 3 3 2 5 3 2" xfId="22261" xr:uid="{D98C5CFD-729B-4D98-8BAC-917EF94E0A0D}"/>
    <cellStyle name="Currency 4 3 3 2 5 4" xfId="27051" xr:uid="{826E9520-A070-4296-B78E-3CD7B68F2EC7}"/>
    <cellStyle name="Currency 4 3 3 2 5 5" xfId="26066" xr:uid="{AC5B1DFC-E7DF-4333-923C-2D3E5D36A2FF}"/>
    <cellStyle name="Currency 4 3 3 2 5 6" xfId="16595" xr:uid="{2AEC2E42-3485-4143-A840-508CDFFB36DC}"/>
    <cellStyle name="Currency 4 3 3 2 6" xfId="5683" xr:uid="{972BBD7A-F399-4590-BF19-5F777C22464B}"/>
    <cellStyle name="Currency 4 3 3 2 6 2" xfId="29960" xr:uid="{345BE57B-A14C-46E4-BE11-3E75A4F5667C}"/>
    <cellStyle name="Currency 4 3 3 2 7" xfId="23079" xr:uid="{FA5A0E59-A3DD-4FCF-886D-7BA328640A88}"/>
    <cellStyle name="Currency 4 3 3 2 8" xfId="13110" xr:uid="{961B7C68-AC7B-4528-AEBD-859B5922B658}"/>
    <cellStyle name="Currency 4 3 3 3" xfId="1892" xr:uid="{00000000-0005-0000-0000-000080030000}"/>
    <cellStyle name="Currency 4 3 3 3 2" xfId="3099" xr:uid="{00000000-0005-0000-0000-00009C020000}"/>
    <cellStyle name="Currency 4 3 3 3 2 2" xfId="8179" xr:uid="{5D357443-C1F7-4A1C-9A8B-79E5CA8A3AF0}"/>
    <cellStyle name="Currency 4 3 3 3 2 2 2" xfId="28848" xr:uid="{389F4B05-E69E-4B79-A5EB-FB4A2C3A844E}"/>
    <cellStyle name="Currency 4 3 3 3 2 2 3" xfId="27250" xr:uid="{BDBEEE43-9FEA-4186-8A77-5F7AE2D391F4}"/>
    <cellStyle name="Currency 4 3 3 3 2 2 4" xfId="18559" xr:uid="{3BF5F718-0A52-45F6-9084-5976DFC6A62C}"/>
    <cellStyle name="Currency 4 3 3 3 2 3" xfId="11012" xr:uid="{60E0BED4-FD2E-46DA-B474-4B3E367F65B5}"/>
    <cellStyle name="Currency 4 3 3 3 2 3 2" xfId="21392" xr:uid="{1525BF26-D227-414E-A4A0-2ED22683DAD2}"/>
    <cellStyle name="Currency 4 3 3 3 2 4" xfId="25186" xr:uid="{614AF8FC-B633-4E2A-995B-43A3D63DE41E}"/>
    <cellStyle name="Currency 4 3 3 3 2 5" xfId="15726" xr:uid="{9EF9895C-16FA-4D39-9EAF-B812BA93A86E}"/>
    <cellStyle name="Currency 4 3 3 3 3" xfId="3663" xr:uid="{00000000-0005-0000-0000-000080030000}"/>
    <cellStyle name="Currency 4 3 3 3 4" xfId="4428" xr:uid="{C8B4E7B0-83F8-4699-88CD-54B2D8F32DAD}"/>
    <cellStyle name="Currency 4 3 3 3 4 2" xfId="9200" xr:uid="{88F62EE2-8CDA-4E15-9F65-299F86D0604F}"/>
    <cellStyle name="Currency 4 3 3 3 4 2 2" xfId="19580" xr:uid="{CC824306-A436-4FA1-9C48-B30A2DE20F78}"/>
    <cellStyle name="Currency 4 3 3 3 4 3" xfId="12033" xr:uid="{EC78C1D7-62E6-412F-A837-6B3BC6F3BBEB}"/>
    <cellStyle name="Currency 4 3 3 3 4 3 2" xfId="22413" xr:uid="{2709CD85-FF35-4D8E-8CC3-10ECB200DCBC}"/>
    <cellStyle name="Currency 4 3 3 3 4 4" xfId="16747" xr:uid="{7F4B26FF-D4A7-46E9-93B3-18D5F33723A2}"/>
    <cellStyle name="Currency 4 3 3 3 5" xfId="5684" xr:uid="{39341862-0181-4C5E-949D-F89F697D04ED}"/>
    <cellStyle name="Currency 4 3 3 3 5 2" xfId="29939" xr:uid="{4694C065-8483-40FD-9382-970E7D4B5686}"/>
    <cellStyle name="Currency 4 3 3 3 6" xfId="23131" xr:uid="{8F53FD9C-35CA-4984-B648-71AC776AAF06}"/>
    <cellStyle name="Currency 4 3 3 3 7" xfId="13614" xr:uid="{1797E221-8C55-4BBC-98CB-F63B9DF2C26F}"/>
    <cellStyle name="Currency 4 3 3 4" xfId="1890" xr:uid="{00000000-0005-0000-0000-000081030000}"/>
    <cellStyle name="Currency 4 3 3 4 2" xfId="3097" xr:uid="{00000000-0005-0000-0000-00009D020000}"/>
    <cellStyle name="Currency 4 3 3 4 2 2" xfId="8177" xr:uid="{75731091-C8C8-4086-9613-B0BFBF99BB4C}"/>
    <cellStyle name="Currency 4 3 3 4 2 2 2" xfId="28846" xr:uid="{A9B7BDBC-3237-4D16-8EB7-E59D345EA710}"/>
    <cellStyle name="Currency 4 3 3 4 2 2 3" xfId="27709" xr:uid="{34106B4D-48C0-422F-B2A2-4705F8BF2F97}"/>
    <cellStyle name="Currency 4 3 3 4 2 2 4" xfId="18557" xr:uid="{B9344271-A5BC-4D7F-9A60-06A53FC305C1}"/>
    <cellStyle name="Currency 4 3 3 4 2 3" xfId="11010" xr:uid="{FAB33934-4D9C-445B-8905-2DFCCCC46A85}"/>
    <cellStyle name="Currency 4 3 3 4 2 3 2" xfId="21390" xr:uid="{2DAF6D68-1EBA-4936-8DF6-49BE2A53F212}"/>
    <cellStyle name="Currency 4 3 3 4 2 4" xfId="25513" xr:uid="{0D7914E2-4B85-432C-BF3E-E82AADB1BCE8}"/>
    <cellStyle name="Currency 4 3 3 4 2 5" xfId="15724" xr:uid="{9B134EE1-DA6C-43CB-81DE-684E88B1AFB6}"/>
    <cellStyle name="Currency 4 3 3 4 3" xfId="3692" xr:uid="{00000000-0005-0000-0000-000081030000}"/>
    <cellStyle name="Currency 4 3 3 4 4" xfId="5682" xr:uid="{FFFF2C30-4094-4398-B9F9-3EFC21446922}"/>
    <cellStyle name="Currency 4 3 3 4 4 2" xfId="30203" xr:uid="{ED612DD0-E6E3-4298-9DD3-0E76B79B5556}"/>
    <cellStyle name="Currency 4 3 3 4 5" xfId="24878" xr:uid="{34060291-EB8B-4FDF-8F6B-C68A873BBE5A}"/>
    <cellStyle name="Currency 4 3 3 4 6" xfId="13612" xr:uid="{DBF80413-4B85-4FD0-8623-469CE5DB1163}"/>
    <cellStyle name="Currency 4 3 3 5" xfId="2634" xr:uid="{00000000-0005-0000-0000-00009E020000}"/>
    <cellStyle name="Currency 4 3 3 5 2" xfId="5896" xr:uid="{30465DA8-295D-4FD1-975C-B9501B7FDABB}"/>
    <cellStyle name="Currency 4 3 3 5 2 2" xfId="28539" xr:uid="{D45496F4-22F6-4EDB-8423-1E500DA34D54}"/>
    <cellStyle name="Currency 4 3 3 5 2 3" xfId="26513" xr:uid="{D37A4C49-08CB-4830-9C8E-9A3C743A1751}"/>
    <cellStyle name="Currency 4 3 3 5 2 4" xfId="15306" xr:uid="{03AF7162-17DC-47F8-BB8B-C360C6A5E3D7}"/>
    <cellStyle name="Currency 4 3 3 5 3" xfId="7759" xr:uid="{CD4E4338-ED5C-4DB3-B49F-56E7FE929F23}"/>
    <cellStyle name="Currency 4 3 3 5 3 2" xfId="18139" xr:uid="{BF2569F1-CDEE-4A66-94C7-73C62BD4EB5C}"/>
    <cellStyle name="Currency 4 3 3 5 4" xfId="10592" xr:uid="{EAB99A54-5986-4ED6-91B2-5BE26F1B2864}"/>
    <cellStyle name="Currency 4 3 3 5 4 2" xfId="20972" xr:uid="{A67839FB-8767-4BA5-A560-9AE78FC03245}"/>
    <cellStyle name="Currency 4 3 3 5 5" xfId="23408" xr:uid="{FE6B56DB-BA94-4381-A568-A113EC141101}"/>
    <cellStyle name="Currency 4 3 3 5 6" xfId="13022" xr:uid="{986DF7A8-CB28-4B4A-9794-FE267059F919}"/>
    <cellStyle name="Currency 4 3 3 6" xfId="4139" xr:uid="{6B123A2A-35D1-4A82-89EB-FD8F530B11B4}"/>
    <cellStyle name="Currency 4 3 3 6 2" xfId="8911" xr:uid="{2AA728DB-79E0-434A-A116-CC49DDAE427A}"/>
    <cellStyle name="Currency 4 3 3 6 2 2" xfId="19291" xr:uid="{BFFE1D5F-ECAF-4472-A238-DD25F93BE0A5}"/>
    <cellStyle name="Currency 4 3 3 6 3" xfId="11744" xr:uid="{31C873FB-3A67-447A-916B-1B6FA9E3B8AA}"/>
    <cellStyle name="Currency 4 3 3 6 3 2" xfId="22124" xr:uid="{C2F14EF1-3B83-482B-AAA2-439783D70DF3}"/>
    <cellStyle name="Currency 4 3 3 6 4" xfId="24705" xr:uid="{4309507B-EF60-4074-9701-FB124E1202DD}"/>
    <cellStyle name="Currency 4 3 3 6 5" xfId="25998" xr:uid="{DA3EAE5A-1285-4AF0-93AA-0E5AC0CEA453}"/>
    <cellStyle name="Currency 4 3 3 6 6" xfId="16458" xr:uid="{5E5F0659-D264-4DC8-95F8-E400C140D3EA}"/>
    <cellStyle name="Currency 4 3 3 7" xfId="4949" xr:uid="{C4D5D6D7-A836-410F-A574-41204BD7140B}"/>
    <cellStyle name="Currency 4 3 3 7 2" xfId="27578" xr:uid="{6C095663-747A-4181-9A96-532C6BCFB1CC}"/>
    <cellStyle name="Currency 4 3 3 7 3" xfId="27143" xr:uid="{D5E4766A-3BE3-4BF4-B0B2-EB170B5B6CA6}"/>
    <cellStyle name="Currency 4 3 3 7 4" xfId="14244" xr:uid="{D0D72598-D96B-4636-B304-F39020885D2D}"/>
    <cellStyle name="Currency 4 3 3 8" xfId="6697" xr:uid="{977495BE-1DF0-4EDE-A4A1-41A24A5790A3}"/>
    <cellStyle name="Currency 4 3 3 8 2" xfId="17077" xr:uid="{F717E167-9746-4026-B445-1B738C09ECD1}"/>
    <cellStyle name="Currency 4 3 3 9" xfId="9530" xr:uid="{E4334F6A-5E5F-40A4-BA5C-9E120F5BA3A6}"/>
    <cellStyle name="Currency 4 3 3 9 2" xfId="19910" xr:uid="{5BB767F8-A693-49B8-8B5B-3E0A0EB5EF1E}"/>
    <cellStyle name="Currency 4 3 4" xfId="567" xr:uid="{00000000-0005-0000-0000-000082030000}"/>
    <cellStyle name="Currency 4 3 4 10" xfId="13108" xr:uid="{AE740A6D-D45A-41E1-8273-9F297354F55A}"/>
    <cellStyle name="Currency 4 3 4 2" xfId="1894" xr:uid="{00000000-0005-0000-0000-000083030000}"/>
    <cellStyle name="Currency 4 3 4 2 2" xfId="3100" xr:uid="{00000000-0005-0000-0000-0000A0020000}"/>
    <cellStyle name="Currency 4 3 4 2 2 2" xfId="8180" xr:uid="{8AE1DDD6-2F21-49C5-B8C6-F52A50611B85}"/>
    <cellStyle name="Currency 4 3 4 2 2 2 2" xfId="28849" xr:uid="{2AEB745B-9CFB-4146-9EB2-3C2423E878BB}"/>
    <cellStyle name="Currency 4 3 4 2 2 2 3" xfId="27435" xr:uid="{27C29BB6-0D2D-4B52-A89C-F7B556C93D73}"/>
    <cellStyle name="Currency 4 3 4 2 2 2 4" xfId="18560" xr:uid="{58809F57-2B38-4802-BF8E-4A86F6A2186C}"/>
    <cellStyle name="Currency 4 3 4 2 2 3" xfId="11013" xr:uid="{A3B24448-6335-4720-A2C9-621BDF34B786}"/>
    <cellStyle name="Currency 4 3 4 2 2 3 2" xfId="21393" xr:uid="{9C3A51D5-237D-4870-8D4C-49825FECA1E4}"/>
    <cellStyle name="Currency 4 3 4 2 2 4" xfId="23881" xr:uid="{51FD7B37-87BC-4AFC-ADD7-D314DF309365}"/>
    <cellStyle name="Currency 4 3 4 2 2 5" xfId="15727" xr:uid="{47C9BDD8-BA39-499A-9171-FE30EE837C58}"/>
    <cellStyle name="Currency 4 3 4 2 3" xfId="3628" xr:uid="{00000000-0005-0000-0000-000083030000}"/>
    <cellStyle name="Currency 4 3 4 2 4" xfId="5685" xr:uid="{61FA4F1F-147C-45F5-8CB7-1B0BF2586D1D}"/>
    <cellStyle name="Currency 4 3 4 2 4 2" xfId="30204" xr:uid="{473DD819-9DBD-4800-BE8B-9D8FE4DCEDC5}"/>
    <cellStyle name="Currency 4 3 4 2 5" xfId="23194" xr:uid="{56FD0A9D-05CC-4AFD-9BCB-9FAF22FC024B}"/>
    <cellStyle name="Currency 4 3 4 2 6" xfId="13615" xr:uid="{2BC2A876-45C4-4DD6-AFEF-F320778FC734}"/>
    <cellStyle name="Currency 4 3 4 3" xfId="1895" xr:uid="{00000000-0005-0000-0000-000084030000}"/>
    <cellStyle name="Currency 4 3 4 3 2" xfId="4673" xr:uid="{FC46B6DE-95DF-48B7-89E0-F85CC2E3B4FC}"/>
    <cellStyle name="Currency 4 3 4 3 2 2" xfId="9413" xr:uid="{C830E2BF-63CA-4B55-89D4-19C026E0371F}"/>
    <cellStyle name="Currency 4 3 4 3 2 2 2" xfId="19793" xr:uid="{BDFB18EF-1D44-4ADF-B996-56BA3193D84B}"/>
    <cellStyle name="Currency 4 3 4 3 2 3" xfId="12246" xr:uid="{05777228-4C2C-4BCB-84B0-0CA92B2C0925}"/>
    <cellStyle name="Currency 4 3 4 3 2 3 2" xfId="22626" xr:uid="{124C1774-841D-4E92-9868-6659CFDD3911}"/>
    <cellStyle name="Currency 4 3 4 3 2 4" xfId="27571" xr:uid="{2B944392-4C06-4870-9C5C-35925D1716EE}"/>
    <cellStyle name="Currency 4 3 4 3 2 5" xfId="27077" xr:uid="{BCD72EFD-AFA5-415B-B905-191A0B6B1AFD}"/>
    <cellStyle name="Currency 4 3 4 3 2 6" xfId="16960" xr:uid="{CB2F6201-3F3D-42C1-BE4E-85EB8E0C8C23}"/>
    <cellStyle name="Currency 4 3 4 3 3" xfId="24793" xr:uid="{704EF74D-05DA-4D4E-81E7-7F257B0BFD73}"/>
    <cellStyle name="Currency 4 3 4 3 3 2" xfId="30146" xr:uid="{A23E9112-030A-47D0-A00E-886E7769E1FB}"/>
    <cellStyle name="Currency 4 3 4 3 4" xfId="30258" xr:uid="{AB87D630-E7C0-4E02-B85F-02E6CCD582CF}"/>
    <cellStyle name="Currency 4 3 4 4" xfId="1893" xr:uid="{00000000-0005-0000-0000-000085030000}"/>
    <cellStyle name="Currency 4 3 4 5" xfId="4274" xr:uid="{F91ACA83-4F2D-4012-ADCB-25A69197F09D}"/>
    <cellStyle name="Currency 4 3 4 5 2" xfId="9046" xr:uid="{BAA519F8-BB36-43DB-BD39-CE9712C067E0}"/>
    <cellStyle name="Currency 4 3 4 5 2 2" xfId="19426" xr:uid="{65CE24DD-BF71-43F7-9085-07995EA112DC}"/>
    <cellStyle name="Currency 4 3 4 5 3" xfId="11879" xr:uid="{1D267E38-EAEA-4AA5-99A3-A6D3F8F2F5ED}"/>
    <cellStyle name="Currency 4 3 4 5 3 2" xfId="22259" xr:uid="{EFC23FBC-FD34-4D6B-9C27-A797C61C3AF5}"/>
    <cellStyle name="Currency 4 3 4 5 4" xfId="27829" xr:uid="{7CEA81F8-915D-4A38-988A-7948ECEFB604}"/>
    <cellStyle name="Currency 4 3 4 5 5" xfId="28555" xr:uid="{E7734652-6C3F-4F0D-96AD-ABF938A9F511}"/>
    <cellStyle name="Currency 4 3 4 5 6" xfId="16593" xr:uid="{3B81F487-7C4D-4339-AEB5-257283E08EAA}"/>
    <cellStyle name="Currency 4 3 4 6" xfId="4950" xr:uid="{030DFC46-68C6-48EC-A562-735E9351B92C}"/>
    <cellStyle name="Currency 4 3 4 6 2" xfId="14245" xr:uid="{95223E6A-58A3-4A37-BE3B-B296D9027FD0}"/>
    <cellStyle name="Currency 4 3 4 7" xfId="6698" xr:uid="{9FEF5103-A120-4214-8154-D7122FB63341}"/>
    <cellStyle name="Currency 4 3 4 7 2" xfId="17078" xr:uid="{DC476D78-A6CD-4F39-B1BB-85870CB30E12}"/>
    <cellStyle name="Currency 4 3 4 8" xfId="9531" xr:uid="{6869894A-9083-4BBC-8B94-A2F55E090560}"/>
    <cellStyle name="Currency 4 3 4 8 2" xfId="19911" xr:uid="{BE929E4D-6764-43FE-A142-789698901C59}"/>
    <cellStyle name="Currency 4 3 4 9" xfId="24022" xr:uid="{6EA85735-1263-470C-9A08-C9A8953A5A63}"/>
    <cellStyle name="Currency 4 3 5" xfId="1896" xr:uid="{00000000-0005-0000-0000-000086030000}"/>
    <cellStyle name="Currency 4 3 5 2" xfId="3101" xr:uid="{00000000-0005-0000-0000-0000A1020000}"/>
    <cellStyle name="Currency 4 3 5 2 2" xfId="8181" xr:uid="{087061CE-0A29-40D7-AEC0-35E907205918}"/>
    <cellStyle name="Currency 4 3 5 2 2 2" xfId="28850" xr:uid="{0D1D4FAA-A692-4A2B-93B6-4B280AB9AECA}"/>
    <cellStyle name="Currency 4 3 5 2 2 3" xfId="27820" xr:uid="{22F52395-28E4-4932-93E2-115E61BE8B7B}"/>
    <cellStyle name="Currency 4 3 5 2 2 4" xfId="18561" xr:uid="{D722F38D-F55F-4E21-8EFC-D462EBFBA666}"/>
    <cellStyle name="Currency 4 3 5 2 3" xfId="11014" xr:uid="{D088AC67-98D9-4721-9256-0DAAD732BA06}"/>
    <cellStyle name="Currency 4 3 5 2 3 2" xfId="21394" xr:uid="{D435C61C-2FAF-4831-9980-AD606B14E2B8}"/>
    <cellStyle name="Currency 4 3 5 2 4" xfId="23575" xr:uid="{9C3BAC46-B5C7-4513-B6F2-CEA7C1979815}"/>
    <cellStyle name="Currency 4 3 5 2 5" xfId="15728" xr:uid="{72243DB0-BA44-4ECB-AD3D-E32CE0FDB110}"/>
    <cellStyle name="Currency 4 3 5 3" xfId="3560" xr:uid="{00000000-0005-0000-0000-000086030000}"/>
    <cellStyle name="Currency 4 3 5 4" xfId="4429" xr:uid="{B29F8216-9F8D-482A-828C-7107F57C7913}"/>
    <cellStyle name="Currency 4 3 5 4 2" xfId="9201" xr:uid="{0649228C-693A-4A74-97E4-B82EA40458D9}"/>
    <cellStyle name="Currency 4 3 5 4 2 2" xfId="19581" xr:uid="{61DA59B9-544E-4109-B3CB-8971F4F8CE50}"/>
    <cellStyle name="Currency 4 3 5 4 3" xfId="12034" xr:uid="{D6195DAA-53EE-41FE-A33E-08B3D8B942F0}"/>
    <cellStyle name="Currency 4 3 5 4 3 2" xfId="22414" xr:uid="{2623672B-EB3B-4F7E-BCC4-1F8C278D1051}"/>
    <cellStyle name="Currency 4 3 5 4 4" xfId="16748" xr:uid="{22ED227D-3A11-4111-AACB-FF1E6F351120}"/>
    <cellStyle name="Currency 4 3 5 5" xfId="5686" xr:uid="{7E96A1D9-66E5-4FBA-9768-97165FB23BD1}"/>
    <cellStyle name="Currency 4 3 5 5 2" xfId="29918" xr:uid="{F3EFA60E-236F-48E5-93C8-7E9956B62A82}"/>
    <cellStyle name="Currency 4 3 5 6" xfId="25171" xr:uid="{5FAEF081-7E2E-41CB-99FB-6D5A7583AB2D}"/>
    <cellStyle name="Currency 4 3 5 7" xfId="13616" xr:uid="{4C3D984E-B103-40C6-8BE6-58158F3D54A0}"/>
    <cellStyle name="Currency 4 3 6" xfId="1897" xr:uid="{00000000-0005-0000-0000-000087030000}"/>
    <cellStyle name="Currency 4 3 6 2" xfId="2884" xr:uid="{00000000-0005-0000-0000-0000A2020000}"/>
    <cellStyle name="Currency 4 3 6 2 2" xfId="8001" xr:uid="{74124B81-524A-4799-99E9-7BD3E0A5D31B}"/>
    <cellStyle name="Currency 4 3 6 2 2 2" xfId="25837" xr:uid="{6795BBEC-4B08-418A-8583-1E6541133F36}"/>
    <cellStyle name="Currency 4 3 6 2 2 3" xfId="28224" xr:uid="{6E514E81-DECF-4892-872D-B0168FF66791}"/>
    <cellStyle name="Currency 4 3 6 2 2 4" xfId="18381" xr:uid="{E5D29A37-B5CD-4DF4-AB5C-D1DFE2305AFA}"/>
    <cellStyle name="Currency 4 3 6 2 3" xfId="10834" xr:uid="{6C856AB7-B618-4128-83E5-3C8D49B3AE84}"/>
    <cellStyle name="Currency 4 3 6 2 3 2" xfId="21214" xr:uid="{026C891D-38F0-47C6-BE0E-A3DD0406CBA4}"/>
    <cellStyle name="Currency 4 3 6 2 4" xfId="22848" xr:uid="{F99703F3-B22F-4351-8728-4842B8BA4150}"/>
    <cellStyle name="Currency 4 3 6 2 5" xfId="15548" xr:uid="{9A548102-19BA-4234-B71F-35FD9771DD80}"/>
    <cellStyle name="Currency 4 3 6 3" xfId="3589" xr:uid="{00000000-0005-0000-0000-000087030000}"/>
    <cellStyle name="Currency 4 3 6 4" xfId="5687" xr:uid="{167B630D-F127-4469-8162-A32592159BAA}"/>
    <cellStyle name="Currency 4 3 6 4 2" xfId="30161" xr:uid="{DE5A6F7A-0D44-4B27-9A41-439B12776D28}"/>
    <cellStyle name="Currency 4 3 6 5" xfId="25218" xr:uid="{36C5E636-26E2-4622-AD43-BDBD8D288012}"/>
    <cellStyle name="Currency 4 3 6 6" xfId="13383" xr:uid="{BDCCAD98-CB43-420D-90F1-27CA2F3F0D19}"/>
    <cellStyle name="Currency 4 3 7" xfId="1883" xr:uid="{00000000-0005-0000-0000-000088030000}"/>
    <cellStyle name="Currency 4 3 7 2" xfId="2471" xr:uid="{00000000-0005-0000-0000-0000A3020000}"/>
    <cellStyle name="Currency 4 3 7 2 2" xfId="7596" xr:uid="{35277BF4-85D6-4DDF-A5A9-0BB656953092}"/>
    <cellStyle name="Currency 4 3 7 2 2 2" xfId="17976" xr:uid="{00B577A0-E585-4383-87BF-D644932D10CA}"/>
    <cellStyle name="Currency 4 3 7 2 3" xfId="10429" xr:uid="{1E7E954D-F4BC-4D52-B7A7-62A586FA092D}"/>
    <cellStyle name="Currency 4 3 7 2 3 2" xfId="20809" xr:uid="{FB59F1BA-6212-4581-8480-DB9AD295B4D3}"/>
    <cellStyle name="Currency 4 3 7 2 4" xfId="27165" xr:uid="{859CFEFB-53CA-4B7E-813F-16FD5EA8AB12}"/>
    <cellStyle name="Currency 4 3 7 2 5" xfId="28676" xr:uid="{C8E56A8A-E7D9-4A16-87B8-2F638FE792EF}"/>
    <cellStyle name="Currency 4 3 7 2 6" xfId="15143" xr:uid="{AE777392-77DF-479D-B976-9ABB8D658E94}"/>
    <cellStyle name="Currency 4 3 7 3" xfId="3702" xr:uid="{00000000-0005-0000-0000-000088030000}"/>
    <cellStyle name="Currency 4 3 7 4" xfId="5677" xr:uid="{E2521B25-7D48-4716-AE33-2479DAA07BA6}"/>
    <cellStyle name="Currency 4 3 7 4 2" xfId="30098" xr:uid="{5929BD65-C6FC-4A34-8653-EA6CEE4D2F12}"/>
    <cellStyle name="Currency 4 3 7 5" xfId="25063" xr:uid="{0D87D897-DA24-4F46-95B8-8298DAF32F7B}"/>
    <cellStyle name="Currency 4 3 7 6" xfId="12859" xr:uid="{5247CC81-3C80-448B-A7A4-837570488085}"/>
    <cellStyle name="Currency 4 3 8" xfId="2225" xr:uid="{00000000-0005-0000-0000-000092020000}"/>
    <cellStyle name="Currency 4 3 8 2" xfId="7352" xr:uid="{B5806281-0079-4A9D-A756-81AD65AD44FE}"/>
    <cellStyle name="Currency 4 3 8 2 2" xfId="17732" xr:uid="{3C5FD1D2-517A-4B9F-B94B-117F3371827D}"/>
    <cellStyle name="Currency 4 3 8 3" xfId="10185" xr:uid="{F031D557-6255-451B-80EA-F08A9F594EFC}"/>
    <cellStyle name="Currency 4 3 8 3 2" xfId="20565" xr:uid="{0B09AA96-5D23-49E3-925C-3F8A727C3400}"/>
    <cellStyle name="Currency 4 3 8 4" xfId="24620" xr:uid="{3DDFCC10-D393-43AB-94BC-22E785DA803E}"/>
    <cellStyle name="Currency 4 3 8 5" xfId="27280" xr:uid="{64CAF36B-F3AB-4AF9-8E1E-75348DF5CA28}"/>
    <cellStyle name="Currency 4 3 8 6" xfId="14899" xr:uid="{19ACD2B1-BC17-4050-8824-312BD00E30D6}"/>
    <cellStyle name="Currency 4 3 9" xfId="3884" xr:uid="{685CFCD8-CDB7-4015-8D35-50302F345A20}"/>
    <cellStyle name="Currency 4 3 9 2" xfId="8716" xr:uid="{8F84AFEA-39EF-46C8-8593-D237744CD0FC}"/>
    <cellStyle name="Currency 4 3 9 2 2" xfId="19096" xr:uid="{0C377D4E-80B1-4051-9438-5403749A64FE}"/>
    <cellStyle name="Currency 4 3 9 3" xfId="11549" xr:uid="{0BB00F3B-32C6-45D3-8764-2C694BF52872}"/>
    <cellStyle name="Currency 4 3 9 3 2" xfId="21929" xr:uid="{C3744CEE-0F3B-439F-AE70-7556DF7FA767}"/>
    <cellStyle name="Currency 4 3 9 4" xfId="27025" xr:uid="{7366C550-7A2A-46C4-B2C6-9FA891548DF0}"/>
    <cellStyle name="Currency 4 3 9 5" xfId="25933" xr:uid="{616CD1AB-1B85-44E7-9724-B42505400F6B}"/>
    <cellStyle name="Currency 4 3 9 6" xfId="16263" xr:uid="{EDA75DD9-58EA-492E-8249-0664B4196C9A}"/>
    <cellStyle name="Currency 4 4" xfId="568" xr:uid="{00000000-0005-0000-0000-000089030000}"/>
    <cellStyle name="Currency 4 4 10" xfId="6699" xr:uid="{404CEE2B-BD34-48EE-B90B-E3D8AC3D9FC6}"/>
    <cellStyle name="Currency 4 4 10 2" xfId="17079" xr:uid="{45E71150-9A8E-45BF-917B-DDE4AC91A546}"/>
    <cellStyle name="Currency 4 4 11" xfId="9532" xr:uid="{CBB5FE6E-E9CC-4D61-926F-9DED3D90AEED}"/>
    <cellStyle name="Currency 4 4 11 2" xfId="19912" xr:uid="{48800006-4CE4-48BA-A891-70824E9FF7EE}"/>
    <cellStyle name="Currency 4 4 12" xfId="25098" xr:uid="{77469EB1-1EFB-4C22-A1EE-BED7AA70A80D}"/>
    <cellStyle name="Currency 4 4 13" xfId="12437" xr:uid="{8CB51D5A-F1E7-4E3A-9646-89AA26D74E5B}"/>
    <cellStyle name="Currency 4 4 2" xfId="569" xr:uid="{00000000-0005-0000-0000-00008A030000}"/>
    <cellStyle name="Currency 4 4 2 10" xfId="9533" xr:uid="{BA4B807B-EBC4-4CE9-9480-9551FC4002E6}"/>
    <cellStyle name="Currency 4 4 2 10 2" xfId="19913" xr:uid="{2B0EBC39-CF5A-4313-97C3-FE1473BB0A80}"/>
    <cellStyle name="Currency 4 4 2 11" xfId="23203" xr:uid="{63598945-3864-4262-B140-8013553060D5}"/>
    <cellStyle name="Currency 4 4 2 12" xfId="12528" xr:uid="{5789DC16-1E00-4F5A-A367-B8B17870A40B}"/>
    <cellStyle name="Currency 4 4 2 2" xfId="570" xr:uid="{00000000-0005-0000-0000-00008B030000}"/>
    <cellStyle name="Currency 4 4 2 2 10" xfId="13112" xr:uid="{D6539105-A78B-4395-96BE-89FF952F2316}"/>
    <cellStyle name="Currency 4 4 2 2 2" xfId="1901" xr:uid="{00000000-0005-0000-0000-00008C030000}"/>
    <cellStyle name="Currency 4 4 2 2 2 2" xfId="3103" xr:uid="{00000000-0005-0000-0000-0000A7020000}"/>
    <cellStyle name="Currency 4 4 2 2 2 2 2" xfId="8183" xr:uid="{904F3012-57A0-4FAC-A0C4-16E2551489D6}"/>
    <cellStyle name="Currency 4 4 2 2 2 2 2 2" xfId="28852" xr:uid="{F9DF3389-46C0-4F6D-87EA-4F9FA8FDD3EC}"/>
    <cellStyle name="Currency 4 4 2 2 2 2 2 3" xfId="26209" xr:uid="{A847656F-3BE7-420F-8BB9-FE71ECFC7CB1}"/>
    <cellStyle name="Currency 4 4 2 2 2 2 2 4" xfId="18563" xr:uid="{F9C791EA-47C4-4D6F-84B3-278E92AA242F}"/>
    <cellStyle name="Currency 4 4 2 2 2 2 3" xfId="11016" xr:uid="{B479306D-E10B-45A5-9E29-8F290E3E7518}"/>
    <cellStyle name="Currency 4 4 2 2 2 2 3 2" xfId="21396" xr:uid="{7B3583D4-0490-439D-9C9D-67AB612751A6}"/>
    <cellStyle name="Currency 4 4 2 2 2 2 4" xfId="25770" xr:uid="{ADDBE3C1-5401-4A68-A34B-E3EEB1E9444B}"/>
    <cellStyle name="Currency 4 4 2 2 2 2 5" xfId="15730" xr:uid="{FC29D236-847B-4302-B653-8FA99C016C7C}"/>
    <cellStyle name="Currency 4 4 2 2 2 3" xfId="2060" xr:uid="{00000000-0005-0000-0000-00008C030000}"/>
    <cellStyle name="Currency 4 4 2 2 2 4" xfId="5689" xr:uid="{49DCF050-5439-44B0-B2A0-27FBC55DC5F2}"/>
    <cellStyle name="Currency 4 4 2 2 2 4 2" xfId="30206" xr:uid="{112B2D25-0831-4799-964B-C3E9810B918D}"/>
    <cellStyle name="Currency 4 4 2 2 2 5" xfId="25500" xr:uid="{6C76CE48-A73C-420F-850E-F2D87934E8E8}"/>
    <cellStyle name="Currency 4 4 2 2 2 6" xfId="13618" xr:uid="{B236BE07-737A-4F1E-AECD-C28CF3BB3BBF}"/>
    <cellStyle name="Currency 4 4 2 2 3" xfId="1902" xr:uid="{00000000-0005-0000-0000-00008D030000}"/>
    <cellStyle name="Currency 4 4 2 2 3 2" xfId="4638" xr:uid="{0C00C94B-26DF-4D56-86FA-2DE02AE2073A}"/>
    <cellStyle name="Currency 4 4 2 2 3 2 2" xfId="9401" xr:uid="{8FB0F8C5-0716-4305-9138-95591A01C0EC}"/>
    <cellStyle name="Currency 4 4 2 2 3 2 2 2" xfId="19781" xr:uid="{EA6C1482-82CF-48AC-AB9E-080BC2C233C5}"/>
    <cellStyle name="Currency 4 4 2 2 3 2 3" xfId="12234" xr:uid="{0EF530DB-0878-4B04-871E-A8959322BCC1}"/>
    <cellStyle name="Currency 4 4 2 2 3 2 3 2" xfId="22614" xr:uid="{1E50517A-98E6-403B-AAB3-C323593220CF}"/>
    <cellStyle name="Currency 4 4 2 2 3 2 4" xfId="28533" xr:uid="{C961A8A3-2CAC-486B-AA24-F13E980734BC}"/>
    <cellStyle name="Currency 4 4 2 2 3 2 5" xfId="27742" xr:uid="{BEA10562-25F9-4A67-ABCB-2331AD229B15}"/>
    <cellStyle name="Currency 4 4 2 2 3 2 6" xfId="16948" xr:uid="{1E765E18-2498-4D09-BA71-010723323D88}"/>
    <cellStyle name="Currency 4 4 2 2 3 3" xfId="25167" xr:uid="{6CF94AE3-F2BC-4D46-A438-01193BD28FD6}"/>
    <cellStyle name="Currency 4 4 2 2 3 3 2" xfId="30149" xr:uid="{1BAB13FC-EFDE-4B83-8B42-4AB5CA85ED31}"/>
    <cellStyle name="Currency 4 4 2 2 3 4" xfId="30260" xr:uid="{4469CBE9-03B0-4646-B8C8-E21A53EECE38}"/>
    <cellStyle name="Currency 4 4 2 2 4" xfId="1900" xr:uid="{00000000-0005-0000-0000-00008E030000}"/>
    <cellStyle name="Currency 4 4 2 2 4 2" xfId="26967" xr:uid="{7B61A0D3-E365-47E1-BF65-D22D21EAE7CE}"/>
    <cellStyle name="Currency 4 4 2 2 4 3" xfId="26338" xr:uid="{E01B3AF2-4017-4494-9A21-EB0A702E2343}"/>
    <cellStyle name="Currency 4 4 2 2 5" xfId="4277" xr:uid="{6DC5CC5C-81B1-41CA-AF6F-42D5C858E366}"/>
    <cellStyle name="Currency 4 4 2 2 5 2" xfId="9049" xr:uid="{872823FF-714C-4919-9973-525F488C0AD6}"/>
    <cellStyle name="Currency 4 4 2 2 5 2 2" xfId="19429" xr:uid="{DA923F79-00BA-43E4-88B8-1823DF5B7DDC}"/>
    <cellStyle name="Currency 4 4 2 2 5 3" xfId="11882" xr:uid="{4488F104-BB63-424A-B6A4-DF65B16FE62A}"/>
    <cellStyle name="Currency 4 4 2 2 5 3 2" xfId="22262" xr:uid="{335289AC-A5B9-4F76-87A6-C8B175484858}"/>
    <cellStyle name="Currency 4 4 2 2 5 4" xfId="28125" xr:uid="{13C84519-E98E-4148-B72C-47FE7DBA1F15}"/>
    <cellStyle name="Currency 4 4 2 2 5 5" xfId="27306" xr:uid="{B8E4A41B-B127-429B-98E1-6EF7377FA336}"/>
    <cellStyle name="Currency 4 4 2 2 5 6" xfId="16596" xr:uid="{67B8AC4C-076B-42B0-9A7C-6FC78E05BE64}"/>
    <cellStyle name="Currency 4 4 2 2 6" xfId="4953" xr:uid="{EAAD5C14-B388-4533-BDE9-BA38E3AF803A}"/>
    <cellStyle name="Currency 4 4 2 2 6 2" xfId="25889" xr:uid="{E49C18D3-FB38-469E-8EA2-39A1D214DC13}"/>
    <cellStyle name="Currency 4 4 2 2 6 3" xfId="28567" xr:uid="{2E1853E3-62B7-4CC5-B257-0D16C2DE95E9}"/>
    <cellStyle name="Currency 4 4 2 2 6 4" xfId="14248" xr:uid="{8F5DAE46-A7AD-4C60-AF86-494ADEBA80E8}"/>
    <cellStyle name="Currency 4 4 2 2 7" xfId="6701" xr:uid="{53544C6D-2AA2-4246-8F53-958AF5BCE891}"/>
    <cellStyle name="Currency 4 4 2 2 7 2" xfId="17081" xr:uid="{21941154-B79A-4F77-838D-8F5E673FC827}"/>
    <cellStyle name="Currency 4 4 2 2 8" xfId="9534" xr:uid="{1D27AFAA-4D01-4EE1-B2E9-62A529030E4B}"/>
    <cellStyle name="Currency 4 4 2 2 8 2" xfId="19914" xr:uid="{ED8FA4F6-2117-4996-B6FC-DDA7A2612F4F}"/>
    <cellStyle name="Currency 4 4 2 2 9" xfId="23043" xr:uid="{61B35C58-98F4-487B-AA0D-5B8797BD6998}"/>
    <cellStyle name="Currency 4 4 2 3" xfId="1903" xr:uid="{00000000-0005-0000-0000-00008F030000}"/>
    <cellStyle name="Currency 4 4 2 3 2" xfId="3104" xr:uid="{00000000-0005-0000-0000-0000A8020000}"/>
    <cellStyle name="Currency 4 4 2 3 2 2" xfId="8184" xr:uid="{3B528368-0FAA-46F3-A206-3A93A5B139D4}"/>
    <cellStyle name="Currency 4 4 2 3 2 2 2" xfId="28853" xr:uid="{A30D016A-33D0-433E-9A70-42BF902C9450}"/>
    <cellStyle name="Currency 4 4 2 3 2 2 3" xfId="26573" xr:uid="{CAF3D6DB-8A27-4249-9DF8-58FA3009249E}"/>
    <cellStyle name="Currency 4 4 2 3 2 2 4" xfId="18564" xr:uid="{59533188-AAA2-4A27-84AC-9B729203AB49}"/>
    <cellStyle name="Currency 4 4 2 3 2 3" xfId="11017" xr:uid="{59A4FE0E-396F-4DB4-BED8-6EA8B4E36012}"/>
    <cellStyle name="Currency 4 4 2 3 2 3 2" xfId="21397" xr:uid="{3C3A709D-827E-4127-A388-92EE304839C4}"/>
    <cellStyle name="Currency 4 4 2 3 2 4" xfId="23262" xr:uid="{12A27AB1-F8A3-47B3-9C80-05B24D69BA66}"/>
    <cellStyle name="Currency 4 4 2 3 2 5" xfId="15731" xr:uid="{8E99F1F0-99DF-4F1D-BEBD-3FA027A3087B}"/>
    <cellStyle name="Currency 4 4 2 3 3" xfId="3693" xr:uid="{00000000-0005-0000-0000-00008F030000}"/>
    <cellStyle name="Currency 4 4 2 3 4" xfId="4430" xr:uid="{F8CB2A5C-4D26-4BAD-8830-9C4F07E2F2A3}"/>
    <cellStyle name="Currency 4 4 2 3 4 2" xfId="9202" xr:uid="{4DC3113D-FC04-454A-85D0-39366B9F0756}"/>
    <cellStyle name="Currency 4 4 2 3 4 2 2" xfId="19582" xr:uid="{A8304793-2B18-4B4C-9B60-EDFE5C9562EF}"/>
    <cellStyle name="Currency 4 4 2 3 4 3" xfId="12035" xr:uid="{CC4055C3-9AB9-48BA-B8E9-6F062B9F8F27}"/>
    <cellStyle name="Currency 4 4 2 3 4 3 2" xfId="22415" xr:uid="{3A3D4CBD-6E01-4641-AD71-CF8A85125E52}"/>
    <cellStyle name="Currency 4 4 2 3 4 4" xfId="16749" xr:uid="{9F1DF4B1-6A9D-463B-89D0-8A2B6CDAB99D}"/>
    <cellStyle name="Currency 4 4 2 3 5" xfId="5690" xr:uid="{C340B98F-AC3B-46E2-A9ED-DC08D3F861F0}"/>
    <cellStyle name="Currency 4 4 2 3 5 2" xfId="29935" xr:uid="{BFFF6479-44C4-4F71-AE98-7B3AD528A9C5}"/>
    <cellStyle name="Currency 4 4 2 3 6" xfId="23543" xr:uid="{46D9FF0A-A3C3-41E8-8AD7-2B3DFD6AED77}"/>
    <cellStyle name="Currency 4 4 2 3 7" xfId="13619" xr:uid="{542F7D67-A4C1-4700-BB7E-DADA16235EDD}"/>
    <cellStyle name="Currency 4 4 2 4" xfId="1904" xr:uid="{00000000-0005-0000-0000-000090030000}"/>
    <cellStyle name="Currency 4 4 2 4 2" xfId="3102" xr:uid="{00000000-0005-0000-0000-0000A9020000}"/>
    <cellStyle name="Currency 4 4 2 4 2 2" xfId="8182" xr:uid="{17B8D159-7256-494F-B250-69E5D9BAD987}"/>
    <cellStyle name="Currency 4 4 2 4 2 2 2" xfId="28851" xr:uid="{EC7EE37A-1F50-4984-B8F6-00D4FE7D8E0D}"/>
    <cellStyle name="Currency 4 4 2 4 2 2 3" xfId="28630" xr:uid="{C9A4E31C-CD58-49A0-9548-1EEEE3BD061D}"/>
    <cellStyle name="Currency 4 4 2 4 2 2 4" xfId="18562" xr:uid="{2FBDEEA3-5C6D-4F5E-AA43-C3D5A9AD4D5E}"/>
    <cellStyle name="Currency 4 4 2 4 2 3" xfId="11015" xr:uid="{5CA98DED-1729-4747-B387-2556E0E9DF5F}"/>
    <cellStyle name="Currency 4 4 2 4 2 3 2" xfId="21395" xr:uid="{64DE3F4C-3939-4F6B-80DF-1E2EF6213C4F}"/>
    <cellStyle name="Currency 4 4 2 4 2 4" xfId="23675" xr:uid="{66CB5B40-14CE-477C-AA1C-4296E2E86AD6}"/>
    <cellStyle name="Currency 4 4 2 4 2 5" xfId="15729" xr:uid="{04B5EFF6-90EA-46B9-8433-3DA27578DA20}"/>
    <cellStyle name="Currency 4 4 2 4 3" xfId="3558" xr:uid="{00000000-0005-0000-0000-000090030000}"/>
    <cellStyle name="Currency 4 4 2 4 4" xfId="5691" xr:uid="{5A4FEA78-B599-41CC-9868-BAC943503E9D}"/>
    <cellStyle name="Currency 4 4 2 4 4 2" xfId="30205" xr:uid="{E900330A-B10F-4A8B-9D88-9DEC9898B1E7}"/>
    <cellStyle name="Currency 4 4 2 4 5" xfId="25242" xr:uid="{1189934D-B514-4902-8BD7-4DD15F495D81}"/>
    <cellStyle name="Currency 4 4 2 4 6" xfId="13617" xr:uid="{FA1F9B35-0FF6-4C7F-BD90-8D63413D74B5}"/>
    <cellStyle name="Currency 4 4 2 5" xfId="1899" xr:uid="{00000000-0005-0000-0000-000091030000}"/>
    <cellStyle name="Currency 4 4 2 5 2" xfId="2614" xr:uid="{00000000-0005-0000-0000-0000AA020000}"/>
    <cellStyle name="Currency 4 4 2 5 2 2" xfId="7739" xr:uid="{37D6E4AC-6E33-48CD-B4F6-0F2D4F7211EE}"/>
    <cellStyle name="Currency 4 4 2 5 2 2 2" xfId="18119" xr:uid="{D5A6CDF3-81CB-4326-A0F4-7C6106191F34}"/>
    <cellStyle name="Currency 4 4 2 5 2 3" xfId="10572" xr:uid="{360FB14A-F563-424E-8F6B-7C3C04B9D6BE}"/>
    <cellStyle name="Currency 4 4 2 5 2 3 2" xfId="20952" xr:uid="{D5B3335F-D1F0-43A7-8E43-044703D0FA0A}"/>
    <cellStyle name="Currency 4 4 2 5 2 4" xfId="28620" xr:uid="{809EF085-D442-48A5-8B95-365BB7689706}"/>
    <cellStyle name="Currency 4 4 2 5 2 5" xfId="28705" xr:uid="{2E3EEC90-EDBD-455D-B6D2-470488E51772}"/>
    <cellStyle name="Currency 4 4 2 5 2 6" xfId="15286" xr:uid="{69626681-85A9-4215-9E2D-76B0326E7A5E}"/>
    <cellStyle name="Currency 4 4 2 5 3" xfId="3662" xr:uid="{00000000-0005-0000-0000-000091030000}"/>
    <cellStyle name="Currency 4 4 2 5 4" xfId="5688" xr:uid="{9A95B928-1804-4328-A082-0B5689D37A2C}"/>
    <cellStyle name="Currency 4 4 2 5 4 2" xfId="30120" xr:uid="{43D2F7C0-EDD4-44C8-8E75-B079BFF95C6B}"/>
    <cellStyle name="Currency 4 4 2 5 5" xfId="24929" xr:uid="{8411776B-11BF-4BE8-ABFA-40E931CBA0E3}"/>
    <cellStyle name="Currency 4 4 2 5 6" xfId="13002" xr:uid="{3E4E4568-3942-4CB4-B949-E39BC913EBD6}"/>
    <cellStyle name="Currency 4 4 2 6" xfId="2296" xr:uid="{00000000-0005-0000-0000-0000A5020000}"/>
    <cellStyle name="Currency 4 4 2 6 2" xfId="7423" xr:uid="{E769182C-50E2-494B-B656-84B35C9E559F}"/>
    <cellStyle name="Currency 4 4 2 6 2 2" xfId="17803" xr:uid="{84CAB30E-1C3F-4459-AD27-1DC4F7CF4018}"/>
    <cellStyle name="Currency 4 4 2 6 3" xfId="10256" xr:uid="{EC05B593-AEE7-4DB6-BC0C-A9497656B60F}"/>
    <cellStyle name="Currency 4 4 2 6 3 2" xfId="20636" xr:uid="{83854D91-4B8B-4C36-82F1-7F454EDB584A}"/>
    <cellStyle name="Currency 4 4 2 6 4" xfId="24744" xr:uid="{C669A425-66C2-4ED1-A1DF-A830A5952BA5}"/>
    <cellStyle name="Currency 4 4 2 6 5" xfId="28464" xr:uid="{912F3BA5-9B24-44BA-8038-B34D4DF4ED18}"/>
    <cellStyle name="Currency 4 4 2 6 6" xfId="14970" xr:uid="{641CB3F8-BA3B-4F14-922D-071F117F0920}"/>
    <cellStyle name="Currency 4 4 2 7" xfId="3831" xr:uid="{3FE98610-9D18-4345-AD19-91A8C7D105E1}"/>
    <cellStyle name="Currency 4 4 2 7 2" xfId="8664" xr:uid="{5C5AC266-51EB-4694-89B0-52A9EFCE5390}"/>
    <cellStyle name="Currency 4 4 2 7 2 2" xfId="19044" xr:uid="{015B5D4E-6227-4C9C-ABC6-C1B4B6FAFFEA}"/>
    <cellStyle name="Currency 4 4 2 7 3" xfId="11497" xr:uid="{27C27FC8-0E34-4E18-A02C-78CA3130BED3}"/>
    <cellStyle name="Currency 4 4 2 7 3 2" xfId="21877" xr:uid="{1C3B1938-8D74-4943-B0AF-DC54C33600CD}"/>
    <cellStyle name="Currency 4 4 2 7 4" xfId="27628" xr:uid="{0462E136-9BD1-4F29-83FA-58F2DDCE40C6}"/>
    <cellStyle name="Currency 4 4 2 7 5" xfId="28514" xr:uid="{A60B902E-5467-4FE7-9F66-80C1EDACA61A}"/>
    <cellStyle name="Currency 4 4 2 7 6" xfId="16211" xr:uid="{34ED2F95-0A2F-4442-AB6C-F9A33800E411}"/>
    <cellStyle name="Currency 4 4 2 8" xfId="4952" xr:uid="{070C5DCD-F2E8-4339-A158-DD67509D6194}"/>
    <cellStyle name="Currency 4 4 2 8 2" xfId="14247" xr:uid="{18E2B826-99F8-4C7C-A55E-3ABFEFCC4102}"/>
    <cellStyle name="Currency 4 4 2 9" xfId="6700" xr:uid="{7D36F73A-72D9-4DA8-A62D-5C3412A1B7BA}"/>
    <cellStyle name="Currency 4 4 2 9 2" xfId="17080" xr:uid="{E341D44A-0501-45F4-9C3E-5483722A356E}"/>
    <cellStyle name="Currency 4 4 3" xfId="571" xr:uid="{00000000-0005-0000-0000-000092030000}"/>
    <cellStyle name="Currency 4 4 3 10" xfId="12686" xr:uid="{FEA75997-780D-472D-A3E4-56A6D8F8D8D1}"/>
    <cellStyle name="Currency 4 4 3 2" xfId="1906" xr:uid="{00000000-0005-0000-0000-000093030000}"/>
    <cellStyle name="Currency 4 4 3 2 2" xfId="3105" xr:uid="{00000000-0005-0000-0000-0000AC020000}"/>
    <cellStyle name="Currency 4 4 3 2 2 2" xfId="8185" xr:uid="{28A35267-3598-4547-B6FF-E3EA3107BCDF}"/>
    <cellStyle name="Currency 4 4 3 2 2 2 2" xfId="28854" xr:uid="{C67EC69A-2795-4635-AE3E-6A52A68182C3}"/>
    <cellStyle name="Currency 4 4 3 2 2 2 3" xfId="28468" xr:uid="{1D2F5812-0DA1-46AE-A5EC-23E1466B517C}"/>
    <cellStyle name="Currency 4 4 3 2 2 2 4" xfId="18565" xr:uid="{D286A884-068B-4F1B-B885-4ECF551E0351}"/>
    <cellStyle name="Currency 4 4 3 2 2 3" xfId="11018" xr:uid="{700160F2-40F2-48D5-9BE8-A4A1DCE89E6E}"/>
    <cellStyle name="Currency 4 4 3 2 2 3 2" xfId="21398" xr:uid="{32E4A722-FF26-4FBB-A586-1710AD22DEE3}"/>
    <cellStyle name="Currency 4 4 3 2 2 4" xfId="24462" xr:uid="{E2B1710F-D7E1-4F28-AC95-993566A223BF}"/>
    <cellStyle name="Currency 4 4 3 2 2 5" xfId="15732" xr:uid="{8A4C1AFD-8D7A-4968-B92C-20CA0B358FAF}"/>
    <cellStyle name="Currency 4 4 3 2 3" xfId="3555" xr:uid="{00000000-0005-0000-0000-000093030000}"/>
    <cellStyle name="Currency 4 4 3 2 4" xfId="5692" xr:uid="{AC107150-D7A8-43D6-A222-7FFF60EC771B}"/>
    <cellStyle name="Currency 4 4 3 2 4 2" xfId="30207" xr:uid="{7DACE0C2-3F8F-407E-8835-D32AD483D289}"/>
    <cellStyle name="Currency 4 4 3 2 5" xfId="23789" xr:uid="{6D5A2966-DEC8-4195-9E57-33702C82F7AF}"/>
    <cellStyle name="Currency 4 4 3 2 6" xfId="13620" xr:uid="{41C66B63-F1BD-466A-91A3-EE4E189FBDC5}"/>
    <cellStyle name="Currency 4 4 3 3" xfId="1907" xr:uid="{00000000-0005-0000-0000-000094030000}"/>
    <cellStyle name="Currency 4 4 3 3 2" xfId="2696" xr:uid="{00000000-0005-0000-0000-0000AD020000}"/>
    <cellStyle name="Currency 4 4 3 3 2 2" xfId="7820" xr:uid="{F4A44545-97FC-4ABC-B0CA-0534910A0E56}"/>
    <cellStyle name="Currency 4 4 3 3 2 2 2" xfId="18200" xr:uid="{4FCEEDDB-95A9-49A5-A002-DB520D4E0F2F}"/>
    <cellStyle name="Currency 4 4 3 3 2 3" xfId="10653" xr:uid="{A00B99ED-6FFB-4878-96CC-4D02ACAF498A}"/>
    <cellStyle name="Currency 4 4 3 3 2 3 2" xfId="21033" xr:uid="{4899BC26-5703-4E8C-9F3A-C9D8141923CF}"/>
    <cellStyle name="Currency 4 4 3 3 2 4" xfId="15367" xr:uid="{B68A6950-1935-433C-9F30-5649A67CDB1F}"/>
    <cellStyle name="Currency 4 4 3 3 3" xfId="3585" xr:uid="{00000000-0005-0000-0000-000094030000}"/>
    <cellStyle name="Currency 4 4 3 3 4" xfId="5693" xr:uid="{193A20EF-0047-4A6C-B664-DEFD302C7B8D}"/>
    <cellStyle name="Currency 4 4 3 3 4 2" xfId="30148" xr:uid="{5BC33A70-D23E-42C7-8A45-710BDD06E102}"/>
    <cellStyle name="Currency 4 4 3 3 5" xfId="22807" xr:uid="{D25D342D-75CA-4B2D-B80B-1365CC0697DE}"/>
    <cellStyle name="Currency 4 4 3 3 6" xfId="13111" xr:uid="{F258322D-6E49-4C94-BB42-D022721D18A1}"/>
    <cellStyle name="Currency 4 4 3 4" xfId="1905" xr:uid="{00000000-0005-0000-0000-000095030000}"/>
    <cellStyle name="Currency 4 4 3 4 2" xfId="3771" xr:uid="{07F20531-A377-448D-B2B8-5E0726E4CBB2}"/>
    <cellStyle name="Currency 4 4 3 4 2 2" xfId="8615" xr:uid="{76E14BB7-D181-41E8-B76A-F4E1F05ABA42}"/>
    <cellStyle name="Currency 4 4 3 4 2 2 2" xfId="18995" xr:uid="{E2D1C956-7BE2-4240-9848-9C0D30018986}"/>
    <cellStyle name="Currency 4 4 3 4 2 3" xfId="11448" xr:uid="{A905F953-8ED5-4CF9-95A4-615ED1708C5A}"/>
    <cellStyle name="Currency 4 4 3 4 2 3 2" xfId="21828" xr:uid="{802B883D-F7B5-4863-84E2-8110B3E7C1FB}"/>
    <cellStyle name="Currency 4 4 3 4 2 4" xfId="25973" xr:uid="{7B0FDD69-632A-4DC5-87F6-15114CCC50D2}"/>
    <cellStyle name="Currency 4 4 3 4 2 5" xfId="27420" xr:uid="{B0617012-55C5-4B9D-9146-D67D52658F3F}"/>
    <cellStyle name="Currency 4 4 3 4 2 6" xfId="16162" xr:uid="{575C6C11-3418-4007-9630-4BC7159E78AA}"/>
    <cellStyle name="Currency 4 4 3 4 3" xfId="22865" xr:uid="{1A29221E-C015-45FA-9134-C2C3C9F98B1E}"/>
    <cellStyle name="Currency 4 4 3 5" xfId="4140" xr:uid="{D4B1C4AC-16F6-4633-954B-0E0639E01914}"/>
    <cellStyle name="Currency 4 4 3 5 2" xfId="8912" xr:uid="{D7A5433B-2D57-4DA7-A6D4-3BD9D4C7D0DC}"/>
    <cellStyle name="Currency 4 4 3 5 2 2" xfId="29015" xr:uid="{EC1ADC02-8593-4A90-A032-DC0937DEC627}"/>
    <cellStyle name="Currency 4 4 3 5 2 3" xfId="26751" xr:uid="{551323B0-0D08-4463-B72F-EEF383D59218}"/>
    <cellStyle name="Currency 4 4 3 5 2 4" xfId="19292" xr:uid="{A9E9D21B-0A62-44F0-AB74-22AE5AD93639}"/>
    <cellStyle name="Currency 4 4 3 5 3" xfId="11745" xr:uid="{7FB50B49-0896-451A-BBB1-938C24C33B3A}"/>
    <cellStyle name="Currency 4 4 3 5 3 2" xfId="22125" xr:uid="{AAA9B7F7-BD78-41D7-90CE-DE4F4B1FCF26}"/>
    <cellStyle name="Currency 4 4 3 5 4" xfId="25539" xr:uid="{5242B304-AD13-4A62-B493-DDBA6577F6BA}"/>
    <cellStyle name="Currency 4 4 3 5 5" xfId="16459" xr:uid="{D206A757-E919-4031-A5E0-10222AEA5ABD}"/>
    <cellStyle name="Currency 4 4 3 6" xfId="4954" xr:uid="{FA65F11D-481D-4170-8FA9-798AA2830B03}"/>
    <cellStyle name="Currency 4 4 3 6 2" xfId="27069" xr:uid="{BF1A825B-FB2D-457F-BB69-1A877B3C389E}"/>
    <cellStyle name="Currency 4 4 3 6 3" xfId="26851" xr:uid="{7A281B76-9630-499F-A6B8-7D065D0DF04C}"/>
    <cellStyle name="Currency 4 4 3 6 4" xfId="14249" xr:uid="{F93EA684-5F36-4F2A-9DA9-44F08D372E5C}"/>
    <cellStyle name="Currency 4 4 3 7" xfId="6702" xr:uid="{5212CBAC-1EE9-4989-8552-1BB543D5560E}"/>
    <cellStyle name="Currency 4 4 3 7 2" xfId="26032" xr:uid="{AE55EBFC-81F0-4FFF-A7C4-B51FE344C49E}"/>
    <cellStyle name="Currency 4 4 3 7 3" xfId="27024" xr:uid="{F22A5A6A-32A6-49E5-96B0-484D43E6094B}"/>
    <cellStyle name="Currency 4 4 3 7 4" xfId="17082" xr:uid="{4022AFF0-7B99-4C08-BBE1-DF9E77BD4DA2}"/>
    <cellStyle name="Currency 4 4 3 8" xfId="9535" xr:uid="{BC568C3D-AE73-4B82-BFB4-A38DC814868E}"/>
    <cellStyle name="Currency 4 4 3 8 2" xfId="19915" xr:uid="{F0944CF6-52BD-4779-B313-62D489AF6120}"/>
    <cellStyle name="Currency 4 4 3 9" xfId="25502" xr:uid="{F6E34D30-A59B-4D54-AD44-B7D52207DF03}"/>
    <cellStyle name="Currency 4 4 4" xfId="572" xr:uid="{00000000-0005-0000-0000-000096030000}"/>
    <cellStyle name="Currency 4 4 4 10" xfId="13621" xr:uid="{22A6E31E-BFED-4155-83F3-C6B38C339ED3}"/>
    <cellStyle name="Currency 4 4 4 2" xfId="1909" xr:uid="{00000000-0005-0000-0000-000097030000}"/>
    <cellStyle name="Currency 4 4 4 2 2" xfId="23515" xr:uid="{6C469949-B796-41B0-A72C-3324EE72B59F}"/>
    <cellStyle name="Currency 4 4 4 2 2 2" xfId="30027" xr:uid="{F1528823-1C86-4C5C-A379-7F17257788F1}"/>
    <cellStyle name="Currency 4 4 4 2 3" xfId="23159" xr:uid="{84ACC6A3-99BA-4642-A269-125562AF4504}"/>
    <cellStyle name="Currency 4 4 4 2 4" xfId="30298" xr:uid="{2F2ABCCB-8219-4F95-96D2-3DB48F37E0FF}"/>
    <cellStyle name="Currency 4 4 4 3" xfId="1910" xr:uid="{00000000-0005-0000-0000-000098030000}"/>
    <cellStyle name="Currency 4 4 4 4" xfId="1908" xr:uid="{00000000-0005-0000-0000-000099030000}"/>
    <cellStyle name="Currency 4 4 4 5" xfId="4431" xr:uid="{85B45310-3D57-4A81-877C-479B1DFC9977}"/>
    <cellStyle name="Currency 4 4 4 5 2" xfId="9203" xr:uid="{2BBECCD9-6495-43AF-86E0-81F64B2A7737}"/>
    <cellStyle name="Currency 4 4 4 5 2 2" xfId="19583" xr:uid="{23BF737A-2D23-4F63-9F38-0B7BFF6210B1}"/>
    <cellStyle name="Currency 4 4 4 5 3" xfId="12036" xr:uid="{2444FECE-BC68-423D-839C-5CE3B4F9BC1B}"/>
    <cellStyle name="Currency 4 4 4 5 3 2" xfId="22416" xr:uid="{58EF8FE6-53F6-4028-B2BB-75F236249CBD}"/>
    <cellStyle name="Currency 4 4 4 5 4" xfId="16750" xr:uid="{B558872C-317E-4B14-AB9F-874B55B2F5C5}"/>
    <cellStyle name="Currency 4 4 4 6" xfId="4955" xr:uid="{18ABB6A8-C403-456C-98F4-0EE04349E584}"/>
    <cellStyle name="Currency 4 4 4 6 2" xfId="14250" xr:uid="{58E46FBB-755C-4FB2-A35F-47E549F0BD49}"/>
    <cellStyle name="Currency 4 4 4 7" xfId="6703" xr:uid="{596064E9-A3D6-4168-8E40-533C5FE5261B}"/>
    <cellStyle name="Currency 4 4 4 7 2" xfId="17083" xr:uid="{4EDFE94E-D8DB-4C33-9E32-6E6954FC7DB2}"/>
    <cellStyle name="Currency 4 4 4 8" xfId="9536" xr:uid="{7E8CFD0C-E04E-4D79-A5B5-E36825FD963E}"/>
    <cellStyle name="Currency 4 4 4 8 2" xfId="19916" xr:uid="{D344D597-610C-4218-9B56-5A1108029B26}"/>
    <cellStyle name="Currency 4 4 4 9" xfId="22777" xr:uid="{273C5658-5482-4CBD-8210-7DC046A9AB81}"/>
    <cellStyle name="Currency 4 4 5" xfId="1911" xr:uid="{00000000-0005-0000-0000-00009A030000}"/>
    <cellStyle name="Currency 4 4 5 2" xfId="2885" xr:uid="{00000000-0005-0000-0000-0000AF020000}"/>
    <cellStyle name="Currency 4 4 5 2 2" xfId="8002" xr:uid="{E706C878-2C34-422A-A8A0-D864701A29BC}"/>
    <cellStyle name="Currency 4 4 5 2 2 2" xfId="26460" xr:uid="{8F6912E3-A45B-4771-8C84-42F8D99A8E39}"/>
    <cellStyle name="Currency 4 4 5 2 2 3" xfId="28364" xr:uid="{3E644810-A0E0-49AF-9121-6E0D617C9F9B}"/>
    <cellStyle name="Currency 4 4 5 2 2 4" xfId="18382" xr:uid="{48D5BEDA-330E-4BCC-B7F7-1F58EFDF3FAB}"/>
    <cellStyle name="Currency 4 4 5 2 3" xfId="10835" xr:uid="{8385A4A4-CAE6-464C-8D6D-09A97C966A1D}"/>
    <cellStyle name="Currency 4 4 5 2 3 2" xfId="21215" xr:uid="{2D781732-0962-4F77-983C-1CDD76FA6BB9}"/>
    <cellStyle name="Currency 4 4 5 2 4" xfId="25205" xr:uid="{4BA2EDA2-92EE-40D3-8CD0-5982FF26CE6C}"/>
    <cellStyle name="Currency 4 4 5 2 5" xfId="15549" xr:uid="{6D334121-FCC4-4222-AF17-882F68418372}"/>
    <cellStyle name="Currency 4 4 5 3" xfId="3561" xr:uid="{00000000-0005-0000-0000-00009A030000}"/>
    <cellStyle name="Currency 4 4 5 4" xfId="5694" xr:uid="{185473FA-8510-43D0-BF8C-2C41F88C632B}"/>
    <cellStyle name="Currency 4 4 5 4 2" xfId="30081" xr:uid="{A8B4AFC7-5E46-4058-89A2-B7F0B52F6535}"/>
    <cellStyle name="Currency 4 4 5 5" xfId="22973" xr:uid="{C3CB335E-5D79-45F9-AA49-2C67A54AC125}"/>
    <cellStyle name="Currency 4 4 5 6" xfId="13384" xr:uid="{E33E0FD3-8ACA-447C-B22D-09D67C881F8C}"/>
    <cellStyle name="Currency 4 4 6" xfId="1912" xr:uid="{00000000-0005-0000-0000-00009B030000}"/>
    <cellStyle name="Currency 4 4 6 2" xfId="2451" xr:uid="{00000000-0005-0000-0000-0000B0020000}"/>
    <cellStyle name="Currency 4 4 6 2 2" xfId="7576" xr:uid="{8C7E1CB5-24B2-4C06-B574-3CCF8E4D4FAF}"/>
    <cellStyle name="Currency 4 4 6 2 2 2" xfId="17956" xr:uid="{6A488EF1-40BC-410B-A9DD-E4DD703411B9}"/>
    <cellStyle name="Currency 4 4 6 2 3" xfId="10409" xr:uid="{2C895468-9D6B-45DE-9B6E-63DB10E7354C}"/>
    <cellStyle name="Currency 4 4 6 2 3 2" xfId="20789" xr:uid="{04CD12E1-4B0D-4532-9DDB-BE35C5B28512}"/>
    <cellStyle name="Currency 4 4 6 2 4" xfId="27417" xr:uid="{D1E79319-E313-4D2C-9D9E-08BDF44ED27D}"/>
    <cellStyle name="Currency 4 4 6 2 5" xfId="26269" xr:uid="{1AE1D3C1-28D4-4D37-86B0-3452ECD9B6AA}"/>
    <cellStyle name="Currency 4 4 6 2 6" xfId="15123" xr:uid="{C20D0B3A-B542-4016-967C-E7A10907E596}"/>
    <cellStyle name="Currency 4 4 6 3" xfId="3593" xr:uid="{00000000-0005-0000-0000-00009B030000}"/>
    <cellStyle name="Currency 4 4 6 4" xfId="5695" xr:uid="{2C0CC53D-152E-44E5-AED9-191AC3BD2EEB}"/>
    <cellStyle name="Currency 4 4 6 4 2" xfId="30094" xr:uid="{BADB23E1-5112-4C1E-BE1C-A7840EEB209B}"/>
    <cellStyle name="Currency 4 4 6 5" xfId="25351" xr:uid="{8FD0F9DD-B8DA-44AE-86E7-B484DD0FA26C}"/>
    <cellStyle name="Currency 4 4 6 6" xfId="12839" xr:uid="{AD2A135C-E052-4007-9C51-0C179C5E7320}"/>
    <cellStyle name="Currency 4 4 7" xfId="1898" xr:uid="{00000000-0005-0000-0000-00009C030000}"/>
    <cellStyle name="Currency 4 4 7 2" xfId="2205" xr:uid="{00000000-0005-0000-0000-0000A4020000}"/>
    <cellStyle name="Currency 4 4 7 2 2" xfId="7332" xr:uid="{62EF3B49-9C3F-4DB0-8470-22FF7A1A9DB0}"/>
    <cellStyle name="Currency 4 4 7 2 2 2" xfId="17712" xr:uid="{8274FE90-26AD-47D5-B025-2D6ABB711C56}"/>
    <cellStyle name="Currency 4 4 7 2 3" xfId="10165" xr:uid="{080EBF57-24D2-4B02-8980-3C5D00F55BB7}"/>
    <cellStyle name="Currency 4 4 7 2 3 2" xfId="20545" xr:uid="{0372398F-1696-4722-9F52-2C7BF476EABC}"/>
    <cellStyle name="Currency 4 4 7 2 4" xfId="27695" xr:uid="{260BCC71-9ADF-41F7-9F7F-8DDE0748C47A}"/>
    <cellStyle name="Currency 4 4 7 2 5" xfId="26533" xr:uid="{CD9566BE-C759-4FE2-8BFE-14AD9676A026}"/>
    <cellStyle name="Currency 4 4 7 2 6" xfId="14879" xr:uid="{70853DB0-5ABB-4046-A264-8072BB939B1E}"/>
    <cellStyle name="Currency 4 4 7 3" xfId="3551" xr:uid="{00000000-0005-0000-0000-00009C030000}"/>
    <cellStyle name="Currency 4 4 7 4" xfId="23997" xr:uid="{3627A03A-4482-445B-90C3-B16E8F917721}"/>
    <cellStyle name="Currency 4 4 8" xfId="3885" xr:uid="{8F492FEB-DD26-4D92-B639-56080C96DAD0}"/>
    <cellStyle name="Currency 4 4 8 2" xfId="8717" xr:uid="{DAD2360B-067F-4D07-A858-480B67333D2B}"/>
    <cellStyle name="Currency 4 4 8 2 2" xfId="19097" xr:uid="{C7898B95-E082-451B-B2EC-50C3150B9BA5}"/>
    <cellStyle name="Currency 4 4 8 3" xfId="11550" xr:uid="{5D0C0B8C-1995-4240-B3F9-561A2014C994}"/>
    <cellStyle name="Currency 4 4 8 3 2" xfId="21930" xr:uid="{EE1C25E8-167D-4C7C-B018-6839FBE69164}"/>
    <cellStyle name="Currency 4 4 8 4" xfId="26450" xr:uid="{82287D56-B02D-4F68-B9A6-64009DFF896E}"/>
    <cellStyle name="Currency 4 4 8 5" xfId="28738" xr:uid="{F831583E-FE89-4A56-8161-10A6D8C24FD3}"/>
    <cellStyle name="Currency 4 4 8 6" xfId="16264" xr:uid="{30ACCFBB-EB86-4E6F-8833-07FD0F8ACD5B}"/>
    <cellStyle name="Currency 4 4 9" xfId="4951" xr:uid="{CDC5A57C-39E3-4F44-8543-1AF3DDF56F13}"/>
    <cellStyle name="Currency 4 4 9 2" xfId="26487" xr:uid="{B2BCE877-50E5-41D9-B7EB-2E62128CFE4F}"/>
    <cellStyle name="Currency 4 4 9 3" xfId="28380" xr:uid="{B9AD3C45-5151-45F4-9C1E-9B37CB2D1074}"/>
    <cellStyle name="Currency 4 4 9 4" xfId="14246" xr:uid="{8E423349-87EE-42D6-AED9-9F1C41279132}"/>
    <cellStyle name="Currency 4 5" xfId="573" xr:uid="{00000000-0005-0000-0000-00009D030000}"/>
    <cellStyle name="Currency 4 5 10" xfId="6704" xr:uid="{96D8005A-5D5D-4F79-BBBF-7E5CB28B4B4F}"/>
    <cellStyle name="Currency 4 5 10 2" xfId="17084" xr:uid="{81F424D6-4264-4E30-BEB1-0817CD168E12}"/>
    <cellStyle name="Currency 4 5 11" xfId="9537" xr:uid="{3F991DD6-16B1-4177-928C-BAF66C83B4F2}"/>
    <cellStyle name="Currency 4 5 11 2" xfId="19917" xr:uid="{A7B41CDA-B897-4123-A170-00939D138172}"/>
    <cellStyle name="Currency 4 5 12" xfId="23113" xr:uid="{E500777F-BE40-4CCF-A9CD-C9040D92E351}"/>
    <cellStyle name="Currency 4 5 13" xfId="12529" xr:uid="{1D7A1179-43DD-4B78-BF9D-06270AD4081B}"/>
    <cellStyle name="Currency 4 5 2" xfId="574" xr:uid="{00000000-0005-0000-0000-00009E030000}"/>
    <cellStyle name="Currency 4 5 2 10" xfId="24626" xr:uid="{936AD911-D8C4-43A4-826C-E4A0CEE467A1}"/>
    <cellStyle name="Currency 4 5 2 11" xfId="12687" xr:uid="{3BE07639-9D6E-46C0-8899-0CFA846D1B4E}"/>
    <cellStyle name="Currency 4 5 2 2" xfId="575" xr:uid="{00000000-0005-0000-0000-00009F030000}"/>
    <cellStyle name="Currency 4 5 2 2 2" xfId="1916" xr:uid="{00000000-0005-0000-0000-0000A0030000}"/>
    <cellStyle name="Currency 4 5 2 2 2 2" xfId="25699" xr:uid="{4DA1172A-F308-41C1-8CF1-3AFF6E52A4D0}"/>
    <cellStyle name="Currency 4 5 2 2 2 2 2" xfId="30046" xr:uid="{63B01E36-DBAC-47FC-8373-09E3CD5E1021}"/>
    <cellStyle name="Currency 4 5 2 2 2 3" xfId="25550" xr:uid="{28F1393C-3413-4434-818B-1BEA030FD1C4}"/>
    <cellStyle name="Currency 4 5 2 2 2 4" xfId="30299" xr:uid="{F258E176-30F5-4216-A5FD-1EAA629370CB}"/>
    <cellStyle name="Currency 4 5 2 2 3" xfId="1917" xr:uid="{00000000-0005-0000-0000-0000A1030000}"/>
    <cellStyle name="Currency 4 5 2 2 3 2" xfId="28279" xr:uid="{50B40CE8-5CD9-417B-992B-76488973FBEE}"/>
    <cellStyle name="Currency 4 5 2 2 3 3" xfId="27749" xr:uid="{8C12FD05-3DB0-4D9C-B5B8-A93CD492E9A2}"/>
    <cellStyle name="Currency 4 5 2 2 4" xfId="1915" xr:uid="{00000000-0005-0000-0000-0000A2030000}"/>
    <cellStyle name="Currency 4 5 2 2 5" xfId="4958" xr:uid="{06F5503A-5501-48DF-AE79-3F46F4403A51}"/>
    <cellStyle name="Currency 4 5 2 2 5 2" xfId="28398" xr:uid="{6F744894-9EB6-451C-8783-B144588227CA}"/>
    <cellStyle name="Currency 4 5 2 2 5 3" xfId="26344" xr:uid="{DD6A66B5-B137-407F-9C2F-621CDB3F8CC8}"/>
    <cellStyle name="Currency 4 5 2 2 5 4" xfId="14253" xr:uid="{D83F280C-9B11-4050-AC8A-E67693348519}"/>
    <cellStyle name="Currency 4 5 2 2 6" xfId="6706" xr:uid="{EE93D6B9-B3EB-4524-A2EE-0312B0817817}"/>
    <cellStyle name="Currency 4 5 2 2 6 2" xfId="17086" xr:uid="{53293CAC-3243-4905-A96F-0BE3DAB1F405}"/>
    <cellStyle name="Currency 4 5 2 2 7" xfId="9539" xr:uid="{EBBCB11B-E385-46E9-9E80-D9F72677C98A}"/>
    <cellStyle name="Currency 4 5 2 2 7 2" xfId="19919" xr:uid="{F9E1AEC7-09F0-49FB-96CF-0604B4EEA2D1}"/>
    <cellStyle name="Currency 4 5 2 2 8" xfId="24941" xr:uid="{3AB8780B-A800-4DD5-8250-85632D3B4D59}"/>
    <cellStyle name="Currency 4 5 2 2 9" xfId="13622" xr:uid="{A648DF40-1D57-43EF-902C-77D60F3FB356}"/>
    <cellStyle name="Currency 4 5 2 3" xfId="1918" xr:uid="{00000000-0005-0000-0000-0000A3030000}"/>
    <cellStyle name="Currency 4 5 2 3 2" xfId="2697" xr:uid="{00000000-0005-0000-0000-0000B4020000}"/>
    <cellStyle name="Currency 4 5 2 3 2 2" xfId="7821" xr:uid="{67C18852-F72D-450B-B688-FF3BB6681BEB}"/>
    <cellStyle name="Currency 4 5 2 3 2 2 2" xfId="18201" xr:uid="{6B9144A4-11AF-4880-AF7A-EFF01DABC516}"/>
    <cellStyle name="Currency 4 5 2 3 2 3" xfId="10654" xr:uid="{DACA02BB-B318-4FFD-A752-9E48C2216722}"/>
    <cellStyle name="Currency 4 5 2 3 2 3 2" xfId="21034" xr:uid="{E723C75D-F9F7-4F0C-B47B-9E2213D69722}"/>
    <cellStyle name="Currency 4 5 2 3 2 4" xfId="15368" xr:uid="{B860F650-DF92-412F-A990-63AF6856B0E9}"/>
    <cellStyle name="Currency 4 5 2 3 3" xfId="3676" xr:uid="{00000000-0005-0000-0000-0000A3030000}"/>
    <cellStyle name="Currency 4 5 2 3 4" xfId="5696" xr:uid="{0CD193E0-BEC1-4BF2-9788-987F9986CB96}"/>
    <cellStyle name="Currency 4 5 2 3 4 2" xfId="29991" xr:uid="{AA4F027D-B651-4B0F-9555-9F881EB47252}"/>
    <cellStyle name="Currency 4 5 2 3 5" xfId="25188" xr:uid="{125BE751-1BD6-47F7-842E-CEBBAC01888C}"/>
    <cellStyle name="Currency 4 5 2 3 6" xfId="13113" xr:uid="{21994009-8AC5-412E-B726-0E1FDA509878}"/>
    <cellStyle name="Currency 4 5 2 4" xfId="1919" xr:uid="{00000000-0005-0000-0000-0000A4030000}"/>
    <cellStyle name="Currency 4 5 2 4 2" xfId="4632" xr:uid="{BA18F28B-B30E-475A-A9D3-122AB6CEE39E}"/>
    <cellStyle name="Currency 4 5 2 4 2 2" xfId="9399" xr:uid="{9A68ECEB-8860-4DAC-A876-F0FFE7E1EBBD}"/>
    <cellStyle name="Currency 4 5 2 4 2 2 2" xfId="19779" xr:uid="{3A8E03A7-588B-4FE6-96FE-51678034FA98}"/>
    <cellStyle name="Currency 4 5 2 4 2 3" xfId="12232" xr:uid="{8EC2CF1B-DDA4-40E6-82CF-831E173360E4}"/>
    <cellStyle name="Currency 4 5 2 4 2 3 2" xfId="22612" xr:uid="{6B75FAE7-0EB2-4AF6-90E3-7863B23C4EC5}"/>
    <cellStyle name="Currency 4 5 2 4 2 4" xfId="27724" xr:uid="{21ADC332-137F-4210-8E5E-06BFA4605AD4}"/>
    <cellStyle name="Currency 4 5 2 4 2 5" xfId="28415" xr:uid="{4D589DCE-7D71-4DC6-8C8F-0F643AD2B7CC}"/>
    <cellStyle name="Currency 4 5 2 4 2 6" xfId="16946" xr:uid="{735BD329-52F2-4E9F-8861-1305BAC1A1BF}"/>
    <cellStyle name="Currency 4 5 2 4 3" xfId="22666" xr:uid="{B1B04259-86DC-4B25-824F-1D24D88090AB}"/>
    <cellStyle name="Currency 4 5 2 4 3 2" xfId="30150" xr:uid="{C27D2466-A678-4714-AEB0-B96BB82058DF}"/>
    <cellStyle name="Currency 4 5 2 4 4" xfId="30261" xr:uid="{DF52EA78-4555-42D0-AEB5-0D67732DDC76}"/>
    <cellStyle name="Currency 4 5 2 5" xfId="1914" xr:uid="{00000000-0005-0000-0000-0000A5030000}"/>
    <cellStyle name="Currency 4 5 2 5 2" xfId="24047" xr:uid="{0D05523D-B528-4033-A555-6E964F1AABAC}"/>
    <cellStyle name="Currency 4 5 2 5 3" xfId="25822" xr:uid="{F99162FC-7F1B-4FCA-89F8-447E787AAD95}"/>
    <cellStyle name="Currency 4 5 2 6" xfId="4141" xr:uid="{50D9385E-5919-4685-9204-577765CC4A3B}"/>
    <cellStyle name="Currency 4 5 2 6 2" xfId="8913" xr:uid="{AEBA6F39-5836-428B-9617-79274402EF9A}"/>
    <cellStyle name="Currency 4 5 2 6 2 2" xfId="19293" xr:uid="{2F0A757F-31C8-4EED-B23D-7F988BF96807}"/>
    <cellStyle name="Currency 4 5 2 6 3" xfId="11746" xr:uid="{E263A163-386C-412B-BA71-3CDC89A52DAA}"/>
    <cellStyle name="Currency 4 5 2 6 3 2" xfId="22126" xr:uid="{528AAB7A-FF20-4760-844E-90D0F881E7A4}"/>
    <cellStyle name="Currency 4 5 2 6 4" xfId="27903" xr:uid="{5DC743F1-2CEC-4105-92A1-374C9B082498}"/>
    <cellStyle name="Currency 4 5 2 6 5" xfId="27781" xr:uid="{6B6A6791-AA8B-4932-B61E-E7194F5E38FA}"/>
    <cellStyle name="Currency 4 5 2 6 6" xfId="16460" xr:uid="{EB6EFB00-28D2-4BD3-ADF9-75B56417D836}"/>
    <cellStyle name="Currency 4 5 2 7" xfId="4957" xr:uid="{FF155009-9AE8-472A-9786-1C5CC368329D}"/>
    <cellStyle name="Currency 4 5 2 7 2" xfId="27018" xr:uid="{1795F53F-CF1C-4045-9A4C-F0F3A2201498}"/>
    <cellStyle name="Currency 4 5 2 7 3" xfId="26116" xr:uid="{F40AD9EC-DE66-45CF-B0E2-400E0AE4591C}"/>
    <cellStyle name="Currency 4 5 2 7 4" xfId="14252" xr:uid="{50F566A2-5536-4CA9-B693-1925A58069AE}"/>
    <cellStyle name="Currency 4 5 2 8" xfId="6705" xr:uid="{1EDC8D52-5429-4EA0-BC30-B850169953D7}"/>
    <cellStyle name="Currency 4 5 2 8 2" xfId="17085" xr:uid="{18CDBB35-502C-46D6-A711-7757F3F93718}"/>
    <cellStyle name="Currency 4 5 2 9" xfId="9538" xr:uid="{2E013ABA-A669-4820-9CC5-6735C91F7EA0}"/>
    <cellStyle name="Currency 4 5 2 9 2" xfId="19918" xr:uid="{5FEF1FDC-1A94-4A05-910B-3E5D62136936}"/>
    <cellStyle name="Currency 4 5 3" xfId="576" xr:uid="{00000000-0005-0000-0000-0000A6030000}"/>
    <cellStyle name="Currency 4 5 3 10" xfId="13623" xr:uid="{334D3E92-60E7-42E3-8CC0-E74FC9A43C56}"/>
    <cellStyle name="Currency 4 5 3 2" xfId="1921" xr:uid="{00000000-0005-0000-0000-0000A7030000}"/>
    <cellStyle name="Currency 4 5 3 2 2" xfId="23944" xr:uid="{AAF0F971-3028-4122-875F-31812B9A5C10}"/>
    <cellStyle name="Currency 4 5 3 2 2 2" xfId="30049" xr:uid="{488E833D-8513-4D14-B1F4-E4326A3AA1A7}"/>
    <cellStyle name="Currency 4 5 3 2 3" xfId="25620" xr:uid="{CE950C91-DA13-4A1B-A20A-059D6EE2D92A}"/>
    <cellStyle name="Currency 4 5 3 2 3 2" xfId="26037" xr:uid="{BE3BCC2F-6352-4B40-AC21-B009231F1344}"/>
    <cellStyle name="Currency 4 5 3 2 4" xfId="30300" xr:uid="{A04CBBA2-9E06-4053-9097-74B8A89A4594}"/>
    <cellStyle name="Currency 4 5 3 3" xfId="1922" xr:uid="{00000000-0005-0000-0000-0000A8030000}"/>
    <cellStyle name="Currency 4 5 3 4" xfId="1920" xr:uid="{00000000-0005-0000-0000-0000A9030000}"/>
    <cellStyle name="Currency 4 5 3 4 2" xfId="22936" xr:uid="{71B5603C-6766-4D0C-B1CC-BB0C74847168}"/>
    <cellStyle name="Currency 4 5 3 4 3" xfId="23189" xr:uid="{1205E03B-BC6A-4DE9-88A4-2BEF1DEAC256}"/>
    <cellStyle name="Currency 4 5 3 5" xfId="4432" xr:uid="{3AA8AD3D-7C60-4403-BB09-DDF91B3CAE59}"/>
    <cellStyle name="Currency 4 5 3 5 2" xfId="9204" xr:uid="{A3A5C4BF-1097-4467-8467-E6868B8BA4F4}"/>
    <cellStyle name="Currency 4 5 3 5 2 2" xfId="19584" xr:uid="{49F42FB0-91CB-458C-A7D4-235AF0A55179}"/>
    <cellStyle name="Currency 4 5 3 5 3" xfId="12037" xr:uid="{E00CD68C-A290-4DB5-A1CF-3644D0747AC5}"/>
    <cellStyle name="Currency 4 5 3 5 3 2" xfId="22417" xr:uid="{E84E2549-6431-44F9-B607-FBBBD1DC9327}"/>
    <cellStyle name="Currency 4 5 3 5 4" xfId="28382" xr:uid="{0F213479-C7BF-460B-921C-9BF2F16D4990}"/>
    <cellStyle name="Currency 4 5 3 5 5" xfId="28282" xr:uid="{22548A9C-4DD8-41F0-A41C-723D58FD4503}"/>
    <cellStyle name="Currency 4 5 3 5 6" xfId="16751" xr:uid="{52FEF294-8412-4EB3-8765-5D8BDE2BE71D}"/>
    <cellStyle name="Currency 4 5 3 6" xfId="4959" xr:uid="{761BB72E-4A93-4F6D-952A-D789235B3BEF}"/>
    <cellStyle name="Currency 4 5 3 6 2" xfId="25857" xr:uid="{CC96E5FE-101D-49B5-AFF2-F0D67BAF3B1D}"/>
    <cellStyle name="Currency 4 5 3 6 3" xfId="25958" xr:uid="{2BE1B934-0731-458E-BBB0-C55DFA45F7BC}"/>
    <cellStyle name="Currency 4 5 3 6 4" xfId="14254" xr:uid="{8405B132-7A1C-4C01-9D7B-5EB24C9806D1}"/>
    <cellStyle name="Currency 4 5 3 7" xfId="6707" xr:uid="{E097C61D-B8A4-4BA3-A749-1FB076D1944C}"/>
    <cellStyle name="Currency 4 5 3 7 2" xfId="17087" xr:uid="{A011E640-EF48-4A1F-8560-DE3E220E899D}"/>
    <cellStyle name="Currency 4 5 3 8" xfId="9540" xr:uid="{AC37EC65-F8CF-42B4-8DC6-FADD287AB63E}"/>
    <cellStyle name="Currency 4 5 3 8 2" xfId="19920" xr:uid="{C869296A-CF30-471C-9C5F-F51BBB60F5C0}"/>
    <cellStyle name="Currency 4 5 3 9" xfId="23968" xr:uid="{F443B76C-96A1-45EC-9AFC-26C101FCEB45}"/>
    <cellStyle name="Currency 4 5 4" xfId="577" xr:uid="{00000000-0005-0000-0000-0000AA030000}"/>
    <cellStyle name="Currency 4 5 4 2" xfId="1924" xr:uid="{00000000-0005-0000-0000-0000AB030000}"/>
    <cellStyle name="Currency 4 5 4 2 2" xfId="24663" xr:uid="{263B1B22-114C-495E-9350-2ABE6490124D}"/>
    <cellStyle name="Currency 4 5 4 2 2 2" xfId="30033" xr:uid="{8B524725-5C9C-4C5E-99FD-E3D7ECDF9AC8}"/>
    <cellStyle name="Currency 4 5 4 2 3" xfId="24067" xr:uid="{0D856946-7117-49EA-AC01-0064A38C42CE}"/>
    <cellStyle name="Currency 4 5 4 2 4" xfId="30277" xr:uid="{34728198-0832-4CCB-93AA-183A9217D77B}"/>
    <cellStyle name="Currency 4 5 4 3" xfId="1925" xr:uid="{00000000-0005-0000-0000-0000AC030000}"/>
    <cellStyle name="Currency 4 5 4 4" xfId="1923" xr:uid="{00000000-0005-0000-0000-0000AD030000}"/>
    <cellStyle name="Currency 4 5 4 5" xfId="4960" xr:uid="{87419F56-CBBC-4EC5-A5FA-A3AF979B0915}"/>
    <cellStyle name="Currency 4 5 4 5 2" xfId="14255" xr:uid="{8C5EB694-52CC-490F-B3E9-4913D21D4D43}"/>
    <cellStyle name="Currency 4 5 4 6" xfId="6708" xr:uid="{1798A0C3-0F0E-4A89-8589-844DF65E9F42}"/>
    <cellStyle name="Currency 4 5 4 6 2" xfId="17088" xr:uid="{D3FD206B-DAD5-4DAA-A970-AB8DDC53341A}"/>
    <cellStyle name="Currency 4 5 4 7" xfId="9541" xr:uid="{34AC5E68-4DFB-4911-BF94-7C4459F2FB46}"/>
    <cellStyle name="Currency 4 5 4 7 2" xfId="19921" xr:uid="{1F244D45-9C5C-42D4-8B24-CE2D3F89822F}"/>
    <cellStyle name="Currency 4 5 4 8" xfId="22685" xr:uid="{4C3C79CF-25CE-4C16-9BB0-1769F28B1B20}"/>
    <cellStyle name="Currency 4 5 4 9" xfId="13385" xr:uid="{E635F5DB-2E3E-441B-8400-72BF51338561}"/>
    <cellStyle name="Currency 4 5 5" xfId="1926" xr:uid="{00000000-0005-0000-0000-0000AE030000}"/>
    <cellStyle name="Currency 4 5 5 2" xfId="2511" xr:uid="{00000000-0005-0000-0000-0000B7020000}"/>
    <cellStyle name="Currency 4 5 5 2 2" xfId="7636" xr:uid="{4D22E8A7-EB57-45C4-8DF7-78D97C020D56}"/>
    <cellStyle name="Currency 4 5 5 2 2 2" xfId="18016" xr:uid="{BA4C1423-C482-4431-9131-04E1CC4EBD81}"/>
    <cellStyle name="Currency 4 5 5 2 3" xfId="10469" xr:uid="{01F0FA39-D08C-48DA-938C-69F3BAC55A8E}"/>
    <cellStyle name="Currency 4 5 5 2 3 2" xfId="20849" xr:uid="{A02A1E62-6C59-45F9-97D0-856E7E73EC12}"/>
    <cellStyle name="Currency 4 5 5 2 4" xfId="15183" xr:uid="{96FC25C0-6B7E-46EA-8430-CD9F99FE003C}"/>
    <cellStyle name="Currency 4 5 5 3" xfId="3687" xr:uid="{00000000-0005-0000-0000-0000AE030000}"/>
    <cellStyle name="Currency 4 5 5 4" xfId="5697" xr:uid="{87D1524C-BFE7-422B-B989-9D522BADBCA1}"/>
    <cellStyle name="Currency 4 5 5 4 2" xfId="30082" xr:uid="{1CE4FC0E-CBEA-4695-B387-A7377BB90592}"/>
    <cellStyle name="Currency 4 5 5 5" xfId="22725" xr:uid="{EF4411FA-DFA8-451D-B7E7-839389F36923}"/>
    <cellStyle name="Currency 4 5 5 6" xfId="12899" xr:uid="{C5E1F394-9FDA-44B8-BAB0-E2548220D597}"/>
    <cellStyle name="Currency 4 5 6" xfId="1927" xr:uid="{00000000-0005-0000-0000-0000AF030000}"/>
    <cellStyle name="Currency 4 5 6 2" xfId="2297" xr:uid="{00000000-0005-0000-0000-0000B1020000}"/>
    <cellStyle name="Currency 4 5 6 2 2" xfId="7424" xr:uid="{27282295-7FE3-42E8-957D-24B26439D840}"/>
    <cellStyle name="Currency 4 5 6 2 2 2" xfId="17804" xr:uid="{8C24B4EF-0358-4F54-A912-98B5E3379049}"/>
    <cellStyle name="Currency 4 5 6 2 3" xfId="10257" xr:uid="{FDFC2E07-E644-4F02-BCB8-66A9F1B8790E}"/>
    <cellStyle name="Currency 4 5 6 2 3 2" xfId="20637" xr:uid="{1A61F4DB-4348-4174-B239-F5DF689F2EE0}"/>
    <cellStyle name="Currency 4 5 6 2 4" xfId="27456" xr:uid="{B9F256C9-BCCC-4534-8886-D9B3C7D21615}"/>
    <cellStyle name="Currency 4 5 6 2 5" xfId="28511" xr:uid="{73746A97-BD3D-47E7-A938-B4DCC51B3BDF}"/>
    <cellStyle name="Currency 4 5 6 2 6" xfId="14971" xr:uid="{CAE99062-2993-4F26-AC84-E97E092E225E}"/>
    <cellStyle name="Currency 4 5 6 3" xfId="2050" xr:uid="{00000000-0005-0000-0000-0000AF030000}"/>
    <cellStyle name="Currency 4 5 6 4" xfId="24324" xr:uid="{E848D214-C233-4FDB-AA84-DF3F125B0AE0}"/>
    <cellStyle name="Currency 4 5 6 4 2" xfId="30106" xr:uid="{A038BEB1-9E16-4AB8-BBC0-C07F9875FCE6}"/>
    <cellStyle name="Currency 4 5 6 5" xfId="30236" xr:uid="{632F0C5F-096D-4C3D-A726-61D312B5056E}"/>
    <cellStyle name="Currency 4 5 7" xfId="1913" xr:uid="{00000000-0005-0000-0000-0000B0030000}"/>
    <cellStyle name="Currency 4 5 7 2" xfId="25775" xr:uid="{E7C99D6A-38BF-4E4B-8018-AFD0CBFA99FB}"/>
    <cellStyle name="Currency 4 5 7 3" xfId="24241" xr:uid="{76B8FB3E-46A1-4D15-A448-AE8DEDB8CB73}"/>
    <cellStyle name="Currency 4 5 8" xfId="3886" xr:uid="{BB75FD07-1C78-4151-9DF4-68E424D3C4F2}"/>
    <cellStyle name="Currency 4 5 8 2" xfId="8718" xr:uid="{DD397074-4919-4D6A-A38A-F372E30130F0}"/>
    <cellStyle name="Currency 4 5 8 2 2" xfId="19098" xr:uid="{DEB98FC7-18DE-4F8A-97A3-431584117BB8}"/>
    <cellStyle name="Currency 4 5 8 3" xfId="11551" xr:uid="{359770BD-143E-4F4F-AA98-5F7305CF618B}"/>
    <cellStyle name="Currency 4 5 8 3 2" xfId="21931" xr:uid="{E66B9320-DBDD-445D-8DE7-4A10CDECB151}"/>
    <cellStyle name="Currency 4 5 8 4" xfId="28027" xr:uid="{D526BE72-91DA-4754-AA1C-03DB8E0B0E8A}"/>
    <cellStyle name="Currency 4 5 8 5" xfId="27122" xr:uid="{497ECD56-B183-48DE-AA7E-44F24EB94C74}"/>
    <cellStyle name="Currency 4 5 8 6" xfId="16265" xr:uid="{F82953C5-58DF-4A68-B24B-5112198EFBCF}"/>
    <cellStyle name="Currency 4 5 9" xfId="4956" xr:uid="{2BF12BF6-A88D-4CD8-B463-BE6A723B4788}"/>
    <cellStyle name="Currency 4 5 9 2" xfId="28425" xr:uid="{CE4A9F61-2D6F-40AD-B611-F92BB82A6F93}"/>
    <cellStyle name="Currency 4 5 9 3" xfId="28542" xr:uid="{7D4837C6-7F11-49AB-8B5C-DA6D94A2B26B}"/>
    <cellStyle name="Currency 4 5 9 4" xfId="14251" xr:uid="{7B7D4E74-8C23-4621-9E92-669FBB089CC4}"/>
    <cellStyle name="Currency 4 6" xfId="578" xr:uid="{00000000-0005-0000-0000-0000B1030000}"/>
    <cellStyle name="Currency 4 6 10" xfId="6709" xr:uid="{B07F9FF6-3CB0-41E2-BE48-9F074A4EFF3F}"/>
    <cellStyle name="Currency 4 6 10 2" xfId="17089" xr:uid="{AE70F2C7-B997-463B-B121-3804A5096F80}"/>
    <cellStyle name="Currency 4 6 11" xfId="9542" xr:uid="{91979687-FDE0-42FF-AD58-6BBF9A4F60A5}"/>
    <cellStyle name="Currency 4 6 11 2" xfId="19922" xr:uid="{4896E6C4-B379-47ED-86FC-84F546494045}"/>
    <cellStyle name="Currency 4 6 12" xfId="24981" xr:uid="{7B097255-9119-4B78-A77F-24C10930B021}"/>
    <cellStyle name="Currency 4 6 13" xfId="12530" xr:uid="{B856397C-6609-41B2-9AE5-C15254210415}"/>
    <cellStyle name="Currency 4 6 2" xfId="579" xr:uid="{00000000-0005-0000-0000-0000B2030000}"/>
    <cellStyle name="Currency 4 6 2 10" xfId="23958" xr:uid="{1E0057A9-BBA2-4D46-B7EA-18EF09872F67}"/>
    <cellStyle name="Currency 4 6 2 11" xfId="12688" xr:uid="{6D82921E-0A4A-470C-944C-C94A67F7B50E}"/>
    <cellStyle name="Currency 4 6 2 2" xfId="580" xr:uid="{00000000-0005-0000-0000-0000B3030000}"/>
    <cellStyle name="Currency 4 6 2 2 2" xfId="1931" xr:uid="{00000000-0005-0000-0000-0000B4030000}"/>
    <cellStyle name="Currency 4 6 2 2 2 2" xfId="24066" xr:uid="{1A248772-3124-424D-BDF8-03CF48AD404B}"/>
    <cellStyle name="Currency 4 6 2 2 2 2 2" xfId="30032" xr:uid="{2B7C478E-68A7-4E18-9CE1-48B98FE1DBA1}"/>
    <cellStyle name="Currency 4 6 2 2 2 3" xfId="25071" xr:uid="{E0EA9661-5210-4CF1-B311-A122A5430DBF}"/>
    <cellStyle name="Currency 4 6 2 2 2 4" xfId="30301" xr:uid="{790C3146-2986-4978-95FD-17C3925AD783}"/>
    <cellStyle name="Currency 4 6 2 2 3" xfId="1932" xr:uid="{00000000-0005-0000-0000-0000B5030000}"/>
    <cellStyle name="Currency 4 6 2 2 3 2" xfId="27019" xr:uid="{6D4BFB8F-F4E3-488F-AE7F-8B569DEE806B}"/>
    <cellStyle name="Currency 4 6 2 2 3 3" xfId="28381" xr:uid="{8E7070DA-EB58-4185-BD19-1566856F6854}"/>
    <cellStyle name="Currency 4 6 2 2 4" xfId="1930" xr:uid="{00000000-0005-0000-0000-0000B6030000}"/>
    <cellStyle name="Currency 4 6 2 2 5" xfId="4963" xr:uid="{2250466A-D110-4398-98F0-42A79CBF6180}"/>
    <cellStyle name="Currency 4 6 2 2 5 2" xfId="28537" xr:uid="{891F3589-F1CB-45CE-84A4-2A06312D3154}"/>
    <cellStyle name="Currency 4 6 2 2 5 3" xfId="28572" xr:uid="{A706AA9B-20B4-41A2-8CB2-06ABDF2DCB6C}"/>
    <cellStyle name="Currency 4 6 2 2 5 4" xfId="14258" xr:uid="{D0255818-1554-4D74-96D0-52D65F034DCA}"/>
    <cellStyle name="Currency 4 6 2 2 6" xfId="6711" xr:uid="{45FD87FF-A2B1-4E29-9C9F-D546B2E334A5}"/>
    <cellStyle name="Currency 4 6 2 2 6 2" xfId="17091" xr:uid="{BA993446-4CF5-4070-9D3E-44C57E92FAF0}"/>
    <cellStyle name="Currency 4 6 2 2 7" xfId="9544" xr:uid="{1C96D7B5-F815-48C5-8BC9-BE47EAD44157}"/>
    <cellStyle name="Currency 4 6 2 2 7 2" xfId="19924" xr:uid="{4F90AFAC-EF2A-48EB-AE86-2E926B19D934}"/>
    <cellStyle name="Currency 4 6 2 2 8" xfId="23433" xr:uid="{BAE1E1BE-A151-440D-A3FD-1B74FF6E838B}"/>
    <cellStyle name="Currency 4 6 2 2 9" xfId="13624" xr:uid="{69D5B8D4-D772-40A6-A8B6-2592C5AE2DBC}"/>
    <cellStyle name="Currency 4 6 2 3" xfId="1933" xr:uid="{00000000-0005-0000-0000-0000B7030000}"/>
    <cellStyle name="Currency 4 6 2 3 2" xfId="2698" xr:uid="{00000000-0005-0000-0000-0000BB020000}"/>
    <cellStyle name="Currency 4 6 2 3 2 2" xfId="7822" xr:uid="{9141CB2B-C0D0-46F5-A473-8965105435F5}"/>
    <cellStyle name="Currency 4 6 2 3 2 2 2" xfId="18202" xr:uid="{58125A39-26CC-49B5-BB19-D1DF4CDA251E}"/>
    <cellStyle name="Currency 4 6 2 3 2 3" xfId="10655" xr:uid="{39219585-75A2-4539-B70E-18DB55ACB9D9}"/>
    <cellStyle name="Currency 4 6 2 3 2 3 2" xfId="21035" xr:uid="{3A80A820-F0DF-4A51-840B-F2D3EC169472}"/>
    <cellStyle name="Currency 4 6 2 3 2 4" xfId="15369" xr:uid="{03AA89C8-A028-4B49-8381-59A5B0E5E97C}"/>
    <cellStyle name="Currency 4 6 2 3 3" xfId="3636" xr:uid="{00000000-0005-0000-0000-0000B7030000}"/>
    <cellStyle name="Currency 4 6 2 3 4" xfId="5698" xr:uid="{B38A81BB-9A36-40AA-950D-281B6FFF8927}"/>
    <cellStyle name="Currency 4 6 2 3 4 2" xfId="29992" xr:uid="{892640F9-76FB-44EE-B8F0-40BC5CA03BDE}"/>
    <cellStyle name="Currency 4 6 2 3 5" xfId="22981" xr:uid="{B6E933DD-A71A-437B-AB0D-1555CA191641}"/>
    <cellStyle name="Currency 4 6 2 3 6" xfId="13114" xr:uid="{97F811E8-74C9-46E0-BE4A-E9879D19FAC3}"/>
    <cellStyle name="Currency 4 6 2 4" xfId="1934" xr:uid="{00000000-0005-0000-0000-0000B8030000}"/>
    <cellStyle name="Currency 4 6 2 4 2" xfId="3770" xr:uid="{711868DE-36E0-40D7-A79D-79449C7A383C}"/>
    <cellStyle name="Currency 4 6 2 4 2 2" xfId="8614" xr:uid="{F546AFF6-7058-4C82-90AC-4A81EC8083D9}"/>
    <cellStyle name="Currency 4 6 2 4 2 2 2" xfId="18994" xr:uid="{E88E79F6-1F23-4001-9309-BDEA1C2F6BF3}"/>
    <cellStyle name="Currency 4 6 2 4 2 3" xfId="11447" xr:uid="{2DD8B225-19F8-4553-BC04-74AC6264B56E}"/>
    <cellStyle name="Currency 4 6 2 4 2 3 2" xfId="21827" xr:uid="{FC3F1D3B-7AA2-4711-B757-CB01029872EA}"/>
    <cellStyle name="Currency 4 6 2 4 2 4" xfId="28628" xr:uid="{D1889FEE-D5E8-4C56-976E-BB0BF757AFB4}"/>
    <cellStyle name="Currency 4 6 2 4 2 5" xfId="27300" xr:uid="{4CED908C-E0B3-49F6-AEE7-7441216FCEE4}"/>
    <cellStyle name="Currency 4 6 2 4 2 6" xfId="16161" xr:uid="{83C002B8-BD9C-4D22-8A9D-BA9F67B034FD}"/>
    <cellStyle name="Currency 4 6 2 4 3" xfId="25296" xr:uid="{F7CEB48C-B5A7-412F-9C5F-E2E4C2E67336}"/>
    <cellStyle name="Currency 4 6 2 4 3 2" xfId="30151" xr:uid="{BDC9D732-205F-4AD1-9B9B-7FD9BA9CCBA6}"/>
    <cellStyle name="Currency 4 6 2 4 4" xfId="30262" xr:uid="{987C15EF-E532-4141-99C1-FB7993D2DF75}"/>
    <cellStyle name="Currency 4 6 2 5" xfId="1929" xr:uid="{00000000-0005-0000-0000-0000B9030000}"/>
    <cellStyle name="Currency 4 6 2 5 2" xfId="23050" xr:uid="{DEB66FCC-EAF6-49BE-BE1E-44208B92D060}"/>
    <cellStyle name="Currency 4 6 2 5 3" xfId="25805" xr:uid="{450EC3BB-E536-4A0F-ADBB-326E1FBE7306}"/>
    <cellStyle name="Currency 4 6 2 6" xfId="4142" xr:uid="{6809CE90-3BD2-4B14-B987-2478FE084EC5}"/>
    <cellStyle name="Currency 4 6 2 6 2" xfId="8914" xr:uid="{BF742BF3-4A54-4718-BBA4-B70ABFCB325F}"/>
    <cellStyle name="Currency 4 6 2 6 2 2" xfId="19294" xr:uid="{5AEACD83-2843-4E92-9040-B7E679159810}"/>
    <cellStyle name="Currency 4 6 2 6 3" xfId="11747" xr:uid="{A514B5F4-9004-4CED-84F6-59A48E97A795}"/>
    <cellStyle name="Currency 4 6 2 6 3 2" xfId="22127" xr:uid="{6ECBD18E-EA1B-4676-AF35-72C30BB44837}"/>
    <cellStyle name="Currency 4 6 2 6 4" xfId="26526" xr:uid="{AC3EA581-D422-4D75-92EF-30FFC4170AA4}"/>
    <cellStyle name="Currency 4 6 2 6 5" xfId="26882" xr:uid="{73973956-B136-4DDB-A0F9-8C9BC541783A}"/>
    <cellStyle name="Currency 4 6 2 6 6" xfId="16461" xr:uid="{2B2A8B2D-56B9-4B2F-ACC8-74592709D082}"/>
    <cellStyle name="Currency 4 6 2 7" xfId="4962" xr:uid="{DC1DDCAA-438F-4D69-A3BE-2C2B2BF09732}"/>
    <cellStyle name="Currency 4 6 2 7 2" xfId="27132" xr:uid="{6E317467-9D0D-42C3-9EA7-11486512D191}"/>
    <cellStyle name="Currency 4 6 2 7 3" xfId="26147" xr:uid="{D0347F24-C2A8-4668-BC74-81112063EE9F}"/>
    <cellStyle name="Currency 4 6 2 7 4" xfId="14257" xr:uid="{608F617D-8CC8-4305-BB38-54EA70AEDA53}"/>
    <cellStyle name="Currency 4 6 2 8" xfId="6710" xr:uid="{F62F604B-18CC-4DDC-B82F-9B55E4F25239}"/>
    <cellStyle name="Currency 4 6 2 8 2" xfId="17090" xr:uid="{C4A721BE-FE4D-496E-98CD-FD18782DD36D}"/>
    <cellStyle name="Currency 4 6 2 9" xfId="9543" xr:uid="{69CFD19C-2246-45B2-9FE6-6E2A756EAC3A}"/>
    <cellStyle name="Currency 4 6 2 9 2" xfId="19923" xr:uid="{DB01D7A8-7C61-4D43-9903-A09A922AE58A}"/>
    <cellStyle name="Currency 4 6 3" xfId="581" xr:uid="{00000000-0005-0000-0000-0000BA030000}"/>
    <cellStyle name="Currency 4 6 3 10" xfId="13625" xr:uid="{E2B005EC-0FC7-4563-9527-17FDC2EF4E14}"/>
    <cellStyle name="Currency 4 6 3 2" xfId="1936" xr:uid="{00000000-0005-0000-0000-0000BB030000}"/>
    <cellStyle name="Currency 4 6 3 2 2" xfId="24890" xr:uid="{C36765B5-20D3-4E36-850B-6ABAEC0FF880}"/>
    <cellStyle name="Currency 4 6 3 2 2 2" xfId="30024" xr:uid="{269CD25C-50FE-473D-9E32-81A459040C2E}"/>
    <cellStyle name="Currency 4 6 3 2 3" xfId="23227" xr:uid="{2C26A46C-6DAC-4B8D-A2CE-FB3895391873}"/>
    <cellStyle name="Currency 4 6 3 2 3 2" xfId="27864" xr:uid="{10E1699B-2241-47D5-9787-3D9730D666CE}"/>
    <cellStyle name="Currency 4 6 3 2 4" xfId="30302" xr:uid="{AA83F33D-3466-43C6-8269-F3E71A4BE44C}"/>
    <cellStyle name="Currency 4 6 3 3" xfId="1937" xr:uid="{00000000-0005-0000-0000-0000BC030000}"/>
    <cellStyle name="Currency 4 6 3 4" xfId="1935" xr:uid="{00000000-0005-0000-0000-0000BD030000}"/>
    <cellStyle name="Currency 4 6 3 4 2" xfId="27207" xr:uid="{76CF2D70-31C2-4FE1-8EE7-818EBE82C205}"/>
    <cellStyle name="Currency 4 6 3 4 3" xfId="28335" xr:uid="{32B145DB-C29E-4812-BF17-9D7B62B1F686}"/>
    <cellStyle name="Currency 4 6 3 5" xfId="4433" xr:uid="{8E2BD8CA-0D4D-4E62-BC0A-ED15E529F6CD}"/>
    <cellStyle name="Currency 4 6 3 5 2" xfId="9205" xr:uid="{0270927F-5680-4C53-B40F-53E15082B603}"/>
    <cellStyle name="Currency 4 6 3 5 2 2" xfId="19585" xr:uid="{0BB2AAF7-C416-498D-9B8B-9B560F3D4281}"/>
    <cellStyle name="Currency 4 6 3 5 3" xfId="12038" xr:uid="{AFFC388E-3DF7-4EFE-AAE8-CB07387570F2}"/>
    <cellStyle name="Currency 4 6 3 5 3 2" xfId="22418" xr:uid="{DE035A88-F17D-4998-A618-16A3E9A1EB7B}"/>
    <cellStyle name="Currency 4 6 3 5 4" xfId="28534" xr:uid="{6DF86680-28CD-4D06-9B04-0CF22F6BCB13}"/>
    <cellStyle name="Currency 4 6 3 5 5" xfId="27208" xr:uid="{6226D374-F607-49AC-91C2-FC30A724A561}"/>
    <cellStyle name="Currency 4 6 3 5 6" xfId="16752" xr:uid="{8022CEF5-0D2F-4278-A2EB-218C34FF6C4C}"/>
    <cellStyle name="Currency 4 6 3 6" xfId="4964" xr:uid="{4330E251-CD90-4B32-93FC-55EAA4CDFFD9}"/>
    <cellStyle name="Currency 4 6 3 6 2" xfId="28481" xr:uid="{215BA51B-A8B7-44C4-9585-F41E758D65E3}"/>
    <cellStyle name="Currency 4 6 3 6 3" xfId="28660" xr:uid="{9EB08D96-3FD3-47EA-B870-C504493DB19B}"/>
    <cellStyle name="Currency 4 6 3 6 4" xfId="14259" xr:uid="{60E90AF3-05F3-47F4-A189-98678D978807}"/>
    <cellStyle name="Currency 4 6 3 7" xfId="6712" xr:uid="{E7E018BF-333B-44B4-92CA-F7E2C56EB859}"/>
    <cellStyle name="Currency 4 6 3 7 2" xfId="17092" xr:uid="{D7F8E667-89B4-4688-B8FD-C186A76ABA1A}"/>
    <cellStyle name="Currency 4 6 3 8" xfId="9545" xr:uid="{5923932E-B7A2-4154-924A-867AD747AB75}"/>
    <cellStyle name="Currency 4 6 3 8 2" xfId="19925" xr:uid="{96D35695-3217-4658-B362-5229A795E688}"/>
    <cellStyle name="Currency 4 6 3 9" xfId="24329" xr:uid="{11F1C252-E24B-475A-A6CB-0594284AF6DE}"/>
    <cellStyle name="Currency 4 6 4" xfId="582" xr:uid="{00000000-0005-0000-0000-0000BE030000}"/>
    <cellStyle name="Currency 4 6 4 2" xfId="1939" xr:uid="{00000000-0005-0000-0000-0000BF030000}"/>
    <cellStyle name="Currency 4 6 4 2 2" xfId="24733" xr:uid="{F6B067B5-A3E8-44C1-A0BD-699CBD37ED89}"/>
    <cellStyle name="Currency 4 6 4 2 2 2" xfId="30036" xr:uid="{27CD3DBE-9BBA-41B8-9F8D-CDF79EA8C7BA}"/>
    <cellStyle name="Currency 4 6 4 2 3" xfId="22734" xr:uid="{49722CC7-D743-4F52-82C1-3F54B76E2373}"/>
    <cellStyle name="Currency 4 6 4 2 4" xfId="30278" xr:uid="{3B9BCCA7-62C3-42FE-9C22-7E69E28A6D1F}"/>
    <cellStyle name="Currency 4 6 4 3" xfId="1940" xr:uid="{00000000-0005-0000-0000-0000C0030000}"/>
    <cellStyle name="Currency 4 6 4 4" xfId="1938" xr:uid="{00000000-0005-0000-0000-0000C1030000}"/>
    <cellStyle name="Currency 4 6 4 5" xfId="4965" xr:uid="{E8104B68-60BF-44F6-A198-148619EA8402}"/>
    <cellStyle name="Currency 4 6 4 5 2" xfId="14260" xr:uid="{F993D79C-324D-4094-90E8-80912C5B10B5}"/>
    <cellStyle name="Currency 4 6 4 6" xfId="6713" xr:uid="{B47C4504-D587-4D4B-A5E5-B5D92E7C2E97}"/>
    <cellStyle name="Currency 4 6 4 6 2" xfId="17093" xr:uid="{C233BEB7-DD31-4D3D-A7D9-62A75FCF85AD}"/>
    <cellStyle name="Currency 4 6 4 7" xfId="9546" xr:uid="{AB973561-B002-4343-AC5F-1462A0AC63B3}"/>
    <cellStyle name="Currency 4 6 4 7 2" xfId="19926" xr:uid="{F17DB19A-C246-4994-86EC-1CC8D02BB663}"/>
    <cellStyle name="Currency 4 6 4 8" xfId="24957" xr:uid="{F86C4079-2D3E-4067-BF88-768835AA9419}"/>
    <cellStyle name="Currency 4 6 4 9" xfId="13386" xr:uid="{FBE96D83-CC4B-4205-B350-C9D1F5359855}"/>
    <cellStyle name="Currency 4 6 5" xfId="1941" xr:uid="{00000000-0005-0000-0000-0000C2030000}"/>
    <cellStyle name="Currency 4 6 5 2" xfId="2574" xr:uid="{00000000-0005-0000-0000-0000BE020000}"/>
    <cellStyle name="Currency 4 6 5 2 2" xfId="7699" xr:uid="{F5D68F96-F0DA-4749-84B4-D6B389395435}"/>
    <cellStyle name="Currency 4 6 5 2 2 2" xfId="18079" xr:uid="{16F57B8C-289B-40FB-9E86-96BDD41AD2DE}"/>
    <cellStyle name="Currency 4 6 5 2 3" xfId="10532" xr:uid="{26C5C6E3-E275-4B47-AA68-731DCEF045DA}"/>
    <cellStyle name="Currency 4 6 5 2 3 2" xfId="20912" xr:uid="{343B79BB-FD30-4CBF-B8D2-4EADF47A6AD8}"/>
    <cellStyle name="Currency 4 6 5 2 4" xfId="15246" xr:uid="{60EFE88D-3491-47D8-A831-9D6B14B3372A}"/>
    <cellStyle name="Currency 4 6 5 3" xfId="2085" xr:uid="{00000000-0005-0000-0000-0000C2030000}"/>
    <cellStyle name="Currency 4 6 5 4" xfId="5699" xr:uid="{7B617730-E9B4-416A-9358-07A6A410E9D6}"/>
    <cellStyle name="Currency 4 6 5 4 2" xfId="30083" xr:uid="{29727A10-F00A-4A35-AACE-37AFD10F931D}"/>
    <cellStyle name="Currency 4 6 5 5" xfId="24700" xr:uid="{463D0040-66A8-4624-B6B9-13090BDD56A9}"/>
    <cellStyle name="Currency 4 6 5 6" xfId="12962" xr:uid="{BEAC7C64-E13E-4CCE-A360-392E2851F7F6}"/>
    <cellStyle name="Currency 4 6 6" xfId="1942" xr:uid="{00000000-0005-0000-0000-0000C3030000}"/>
    <cellStyle name="Currency 4 6 6 2" xfId="2298" xr:uid="{00000000-0005-0000-0000-0000B8020000}"/>
    <cellStyle name="Currency 4 6 6 2 2" xfId="7425" xr:uid="{3A032AAF-4944-4C9B-8E3F-725920A81EF8}"/>
    <cellStyle name="Currency 4 6 6 2 2 2" xfId="17805" xr:uid="{D7495DBE-760B-494D-B401-8FBC27B6F3E8}"/>
    <cellStyle name="Currency 4 6 6 2 3" xfId="10258" xr:uid="{4684E2E0-4CBE-4AA0-AC83-2A299CC44737}"/>
    <cellStyle name="Currency 4 6 6 2 3 2" xfId="20638" xr:uid="{B444816C-3FAE-4F49-BEE5-6B9562F8C546}"/>
    <cellStyle name="Currency 4 6 6 2 4" xfId="26427" xr:uid="{7CC14572-D99A-45ED-9A72-5F853AB95C6C}"/>
    <cellStyle name="Currency 4 6 6 2 5" xfId="27670" xr:uid="{50E25C06-2115-445B-B9B8-E34236366B27}"/>
    <cellStyle name="Currency 4 6 6 2 6" xfId="14972" xr:uid="{D3E9DC08-5AB2-4141-BCE7-79ABD7C17FC4}"/>
    <cellStyle name="Currency 4 6 6 3" xfId="3568" xr:uid="{00000000-0005-0000-0000-0000C3030000}"/>
    <cellStyle name="Currency 4 6 6 4" xfId="23615" xr:uid="{F73A3D5D-7C63-4474-93C8-2F8C85107F04}"/>
    <cellStyle name="Currency 4 6 6 4 2" xfId="30117" xr:uid="{A16A5637-1E22-4B56-8460-257DFBDAE022}"/>
    <cellStyle name="Currency 4 6 6 5" xfId="30240" xr:uid="{9D56819A-4DF8-4D26-B1B2-AAE65A5D5591}"/>
    <cellStyle name="Currency 4 6 7" xfId="1928" xr:uid="{00000000-0005-0000-0000-0000C4030000}"/>
    <cellStyle name="Currency 4 6 7 2" xfId="28518" xr:uid="{2B3A5AD4-3B72-4F07-A3C7-D11D3D3B1C66}"/>
    <cellStyle name="Currency 4 6 7 3" xfId="27211" xr:uid="{5F1C9F25-9141-46C1-A1B3-03D885C2C8D1}"/>
    <cellStyle name="Currency 4 6 8" xfId="3887" xr:uid="{321DE718-E9DD-4CC6-9A43-BD6F7C64AB7F}"/>
    <cellStyle name="Currency 4 6 8 2" xfId="8719" xr:uid="{AD18585E-0449-46B3-922D-ACB393122CAA}"/>
    <cellStyle name="Currency 4 6 8 2 2" xfId="19099" xr:uid="{4D1C51FA-2DFF-4B0C-A693-C516D66EA62D}"/>
    <cellStyle name="Currency 4 6 8 3" xfId="11552" xr:uid="{1F5E6A13-92D4-46EC-9A46-2A9CB594B694}"/>
    <cellStyle name="Currency 4 6 8 3 2" xfId="21932" xr:uid="{A633267D-7F4D-48B2-A353-1F07ACD67AB0}"/>
    <cellStyle name="Currency 4 6 8 4" xfId="27778" xr:uid="{DA6FD5AD-9B55-4E2B-B7EA-D19834A23184}"/>
    <cellStyle name="Currency 4 6 8 5" xfId="28437" xr:uid="{BD2F0D9E-4719-4DF7-87A2-968EC5181914}"/>
    <cellStyle name="Currency 4 6 8 6" xfId="16266" xr:uid="{0A23D878-012A-4A19-A859-A12D6AEE8510}"/>
    <cellStyle name="Currency 4 6 9" xfId="4961" xr:uid="{DE7EAA6F-BFD6-4F03-B088-0A8D226152DC}"/>
    <cellStyle name="Currency 4 6 9 2" xfId="27119" xr:uid="{06CA89B7-6312-4E86-9D6C-FD22CC4C758E}"/>
    <cellStyle name="Currency 4 6 9 3" xfId="25949" xr:uid="{E0EC0313-2058-4B8D-B267-99353C57F5E2}"/>
    <cellStyle name="Currency 4 6 9 4" xfId="14256" xr:uid="{7833206C-B6D0-426E-BE34-4FCBBBB89811}"/>
    <cellStyle name="Currency 4 7" xfId="583" xr:uid="{00000000-0005-0000-0000-0000C5030000}"/>
    <cellStyle name="Currency 4 7 10" xfId="9547" xr:uid="{01959434-F34D-4B0B-8F37-8B08E578F8AF}"/>
    <cellStyle name="Currency 4 7 10 2" xfId="19927" xr:uid="{FA30C7BA-0903-4083-8A76-27524D961128}"/>
    <cellStyle name="Currency 4 7 11" xfId="24123" xr:uid="{3B9E7350-C702-438E-80B8-77257FFCE4AC}"/>
    <cellStyle name="Currency 4 7 12" xfId="12531" xr:uid="{D0B25670-A4FD-4425-B6FA-B3AA34ED777F}"/>
    <cellStyle name="Currency 4 7 2" xfId="584" xr:uid="{00000000-0005-0000-0000-0000C6030000}"/>
    <cellStyle name="Currency 4 7 2 2" xfId="1945" xr:uid="{00000000-0005-0000-0000-0000C7030000}"/>
    <cellStyle name="Currency 4 7 2 2 2" xfId="2886" xr:uid="{00000000-0005-0000-0000-0000C1020000}"/>
    <cellStyle name="Currency 4 7 2 2 2 2" xfId="8003" xr:uid="{6B603E88-43AA-46D0-B30C-7C5E2BA0DCA6}"/>
    <cellStyle name="Currency 4 7 2 2 2 2 2" xfId="18383" xr:uid="{3104BB23-EFDE-4A36-BB1E-E3882DCC46F1}"/>
    <cellStyle name="Currency 4 7 2 2 2 3" xfId="10836" xr:uid="{0B57C376-07B2-4A4E-8EC5-44E61586E5AF}"/>
    <cellStyle name="Currency 4 7 2 2 2 3 2" xfId="21216" xr:uid="{57CDE2AC-2F0C-4449-821A-49DD0ACB7F52}"/>
    <cellStyle name="Currency 4 7 2 2 2 4" xfId="27605" xr:uid="{B2E46E50-9B9F-44C6-AFD4-8A5B5F6A0169}"/>
    <cellStyle name="Currency 4 7 2 2 2 5" xfId="28028" xr:uid="{553B760F-710B-46B0-B275-FCB41B94D847}"/>
    <cellStyle name="Currency 4 7 2 2 2 6" xfId="15550" xr:uid="{9237B366-6A9D-4927-9B96-8F59977269B7}"/>
    <cellStyle name="Currency 4 7 2 2 3" xfId="3675" xr:uid="{00000000-0005-0000-0000-0000C7030000}"/>
    <cellStyle name="Currency 4 7 2 2 4" xfId="5700" xr:uid="{22D5A381-C581-4E10-97AC-9DBF758EBF8B}"/>
    <cellStyle name="Currency 4 7 2 2 4 2" xfId="30001" xr:uid="{3AAB3704-2C96-41CB-A39A-CC68729779E2}"/>
    <cellStyle name="Currency 4 7 2 2 5" xfId="23225" xr:uid="{AAE7014B-67D7-4C40-B0E9-01940099DFC8}"/>
    <cellStyle name="Currency 4 7 2 2 6" xfId="13387" xr:uid="{79982C24-3858-4D30-A106-E097CF27C8FA}"/>
    <cellStyle name="Currency 4 7 2 3" xfId="1946" xr:uid="{00000000-0005-0000-0000-0000C8030000}"/>
    <cellStyle name="Currency 4 7 2 3 2" xfId="22779" xr:uid="{C881F5B4-F3A9-4ED8-B9EF-E79DA3E8F815}"/>
    <cellStyle name="Currency 4 7 2 3 3" xfId="24175" xr:uid="{26544DD9-D091-4B2C-811F-DB5F89FFB9E2}"/>
    <cellStyle name="Currency 4 7 2 3 4" xfId="30279" xr:uid="{B5C691B4-1064-420F-93F1-050A84F81B03}"/>
    <cellStyle name="Currency 4 7 2 3 5" xfId="29861" xr:uid="{686C07B2-D2AD-42A9-890A-27D9E3148D01}"/>
    <cellStyle name="Currency 4 7 2 4" xfId="1944" xr:uid="{00000000-0005-0000-0000-0000C9030000}"/>
    <cellStyle name="Currency 4 7 2 4 2" xfId="27767" xr:uid="{35AA840F-E0D9-4801-A904-7666944D530D}"/>
    <cellStyle name="Currency 4 7 2 4 3" xfId="27555" xr:uid="{309E2BD4-6415-423E-9A3A-269217115A99}"/>
    <cellStyle name="Currency 4 7 2 5" xfId="4967" xr:uid="{9BE4CE84-067E-4295-A27D-905C278DD623}"/>
    <cellStyle name="Currency 4 7 2 5 2" xfId="26373" xr:uid="{3D365F35-CF2A-4441-B8D2-A563921F7C70}"/>
    <cellStyle name="Currency 4 7 2 5 3" xfId="28209" xr:uid="{C26C9849-AAC5-4C2E-BD2A-17A120A28152}"/>
    <cellStyle name="Currency 4 7 2 5 4" xfId="14262" xr:uid="{15504211-C8FB-48E3-ABE1-52F60A82B2EA}"/>
    <cellStyle name="Currency 4 7 2 6" xfId="6715" xr:uid="{BEB38E83-4F2F-4E06-B525-7C7B913DDC00}"/>
    <cellStyle name="Currency 4 7 2 6 2" xfId="27672" xr:uid="{B3B20FE0-6D17-420D-A700-4AF685066E12}"/>
    <cellStyle name="Currency 4 7 2 6 3" xfId="27317" xr:uid="{783F09BB-E3D5-4BB4-AAF7-C9480B15745D}"/>
    <cellStyle name="Currency 4 7 2 6 4" xfId="17095" xr:uid="{86F38118-6FB7-423B-811B-008EFB0E9E1C}"/>
    <cellStyle name="Currency 4 7 2 7" xfId="9548" xr:uid="{873BF6CA-07A0-4CE0-A052-DE6BD5390744}"/>
    <cellStyle name="Currency 4 7 2 7 2" xfId="19928" xr:uid="{AB1AAE0F-D698-4FBA-AF06-EF0C6B5B4929}"/>
    <cellStyle name="Currency 4 7 2 8" xfId="22885" xr:uid="{EF53D26A-A562-47AF-9875-D9B1DACB83A1}"/>
    <cellStyle name="Currency 4 7 2 9" xfId="12689" xr:uid="{7A29D792-EFEE-4E6D-BDD9-6CAF58E6AD12}"/>
    <cellStyle name="Currency 4 7 3" xfId="585" xr:uid="{00000000-0005-0000-0000-0000CA030000}"/>
    <cellStyle name="Currency 4 7 3 2" xfId="1948" xr:uid="{00000000-0005-0000-0000-0000CB030000}"/>
    <cellStyle name="Currency 4 7 3 2 2" xfId="28433" xr:uid="{B4A62C14-DA6C-4FEF-A267-1F04A97C9276}"/>
    <cellStyle name="Currency 4 7 3 2 3" xfId="27994" xr:uid="{B87E3442-56D6-4DE3-9FCB-CCFCEF4BF84C}"/>
    <cellStyle name="Currency 4 7 3 3" xfId="1949" xr:uid="{00000000-0005-0000-0000-0000CC030000}"/>
    <cellStyle name="Currency 4 7 3 4" xfId="1947" xr:uid="{00000000-0005-0000-0000-0000CD030000}"/>
    <cellStyle name="Currency 4 7 3 5" xfId="4968" xr:uid="{AA653B47-EB77-473A-AE3F-55E72BE8DAE9}"/>
    <cellStyle name="Currency 4 7 3 5 2" xfId="26652" xr:uid="{F73D796E-D2FC-4D1D-804E-0483698AE38C}"/>
    <cellStyle name="Currency 4 7 3 5 3" xfId="27688" xr:uid="{3C6439A3-0637-4EC0-A383-FC5F4D8D1E46}"/>
    <cellStyle name="Currency 4 7 3 5 4" xfId="14263" xr:uid="{003F3429-F97A-40D6-994C-FCB7138F97CF}"/>
    <cellStyle name="Currency 4 7 3 6" xfId="6716" xr:uid="{19B11A2C-F7D2-418F-B52D-2DFDE34271BB}"/>
    <cellStyle name="Currency 4 7 3 6 2" xfId="17096" xr:uid="{62A2C9DA-8A04-4F2E-BAA4-FE6F50340982}"/>
    <cellStyle name="Currency 4 7 3 7" xfId="9549" xr:uid="{F966EB47-0C3E-4CAD-B1A0-0DDDE86F84C8}"/>
    <cellStyle name="Currency 4 7 3 7 2" xfId="19929" xr:uid="{CF16DF1A-19C2-439F-89B1-FE7280222081}"/>
    <cellStyle name="Currency 4 7 3 8" xfId="24320" xr:uid="{9F439C94-388B-49EA-AE61-E9EB10CD7F2D}"/>
    <cellStyle name="Currency 4 7 3 9" xfId="13115" xr:uid="{59F93EE0-36F1-41C3-BE48-868E13347F87}"/>
    <cellStyle name="Currency 4 7 4" xfId="1950" xr:uid="{00000000-0005-0000-0000-0000CE030000}"/>
    <cellStyle name="Currency 4 7 4 2" xfId="2299" xr:uid="{00000000-0005-0000-0000-0000BF020000}"/>
    <cellStyle name="Currency 4 7 4 2 2" xfId="7426" xr:uid="{E48ED43D-F5C3-466C-8932-8EA701B06B69}"/>
    <cellStyle name="Currency 4 7 4 2 2 2" xfId="17806" xr:uid="{021EBDA7-4A55-4B1A-8E08-9A45AC1DAE19}"/>
    <cellStyle name="Currency 4 7 4 2 3" xfId="10259" xr:uid="{5F500F5C-9323-4E28-A82A-5EE59E6F1C0D}"/>
    <cellStyle name="Currency 4 7 4 2 3 2" xfId="20639" xr:uid="{7905FF4E-937E-4733-8C99-F1A3D0F00B32}"/>
    <cellStyle name="Currency 4 7 4 2 4" xfId="26106" xr:uid="{78E47DCE-5F4E-4AD3-BF2E-A24265D35436}"/>
    <cellStyle name="Currency 4 7 4 2 5" xfId="25920" xr:uid="{60C943FF-852C-4686-A2F2-471DCBB227B8}"/>
    <cellStyle name="Currency 4 7 4 2 6" xfId="14973" xr:uid="{2C1DD2A8-26E0-4FA0-850F-EB722BC0EC15}"/>
    <cellStyle name="Currency 4 7 4 3" xfId="3637" xr:uid="{00000000-0005-0000-0000-0000CE030000}"/>
    <cellStyle name="Currency 4 7 4 4" xfId="24132" xr:uid="{C3AEE799-7253-4F20-A455-E163AF421BCE}"/>
    <cellStyle name="Currency 4 7 4 4 2" xfId="29971" xr:uid="{23CE5129-B5C9-431C-A99E-5E141D569231}"/>
    <cellStyle name="Currency 4 7 4 5" xfId="30084" xr:uid="{87A2C917-BC01-4339-9755-BE99594BDB0E}"/>
    <cellStyle name="Currency 4 7 4 6" xfId="30228" xr:uid="{B392EA54-9583-482D-81FE-EC64353A7C6D}"/>
    <cellStyle name="Currency 4 7 5" xfId="1951" xr:uid="{00000000-0005-0000-0000-0000CF030000}"/>
    <cellStyle name="Currency 4 7 5 2" xfId="25268" xr:uid="{CDE00D5B-E828-41FA-A68A-9B3CE7066B15}"/>
    <cellStyle name="Currency 4 7 5 2 2" xfId="29964" xr:uid="{68D86A1B-FCCB-444F-80E6-AC8B2F36862D}"/>
    <cellStyle name="Currency 4 7 5 3" xfId="25600" xr:uid="{6CD831BA-6D09-4C68-9F08-905171E640CA}"/>
    <cellStyle name="Currency 4 7 5 4" xfId="30263" xr:uid="{28185845-E757-4E12-8F60-2019386391B2}"/>
    <cellStyle name="Currency 4 7 6" xfId="1943" xr:uid="{00000000-0005-0000-0000-0000D0030000}"/>
    <cellStyle name="Currency 4 7 6 2" xfId="26143" xr:uid="{D0C1945C-72AA-4573-AA8D-1633DBEA2CAD}"/>
    <cellStyle name="Currency 4 7 6 3" xfId="26611" xr:uid="{80965D0B-9059-4A46-AB05-60F1B5BE61C6}"/>
    <cellStyle name="Currency 4 7 7" xfId="3888" xr:uid="{3CBD11E9-3EFC-4C96-87B7-EE0635EA82F6}"/>
    <cellStyle name="Currency 4 7 7 2" xfId="8720" xr:uid="{C09B8340-DE6C-4EA8-BFDB-E3BDAC3AEDB5}"/>
    <cellStyle name="Currency 4 7 7 2 2" xfId="28968" xr:uid="{DA69CAC2-1877-47CD-8950-A4DBE86E05FA}"/>
    <cellStyle name="Currency 4 7 7 2 3" xfId="26339" xr:uid="{3095DECA-ABD6-4A11-BFFB-415C87BB631B}"/>
    <cellStyle name="Currency 4 7 7 2 4" xfId="19100" xr:uid="{844FAEA3-8AE7-4FF2-9811-CD15EE833D2C}"/>
    <cellStyle name="Currency 4 7 7 3" xfId="11553" xr:uid="{520FC835-1AC3-4133-BB04-81EC5AF58F3A}"/>
    <cellStyle name="Currency 4 7 7 3 2" xfId="21933" xr:uid="{56B72C26-D985-4269-A376-6B44A11A5B02}"/>
    <cellStyle name="Currency 4 7 7 4" xfId="26171" xr:uid="{19CA4702-B36A-4E5B-BA4B-964627BCA4F1}"/>
    <cellStyle name="Currency 4 7 7 5" xfId="16267" xr:uid="{76069791-02B8-4769-971D-31681C043604}"/>
    <cellStyle name="Currency 4 7 8" xfId="4966" xr:uid="{E34E299F-AD46-449C-B1A5-51BB76C325C5}"/>
    <cellStyle name="Currency 4 7 8 2" xfId="26217" xr:uid="{110CC1CA-6673-4FEF-9546-96A44FD1D013}"/>
    <cellStyle name="Currency 4 7 8 3" xfId="26111" xr:uid="{13470DEA-F8EA-4EC0-8163-E6E509DC569E}"/>
    <cellStyle name="Currency 4 7 8 4" xfId="14261" xr:uid="{7183D54A-FE39-464F-AC51-ABB77E7320DC}"/>
    <cellStyle name="Currency 4 7 9" xfId="6714" xr:uid="{7A444773-9948-4586-8685-1453BE4EF030}"/>
    <cellStyle name="Currency 4 7 9 2" xfId="27941" xr:uid="{4F70E5F3-9058-4E7A-A4A6-D7B8B9CB4522}"/>
    <cellStyle name="Currency 4 7 9 3" xfId="25931" xr:uid="{E8AB6CF0-D2D9-41EE-B58D-ECFE27D21A7A}"/>
    <cellStyle name="Currency 4 7 9 4" xfId="17094" xr:uid="{EB6CB191-D83A-4A53-B2B2-AF23D0F26A38}"/>
    <cellStyle name="Currency 4 8" xfId="586" xr:uid="{00000000-0005-0000-0000-0000D1030000}"/>
    <cellStyle name="Currency 4 8 10" xfId="9550" xr:uid="{518031D6-4FCB-461D-A0DD-8E4DEA690AE2}"/>
    <cellStyle name="Currency 4 8 10 2" xfId="19930" xr:uid="{184D2E45-1BC4-44DB-8F5B-2B1B1E655BD7}"/>
    <cellStyle name="Currency 4 8 11" xfId="24278" xr:uid="{A45ACE86-53A0-47D8-AFEE-FA1132DBDB5D}"/>
    <cellStyle name="Currency 4 8 12" xfId="12532" xr:uid="{25638229-E1F6-4AC6-B86C-513FAE2764DF}"/>
    <cellStyle name="Currency 4 8 2" xfId="587" xr:uid="{00000000-0005-0000-0000-0000D2030000}"/>
    <cellStyle name="Currency 4 8 2 2" xfId="1954" xr:uid="{00000000-0005-0000-0000-0000D3030000}"/>
    <cellStyle name="Currency 4 8 2 2 2" xfId="2887" xr:uid="{00000000-0005-0000-0000-0000C5020000}"/>
    <cellStyle name="Currency 4 8 2 2 2 2" xfId="8004" xr:uid="{E548F0CD-450D-4E66-B747-E1F07B4CE89B}"/>
    <cellStyle name="Currency 4 8 2 2 2 2 2" xfId="18384" xr:uid="{AA0CD93F-8B9E-48DE-BC3E-C028EAF890B7}"/>
    <cellStyle name="Currency 4 8 2 2 2 3" xfId="10837" xr:uid="{FB0535CB-6403-4CD1-BBC9-99FE07A18266}"/>
    <cellStyle name="Currency 4 8 2 2 2 3 2" xfId="21217" xr:uid="{D31FD4FE-8859-499C-A08A-C800879E72ED}"/>
    <cellStyle name="Currency 4 8 2 2 2 4" xfId="27568" xr:uid="{5E9F9818-4E59-4FD4-AE8B-AAB6D387220B}"/>
    <cellStyle name="Currency 4 8 2 2 2 5" xfId="26664" xr:uid="{EED42D54-F4B2-462E-AAA6-BE60A2E7D909}"/>
    <cellStyle name="Currency 4 8 2 2 2 6" xfId="15551" xr:uid="{3D7AB569-1D06-4E43-90FC-96E2AEDF0612}"/>
    <cellStyle name="Currency 4 8 2 2 3" xfId="3564" xr:uid="{00000000-0005-0000-0000-0000D3030000}"/>
    <cellStyle name="Currency 4 8 2 2 4" xfId="5701" xr:uid="{887A2B17-B989-4808-B3BE-25836BED9DF9}"/>
    <cellStyle name="Currency 4 8 2 2 4 2" xfId="30002" xr:uid="{EE10615E-1E1A-4C72-9770-447D06868F93}"/>
    <cellStyle name="Currency 4 8 2 2 5" xfId="24341" xr:uid="{538A3F27-62A4-40A7-AE9E-6B0991C0545A}"/>
    <cellStyle name="Currency 4 8 2 2 6" xfId="13388" xr:uid="{0891E334-E200-4194-AB74-154CC4C3C0A4}"/>
    <cellStyle name="Currency 4 8 2 3" xfId="1955" xr:uid="{00000000-0005-0000-0000-0000D4030000}"/>
    <cellStyle name="Currency 4 8 2 3 2" xfId="23760" xr:uid="{4167CAEE-D7F3-4B74-BE25-2A71A9085DE6}"/>
    <cellStyle name="Currency 4 8 2 3 3" xfId="23120" xr:uid="{1602DC18-E900-4AE9-A316-7D2565CB3207}"/>
    <cellStyle name="Currency 4 8 2 3 4" xfId="30280" xr:uid="{86930B22-8CAB-456E-A05B-91EDAB89344D}"/>
    <cellStyle name="Currency 4 8 2 3 5" xfId="29862" xr:uid="{DDC74EC5-A6F5-4B3B-86CC-7DA81F6C9B6F}"/>
    <cellStyle name="Currency 4 8 2 4" xfId="1953" xr:uid="{00000000-0005-0000-0000-0000D5030000}"/>
    <cellStyle name="Currency 4 8 2 4 2" xfId="28681" xr:uid="{83965D3F-0DFF-4118-9460-A46F81EC8DEC}"/>
    <cellStyle name="Currency 4 8 2 4 3" xfId="28188" xr:uid="{6E725EBC-1C03-473F-9833-307F8ED7DBCB}"/>
    <cellStyle name="Currency 4 8 2 5" xfId="4970" xr:uid="{FE49F526-4A03-4D67-942E-39B9CEE06BC7}"/>
    <cellStyle name="Currency 4 8 2 5 2" xfId="27186" xr:uid="{CCEF0CE8-ED12-41CC-A5DA-75CBBE495874}"/>
    <cellStyle name="Currency 4 8 2 5 3" xfId="25833" xr:uid="{1E7BBEEA-1730-44BA-8B2F-82CB56AA59C3}"/>
    <cellStyle name="Currency 4 8 2 5 4" xfId="14265" xr:uid="{5C96AFE2-855B-4472-BA64-DE3E33E7118E}"/>
    <cellStyle name="Currency 4 8 2 6" xfId="6718" xr:uid="{3D58F211-A727-433E-A8B3-2D8FC8B20216}"/>
    <cellStyle name="Currency 4 8 2 6 2" xfId="28001" xr:uid="{D57B6D92-A933-4D4A-83E2-10FE3DE01E32}"/>
    <cellStyle name="Currency 4 8 2 6 3" xfId="26501" xr:uid="{A2D3AB61-87CE-41E9-8B2B-F2F8BFB69031}"/>
    <cellStyle name="Currency 4 8 2 6 4" xfId="17098" xr:uid="{0AA9968E-AC9E-442A-8CB7-C801B0D797A3}"/>
    <cellStyle name="Currency 4 8 2 7" xfId="9551" xr:uid="{8098CF5B-4973-49BE-8D14-5AB93CF6AA1E}"/>
    <cellStyle name="Currency 4 8 2 7 2" xfId="19931" xr:uid="{07DD1F18-8F7C-4C8C-AE04-17172020A973}"/>
    <cellStyle name="Currency 4 8 2 8" xfId="24219" xr:uid="{D229254F-E064-430C-BF8B-3F30208DFEBF}"/>
    <cellStyle name="Currency 4 8 2 9" xfId="12690" xr:uid="{C192F418-C48E-4364-A551-71DCACA3D032}"/>
    <cellStyle name="Currency 4 8 3" xfId="588" xr:uid="{00000000-0005-0000-0000-0000D6030000}"/>
    <cellStyle name="Currency 4 8 3 2" xfId="1957" xr:uid="{00000000-0005-0000-0000-0000D7030000}"/>
    <cellStyle name="Currency 4 8 3 2 2" xfId="28584" xr:uid="{7EA758D2-EF56-4EBA-A852-ECFF349D9C77}"/>
    <cellStyle name="Currency 4 8 3 2 3" xfId="28377" xr:uid="{2BDE907B-0B78-4F02-BEEA-9C16113F20AA}"/>
    <cellStyle name="Currency 4 8 3 3" xfId="1958" xr:uid="{00000000-0005-0000-0000-0000D8030000}"/>
    <cellStyle name="Currency 4 8 3 4" xfId="1956" xr:uid="{00000000-0005-0000-0000-0000D9030000}"/>
    <cellStyle name="Currency 4 8 3 5" xfId="4971" xr:uid="{1B67C4BD-FEAB-4343-81B0-70E336F834C2}"/>
    <cellStyle name="Currency 4 8 3 5 2" xfId="27524" xr:uid="{933B019B-A4E7-43F1-BD1A-DA7B8BE0F85B}"/>
    <cellStyle name="Currency 4 8 3 5 3" xfId="26319" xr:uid="{FB2441D9-4696-44F3-B408-41CC938A49F8}"/>
    <cellStyle name="Currency 4 8 3 5 4" xfId="14266" xr:uid="{DE8D23D6-F8F1-4D45-8451-54228F7AAD04}"/>
    <cellStyle name="Currency 4 8 3 6" xfId="6719" xr:uid="{C23168E2-68BC-429D-9D04-F8821D43FD9B}"/>
    <cellStyle name="Currency 4 8 3 6 2" xfId="17099" xr:uid="{84173598-8D21-4CAF-A027-41BC34BC5835}"/>
    <cellStyle name="Currency 4 8 3 7" xfId="9552" xr:uid="{9FBCFA64-336F-422C-9C68-0F81301671C2}"/>
    <cellStyle name="Currency 4 8 3 7 2" xfId="19932" xr:uid="{CC8E98EB-A85B-4F27-BEB5-132F1C32EB97}"/>
    <cellStyle name="Currency 4 8 3 8" xfId="25286" xr:uid="{79F85939-2849-403A-99CB-8B646D555D1A}"/>
    <cellStyle name="Currency 4 8 3 9" xfId="13116" xr:uid="{8288B027-EE5F-4543-886C-BA48309EFD97}"/>
    <cellStyle name="Currency 4 8 4" xfId="1959" xr:uid="{00000000-0005-0000-0000-0000DA030000}"/>
    <cellStyle name="Currency 4 8 4 2" xfId="2300" xr:uid="{00000000-0005-0000-0000-0000C3020000}"/>
    <cellStyle name="Currency 4 8 4 2 2" xfId="7427" xr:uid="{AF1ECB60-ACC3-4E29-8CD9-99C548D0A883}"/>
    <cellStyle name="Currency 4 8 4 2 2 2" xfId="17807" xr:uid="{FC9917A7-7396-417E-BADB-979A351E7805}"/>
    <cellStyle name="Currency 4 8 4 2 3" xfId="10260" xr:uid="{9517CDA0-EE05-48CD-8A06-CA12BAA552D6}"/>
    <cellStyle name="Currency 4 8 4 2 3 2" xfId="20640" xr:uid="{101B4E7A-75C1-48B0-8903-922C92FA678A}"/>
    <cellStyle name="Currency 4 8 4 2 4" xfId="28397" xr:uid="{85CDAA97-1CAD-4B64-90D6-923E8F129023}"/>
    <cellStyle name="Currency 4 8 4 2 5" xfId="25950" xr:uid="{D643E276-0D8D-4A16-BA2F-D2D2976E80BC}"/>
    <cellStyle name="Currency 4 8 4 2 6" xfId="14974" xr:uid="{A33E5F38-7B4F-4342-831F-1643BCEDB035}"/>
    <cellStyle name="Currency 4 8 4 3" xfId="2089" xr:uid="{00000000-0005-0000-0000-0000DA030000}"/>
    <cellStyle name="Currency 4 8 4 4" xfId="25542" xr:uid="{6404CD47-CF8C-4F73-BCAE-891702C8F286}"/>
    <cellStyle name="Currency 4 8 4 4 2" xfId="29972" xr:uid="{C99DCF51-07F7-432A-A5E5-05B5545E3FB0}"/>
    <cellStyle name="Currency 4 8 4 5" xfId="30085" xr:uid="{073F8A6D-3682-489E-84EC-FDC84601F660}"/>
    <cellStyle name="Currency 4 8 4 6" xfId="30229" xr:uid="{6BBD334C-6940-46A5-9B9B-6AEE1AF319DA}"/>
    <cellStyle name="Currency 4 8 5" xfId="1960" xr:uid="{00000000-0005-0000-0000-0000DB030000}"/>
    <cellStyle name="Currency 4 8 5 2" xfId="25623" xr:uid="{FDE13DD4-4BFE-4241-AF39-D2C68C9AD7B0}"/>
    <cellStyle name="Currency 4 8 5 2 2" xfId="30045" xr:uid="{EA67FBED-7769-4428-B1D4-FF84196FACFA}"/>
    <cellStyle name="Currency 4 8 5 3" xfId="23099" xr:uid="{7A60B91C-EC8E-45C0-8A86-C875998593D9}"/>
    <cellStyle name="Currency 4 8 5 4" xfId="30264" xr:uid="{5B7A439C-39DA-47C1-A5F8-3094AC9A945C}"/>
    <cellStyle name="Currency 4 8 6" xfId="1952" xr:uid="{00000000-0005-0000-0000-0000DC030000}"/>
    <cellStyle name="Currency 4 8 6 2" xfId="25843" xr:uid="{F485F629-3DA4-44A2-B8A8-546D8AA4877F}"/>
    <cellStyle name="Currency 4 8 6 3" xfId="27931" xr:uid="{67E7D5C4-4291-414C-B668-C038AB5B4730}"/>
    <cellStyle name="Currency 4 8 7" xfId="3889" xr:uid="{75AA0707-E7A1-49F2-96B5-A9DDA61F2F28}"/>
    <cellStyle name="Currency 4 8 7 2" xfId="8721" xr:uid="{DAEA6783-1B67-4BC5-9B10-29C804B64F3F}"/>
    <cellStyle name="Currency 4 8 7 2 2" xfId="28969" xr:uid="{85DBFA5D-B137-4531-BDFE-283897605602}"/>
    <cellStyle name="Currency 4 8 7 2 3" xfId="28271" xr:uid="{AC920C50-ED0E-4719-96D3-5B5D50A74886}"/>
    <cellStyle name="Currency 4 8 7 2 4" xfId="19101" xr:uid="{5DA4536C-9937-4FA0-AD85-B74BF051B58E}"/>
    <cellStyle name="Currency 4 8 7 3" xfId="11554" xr:uid="{47C6DD1A-A8F8-40D0-8141-553D7D95F5FA}"/>
    <cellStyle name="Currency 4 8 7 3 2" xfId="21934" xr:uid="{6AE81B20-7D9E-4468-80C1-003CA6D3DF48}"/>
    <cellStyle name="Currency 4 8 7 4" xfId="26296" xr:uid="{F07E7FD3-1053-4F4D-BAED-6E1CAC6C222D}"/>
    <cellStyle name="Currency 4 8 7 5" xfId="16268" xr:uid="{18D8913E-BFAE-4FD9-B645-B3A6A40A1E7E}"/>
    <cellStyle name="Currency 4 8 8" xfId="4969" xr:uid="{9E8825FE-50AE-4262-80AB-C3CBD6D88B2F}"/>
    <cellStyle name="Currency 4 8 8 2" xfId="27768" xr:uid="{DF2BDCE6-4C51-452D-A0A5-87AAC2CC1C69}"/>
    <cellStyle name="Currency 4 8 8 3" xfId="26137" xr:uid="{AF02D72E-3ADE-4F23-ACEF-46F911C96B37}"/>
    <cellStyle name="Currency 4 8 8 4" xfId="14264" xr:uid="{56112834-C55F-41FB-A3AF-7D3A241E4254}"/>
    <cellStyle name="Currency 4 8 9" xfId="6717" xr:uid="{47385384-7DC7-43EA-9D98-865E182695F7}"/>
    <cellStyle name="Currency 4 8 9 2" xfId="26114" xr:uid="{7DA3908F-553E-45FE-8585-31B030A5F62A}"/>
    <cellStyle name="Currency 4 8 9 3" xfId="28033" xr:uid="{14C37885-BFB7-4575-B570-1CCC1080F5EA}"/>
    <cellStyle name="Currency 4 8 9 4" xfId="17097" xr:uid="{26C25D8C-F834-4199-A88F-910068EE38EC}"/>
    <cellStyle name="Currency 4 9" xfId="589" xr:uid="{00000000-0005-0000-0000-0000DD030000}"/>
    <cellStyle name="Currency 4 9 10" xfId="12524" xr:uid="{11D205F3-DE9A-4585-96C1-3790524650F3}"/>
    <cellStyle name="Currency 4 9 2" xfId="1962" xr:uid="{00000000-0005-0000-0000-0000DE030000}"/>
    <cellStyle name="Currency 4 9 2 2" xfId="3106" xr:uid="{00000000-0005-0000-0000-0000C8020000}"/>
    <cellStyle name="Currency 4 9 2 2 2" xfId="8186" xr:uid="{E0C42976-7985-468B-A550-00C105659867}"/>
    <cellStyle name="Currency 4 9 2 2 2 2" xfId="18566" xr:uid="{0DB0E157-2439-41AF-9E6E-4B439D093BCA}"/>
    <cellStyle name="Currency 4 9 2 2 3" xfId="11019" xr:uid="{D7DEB894-76C8-4B7B-B912-EBD1C82FE3F2}"/>
    <cellStyle name="Currency 4 9 2 2 3 2" xfId="21399" xr:uid="{8065ECFA-8095-493D-9111-5F5913647C23}"/>
    <cellStyle name="Currency 4 9 2 2 4" xfId="25612" xr:uid="{A7FF5CE1-F4BB-4703-8B1C-0C380512F35C}"/>
    <cellStyle name="Currency 4 9 2 2 5" xfId="27512" xr:uid="{C5753C4E-F4AE-4664-A289-C298AAB6A474}"/>
    <cellStyle name="Currency 4 9 2 2 6" xfId="15733" xr:uid="{12DC9B3A-26A7-4B40-A2C7-BD544A7C2F73}"/>
    <cellStyle name="Currency 4 9 2 3" xfId="3686" xr:uid="{00000000-0005-0000-0000-0000DE030000}"/>
    <cellStyle name="Currency 4 9 2 3 2" xfId="27014" xr:uid="{B8A8630C-F521-49C0-9A08-B8D1C46D1721}"/>
    <cellStyle name="Currency 4 9 2 3 3" xfId="28318" xr:uid="{DEC5B4E7-8E1A-47EA-AF52-8C7579DC672B}"/>
    <cellStyle name="Currency 4 9 2 4" xfId="5702" xr:uid="{B6CD54E5-5D90-49B7-A633-F341EAD9C0A5}"/>
    <cellStyle name="Currency 4 9 2 4 2" xfId="30014" xr:uid="{0B7CF5DB-BCE4-4182-87C1-6FC7A2BAD145}"/>
    <cellStyle name="Currency 4 9 2 5" xfId="24272" xr:uid="{85355DC1-7AA6-4677-8462-5632C34BF0BE}"/>
    <cellStyle name="Currency 4 9 2 5 2" xfId="26912" xr:uid="{E28A2460-A64C-4999-BF1B-1A22498ADAD4}"/>
    <cellStyle name="Currency 4 9 2 6" xfId="28083" xr:uid="{BBBB1EFF-5326-432C-BD02-5C918A2E7B14}"/>
    <cellStyle name="Currency 4 9 2 7" xfId="13626" xr:uid="{7EDD3587-7095-4A81-B74E-8090122F2B34}"/>
    <cellStyle name="Currency 4 9 3" xfId="1963" xr:uid="{00000000-0005-0000-0000-0000DF030000}"/>
    <cellStyle name="Currency 4 9 3 2" xfId="2690" xr:uid="{00000000-0005-0000-0000-0000C9020000}"/>
    <cellStyle name="Currency 4 9 3 2 2" xfId="7814" xr:uid="{499AF24C-55A5-43E5-8835-11CA6641B905}"/>
    <cellStyle name="Currency 4 9 3 2 2 2" xfId="18194" xr:uid="{9DAB7D1E-765A-44CC-B652-721FFFD8C93B}"/>
    <cellStyle name="Currency 4 9 3 2 3" xfId="10647" xr:uid="{28A4B673-4DE0-49FC-9A42-CFD31A36EA67}"/>
    <cellStyle name="Currency 4 9 3 2 3 2" xfId="21027" xr:uid="{8C89E73C-B22B-4568-BBBC-10F63CA44619}"/>
    <cellStyle name="Currency 4 9 3 2 4" xfId="15361" xr:uid="{1A747241-6007-4043-8042-4BD7A52ED86B}"/>
    <cellStyle name="Currency 4 9 3 3" xfId="3656" xr:uid="{00000000-0005-0000-0000-0000DF030000}"/>
    <cellStyle name="Currency 4 9 3 4" xfId="5703" xr:uid="{572965EA-1F6C-4640-9DDC-DE1E721E4148}"/>
    <cellStyle name="Currency 4 9 3 4 2" xfId="29989" xr:uid="{8E8B0587-0906-40AA-9C75-EB7A9FB1D50D}"/>
    <cellStyle name="Currency 4 9 3 5" xfId="23304" xr:uid="{EC92654A-2F5D-49BE-A509-D34B0A753554}"/>
    <cellStyle name="Currency 4 9 3 6" xfId="13103" xr:uid="{47CEFBAA-F193-4528-BF13-F969C4A1BCEF}"/>
    <cellStyle name="Currency 4 9 4" xfId="1961" xr:uid="{00000000-0005-0000-0000-0000E0030000}"/>
    <cellStyle name="Currency 4 9 4 2" xfId="2292" xr:uid="{00000000-0005-0000-0000-0000C7020000}"/>
    <cellStyle name="Currency 4 9 4 2 2" xfId="7419" xr:uid="{7A09F447-6EA0-45DE-A9B3-A1537B9AA0F4}"/>
    <cellStyle name="Currency 4 9 4 2 2 2" xfId="17799" xr:uid="{010FA966-37C5-491A-82C2-DD3903AA0F71}"/>
    <cellStyle name="Currency 4 9 4 2 3" xfId="10252" xr:uid="{7380F39E-75E2-45CC-A417-0B9249EE1EC5}"/>
    <cellStyle name="Currency 4 9 4 2 3 2" xfId="20632" xr:uid="{46E0CA4A-9B8F-4B3A-AF50-0F606033AE0B}"/>
    <cellStyle name="Currency 4 9 4 2 4" xfId="26543" xr:uid="{9ADB49FD-3CB9-4CDC-8AAA-C677630C1A11}"/>
    <cellStyle name="Currency 4 9 4 2 5" xfId="28117" xr:uid="{0CD4B079-9BBC-47CC-94A8-0E21C37AAE90}"/>
    <cellStyle name="Currency 4 9 4 2 6" xfId="14966" xr:uid="{C3DDA060-F454-4492-AC0D-4E8A716A4AEF}"/>
    <cellStyle name="Currency 4 9 4 3" xfId="3645" xr:uid="{00000000-0005-0000-0000-0000E0030000}"/>
    <cellStyle name="Currency 4 9 4 4" xfId="23984" xr:uid="{D7ECF183-A9FB-4F7A-A59A-272E2F6F535B}"/>
    <cellStyle name="Currency 4 9 5" xfId="3827" xr:uid="{000ACA94-2153-4302-8B6A-722AE35328B8}"/>
    <cellStyle name="Currency 4 9 5 2" xfId="8660" xr:uid="{11C3A1BE-D6BB-4FEA-9A33-5739A5F19DCD}"/>
    <cellStyle name="Currency 4 9 5 2 2" xfId="28961" xr:uid="{E30A7CFA-2FBE-4A31-8130-E3872CD9262E}"/>
    <cellStyle name="Currency 4 9 5 2 3" xfId="27859" xr:uid="{750A93EA-6EC4-4482-8E09-BB7898C875FF}"/>
    <cellStyle name="Currency 4 9 5 2 4" xfId="19040" xr:uid="{A4156738-3B33-45C9-8F87-F92746E6BC31}"/>
    <cellStyle name="Currency 4 9 5 3" xfId="11493" xr:uid="{54DAEE57-6E01-4FD8-A9B2-EE7413C74CE5}"/>
    <cellStyle name="Currency 4 9 5 3 2" xfId="21873" xr:uid="{3975A300-1731-4B47-A5A3-B76F484A0F52}"/>
    <cellStyle name="Currency 4 9 5 4" xfId="25754" xr:uid="{250618F8-EF53-42EA-BF04-9BA8BA23A39C}"/>
    <cellStyle name="Currency 4 9 5 5" xfId="16207" xr:uid="{B2215B16-2AAC-4F29-86DA-A576F75C9006}"/>
    <cellStyle name="Currency 4 9 6" xfId="4972" xr:uid="{956C2F0C-4E4E-480B-96A2-4BBD31510532}"/>
    <cellStyle name="Currency 4 9 6 2" xfId="28186" xr:uid="{45A2E1B6-8B39-4378-BE7B-C76A7ABED3EE}"/>
    <cellStyle name="Currency 4 9 6 3" xfId="28730" xr:uid="{899332CF-46F8-49BA-8867-DB0F2C08DFEE}"/>
    <cellStyle name="Currency 4 9 6 4" xfId="14267" xr:uid="{CE595702-DCCF-41D9-BDC1-4D86F6395577}"/>
    <cellStyle name="Currency 4 9 7" xfId="6720" xr:uid="{E35CBB27-1B3C-4ACE-AD83-4A5591761FD0}"/>
    <cellStyle name="Currency 4 9 7 2" xfId="26025" xr:uid="{86AA3093-66DE-4256-A269-75B7758D8FC7}"/>
    <cellStyle name="Currency 4 9 7 3" xfId="26678" xr:uid="{606BAAFF-75AE-49D7-9979-D40C7276D32D}"/>
    <cellStyle name="Currency 4 9 7 4" xfId="17100" xr:uid="{29091485-7FBD-4321-846C-24EB68313981}"/>
    <cellStyle name="Currency 4 9 8" xfId="9553" xr:uid="{4A590147-89C2-47D7-838D-C3AB6BAC093D}"/>
    <cellStyle name="Currency 4 9 8 2" xfId="19933" xr:uid="{D10AACFD-BBEE-484B-B36A-84DE24B11EED}"/>
    <cellStyle name="Currency 4 9 9" xfId="24554" xr:uid="{498B69E5-0439-4408-87C4-7EF87E505B1E}"/>
    <cellStyle name="Currency 5" xfId="590" xr:uid="{00000000-0005-0000-0000-0000E1030000}"/>
    <cellStyle name="Currency 5 10" xfId="4973" xr:uid="{0127C852-060E-4046-8C0D-4B566FAC3A77}"/>
    <cellStyle name="Currency 5 10 2" xfId="26245" xr:uid="{C59BE194-529F-4702-B46B-7874E29DE31A}"/>
    <cellStyle name="Currency 5 10 3" xfId="26442" xr:uid="{ADFDD67C-45AA-450C-A480-B07F7596B9D6}"/>
    <cellStyle name="Currency 5 10 4" xfId="14268" xr:uid="{240572AE-B301-4AFC-8245-514967858343}"/>
    <cellStyle name="Currency 5 11" xfId="6721" xr:uid="{0A1A5FF7-B1C8-4455-BC0A-1A0494662DFA}"/>
    <cellStyle name="Currency 5 11 2" xfId="17101" xr:uid="{CE1C590A-1E08-492D-A5D4-C48EC666C3D4}"/>
    <cellStyle name="Currency 5 12" xfId="9554" xr:uid="{D0967022-4EB5-4BE0-9D2F-A8094341CF11}"/>
    <cellStyle name="Currency 5 12 2" xfId="19934" xr:uid="{BE20113A-F2EE-459C-BCE6-ECDBC109DA46}"/>
    <cellStyle name="Currency 5 13" xfId="23094" xr:uid="{F26D2CE7-28B3-4E2E-9C07-3001E7351776}"/>
    <cellStyle name="Currency 5 14" xfId="12407" xr:uid="{CF35860C-8F77-4620-8FAD-AD17DEF49300}"/>
    <cellStyle name="Currency 5 2" xfId="591" xr:uid="{00000000-0005-0000-0000-0000E2030000}"/>
    <cellStyle name="Currency 5 2 10" xfId="6722" xr:uid="{E241A098-71E3-45C7-B9E5-0F648599E5C0}"/>
    <cellStyle name="Currency 5 2 10 2" xfId="17102" xr:uid="{9DB1438C-B8F5-4138-997F-97D84CE6F65E}"/>
    <cellStyle name="Currency 5 2 11" xfId="9555" xr:uid="{380C6E5F-325D-453D-B49C-0AD68D0C9071}"/>
    <cellStyle name="Currency 5 2 11 2" xfId="19935" xr:uid="{8C168D19-AB32-4FC5-AE1E-523857214607}"/>
    <cellStyle name="Currency 5 2 12" xfId="22830" xr:uid="{CD754010-E9EC-4548-95AF-18F4EA7CC937}"/>
    <cellStyle name="Currency 5 2 13" xfId="12467" xr:uid="{96E8DC89-4338-4D2F-9FB1-91BCDCC04C70}"/>
    <cellStyle name="Currency 5 2 2" xfId="592" xr:uid="{00000000-0005-0000-0000-0000E3030000}"/>
    <cellStyle name="Currency 5 2 2 10" xfId="9556" xr:uid="{12517C23-DBF5-49AA-90FA-E749FF9B3FD9}"/>
    <cellStyle name="Currency 5 2 2 10 2" xfId="19936" xr:uid="{C8BE885C-3F64-4CD4-9BDA-5C4C40B1FE9E}"/>
    <cellStyle name="Currency 5 2 2 11" xfId="25375" xr:uid="{9F58AD45-78BC-432D-82CA-4ADD14D6E206}"/>
    <cellStyle name="Currency 5 2 2 12" xfId="12534" xr:uid="{E802454A-CA30-4ECF-9F44-10C3636636FD}"/>
    <cellStyle name="Currency 5 2 2 2" xfId="1967" xr:uid="{00000000-0005-0000-0000-0000E4030000}"/>
    <cellStyle name="Currency 5 2 2 2 2" xfId="3108" xr:uid="{00000000-0005-0000-0000-0000CE020000}"/>
    <cellStyle name="Currency 5 2 2 2 2 2" xfId="6174" xr:uid="{BE24A938-2881-4F5D-B62A-4F1162D03E33}"/>
    <cellStyle name="Currency 5 2 2 2 2 2 2" xfId="25853" xr:uid="{F20382A5-D65C-4100-B2A8-7EB455708DDE}"/>
    <cellStyle name="Currency 5 2 2 2 2 2 3" xfId="26681" xr:uid="{8EBAF09A-2434-47C3-B9AB-2BF0BE142A89}"/>
    <cellStyle name="Currency 5 2 2 2 2 2 4" xfId="15735" xr:uid="{71DF357E-08E2-481E-A961-D9A9A85D0FE6}"/>
    <cellStyle name="Currency 5 2 2 2 2 3" xfId="8188" xr:uid="{F888BC8D-2822-4D7A-8F80-B60D7A25CE3A}"/>
    <cellStyle name="Currency 5 2 2 2 2 3 2" xfId="18568" xr:uid="{691322DB-4935-4B9B-9354-691D3668F327}"/>
    <cellStyle name="Currency 5 2 2 2 2 4" xfId="11021" xr:uid="{59742B54-0DA4-486F-9740-1D38F5BE12FD}"/>
    <cellStyle name="Currency 5 2 2 2 2 4 2" xfId="21401" xr:uid="{F9F6A6C8-279B-4E64-9E63-3C8E184E9F76}"/>
    <cellStyle name="Currency 5 2 2 2 2 5" xfId="23951" xr:uid="{088AD340-C2CC-47BE-8891-D6CC3414FE2E}"/>
    <cellStyle name="Currency 5 2 2 2 2 6" xfId="27621" xr:uid="{3C20AB5A-5E9F-43FE-AFE1-016CD4FFEADD}"/>
    <cellStyle name="Currency 5 2 2 2 2 7" xfId="13628" xr:uid="{B10AB8D8-0FC4-4067-ACD0-E5B0002F9029}"/>
    <cellStyle name="Currency 5 2 2 2 3" xfId="2701" xr:uid="{00000000-0005-0000-0000-0000CD020000}"/>
    <cellStyle name="Currency 5 2 2 2 3 2" xfId="7825" xr:uid="{0FA2EE59-89F7-42BE-AFCA-13B241F95610}"/>
    <cellStyle name="Currency 5 2 2 2 3 2 2" xfId="28283" xr:uid="{C2137D5F-7224-4361-94BB-42021950E03A}"/>
    <cellStyle name="Currency 5 2 2 2 3 2 3" xfId="27887" xr:uid="{8B47DE6B-C0A3-4808-BD11-76C664370C32}"/>
    <cellStyle name="Currency 5 2 2 2 3 2 4" xfId="18205" xr:uid="{DE64AA34-7A3F-4BE8-AC87-76B82DFB15AA}"/>
    <cellStyle name="Currency 5 2 2 2 3 3" xfId="10658" xr:uid="{4D2AD998-5A82-41E0-A69E-3F76050FA43C}"/>
    <cellStyle name="Currency 5 2 2 2 3 3 2" xfId="21038" xr:uid="{BF6A1076-4AD6-4E1B-8DA6-B5CA46C39230}"/>
    <cellStyle name="Currency 5 2 2 2 3 4" xfId="23309" xr:uid="{799AABCF-471B-405C-90D8-CDB7F1658679}"/>
    <cellStyle name="Currency 5 2 2 2 3 5" xfId="15372" xr:uid="{7ACDB224-994C-428F-913A-C2A5B9336ACA}"/>
    <cellStyle name="Currency 5 2 2 2 4" xfId="2048" xr:uid="{00000000-0005-0000-0000-0000E4030000}"/>
    <cellStyle name="Currency 5 2 2 2 4 2" xfId="26835" xr:uid="{C64A4FF9-2FD0-4583-B837-5708E557185E}"/>
    <cellStyle name="Currency 5 2 2 2 4 3" xfId="28444" xr:uid="{70E40412-F726-4A29-B8F5-5630BE3A9276}"/>
    <cellStyle name="Currency 5 2 2 2 5" xfId="4278" xr:uid="{C3D7F732-DE5D-41EF-8592-DE3D2EBC22AC}"/>
    <cellStyle name="Currency 5 2 2 2 5 2" xfId="9050" xr:uid="{2D83AAB7-EE53-414D-B71E-98FD02A0314D}"/>
    <cellStyle name="Currency 5 2 2 2 5 2 2" xfId="19430" xr:uid="{3729AD62-DADD-410C-836C-C0173341262F}"/>
    <cellStyle name="Currency 5 2 2 2 5 3" xfId="11883" xr:uid="{0FE592E7-404D-48FC-A7B7-7FDE44FBAA0E}"/>
    <cellStyle name="Currency 5 2 2 2 5 3 2" xfId="22263" xr:uid="{9B9EB93E-D50F-45EE-81A7-B342F4A32DB7}"/>
    <cellStyle name="Currency 5 2 2 2 5 4" xfId="26408" xr:uid="{B91ECD61-4C35-4E4A-8D9C-C36D8ADEC10B}"/>
    <cellStyle name="Currency 5 2 2 2 5 5" xfId="26849" xr:uid="{EE06C130-8C70-4964-9F7A-D8C37715BFD6}"/>
    <cellStyle name="Currency 5 2 2 2 5 6" xfId="16597" xr:uid="{4301A36F-BCF2-4881-9C48-F364E56E7571}"/>
    <cellStyle name="Currency 5 2 2 2 6" xfId="5706" xr:uid="{56AE04DD-2B1B-45C9-B774-49C5775046E0}"/>
    <cellStyle name="Currency 5 2 2 2 6 2" xfId="29961" xr:uid="{83658E58-7091-4663-92E9-C8F27A8A4510}"/>
    <cellStyle name="Currency 5 2 2 2 7" xfId="24566" xr:uid="{EC4152A8-D2AF-4A3A-9787-6E2DEE37E7D4}"/>
    <cellStyle name="Currency 5 2 2 2 8" xfId="13119" xr:uid="{E767FA5A-7327-467C-AF41-77D3C067A458}"/>
    <cellStyle name="Currency 5 2 2 3" xfId="1968" xr:uid="{00000000-0005-0000-0000-0000E5030000}"/>
    <cellStyle name="Currency 5 2 2 3 2" xfId="3109" xr:uid="{00000000-0005-0000-0000-0000CF020000}"/>
    <cellStyle name="Currency 5 2 2 3 2 2" xfId="8189" xr:uid="{13245339-F13E-40A8-839B-4D77E86C6D7A}"/>
    <cellStyle name="Currency 5 2 2 3 2 2 2" xfId="28856" xr:uid="{49F4AEF3-A94A-4BB7-93FF-EEDEC1683101}"/>
    <cellStyle name="Currency 5 2 2 3 2 2 3" xfId="26108" xr:uid="{565CDC13-D9D4-436A-BAA9-98069B5E57AD}"/>
    <cellStyle name="Currency 5 2 2 3 2 2 4" xfId="18569" xr:uid="{7A405561-471D-43CB-9F39-50752F34F453}"/>
    <cellStyle name="Currency 5 2 2 3 2 3" xfId="11022" xr:uid="{3F84DF8C-8F7C-4373-BE1E-22BAFE9DD44F}"/>
    <cellStyle name="Currency 5 2 2 3 2 3 2" xfId="21402" xr:uid="{9DFEDBB8-6F7C-4CBC-8F69-9531275ED852}"/>
    <cellStyle name="Currency 5 2 2 3 2 4" xfId="23584" xr:uid="{9906515C-0ACF-40FA-AA3D-B1FEC0FE45AD}"/>
    <cellStyle name="Currency 5 2 2 3 2 5" xfId="15736" xr:uid="{09C152D0-E30A-445F-806F-9A2FB440B1E9}"/>
    <cellStyle name="Currency 5 2 2 3 3" xfId="3549" xr:uid="{00000000-0005-0000-0000-0000E5030000}"/>
    <cellStyle name="Currency 5 2 2 3 4" xfId="4434" xr:uid="{32BAE54B-9351-4830-AA5E-63816AB07ED5}"/>
    <cellStyle name="Currency 5 2 2 3 4 2" xfId="9206" xr:uid="{87614C63-EABE-46FA-900D-6B5F9639F88D}"/>
    <cellStyle name="Currency 5 2 2 3 4 2 2" xfId="19586" xr:uid="{F36A6D76-44E8-433A-86D5-8EEC553E5D49}"/>
    <cellStyle name="Currency 5 2 2 3 4 3" xfId="12039" xr:uid="{E7C9D73E-8A42-41F0-8DDC-A7D39D80369F}"/>
    <cellStyle name="Currency 5 2 2 3 4 3 2" xfId="22419" xr:uid="{85B7CB9A-F6D9-4C07-9848-E505521E2E02}"/>
    <cellStyle name="Currency 5 2 2 3 4 4" xfId="16753" xr:uid="{55D64D6B-C1B4-467E-962E-74EF844202D6}"/>
    <cellStyle name="Currency 5 2 2 3 5" xfId="5707" xr:uid="{64BFFDB4-46D1-483C-8C4F-E280CB1ECB1C}"/>
    <cellStyle name="Currency 5 2 2 3 5 2" xfId="29943" xr:uid="{222A3B48-B1C0-4AF0-B4E1-A6FA6DAAB86D}"/>
    <cellStyle name="Currency 5 2 2 3 6" xfId="24899" xr:uid="{F8B21FAF-1CA2-4C0F-B3E2-9F62AED2DA5F}"/>
    <cellStyle name="Currency 5 2 2 3 7" xfId="13629" xr:uid="{006AB017-2D5D-4BEE-A7CB-912CA41008FB}"/>
    <cellStyle name="Currency 5 2 2 4" xfId="1966" xr:uid="{00000000-0005-0000-0000-0000E6030000}"/>
    <cellStyle name="Currency 5 2 2 4 2" xfId="3107" xr:uid="{00000000-0005-0000-0000-0000D0020000}"/>
    <cellStyle name="Currency 5 2 2 4 2 2" xfId="8187" xr:uid="{EC4D431F-F668-4FCE-815C-FD5EACEEDF85}"/>
    <cellStyle name="Currency 5 2 2 4 2 2 2" xfId="28855" xr:uid="{7C5B0695-8C13-41C0-ACF4-145D7F65FF93}"/>
    <cellStyle name="Currency 5 2 2 4 2 2 3" xfId="28615" xr:uid="{8D54ADB9-69AE-475B-AE53-5F93F4C469AC}"/>
    <cellStyle name="Currency 5 2 2 4 2 2 4" xfId="18567" xr:uid="{3CB38A1D-D5FD-45BB-979C-084854CB23D1}"/>
    <cellStyle name="Currency 5 2 2 4 2 3" xfId="11020" xr:uid="{1EDC9C14-BB5A-42E7-8C1B-2A6A66C32E66}"/>
    <cellStyle name="Currency 5 2 2 4 2 3 2" xfId="21400" xr:uid="{4B569564-AC9C-4E2F-A36D-AB280A0C0C45}"/>
    <cellStyle name="Currency 5 2 2 4 2 4" xfId="26803" xr:uid="{D3CBC96C-8DCC-4604-856F-C197D0CBC5C0}"/>
    <cellStyle name="Currency 5 2 2 4 2 5" xfId="15734" xr:uid="{EC11DDBB-96CA-4144-A30D-CF3021608613}"/>
    <cellStyle name="Currency 5 2 2 4 3" xfId="3681" xr:uid="{00000000-0005-0000-0000-0000E6030000}"/>
    <cellStyle name="Currency 5 2 2 4 4" xfId="5705" xr:uid="{F0F3577E-AEB9-46D9-839A-DC5FBFCEA274}"/>
    <cellStyle name="Currency 5 2 2 4 4 2" xfId="30208" xr:uid="{4A7D13CD-93F7-4B51-AE53-23B8D4174681}"/>
    <cellStyle name="Currency 5 2 2 4 5" xfId="23000" xr:uid="{33E7FD05-6AC1-4553-A763-5F9ADDC95EFB}"/>
    <cellStyle name="Currency 5 2 2 4 6" xfId="13627" xr:uid="{A1CD338B-CC30-4727-B3F0-0E4E5CC6C8A2}"/>
    <cellStyle name="Currency 5 2 2 5" xfId="2643" xr:uid="{00000000-0005-0000-0000-0000D1020000}"/>
    <cellStyle name="Currency 5 2 2 5 2" xfId="5905" xr:uid="{01A77C53-D4B3-4B4A-A7AA-DA49AF807277}"/>
    <cellStyle name="Currency 5 2 2 5 2 2" xfId="28063" xr:uid="{8EF9D5B8-AD4E-41E9-A228-6AF16D4B036F}"/>
    <cellStyle name="Currency 5 2 2 5 2 3" xfId="28473" xr:uid="{82D05B3D-86D8-4506-AE14-DBD6FF00D9F8}"/>
    <cellStyle name="Currency 5 2 2 5 2 4" xfId="15315" xr:uid="{73BC589D-4447-4249-B1BB-4F0E836F79EB}"/>
    <cellStyle name="Currency 5 2 2 5 3" xfId="7768" xr:uid="{0BCD7F6B-EB32-4F4B-BE32-1005B1112FD0}"/>
    <cellStyle name="Currency 5 2 2 5 3 2" xfId="18148" xr:uid="{39F2C129-AC1D-49B2-8889-3EA2F448443B}"/>
    <cellStyle name="Currency 5 2 2 5 4" xfId="10601" xr:uid="{D3A2D10F-02C4-4FC8-8984-C693054A334C}"/>
    <cellStyle name="Currency 5 2 2 5 4 2" xfId="20981" xr:uid="{7E6ADA5D-3DC7-41ED-99C9-A4042922E532}"/>
    <cellStyle name="Currency 5 2 2 5 5" xfId="23545" xr:uid="{2A62B28A-3D7D-44E1-830E-A4B18F3C462C}"/>
    <cellStyle name="Currency 5 2 2 5 6" xfId="13032" xr:uid="{BC0D04A2-EDC2-44C0-8A7A-ECF31AD1A87E}"/>
    <cellStyle name="Currency 5 2 2 6" xfId="2302" xr:uid="{00000000-0005-0000-0000-0000CC020000}"/>
    <cellStyle name="Currency 5 2 2 6 2" xfId="7429" xr:uid="{33D726B9-173A-495B-A4BA-834CE620BF69}"/>
    <cellStyle name="Currency 5 2 2 6 2 2" xfId="17809" xr:uid="{856799D2-AB87-4DD2-9C94-BFDB3D72AE03}"/>
    <cellStyle name="Currency 5 2 2 6 3" xfId="10262" xr:uid="{A462F4E5-48AC-4A2C-992B-92C429FC328E}"/>
    <cellStyle name="Currency 5 2 2 6 3 2" xfId="20642" xr:uid="{5D9F252F-0DAB-4171-9706-3A1FB1F31BA3}"/>
    <cellStyle name="Currency 5 2 2 6 4" xfId="22672" xr:uid="{60C51A38-352A-40DD-A8EB-74F53D2FCD6C}"/>
    <cellStyle name="Currency 5 2 2 6 5" xfId="28365" xr:uid="{3779EA25-6211-41A3-BEC2-2229A6763BFA}"/>
    <cellStyle name="Currency 5 2 2 6 6" xfId="14976" xr:uid="{5552B899-4FCC-4E4B-BB6F-B5232499BD8E}"/>
    <cellStyle name="Currency 5 2 2 7" xfId="3833" xr:uid="{58CAFAE7-4ECC-4D05-802A-591E6F0FD407}"/>
    <cellStyle name="Currency 5 2 2 7 2" xfId="8666" xr:uid="{3E47732A-E67C-496E-A27B-A49411598E3D}"/>
    <cellStyle name="Currency 5 2 2 7 2 2" xfId="19046" xr:uid="{E366572E-1173-45A7-B79D-6E597AD48165}"/>
    <cellStyle name="Currency 5 2 2 7 3" xfId="11499" xr:uid="{5D129DB0-375F-4A95-A0F4-3754244C1E48}"/>
    <cellStyle name="Currency 5 2 2 7 3 2" xfId="21879" xr:uid="{172E324E-C1CA-4DC2-9EC6-D823E04B7C3C}"/>
    <cellStyle name="Currency 5 2 2 7 4" xfId="28165" xr:uid="{D0852ACE-D955-4A7A-B56D-9C118288E0DC}"/>
    <cellStyle name="Currency 5 2 2 7 5" xfId="26372" xr:uid="{40CB9855-3EF7-4ABB-B7BD-BE754A9C6D1E}"/>
    <cellStyle name="Currency 5 2 2 7 6" xfId="16213" xr:uid="{28EF5B7D-0FFC-4496-99BB-22D48954D381}"/>
    <cellStyle name="Currency 5 2 2 8" xfId="4975" xr:uid="{9D741363-ECFB-4E78-AFE7-4000DC29E105}"/>
    <cellStyle name="Currency 5 2 2 8 2" xfId="14270" xr:uid="{D1F2BAB2-2536-4CDA-B233-F70097286BE6}"/>
    <cellStyle name="Currency 5 2 2 9" xfId="6723" xr:uid="{D10E9798-92C9-4F75-AC71-6A5E424527EA}"/>
    <cellStyle name="Currency 5 2 2 9 2" xfId="17103" xr:uid="{1919B9F7-EDFA-44F2-944A-76EF107B027F}"/>
    <cellStyle name="Currency 5 2 3" xfId="593" xr:uid="{00000000-0005-0000-0000-0000E7030000}"/>
    <cellStyle name="Currency 5 2 3 10" xfId="12692" xr:uid="{49183BEA-A4DB-49F9-8A1B-1EAE12D1B3C9}"/>
    <cellStyle name="Currency 5 2 3 2" xfId="1970" xr:uid="{00000000-0005-0000-0000-0000E8030000}"/>
    <cellStyle name="Currency 5 2 3 2 2" xfId="3110" xr:uid="{00000000-0005-0000-0000-0000D3020000}"/>
    <cellStyle name="Currency 5 2 3 2 2 2" xfId="8190" xr:uid="{E868AF50-4A6D-44BC-83C9-209DB309BB0F}"/>
    <cellStyle name="Currency 5 2 3 2 2 2 2" xfId="28857" xr:uid="{3BF9C56A-BDC1-4F4D-A53B-A83632B095C2}"/>
    <cellStyle name="Currency 5 2 3 2 2 2 3" xfId="28156" xr:uid="{4F0EEC13-E5DE-4629-8270-13F61F99DAFD}"/>
    <cellStyle name="Currency 5 2 3 2 2 2 4" xfId="18570" xr:uid="{BA89C912-96B1-42CB-9CB7-76ECD2E69A53}"/>
    <cellStyle name="Currency 5 2 3 2 2 3" xfId="11023" xr:uid="{B32F4D25-280E-4123-BC8C-A882B4C247D2}"/>
    <cellStyle name="Currency 5 2 3 2 2 3 2" xfId="21403" xr:uid="{AB4B76B5-E409-402B-A20C-F8E07C5FC7A2}"/>
    <cellStyle name="Currency 5 2 3 2 2 4" xfId="24400" xr:uid="{19D40202-82EB-4A14-9C2F-762EB18BA50F}"/>
    <cellStyle name="Currency 5 2 3 2 2 5" xfId="15737" xr:uid="{B043A422-93FE-44A2-A3D7-AC99CBEFA6FB}"/>
    <cellStyle name="Currency 5 2 3 2 3" xfId="3665" xr:uid="{00000000-0005-0000-0000-0000E8030000}"/>
    <cellStyle name="Currency 5 2 3 2 4" xfId="5708" xr:uid="{5ED9074E-CFC1-4F0E-AAA7-8ED93D6F736E}"/>
    <cellStyle name="Currency 5 2 3 2 4 2" xfId="30209" xr:uid="{8AE4C945-4C65-4B30-80EC-95603F35AB2A}"/>
    <cellStyle name="Currency 5 2 3 2 5" xfId="24148" xr:uid="{A436BADA-01CA-44B5-B13D-BF91D5BD6C72}"/>
    <cellStyle name="Currency 5 2 3 2 6" xfId="13630" xr:uid="{2A0D9A90-7C39-497B-99CC-B6BDC390AD1B}"/>
    <cellStyle name="Currency 5 2 3 3" xfId="1971" xr:uid="{00000000-0005-0000-0000-0000E9030000}"/>
    <cellStyle name="Currency 5 2 3 3 2" xfId="2700" xr:uid="{00000000-0005-0000-0000-0000D4020000}"/>
    <cellStyle name="Currency 5 2 3 3 2 2" xfId="7824" xr:uid="{D0CDFCE5-20BF-42ED-9EFB-FAB04946587F}"/>
    <cellStyle name="Currency 5 2 3 3 2 2 2" xfId="18204" xr:uid="{3BCED285-7CC5-4070-8A11-76E588F6BC4F}"/>
    <cellStyle name="Currency 5 2 3 3 2 3" xfId="10657" xr:uid="{33CCFA73-7431-4161-8256-7B377A9BDBFA}"/>
    <cellStyle name="Currency 5 2 3 3 2 3 2" xfId="21037" xr:uid="{9BC23E41-2CDA-49D1-80AC-DF071D9AEEBF}"/>
    <cellStyle name="Currency 5 2 3 3 2 4" xfId="15371" xr:uid="{0B0E1420-F3F3-4F8F-A6BE-B2272087307F}"/>
    <cellStyle name="Currency 5 2 3 3 3" xfId="3579" xr:uid="{00000000-0005-0000-0000-0000E9030000}"/>
    <cellStyle name="Currency 5 2 3 3 4" xfId="5709" xr:uid="{59616245-D824-46F1-81B0-F7CE84542057}"/>
    <cellStyle name="Currency 5 2 3 3 4 2" xfId="30152" xr:uid="{10E13825-1361-4046-A561-F674D9CD40F6}"/>
    <cellStyle name="Currency 5 2 3 3 5" xfId="25057" xr:uid="{F07ECF11-1D7B-4D79-A0FD-D2F0BF3D7837}"/>
    <cellStyle name="Currency 5 2 3 3 6" xfId="13118" xr:uid="{FF00E2A5-B4FB-49BB-96AB-5F24D126800F}"/>
    <cellStyle name="Currency 5 2 3 4" xfId="1969" xr:uid="{00000000-0005-0000-0000-0000EA030000}"/>
    <cellStyle name="Currency 5 2 3 4 2" xfId="3775" xr:uid="{9AA53097-E567-4935-BA95-65CC50D0B73B}"/>
    <cellStyle name="Currency 5 2 3 4 2 2" xfId="8617" xr:uid="{CCB07CC6-C475-4E96-BCAA-C52F5825DCF7}"/>
    <cellStyle name="Currency 5 2 3 4 2 2 2" xfId="18997" xr:uid="{04CD8D01-CEF3-4C9C-9BD0-1F5042A669E1}"/>
    <cellStyle name="Currency 5 2 3 4 2 3" xfId="11450" xr:uid="{225A8900-8F68-4269-B454-4E2E9025351E}"/>
    <cellStyle name="Currency 5 2 3 4 2 3 2" xfId="21830" xr:uid="{C188CF2C-115D-430F-9000-0E4E6571A19D}"/>
    <cellStyle name="Currency 5 2 3 4 2 4" xfId="26215" xr:uid="{0570CA31-8D59-46B5-8184-FEF8F7383B00}"/>
    <cellStyle name="Currency 5 2 3 4 2 5" xfId="26375" xr:uid="{28A2C1DE-F28A-4A55-9019-D1FB2D6D72D0}"/>
    <cellStyle name="Currency 5 2 3 4 2 6" xfId="16164" xr:uid="{F5D30928-98B2-467C-B2BC-D2080B97E6F0}"/>
    <cellStyle name="Currency 5 2 3 4 3" xfId="23679" xr:uid="{D15642E2-80E6-4635-98B9-0DDE89D66073}"/>
    <cellStyle name="Currency 5 2 3 5" xfId="4144" xr:uid="{BBE70D2D-604E-48B2-9D68-4A06E241AAB5}"/>
    <cellStyle name="Currency 5 2 3 5 2" xfId="8916" xr:uid="{A3449125-85BB-4347-9B52-EF23126E01C2}"/>
    <cellStyle name="Currency 5 2 3 5 2 2" xfId="29017" xr:uid="{6EB8AFAA-0881-4674-A52E-7A008315E4E0}"/>
    <cellStyle name="Currency 5 2 3 5 2 3" xfId="27598" xr:uid="{6EAEA2C4-443D-4C95-8CB1-EB87AE134AB5}"/>
    <cellStyle name="Currency 5 2 3 5 2 4" xfId="19296" xr:uid="{3D378635-15D0-4947-BD6B-4C612F00492B}"/>
    <cellStyle name="Currency 5 2 3 5 3" xfId="11749" xr:uid="{10C9EC3E-9AE2-4D9B-8479-211D3D07ED47}"/>
    <cellStyle name="Currency 5 2 3 5 3 2" xfId="22129" xr:uid="{15C832C3-6FF0-4856-A177-D03E7D068492}"/>
    <cellStyle name="Currency 5 2 3 5 4" xfId="26968" xr:uid="{F0640651-E4BA-485E-91B0-95C69E14D0AE}"/>
    <cellStyle name="Currency 5 2 3 5 5" xfId="16463" xr:uid="{BF109E69-ADD6-4229-AE11-DEB910336621}"/>
    <cellStyle name="Currency 5 2 3 6" xfId="4976" xr:uid="{19071EE0-5BFD-4F9E-9132-C53B4E247934}"/>
    <cellStyle name="Currency 5 2 3 6 2" xfId="28609" xr:uid="{5CCE0AB4-0287-4537-BF16-6DCB69FE2869}"/>
    <cellStyle name="Currency 5 2 3 6 3" xfId="27545" xr:uid="{69E98944-73A7-42A3-85AF-E17CD6BE819A}"/>
    <cellStyle name="Currency 5 2 3 6 4" xfId="14271" xr:uid="{9F6DB649-75FE-4421-9D34-EF7190C56541}"/>
    <cellStyle name="Currency 5 2 3 7" xfId="6724" xr:uid="{159000B8-7CC5-4955-8443-5AF2213C3E1C}"/>
    <cellStyle name="Currency 5 2 3 7 2" xfId="27880" xr:uid="{F909FE96-1CC9-415B-BC21-01A6FFCF83BC}"/>
    <cellStyle name="Currency 5 2 3 7 3" xfId="25976" xr:uid="{94FF8E5B-AA91-4B15-97A2-1A1AE04C25C4}"/>
    <cellStyle name="Currency 5 2 3 7 4" xfId="17104" xr:uid="{1DC87CFE-6CBF-4909-AECA-D5D13067C0F9}"/>
    <cellStyle name="Currency 5 2 3 8" xfId="9557" xr:uid="{2E40F6E5-2FED-4555-BFC0-2C0C435350C4}"/>
    <cellStyle name="Currency 5 2 3 8 2" xfId="19937" xr:uid="{220242D1-ABC7-43E6-B0E8-FF42CA590FC7}"/>
    <cellStyle name="Currency 5 2 3 9" xfId="22665" xr:uid="{D9AD0612-914B-436B-8DAE-F1188956DD8B}"/>
    <cellStyle name="Currency 5 2 4" xfId="1972" xr:uid="{00000000-0005-0000-0000-0000EB030000}"/>
    <cellStyle name="Currency 5 2 4 2" xfId="3111" xr:uid="{00000000-0005-0000-0000-0000D5020000}"/>
    <cellStyle name="Currency 5 2 4 2 2" xfId="8191" xr:uid="{25AFDB09-23E2-482C-8E76-09BB28DEADCF}"/>
    <cellStyle name="Currency 5 2 4 2 2 2" xfId="28858" xr:uid="{06FCD6AD-893B-4A36-A0AD-D369F771C15A}"/>
    <cellStyle name="Currency 5 2 4 2 2 3" xfId="26052" xr:uid="{4EF20C12-2878-49D2-8D87-1A4B0612BC68}"/>
    <cellStyle name="Currency 5 2 4 2 2 4" xfId="18571" xr:uid="{53A0814F-3C91-470B-9122-F71FDD3F23C7}"/>
    <cellStyle name="Currency 5 2 4 2 3" xfId="11024" xr:uid="{B5B91CCF-256F-4CE3-BF8B-CED889D41FC5}"/>
    <cellStyle name="Currency 5 2 4 2 3 2" xfId="21404" xr:uid="{0C977F6E-A74F-42C8-9858-D8827CB31566}"/>
    <cellStyle name="Currency 5 2 4 2 4" xfId="23957" xr:uid="{83B7EFE6-940B-4612-89E7-D38FCF8EE350}"/>
    <cellStyle name="Currency 5 2 4 2 5" xfId="15738" xr:uid="{E729032C-0C99-45F8-AE83-A66126EFFACB}"/>
    <cellStyle name="Currency 5 2 4 3" xfId="2049" xr:uid="{00000000-0005-0000-0000-0000EB030000}"/>
    <cellStyle name="Currency 5 2 4 4" xfId="4435" xr:uid="{EAF59091-946C-4F5C-9343-3EB106ED6014}"/>
    <cellStyle name="Currency 5 2 4 4 2" xfId="9207" xr:uid="{9DE673C5-9FAC-4C6B-A3AD-1258CD7F4F41}"/>
    <cellStyle name="Currency 5 2 4 4 2 2" xfId="19587" xr:uid="{7306ABE8-FFF7-463F-8A00-99CCC9E3B069}"/>
    <cellStyle name="Currency 5 2 4 4 3" xfId="12040" xr:uid="{84643D44-AB5A-4804-B4B3-D8D413675A2D}"/>
    <cellStyle name="Currency 5 2 4 4 3 2" xfId="22420" xr:uid="{BB6414FD-0893-461E-A134-D075A290A690}"/>
    <cellStyle name="Currency 5 2 4 4 4" xfId="28673" xr:uid="{D727F6B1-6619-4645-A993-510B5AE51350}"/>
    <cellStyle name="Currency 5 2 4 4 5" xfId="28190" xr:uid="{E3AEF5FB-7525-4F93-99F2-9954E237AACE}"/>
    <cellStyle name="Currency 5 2 4 4 6" xfId="16754" xr:uid="{3E4750C6-930A-4339-AE91-F90BECE985F2}"/>
    <cellStyle name="Currency 5 2 4 5" xfId="5710" xr:uid="{81CCBD4C-4647-4780-BDEB-D175A3F5ADBE}"/>
    <cellStyle name="Currency 5 2 4 5 2" xfId="29925" xr:uid="{DE9DF139-90D5-4BE4-94D3-6FAEA615BC23}"/>
    <cellStyle name="Currency 5 2 4 6" xfId="22716" xr:uid="{912E2D58-135C-466F-977B-D7FCE32E6FF0}"/>
    <cellStyle name="Currency 5 2 4 7" xfId="13631" xr:uid="{3CE5B02C-94B0-4AC5-8DF4-DCF0A61C21CA}"/>
    <cellStyle name="Currency 5 2 5" xfId="1973" xr:uid="{00000000-0005-0000-0000-0000EC030000}"/>
    <cellStyle name="Currency 5 2 5 2" xfId="2889" xr:uid="{00000000-0005-0000-0000-0000D6020000}"/>
    <cellStyle name="Currency 5 2 5 2 2" xfId="8006" xr:uid="{76E26953-D137-4A0D-A497-4B6AC98CE538}"/>
    <cellStyle name="Currency 5 2 5 2 2 2" xfId="28657" xr:uid="{63423EA7-9E9C-41A3-9548-819C174CD01F}"/>
    <cellStyle name="Currency 5 2 5 2 2 3" xfId="26012" xr:uid="{37321E1F-694C-4E0C-9870-7424F46302A7}"/>
    <cellStyle name="Currency 5 2 5 2 2 4" xfId="18386" xr:uid="{7CFBABE8-19D0-41B9-A18C-0F534E5095CC}"/>
    <cellStyle name="Currency 5 2 5 2 3" xfId="10839" xr:uid="{B90DC41B-6A12-425B-AEEF-D5D78A8A4A53}"/>
    <cellStyle name="Currency 5 2 5 2 3 2" xfId="21219" xr:uid="{3D52AE92-5923-457B-9350-B22A4AE1191A}"/>
    <cellStyle name="Currency 5 2 5 2 4" xfId="25928" xr:uid="{DAB2A62E-EF04-4D21-ABCA-3D8381BF181C}"/>
    <cellStyle name="Currency 5 2 5 2 5" xfId="15553" xr:uid="{86AEB658-238E-45DA-8F63-23B312B7D1A9}"/>
    <cellStyle name="Currency 5 2 5 3" xfId="3608" xr:uid="{00000000-0005-0000-0000-0000EC030000}"/>
    <cellStyle name="Currency 5 2 5 4" xfId="5711" xr:uid="{34D882F9-3A98-4786-A61F-2BA19F885A26}"/>
    <cellStyle name="Currency 5 2 5 4 2" xfId="30162" xr:uid="{664207EC-0C4B-4CBE-B049-E2EB877EECBB}"/>
    <cellStyle name="Currency 5 2 5 5" xfId="23045" xr:uid="{C6FB78A3-7FB3-4C8B-AE13-0BA29A31CEF6}"/>
    <cellStyle name="Currency 5 2 5 6" xfId="13390" xr:uid="{23481EF7-DAB4-448F-896D-7EFA49323FD9}"/>
    <cellStyle name="Currency 5 2 6" xfId="1965" xr:uid="{00000000-0005-0000-0000-0000ED030000}"/>
    <cellStyle name="Currency 5 2 6 2" xfId="2541" xr:uid="{00000000-0005-0000-0000-0000D7020000}"/>
    <cellStyle name="Currency 5 2 6 2 2" xfId="7666" xr:uid="{74261CAA-4101-473F-B347-C83F8EAEB42F}"/>
    <cellStyle name="Currency 5 2 6 2 2 2" xfId="18046" xr:uid="{49FBE54B-FD8E-4F2D-838F-4B8FC9ADB860}"/>
    <cellStyle name="Currency 5 2 6 2 3" xfId="10499" xr:uid="{556E629B-FE91-426B-933D-E95FA4998D76}"/>
    <cellStyle name="Currency 5 2 6 2 3 2" xfId="20879" xr:uid="{E11A0ED8-348A-4DA6-9D90-EEF14F0BBC40}"/>
    <cellStyle name="Currency 5 2 6 2 4" xfId="26578" xr:uid="{C9B861A8-D8EB-43AD-B25A-681F5470E314}"/>
    <cellStyle name="Currency 5 2 6 2 5" xfId="25903" xr:uid="{66E2E6D2-0C15-4FBD-B3CD-FFBE6CC078CC}"/>
    <cellStyle name="Currency 5 2 6 2 6" xfId="15213" xr:uid="{2507063B-74EC-4F1F-AF09-CFD95B288AF3}"/>
    <cellStyle name="Currency 5 2 6 3" xfId="3594" xr:uid="{00000000-0005-0000-0000-0000ED030000}"/>
    <cellStyle name="Currency 5 2 6 4" xfId="5704" xr:uid="{6044BC41-93EB-4D46-8847-7E28FDC1C7F0}"/>
    <cellStyle name="Currency 5 2 6 4 2" xfId="30112" xr:uid="{C00A14FC-8D90-470F-9CC5-CEF786FED771}"/>
    <cellStyle name="Currency 5 2 6 5" xfId="23121" xr:uid="{DFB24F9D-60E6-480E-886E-475EF7F1242B}"/>
    <cellStyle name="Currency 5 2 6 6" xfId="12929" xr:uid="{244FD039-EA37-4B72-A255-228CC58257FA}"/>
    <cellStyle name="Currency 5 2 7" xfId="2235" xr:uid="{00000000-0005-0000-0000-0000CB020000}"/>
    <cellStyle name="Currency 5 2 7 2" xfId="7362" xr:uid="{46D783E5-C67D-4AD0-83C0-CF4DD70F2D04}"/>
    <cellStyle name="Currency 5 2 7 2 2" xfId="26298" xr:uid="{0094EF5E-9118-446E-8932-915721C49C84}"/>
    <cellStyle name="Currency 5 2 7 2 3" xfId="26142" xr:uid="{8D63E90A-D234-400F-9E75-4182E9C21698}"/>
    <cellStyle name="Currency 5 2 7 2 4" xfId="17742" xr:uid="{F397A08D-393B-4E26-BD24-2E6F720FBD36}"/>
    <cellStyle name="Currency 5 2 7 3" xfId="10195" xr:uid="{E9F0637B-A05F-4E9D-8BA2-C2EBC2EFAA4D}"/>
    <cellStyle name="Currency 5 2 7 3 2" xfId="20575" xr:uid="{BC39AA1D-EDCB-4BA3-9D5E-5853FA61C57D}"/>
    <cellStyle name="Currency 5 2 7 4" xfId="25306" xr:uid="{35146824-73C6-468D-82D5-4BCD67342811}"/>
    <cellStyle name="Currency 5 2 7 5" xfId="14909" xr:uid="{7EB1EE87-E11D-47CB-A2B8-C4724D639E82}"/>
    <cellStyle name="Currency 5 2 8" xfId="3891" xr:uid="{F5558CD4-A4A2-4E3D-AB6A-144E8681197F}"/>
    <cellStyle name="Currency 5 2 8 2" xfId="8723" xr:uid="{2F1B63F7-D083-429E-B1CA-1A6BFE7DDEA4}"/>
    <cellStyle name="Currency 5 2 8 2 2" xfId="19103" xr:uid="{AA81A8B7-20C9-4F9B-90A1-BEB1376ACEFA}"/>
    <cellStyle name="Currency 5 2 8 3" xfId="11556" xr:uid="{75471A33-C8F0-40CF-B5BF-4A81D5F9A038}"/>
    <cellStyle name="Currency 5 2 8 3 2" xfId="21936" xr:uid="{1A25BBFC-EAD0-476B-B10E-5BE1DFD38444}"/>
    <cellStyle name="Currency 5 2 8 4" xfId="27961" xr:uid="{38D58FC1-9BAF-45DE-9227-885220FBB692}"/>
    <cellStyle name="Currency 5 2 8 5" xfId="28579" xr:uid="{145D1AFD-484B-4FDE-876F-13C665ED8789}"/>
    <cellStyle name="Currency 5 2 8 6" xfId="16270" xr:uid="{82A908FC-D9AF-4CB9-9FAE-0596054F1EA2}"/>
    <cellStyle name="Currency 5 2 9" xfId="4974" xr:uid="{83D789FE-00E7-4353-9F50-F27A53E5C0A6}"/>
    <cellStyle name="Currency 5 2 9 2" xfId="25929" xr:uid="{D31F2547-600E-4F5D-B779-A3F82E3BA780}"/>
    <cellStyle name="Currency 5 2 9 3" xfId="27071" xr:uid="{080F0B0A-5BC7-4901-AD69-507C20B1622B}"/>
    <cellStyle name="Currency 5 2 9 4" xfId="14269" xr:uid="{5C56210C-0634-43D4-9558-692036755A96}"/>
    <cellStyle name="Currency 5 3" xfId="594" xr:uid="{00000000-0005-0000-0000-0000EE030000}"/>
    <cellStyle name="Currency 5 3 10" xfId="9558" xr:uid="{2A505504-F946-417F-8A75-43BF4BB35F9D}"/>
    <cellStyle name="Currency 5 3 10 2" xfId="19938" xr:uid="{A7220A94-B2B4-4AE1-9570-D96C08F7CB0B}"/>
    <cellStyle name="Currency 5 3 11" xfId="23033" xr:uid="{526A7DBF-D3D2-442D-9A54-DD31D9FDF6E8}"/>
    <cellStyle name="Currency 5 3 12" xfId="12533" xr:uid="{20BE156C-F121-4FA0-B6FD-EE6E99003D67}"/>
    <cellStyle name="Currency 5 3 2" xfId="1975" xr:uid="{00000000-0005-0000-0000-0000EF030000}"/>
    <cellStyle name="Currency 5 3 2 2" xfId="3113" xr:uid="{00000000-0005-0000-0000-0000DA020000}"/>
    <cellStyle name="Currency 5 3 2 2 2" xfId="6175" xr:uid="{2A83A707-9693-4504-A63C-CB91999D274E}"/>
    <cellStyle name="Currency 5 3 2 2 2 2" xfId="24181" xr:uid="{957406F0-CF59-4D3C-9C8C-E18064A609A3}"/>
    <cellStyle name="Currency 5 3 2 2 2 2 2" xfId="28716" xr:uid="{30692465-3C1C-4D4C-BF5B-4B86D75AD3A7}"/>
    <cellStyle name="Currency 5 3 2 2 2 3" xfId="28081" xr:uid="{44E0DBA9-7F9D-4F75-A250-7B439F25517A}"/>
    <cellStyle name="Currency 5 3 2 2 2 4" xfId="15740" xr:uid="{ECECBAE7-FE6A-418C-A364-9CC2967EB8CB}"/>
    <cellStyle name="Currency 5 3 2 2 3" xfId="8193" xr:uid="{B638F41F-98D3-49A1-A601-35D9335CCE81}"/>
    <cellStyle name="Currency 5 3 2 2 3 2" xfId="18573" xr:uid="{DCE59326-8858-4E51-A3B0-845F3FA7CFDF}"/>
    <cellStyle name="Currency 5 3 2 2 4" xfId="11026" xr:uid="{56957B04-499B-48B4-98D4-D7E7F4C67751}"/>
    <cellStyle name="Currency 5 3 2 2 4 2" xfId="21406" xr:uid="{8C77967D-6BBC-4B84-B128-12C314811052}"/>
    <cellStyle name="Currency 5 3 2 2 5" xfId="24904" xr:uid="{54FD32AF-935F-4AE0-935A-654E37BB2CEA}"/>
    <cellStyle name="Currency 5 3 2 2 6" xfId="26921" xr:uid="{AF32DBC3-ACF6-4745-AD7B-F110F70C1559}"/>
    <cellStyle name="Currency 5 3 2 2 7" xfId="13633" xr:uid="{76CCBC9C-1C00-49D1-B059-63613061B900}"/>
    <cellStyle name="Currency 5 3 2 3" xfId="2702" xr:uid="{00000000-0005-0000-0000-0000D9020000}"/>
    <cellStyle name="Currency 5 3 2 3 2" xfId="7826" xr:uid="{5C7BCAA3-9C9F-492F-8861-2AD267BF934E}"/>
    <cellStyle name="Currency 5 3 2 3 2 2" xfId="27068" xr:uid="{55EF035C-8796-42AA-B3B7-EB9756ADAED2}"/>
    <cellStyle name="Currency 5 3 2 3 2 3" xfId="27409" xr:uid="{24DD1B34-5BDA-469F-96C6-8E6E015D9E3F}"/>
    <cellStyle name="Currency 5 3 2 3 2 4" xfId="18206" xr:uid="{12DA4345-B994-4CCF-88F1-B9C2539AD072}"/>
    <cellStyle name="Currency 5 3 2 3 3" xfId="10659" xr:uid="{2C015DA8-CF23-4D00-8256-2EACF4E418A2}"/>
    <cellStyle name="Currency 5 3 2 3 3 2" xfId="21039" xr:uid="{70FD7D19-0E93-462C-9581-32C4AEB2F859}"/>
    <cellStyle name="Currency 5 3 2 3 4" xfId="24100" xr:uid="{FB9ECE9D-A2D2-4743-BCED-964CFCC7B75D}"/>
    <cellStyle name="Currency 5 3 2 3 5" xfId="15373" xr:uid="{9C8C138F-CE6E-4288-94A8-950FEF0B812D}"/>
    <cellStyle name="Currency 5 3 2 4" xfId="3700" xr:uid="{00000000-0005-0000-0000-0000EF030000}"/>
    <cellStyle name="Currency 5 3 2 4 2" xfId="26891" xr:uid="{C9DBE510-EFCE-4A0C-8EE8-48DD9ED241FF}"/>
    <cellStyle name="Currency 5 3 2 4 3" xfId="26497" xr:uid="{49081016-EABC-4DB1-B361-D6F414E29952}"/>
    <cellStyle name="Currency 5 3 2 5" xfId="4279" xr:uid="{313F8346-39CD-4124-8B3A-C4CAB3DD2ECA}"/>
    <cellStyle name="Currency 5 3 2 5 2" xfId="9051" xr:uid="{099BCFBD-F523-4301-A1A6-C0079B714369}"/>
    <cellStyle name="Currency 5 3 2 5 2 2" xfId="19431" xr:uid="{27CFA0D3-4438-46F6-878B-42D727E86880}"/>
    <cellStyle name="Currency 5 3 2 5 3" xfId="11884" xr:uid="{E5116A94-E160-444D-A2C3-020F35D29607}"/>
    <cellStyle name="Currency 5 3 2 5 3 2" xfId="22264" xr:uid="{D7658E5A-BB9F-4E05-855D-29A5263DD5F0}"/>
    <cellStyle name="Currency 5 3 2 5 4" xfId="26954" xr:uid="{95732337-E1E3-4AC6-B7DD-8469E5DEFCBB}"/>
    <cellStyle name="Currency 5 3 2 5 5" xfId="27489" xr:uid="{B5F126A9-6131-4F53-870D-FC414775705C}"/>
    <cellStyle name="Currency 5 3 2 5 6" xfId="16598" xr:uid="{CC305DE1-2E81-4E5A-9508-CAE9EA08AB9C}"/>
    <cellStyle name="Currency 5 3 2 6" xfId="5713" xr:uid="{2162A165-A601-451F-A59D-9BF2EFCF87E1}"/>
    <cellStyle name="Currency 5 3 2 6 2" xfId="29962" xr:uid="{E4BE3CB0-1B68-4931-8ECF-8C62FCED168C}"/>
    <cellStyle name="Currency 5 3 2 7" xfId="22910" xr:uid="{2A10CFEC-0929-4835-ABE0-3A392EEEC7A6}"/>
    <cellStyle name="Currency 5 3 2 8" xfId="13120" xr:uid="{47A9C792-CC8F-4DF3-B7EE-6BD5C7B06878}"/>
    <cellStyle name="Currency 5 3 2 9" xfId="30230" xr:uid="{30841303-916C-418C-82AF-1D6F99926DC0}"/>
    <cellStyle name="Currency 5 3 3" xfId="1976" xr:uid="{00000000-0005-0000-0000-0000F0030000}"/>
    <cellStyle name="Currency 5 3 3 2" xfId="3114" xr:uid="{00000000-0005-0000-0000-0000DB020000}"/>
    <cellStyle name="Currency 5 3 3 2 2" xfId="8194" xr:uid="{86FFB7B9-2A55-4AB6-B2B2-D1802A59687B}"/>
    <cellStyle name="Currency 5 3 3 2 2 2" xfId="28860" xr:uid="{01C80663-FA5B-4EA7-9670-DC6D2E0C723D}"/>
    <cellStyle name="Currency 5 3 3 2 2 3" xfId="26630" xr:uid="{685863A7-BFEF-415D-A2CE-7B02227AD743}"/>
    <cellStyle name="Currency 5 3 3 2 2 4" xfId="18574" xr:uid="{2B83C1F7-E7AD-42DC-AFA0-80882660E932}"/>
    <cellStyle name="Currency 5 3 3 2 3" xfId="11027" xr:uid="{D850F367-3396-4AD9-B76D-E56459C3DE3C}"/>
    <cellStyle name="Currency 5 3 3 2 3 2" xfId="21407" xr:uid="{C9751C7E-EED7-40B7-99CB-553163E6D914}"/>
    <cellStyle name="Currency 5 3 3 2 4" xfId="24126" xr:uid="{F1D85D90-2F0F-4588-A85A-C8D9E996F941}"/>
    <cellStyle name="Currency 5 3 3 2 5" xfId="15741" xr:uid="{0A1C1433-46CA-4D11-98FF-9932F571D779}"/>
    <cellStyle name="Currency 5 3 3 3" xfId="2087" xr:uid="{00000000-0005-0000-0000-0000F0030000}"/>
    <cellStyle name="Currency 5 3 3 4" xfId="4436" xr:uid="{20CFB897-666F-4149-87D6-72BD94186F0A}"/>
    <cellStyle name="Currency 5 3 3 4 2" xfId="9208" xr:uid="{FEBB92A8-84BF-498D-9CC9-F630B4376368}"/>
    <cellStyle name="Currency 5 3 3 4 2 2" xfId="19588" xr:uid="{62507DBF-4272-4F62-BCDC-95743CA0B033}"/>
    <cellStyle name="Currency 5 3 3 4 3" xfId="12041" xr:uid="{6051F4A6-5D37-4162-ADF9-79B7787E3719}"/>
    <cellStyle name="Currency 5 3 3 4 3 2" xfId="22421" xr:uid="{2436F9F3-320D-4752-9AF1-E43DC261CDA1}"/>
    <cellStyle name="Currency 5 3 3 4 4" xfId="16755" xr:uid="{6F6A6062-2CE2-4B46-864C-7998CC3BFE47}"/>
    <cellStyle name="Currency 5 3 3 5" xfId="5714" xr:uid="{B225AD9D-70E2-4841-A531-CDA142155BD0}"/>
    <cellStyle name="Currency 5 3 3 5 2" xfId="29929" xr:uid="{598F274D-BC22-467D-BC4C-2CEB956E9374}"/>
    <cellStyle name="Currency 5 3 3 6" xfId="23073" xr:uid="{F18CE366-3398-446C-8744-B602531D5D21}"/>
    <cellStyle name="Currency 5 3 3 7" xfId="13634" xr:uid="{DF8FB77F-CD78-4108-AC65-79380C8B667D}"/>
    <cellStyle name="Currency 5 3 4" xfId="1974" xr:uid="{00000000-0005-0000-0000-0000F1030000}"/>
    <cellStyle name="Currency 5 3 4 2" xfId="3112" xr:uid="{00000000-0005-0000-0000-0000DC020000}"/>
    <cellStyle name="Currency 5 3 4 2 2" xfId="8192" xr:uid="{12605518-45C2-4A5E-B142-B539828DFC7C}"/>
    <cellStyle name="Currency 5 3 4 2 2 2" xfId="28859" xr:uid="{F2C64340-B6DF-456D-A36F-9ED0B197E7CF}"/>
    <cellStyle name="Currency 5 3 4 2 2 3" xfId="28284" xr:uid="{50F5FF16-544C-433F-AD2A-CC87A8B1AA2D}"/>
    <cellStyle name="Currency 5 3 4 2 2 4" xfId="18572" xr:uid="{2A125001-18F0-499F-A790-154D829D4369}"/>
    <cellStyle name="Currency 5 3 4 2 3" xfId="11025" xr:uid="{EBBBB68E-B7A9-4727-B8A5-CA63FBCD5FE7}"/>
    <cellStyle name="Currency 5 3 4 2 3 2" xfId="21405" xr:uid="{E180010A-2FCD-46F1-BA44-5BA0B1F655D8}"/>
    <cellStyle name="Currency 5 3 4 2 4" xfId="22875" xr:uid="{F8FA9813-888C-472C-A853-49F365954C32}"/>
    <cellStyle name="Currency 5 3 4 2 5" xfId="15739" xr:uid="{7F15E761-E3B1-4282-80AD-D5D4A5947524}"/>
    <cellStyle name="Currency 5 3 4 3" xfId="3545" xr:uid="{00000000-0005-0000-0000-0000F1030000}"/>
    <cellStyle name="Currency 5 3 4 4" xfId="5712" xr:uid="{3EEC26B5-3962-41F9-B6A3-EC813AA1EBAC}"/>
    <cellStyle name="Currency 5 3 4 4 2" xfId="30210" xr:uid="{92C4C79E-21B2-47C0-A859-42368BBA2D34}"/>
    <cellStyle name="Currency 5 3 4 5" xfId="24982" xr:uid="{B04AF8FD-6114-4C71-A9D7-E976CE18350C}"/>
    <cellStyle name="Currency 5 3 4 6" xfId="13632" xr:uid="{1BA1C8B1-6A6F-459D-B36D-75354FAD0DB3}"/>
    <cellStyle name="Currency 5 3 5" xfId="2584" xr:uid="{00000000-0005-0000-0000-0000DD020000}"/>
    <cellStyle name="Currency 5 3 5 2" xfId="5849" xr:uid="{3F6A570E-8A5C-4C20-A93D-0E180E864A90}"/>
    <cellStyle name="Currency 5 3 5 2 2" xfId="26969" xr:uid="{D1EBB5CD-FC7A-4F10-B519-46CA29184018}"/>
    <cellStyle name="Currency 5 3 5 2 3" xfId="27436" xr:uid="{A30D7B8C-6247-4972-9E66-87FE75BA273A}"/>
    <cellStyle name="Currency 5 3 5 2 4" xfId="15256" xr:uid="{5A8FF11C-9103-4B97-B92A-D4028022214B}"/>
    <cellStyle name="Currency 5 3 5 3" xfId="7709" xr:uid="{9460C487-FB9F-432D-B8BA-58C64B66EF9C}"/>
    <cellStyle name="Currency 5 3 5 3 2" xfId="18089" xr:uid="{F4EF039A-E7C5-446C-85C1-54823D809576}"/>
    <cellStyle name="Currency 5 3 5 4" xfId="10542" xr:uid="{76470AA5-DD44-48EC-BF0C-40932FC056F6}"/>
    <cellStyle name="Currency 5 3 5 4 2" xfId="20922" xr:uid="{3D8BF286-0DD9-4AB7-85AA-76A759003684}"/>
    <cellStyle name="Currency 5 3 5 5" xfId="22929" xr:uid="{EB799ACC-0960-4BBD-AFBD-116C4BD090D4}"/>
    <cellStyle name="Currency 5 3 5 6" xfId="12972" xr:uid="{15AE4B7D-C61A-47C5-9B30-FD9BCA05DBB6}"/>
    <cellStyle name="Currency 5 3 6" xfId="2301" xr:uid="{00000000-0005-0000-0000-0000D8020000}"/>
    <cellStyle name="Currency 5 3 6 2" xfId="7428" xr:uid="{37D454D2-98EC-4ECA-875B-525C939A12B9}"/>
    <cellStyle name="Currency 5 3 6 2 2" xfId="17808" xr:uid="{FD2A3EEF-D7B3-4708-9FF7-7DBA0EEEC3A6}"/>
    <cellStyle name="Currency 5 3 6 3" xfId="10261" xr:uid="{66DE0595-77D0-44E2-BBAB-22A938590D29}"/>
    <cellStyle name="Currency 5 3 6 3 2" xfId="20641" xr:uid="{5A5654FD-D243-4742-BB0B-511AAA74AA3D}"/>
    <cellStyle name="Currency 5 3 6 4" xfId="24668" xr:uid="{953EE173-511B-4B9D-A92A-2D18C7063975}"/>
    <cellStyle name="Currency 5 3 6 5" xfId="28653" xr:uid="{8A1E049F-A38F-4793-A084-89101582F1E5}"/>
    <cellStyle name="Currency 5 3 6 6" xfId="14975" xr:uid="{A75CB0B2-BEB0-40BE-BC81-57A1FBA3825F}"/>
    <cellStyle name="Currency 5 3 7" xfId="3832" xr:uid="{4F7D27AA-E36A-485B-B1CA-FAD81716445B}"/>
    <cellStyle name="Currency 5 3 7 2" xfId="8665" xr:uid="{CA439490-CAC7-4667-8AAC-FC5DAB444913}"/>
    <cellStyle name="Currency 5 3 7 2 2" xfId="19045" xr:uid="{CA2B8348-30AA-4FB0-AE43-CECC40FCD663}"/>
    <cellStyle name="Currency 5 3 7 3" xfId="11498" xr:uid="{B425CEAF-FDE3-4E01-8713-78F3DCD91BC4}"/>
    <cellStyle name="Currency 5 3 7 3 2" xfId="21878" xr:uid="{D7EFDDC8-32C9-4BC3-A30B-61BCCA7B0596}"/>
    <cellStyle name="Currency 5 3 7 4" xfId="26162" xr:uid="{02640B68-3BEC-48B3-AC71-22D042167650}"/>
    <cellStyle name="Currency 5 3 7 5" xfId="25943" xr:uid="{B7C5EF07-BCE7-453B-898D-822557617857}"/>
    <cellStyle name="Currency 5 3 7 6" xfId="16212" xr:uid="{E8BDBC14-C79C-495C-87FC-BF87E75E23FC}"/>
    <cellStyle name="Currency 5 3 8" xfId="4977" xr:uid="{72549817-FBAA-4BE4-BCFB-74426F487CE8}"/>
    <cellStyle name="Currency 5 3 8 2" xfId="14272" xr:uid="{84018680-E061-4D9B-B808-5B964A2F0278}"/>
    <cellStyle name="Currency 5 3 9" xfId="6725" xr:uid="{7F742B85-07C3-4481-90BB-0054BDEEFD95}"/>
    <cellStyle name="Currency 5 3 9 2" xfId="17105" xr:uid="{86DC57A8-873C-436C-A7EF-6D6D1E4794F1}"/>
    <cellStyle name="Currency 5 4" xfId="595" xr:uid="{00000000-0005-0000-0000-0000F2030000}"/>
    <cellStyle name="Currency 5 4 10" xfId="12691" xr:uid="{91FE20A7-7F48-4F48-AD49-63CAB8CF3EEC}"/>
    <cellStyle name="Currency 5 4 2" xfId="1978" xr:uid="{00000000-0005-0000-0000-0000F3030000}"/>
    <cellStyle name="Currency 5 4 2 2" xfId="3115" xr:uid="{00000000-0005-0000-0000-0000DF020000}"/>
    <cellStyle name="Currency 5 4 2 2 2" xfId="8195" xr:uid="{608C7477-457B-446D-B4DA-1DE51946CB0C}"/>
    <cellStyle name="Currency 5 4 2 2 2 2" xfId="28861" xr:uid="{E574C560-A659-49CE-8A64-D1A07C293872}"/>
    <cellStyle name="Currency 5 4 2 2 2 3" xfId="27737" xr:uid="{A8559155-7CA4-4F41-9566-ACCBE439BD16}"/>
    <cellStyle name="Currency 5 4 2 2 2 4" xfId="18575" xr:uid="{326B5A18-FE67-48F1-857D-9002C90345F5}"/>
    <cellStyle name="Currency 5 4 2 2 3" xfId="11028" xr:uid="{92F448A3-E2F1-491A-BEB4-F0D29626B307}"/>
    <cellStyle name="Currency 5 4 2 2 3 2" xfId="21408" xr:uid="{8E9DA054-293F-4B35-9F07-D93D74CA882A}"/>
    <cellStyle name="Currency 5 4 2 2 4" xfId="23747" xr:uid="{0CC4DA2D-40A8-4977-A8A0-7877AAC19348}"/>
    <cellStyle name="Currency 5 4 2 2 5" xfId="15742" xr:uid="{A7D646FF-DCED-4ADD-A46C-B4FB30D778F5}"/>
    <cellStyle name="Currency 5 4 2 3" xfId="3642" xr:uid="{00000000-0005-0000-0000-0000F3030000}"/>
    <cellStyle name="Currency 5 4 2 4" xfId="5715" xr:uid="{671213EE-3688-4CDB-B942-51A717C3AE88}"/>
    <cellStyle name="Currency 5 4 2 4 2" xfId="30015" xr:uid="{2C28F677-4A5D-49A6-850F-A46B3FF7E34E}"/>
    <cellStyle name="Currency 5 4 2 5" xfId="22823" xr:uid="{93D8A375-BAFB-437F-86FC-856A9BB2B527}"/>
    <cellStyle name="Currency 5 4 2 6" xfId="13635" xr:uid="{59CC9632-D058-4580-807A-C5EA2077C297}"/>
    <cellStyle name="Currency 5 4 3" xfId="1979" xr:uid="{00000000-0005-0000-0000-0000F4030000}"/>
    <cellStyle name="Currency 5 4 3 2" xfId="2699" xr:uid="{00000000-0005-0000-0000-0000E0020000}"/>
    <cellStyle name="Currency 5 4 3 2 2" xfId="7823" xr:uid="{9341D43D-1C0E-42BD-9D8B-CA18E72E65F2}"/>
    <cellStyle name="Currency 5 4 3 2 2 2" xfId="18203" xr:uid="{EB82C059-FCC5-413A-933D-7D4E33815D96}"/>
    <cellStyle name="Currency 5 4 3 2 3" xfId="10656" xr:uid="{B84212C0-4E2C-4BC6-AF4A-87BB56C1A2BC}"/>
    <cellStyle name="Currency 5 4 3 2 3 2" xfId="21036" xr:uid="{0E5706C4-251B-4ACD-847A-54DAED91BE3A}"/>
    <cellStyle name="Currency 5 4 3 2 4" xfId="15370" xr:uid="{1DDD8357-BD14-4A90-A5B6-F047397DF222}"/>
    <cellStyle name="Currency 5 4 3 3" xfId="2076" xr:uid="{00000000-0005-0000-0000-0000F4030000}"/>
    <cellStyle name="Currency 5 4 3 4" xfId="5716" xr:uid="{C626BE1A-2589-41B4-9BF0-6DAE18296A2F}"/>
    <cellStyle name="Currency 5 4 3 4 2" xfId="29993" xr:uid="{7F3E2B32-7D2F-4015-9099-631540B69EF9}"/>
    <cellStyle name="Currency 5 4 3 5" xfId="24141" xr:uid="{A701F4B5-A178-4B62-9F6D-3F10986EB839}"/>
    <cellStyle name="Currency 5 4 3 6" xfId="13117" xr:uid="{016BC64A-2097-4BBD-A94A-7AB945153B0D}"/>
    <cellStyle name="Currency 5 4 4" xfId="1977" xr:uid="{00000000-0005-0000-0000-0000F5030000}"/>
    <cellStyle name="Currency 5 4 4 2" xfId="4687" xr:uid="{4A9AF939-667D-426D-BF72-468498A1B299}"/>
    <cellStyle name="Currency 5 4 4 2 2" xfId="9419" xr:uid="{DCC31A4E-62FC-4BBF-B111-099F2404D1D3}"/>
    <cellStyle name="Currency 5 4 4 2 2 2" xfId="19799" xr:uid="{1A9D43C8-75CA-4A65-86DA-6C19B5A8B3C2}"/>
    <cellStyle name="Currency 5 4 4 2 3" xfId="12252" xr:uid="{A6A378A7-7F53-4A49-B81B-6D854337725F}"/>
    <cellStyle name="Currency 5 4 4 2 3 2" xfId="22632" xr:uid="{036EA76D-6C2F-4A47-BAFD-8A3C8A6EB59F}"/>
    <cellStyle name="Currency 5 4 4 2 4" xfId="26957" xr:uid="{A643EE9A-7110-41F1-BE5E-9E5F937DAD2E}"/>
    <cellStyle name="Currency 5 4 4 2 5" xfId="27890" xr:uid="{B1C1B6A2-8145-467F-BFC5-731084B68B53}"/>
    <cellStyle name="Currency 5 4 4 2 6" xfId="16966" xr:uid="{FAF55C85-0749-4872-95DC-8EF33A3C598C}"/>
    <cellStyle name="Currency 5 4 4 3" xfId="25438" xr:uid="{CA55A9C6-C83B-4E04-9403-84DCF3766DC3}"/>
    <cellStyle name="Currency 5 4 5" xfId="4143" xr:uid="{4351797D-9F35-45B9-A501-D6C8B37865AB}"/>
    <cellStyle name="Currency 5 4 5 2" xfId="8915" xr:uid="{58F36EE9-2E46-479C-9774-5A44F1F69E95}"/>
    <cellStyle name="Currency 5 4 5 2 2" xfId="29016" xr:uid="{2A89CA53-4B3E-48BB-BFC5-A31C57775E4F}"/>
    <cellStyle name="Currency 5 4 5 2 3" xfId="27421" xr:uid="{9F5A11DB-F689-4946-97CF-E74A490888DF}"/>
    <cellStyle name="Currency 5 4 5 2 4" xfId="19295" xr:uid="{8310129C-6CF4-4DC5-AFA2-A7C7B72CA879}"/>
    <cellStyle name="Currency 5 4 5 3" xfId="11748" xr:uid="{EA5370BB-422B-45AF-91B1-117312D9EF82}"/>
    <cellStyle name="Currency 5 4 5 3 2" xfId="22128" xr:uid="{4FB895CC-5250-42D6-B349-900B7EC8493D}"/>
    <cellStyle name="Currency 5 4 5 4" xfId="25808" xr:uid="{1B0D57D7-4222-41ED-906A-604F94DFF6BF}"/>
    <cellStyle name="Currency 5 4 5 5" xfId="16462" xr:uid="{89F97546-8E0D-4D87-BD1D-2D9C95D03802}"/>
    <cellStyle name="Currency 5 4 6" xfId="4978" xr:uid="{05AA86AA-B956-4C7D-A85F-E71ECC7E3D77}"/>
    <cellStyle name="Currency 5 4 6 2" xfId="27407" xr:uid="{1D6F3CF0-6FC0-4471-864E-B6327B69F8F3}"/>
    <cellStyle name="Currency 5 4 6 3" xfId="28475" xr:uid="{7FB88171-DFFE-466B-8BFD-5009AC714BDE}"/>
    <cellStyle name="Currency 5 4 6 4" xfId="14273" xr:uid="{7F2B38FB-4F6E-42CE-8FAB-D074634CBA5E}"/>
    <cellStyle name="Currency 5 4 7" xfId="6726" xr:uid="{F09D6F83-2D9D-49C9-A0DD-63FB6631CDAF}"/>
    <cellStyle name="Currency 5 4 7 2" xfId="27471" xr:uid="{3E163E22-5C8D-462B-A9C0-375C535D2B24}"/>
    <cellStyle name="Currency 5 4 7 3" xfId="26590" xr:uid="{FFE8322E-E7E0-4E1B-94B0-854A7D0E1DC2}"/>
    <cellStyle name="Currency 5 4 7 4" xfId="17106" xr:uid="{3FDF2449-9107-48F9-AB7E-CCFE792520C0}"/>
    <cellStyle name="Currency 5 4 8" xfId="9559" xr:uid="{FFB26C31-5CDB-487B-B8B5-EA32DD2E44C9}"/>
    <cellStyle name="Currency 5 4 8 2" xfId="19939" xr:uid="{5F7B9E25-5849-4F68-B7D7-0E93C280E9FF}"/>
    <cellStyle name="Currency 5 4 9" xfId="24092" xr:uid="{0C8BFE14-6BAD-41F0-B421-3FE0ED6862E4}"/>
    <cellStyle name="Currency 5 5" xfId="596" xr:uid="{00000000-0005-0000-0000-0000F6030000}"/>
    <cellStyle name="Currency 5 5 10" xfId="13636" xr:uid="{C24FF668-0F55-4C40-B058-589BF35CA821}"/>
    <cellStyle name="Currency 5 5 2" xfId="1981" xr:uid="{00000000-0005-0000-0000-0000F7030000}"/>
    <cellStyle name="Currency 5 5 2 2" xfId="25669" xr:uid="{790EC5A2-5E7E-41A1-9E04-568B7350D030}"/>
    <cellStyle name="Currency 5 5 2 2 2" xfId="30023" xr:uid="{517C9AC2-1BA6-4663-A9DF-5EDDCB0743CA}"/>
    <cellStyle name="Currency 5 5 2 3" xfId="23372" xr:uid="{B1715BAC-BC59-417D-8714-CAE2DF61EF57}"/>
    <cellStyle name="Currency 5 5 2 4" xfId="30303" xr:uid="{127D6997-D32D-4518-BEB8-2F13BFC6E497}"/>
    <cellStyle name="Currency 5 5 3" xfId="1982" xr:uid="{00000000-0005-0000-0000-0000F8030000}"/>
    <cellStyle name="Currency 5 5 4" xfId="1980" xr:uid="{00000000-0005-0000-0000-0000F9030000}"/>
    <cellStyle name="Currency 5 5 5" xfId="4437" xr:uid="{DAAD0B37-ADB8-4F3A-B982-31942735FAA9}"/>
    <cellStyle name="Currency 5 5 5 2" xfId="9209" xr:uid="{9F8D59D1-09B3-40C2-8B8B-F268F51DD1BB}"/>
    <cellStyle name="Currency 5 5 5 2 2" xfId="19589" xr:uid="{E3D20698-26E1-4A07-B56F-F00E9B23B379}"/>
    <cellStyle name="Currency 5 5 5 3" xfId="12042" xr:uid="{F5B7CD9A-2460-4120-9BDA-946B16A1F489}"/>
    <cellStyle name="Currency 5 5 5 3 2" xfId="22422" xr:uid="{49C8612A-B147-4726-9FC5-A28CE79D1144}"/>
    <cellStyle name="Currency 5 5 5 4" xfId="16756" xr:uid="{04719F41-4A62-4119-84DB-2843D9CB414A}"/>
    <cellStyle name="Currency 5 5 6" xfId="4979" xr:uid="{1AAFD49D-1AC0-435F-A1BE-BB2B4E0816E8}"/>
    <cellStyle name="Currency 5 5 6 2" xfId="14274" xr:uid="{1DB61BD0-C769-437A-BCF9-6F8208D65BA2}"/>
    <cellStyle name="Currency 5 5 7" xfId="6727" xr:uid="{76D83108-19A4-4119-B570-B4BB73744FC8}"/>
    <cellStyle name="Currency 5 5 7 2" xfId="17107" xr:uid="{3F366261-FB4D-4435-85E6-7F4A971C6329}"/>
    <cellStyle name="Currency 5 5 8" xfId="9560" xr:uid="{EE655E4D-0198-4FDF-B8D8-1829D78D95FE}"/>
    <cellStyle name="Currency 5 5 8 2" xfId="19940" xr:uid="{88DD83A9-4B72-41FF-83A9-1B6BD2B45F06}"/>
    <cellStyle name="Currency 5 5 9" xfId="24978" xr:uid="{8A0125E3-2A7B-4AD7-91C0-3A287C64D067}"/>
    <cellStyle name="Currency 5 6" xfId="1983" xr:uid="{00000000-0005-0000-0000-0000FA030000}"/>
    <cellStyle name="Currency 5 6 2" xfId="2888" xr:uid="{00000000-0005-0000-0000-0000E2020000}"/>
    <cellStyle name="Currency 5 6 2 2" xfId="8005" xr:uid="{2E193E91-A01E-474F-B187-BDECE44FC3CE}"/>
    <cellStyle name="Currency 5 6 2 2 2" xfId="28211" xr:uid="{14B6FC4E-13C6-486E-BD2F-5876CC7E56F9}"/>
    <cellStyle name="Currency 5 6 2 2 3" xfId="25937" xr:uid="{7B1B73F0-B870-470B-B1FF-EC0D27148914}"/>
    <cellStyle name="Currency 5 6 2 2 4" xfId="18385" xr:uid="{76291567-BE7E-43A2-82AA-B861F2BCB18B}"/>
    <cellStyle name="Currency 5 6 2 3" xfId="10838" xr:uid="{8F3BAA17-2897-4FC4-B162-B95A2EF15202}"/>
    <cellStyle name="Currency 5 6 2 3 2" xfId="21218" xr:uid="{59BCAAB1-0305-4051-9B80-D7CB1593BCE7}"/>
    <cellStyle name="Currency 5 6 2 4" xfId="24078" xr:uid="{F76CEBF8-4834-40F1-A0A9-6F44D2561F5C}"/>
    <cellStyle name="Currency 5 6 2 5" xfId="15552" xr:uid="{42E59D82-A4BB-4E12-8D3B-A7ADF868AE10}"/>
    <cellStyle name="Currency 5 6 3" xfId="3691" xr:uid="{00000000-0005-0000-0000-0000FA030000}"/>
    <cellStyle name="Currency 5 6 4" xfId="5717" xr:uid="{44AFBA4B-F3DA-45E7-8031-F5B823D74560}"/>
    <cellStyle name="Currency 5 6 4 2" xfId="30003" xr:uid="{BDE0E766-A7B2-4064-A408-ABD19EA49EA8}"/>
    <cellStyle name="Currency 5 6 5" xfId="24383" xr:uid="{CEE84C07-4DD9-4E37-9909-5EA26BFF24D9}"/>
    <cellStyle name="Currency 5 6 6" xfId="13389" xr:uid="{FE2E4751-23A1-443E-A06D-B4B73D4BD3D1}"/>
    <cellStyle name="Currency 5 7" xfId="1984" xr:uid="{00000000-0005-0000-0000-0000FB030000}"/>
    <cellStyle name="Currency 5 7 2" xfId="2481" xr:uid="{00000000-0005-0000-0000-0000E3020000}"/>
    <cellStyle name="Currency 5 7 2 2" xfId="7606" xr:uid="{81B6ED4A-CE42-4A61-BC5D-69B84F9C950A}"/>
    <cellStyle name="Currency 5 7 2 2 2" xfId="17986" xr:uid="{EC1E4757-EBAC-4784-BD20-FAE4953C5107}"/>
    <cellStyle name="Currency 5 7 2 3" xfId="10439" xr:uid="{D96C0D71-7FB5-47A8-A8D2-DFF0C562FC28}"/>
    <cellStyle name="Currency 5 7 2 3 2" xfId="20819" xr:uid="{5704FB28-4B0F-4916-BAB8-DD4E455FE1C1}"/>
    <cellStyle name="Currency 5 7 2 4" xfId="28061" xr:uid="{176DABD7-062A-41D4-A3E9-5125FE11A5A2}"/>
    <cellStyle name="Currency 5 7 2 5" xfId="28112" xr:uid="{089B1CD4-9833-4307-A3A8-197B98A42D20}"/>
    <cellStyle name="Currency 5 7 2 6" xfId="15153" xr:uid="{E7288997-845B-4A37-A39E-CB8CA64486CE}"/>
    <cellStyle name="Currency 5 7 3" xfId="3647" xr:uid="{00000000-0005-0000-0000-0000FB030000}"/>
    <cellStyle name="Currency 5 7 4" xfId="5718" xr:uid="{D5A2B45C-A8A1-436C-867B-5602BB3F9600}"/>
    <cellStyle name="Currency 5 7 4 2" xfId="30100" xr:uid="{B119CC9C-94FA-4AAE-B7FF-197B29B661F1}"/>
    <cellStyle name="Currency 5 7 5" xfId="25198" xr:uid="{F805B778-1D64-4E1D-8196-D016BB112E02}"/>
    <cellStyle name="Currency 5 7 6" xfId="12869" xr:uid="{0768B0B1-F2DF-46EA-BF3F-F005417F30AF}"/>
    <cellStyle name="Currency 5 8" xfId="1964" xr:uid="{00000000-0005-0000-0000-0000FC030000}"/>
    <cellStyle name="Currency 5 8 2" xfId="2175" xr:uid="{00000000-0005-0000-0000-0000CA020000}"/>
    <cellStyle name="Currency 5 8 2 2" xfId="7302" xr:uid="{2BA16162-0B6E-4C20-8A60-28E540FB236F}"/>
    <cellStyle name="Currency 5 8 2 2 2" xfId="17682" xr:uid="{2CEA732B-993F-4E49-B872-4050164EE667}"/>
    <cellStyle name="Currency 5 8 2 3" xfId="10135" xr:uid="{66F8AB2E-3877-4275-A413-CAAED56745D9}"/>
    <cellStyle name="Currency 5 8 2 3 2" xfId="20515" xr:uid="{F81159EA-7D78-4921-A44E-95C8EE2125C2}"/>
    <cellStyle name="Currency 5 8 2 4" xfId="26738" xr:uid="{6FD107C8-114F-437F-825E-FA84EED388ED}"/>
    <cellStyle name="Currency 5 8 2 5" xfId="26490" xr:uid="{D98CFA33-C3DA-4AA7-9704-EC68A6C02AD1}"/>
    <cellStyle name="Currency 5 8 2 6" xfId="14849" xr:uid="{E36A90A7-BB3D-4AB2-AD35-1E4820D63B8B}"/>
    <cellStyle name="Currency 5 8 3" xfId="3699" xr:uid="{00000000-0005-0000-0000-0000FC030000}"/>
    <cellStyle name="Currency 5 8 4" xfId="23106" xr:uid="{CBC88581-24CC-458C-88B9-2467C62CDA1B}"/>
    <cellStyle name="Currency 5 9" xfId="3890" xr:uid="{089FD322-7546-4AC5-8174-2B983C2A3FFE}"/>
    <cellStyle name="Currency 5 9 2" xfId="8722" xr:uid="{46C8EBAA-AF0F-49E2-B11D-4F23B851DDE3}"/>
    <cellStyle name="Currency 5 9 2 2" xfId="19102" xr:uid="{3CB0A62C-3199-451E-93BA-2F628417CE2F}"/>
    <cellStyle name="Currency 5 9 3" xfId="11555" xr:uid="{412B073C-4D5A-4365-8D2A-427813A664D6}"/>
    <cellStyle name="Currency 5 9 3 2" xfId="21935" xr:uid="{380DAE2D-2C25-449B-A3D6-DCB50C838165}"/>
    <cellStyle name="Currency 5 9 4" xfId="26139" xr:uid="{369AE772-9A07-4F68-A207-2E6415819356}"/>
    <cellStyle name="Currency 5 9 5" xfId="25849" xr:uid="{EBFBB05E-9A8E-4913-AC3E-CC6EB926AF5B}"/>
    <cellStyle name="Currency 5 9 6" xfId="16269" xr:uid="{0C6BF226-38BF-43C2-AEDA-7E1BF8DDD751}"/>
    <cellStyle name="Currency 6" xfId="597" xr:uid="{00000000-0005-0000-0000-0000FD030000}"/>
    <cellStyle name="Currency 6 10" xfId="9561" xr:uid="{1EA0F611-3155-48A5-8C31-EEC6CE029B84}"/>
    <cellStyle name="Currency 6 10 2" xfId="19941" xr:uid="{14666BCF-C789-4475-BFDE-8152F12E9745}"/>
    <cellStyle name="Currency 6 11" xfId="23619" xr:uid="{7664BDC0-6195-4172-9E81-37B7AE460F56}"/>
    <cellStyle name="Currency 6 12" xfId="12492" xr:uid="{D12D9897-9D11-4078-925E-AEBA1F89B9F2}"/>
    <cellStyle name="Currency 6 2" xfId="1986" xr:uid="{00000000-0005-0000-0000-0000FE030000}"/>
    <cellStyle name="Currency 6 2 2" xfId="3117" xr:uid="{00000000-0005-0000-0000-0000E6020000}"/>
    <cellStyle name="Currency 6 2 2 2" xfId="6176" xr:uid="{41933847-B37D-4CF3-B1C3-C2A3F0023F76}"/>
    <cellStyle name="Currency 6 2 2 2 2" xfId="25464" xr:uid="{C5B4FCA3-71BB-46EB-B165-796FF42A1962}"/>
    <cellStyle name="Currency 6 2 2 2 2 2" xfId="26042" xr:uid="{49327C3C-5CC5-4E00-A2C7-077FC4F6646A}"/>
    <cellStyle name="Currency 6 2 2 2 3" xfId="27794" xr:uid="{F7BA3B34-2026-45D8-BC9D-A78B757B57CC}"/>
    <cellStyle name="Currency 6 2 2 2 4" xfId="15744" xr:uid="{96897134-F6B2-40EC-9D96-14782BAB8DB0}"/>
    <cellStyle name="Currency 6 2 2 3" xfId="8197" xr:uid="{935FC321-B1BF-4E0C-9691-C96009EC3645}"/>
    <cellStyle name="Currency 6 2 2 3 2" xfId="18577" xr:uid="{41DDD923-352C-4561-812D-9F1C77F6D68A}"/>
    <cellStyle name="Currency 6 2 2 4" xfId="11030" xr:uid="{12F3EE4D-909E-4E6C-BAB4-2A665E6B37D7}"/>
    <cellStyle name="Currency 6 2 2 4 2" xfId="21410" xr:uid="{B12CEDAB-C56F-4467-9B7D-62209E82D808}"/>
    <cellStyle name="Currency 6 2 2 5" xfId="24481" xr:uid="{B9ABA610-844E-4614-BED9-97A27F232E46}"/>
    <cellStyle name="Currency 6 2 2 6" xfId="28368" xr:uid="{EBCA16AE-96D4-488D-A986-859CC7AA8139}"/>
    <cellStyle name="Currency 6 2 2 7" xfId="13638" xr:uid="{C0201F41-C9BE-43C8-A20F-53347090CEC1}"/>
    <cellStyle name="Currency 6 2 3" xfId="2703" xr:uid="{00000000-0005-0000-0000-0000E5020000}"/>
    <cellStyle name="Currency 6 2 3 2" xfId="7827" xr:uid="{F41249D0-7A9D-49D8-B97E-C71575881320}"/>
    <cellStyle name="Currency 6 2 3 2 2" xfId="27037" xr:uid="{C6DBE360-F8D9-4524-8089-2596FC9BD3A5}"/>
    <cellStyle name="Currency 6 2 3 2 3" xfId="28227" xr:uid="{D945A51B-627C-432C-82FB-D3AEB4B6BA7C}"/>
    <cellStyle name="Currency 6 2 3 2 4" xfId="18207" xr:uid="{E8D108F8-6C70-4CA6-BB20-483DC8D21A83}"/>
    <cellStyle name="Currency 6 2 3 3" xfId="10660" xr:uid="{EA5F64A1-BB6C-4133-87BA-209B1E04BE7A}"/>
    <cellStyle name="Currency 6 2 3 3 2" xfId="21040" xr:uid="{2209A6D1-CB4E-49BC-BE78-A9256B537895}"/>
    <cellStyle name="Currency 6 2 3 4" xfId="24805" xr:uid="{90B1C746-CEC8-4244-AC5B-0741602C24AB}"/>
    <cellStyle name="Currency 6 2 3 5" xfId="15374" xr:uid="{932ADFCE-F4FC-461A-828F-1AE3D6AE8352}"/>
    <cellStyle name="Currency 6 2 4" xfId="3655" xr:uid="{00000000-0005-0000-0000-0000FE030000}"/>
    <cellStyle name="Currency 6 2 4 2" xfId="28454" xr:uid="{63F8D999-7F7B-4DAE-890C-454CEE7A69B1}"/>
    <cellStyle name="Currency 6 2 4 3" xfId="25894" xr:uid="{7C3EFCC2-60A4-44AB-9B00-3C8AEB3CC08F}"/>
    <cellStyle name="Currency 6 2 5" xfId="4280" xr:uid="{0A54B1B6-D5EC-4B60-8488-8E844F69E768}"/>
    <cellStyle name="Currency 6 2 5 2" xfId="9052" xr:uid="{96D08450-67FA-427F-A700-EE2FA7C1E6D0}"/>
    <cellStyle name="Currency 6 2 5 2 2" xfId="19432" xr:uid="{8B446E14-3E80-406E-AB72-E793AB585FB6}"/>
    <cellStyle name="Currency 6 2 5 3" xfId="11885" xr:uid="{6FED515D-769D-402D-BE61-E7E5C151CA14}"/>
    <cellStyle name="Currency 6 2 5 3 2" xfId="22265" xr:uid="{77DDBDA7-10D1-494E-853A-E3E54A80E644}"/>
    <cellStyle name="Currency 6 2 5 4" xfId="26219" xr:uid="{F88209D4-2611-4A4D-80C0-183001678291}"/>
    <cellStyle name="Currency 6 2 5 5" xfId="27666" xr:uid="{EDFDCC1C-357B-436A-9571-FC29BC349F21}"/>
    <cellStyle name="Currency 6 2 5 6" xfId="16599" xr:uid="{689D998D-21E7-44E1-B5E5-EEF577F2B970}"/>
    <cellStyle name="Currency 6 2 6" xfId="5720" xr:uid="{211A447E-EC8D-47DF-A862-D72C839427FA}"/>
    <cellStyle name="Currency 6 2 6 2" xfId="29963" xr:uid="{A77CB89F-B72D-4295-A75B-B48805BE0AFD}"/>
    <cellStyle name="Currency 6 2 7" xfId="24758" xr:uid="{E9123834-46AB-4CF8-ABC6-146C5D9A9E59}"/>
    <cellStyle name="Currency 6 2 8" xfId="13121" xr:uid="{AF98AD0D-47DC-446A-B679-F04EDFEFA06F}"/>
    <cellStyle name="Currency 6 2 9" xfId="30231" xr:uid="{E6A3146F-861A-412C-A1BE-55184DC4E909}"/>
    <cellStyle name="Currency 6 3" xfId="1987" xr:uid="{00000000-0005-0000-0000-0000FF030000}"/>
    <cellStyle name="Currency 6 3 2" xfId="3118" xr:uid="{00000000-0005-0000-0000-0000E7020000}"/>
    <cellStyle name="Currency 6 3 2 2" xfId="8198" xr:uid="{A42269E5-EF6D-4546-883F-087D96D68D71}"/>
    <cellStyle name="Currency 6 3 2 2 2" xfId="28863" xr:uid="{D8DF697A-1BCE-42F1-B1E7-69818B45F003}"/>
    <cellStyle name="Currency 6 3 2 2 3" xfId="27523" xr:uid="{01BC7D5D-223E-4CAC-ACAC-DEE3D97D95FD}"/>
    <cellStyle name="Currency 6 3 2 2 4" xfId="18578" xr:uid="{BAFB95C7-D894-4254-9F23-CC8D8627E608}"/>
    <cellStyle name="Currency 6 3 2 3" xfId="11031" xr:uid="{DB002C45-3523-403B-92E9-95BAF0B84C52}"/>
    <cellStyle name="Currency 6 3 2 3 2" xfId="21411" xr:uid="{97F49ADB-395D-4F19-8B4A-AA2DD331D327}"/>
    <cellStyle name="Currency 6 3 2 4" xfId="23412" xr:uid="{331CA974-3839-4E27-88BD-C4F3536B56DC}"/>
    <cellStyle name="Currency 6 3 2 5" xfId="15745" xr:uid="{3D44AFBD-6996-4D3D-9D97-27BC1D839A73}"/>
    <cellStyle name="Currency 6 3 3" xfId="3548" xr:uid="{00000000-0005-0000-0000-0000FF030000}"/>
    <cellStyle name="Currency 6 3 4" xfId="4438" xr:uid="{ED58BECA-A716-49F3-8373-3BDA6CD396BE}"/>
    <cellStyle name="Currency 6 3 4 2" xfId="9210" xr:uid="{F7AB1362-96BC-4846-AC98-58AA61C4ADF0}"/>
    <cellStyle name="Currency 6 3 4 2 2" xfId="19590" xr:uid="{2416904C-F46A-405C-9FE3-E739BF625B09}"/>
    <cellStyle name="Currency 6 3 4 3" xfId="12043" xr:uid="{808FC44F-BE7D-400B-865D-37EAC5AE0468}"/>
    <cellStyle name="Currency 6 3 4 3 2" xfId="22423" xr:uid="{63D3AC90-D885-4124-992E-75268A560771}"/>
    <cellStyle name="Currency 6 3 4 4" xfId="16757" xr:uid="{D834180F-68F2-40D5-B9E3-BE0B0228C591}"/>
    <cellStyle name="Currency 6 3 5" xfId="5721" xr:uid="{216E36E5-E6BE-4018-A098-F238F6D5197E}"/>
    <cellStyle name="Currency 6 3 5 2" xfId="29947" xr:uid="{B6CEFD53-7B97-446E-B9A3-31FD36451A60}"/>
    <cellStyle name="Currency 6 3 6" xfId="23593" xr:uid="{816385BB-9A36-41AC-AB41-223E5D48DAF7}"/>
    <cellStyle name="Currency 6 3 7" xfId="13639" xr:uid="{F82B903B-0C41-4CDC-8103-12D78468FD01}"/>
    <cellStyle name="Currency 6 4" xfId="1985" xr:uid="{00000000-0005-0000-0000-000000040000}"/>
    <cellStyle name="Currency 6 4 2" xfId="3116" xr:uid="{00000000-0005-0000-0000-0000E8020000}"/>
    <cellStyle name="Currency 6 4 2 2" xfId="8196" xr:uid="{9CBED767-ABC8-441E-B684-E9B5EBA52657}"/>
    <cellStyle name="Currency 6 4 2 2 2" xfId="28862" xr:uid="{7C250B5E-154C-4DE5-A0CC-D6485A63AF0C}"/>
    <cellStyle name="Currency 6 4 2 2 3" xfId="27793" xr:uid="{167F707A-BFA8-4003-BC7C-34480F30AF81}"/>
    <cellStyle name="Currency 6 4 2 2 4" xfId="18576" xr:uid="{9E96AF3C-CC09-4EC3-A506-996BCEF3600D}"/>
    <cellStyle name="Currency 6 4 2 3" xfId="11029" xr:uid="{E127B122-23EA-477E-A860-ECEA5366CDB4}"/>
    <cellStyle name="Currency 6 4 2 3 2" xfId="21409" xr:uid="{132D29D2-3492-42D0-A488-324147D9FCA5}"/>
    <cellStyle name="Currency 6 4 2 4" xfId="25757" xr:uid="{765C5510-ED98-4DB0-9C6E-A26BCE9DF2E0}"/>
    <cellStyle name="Currency 6 4 2 5" xfId="15743" xr:uid="{48F901EA-C6B5-43C6-9851-A3444CE29B6A}"/>
    <cellStyle name="Currency 6 4 3" xfId="3553" xr:uid="{00000000-0005-0000-0000-000000040000}"/>
    <cellStyle name="Currency 6 4 4" xfId="5719" xr:uid="{11FA6911-EB75-43D7-84D4-A0499B2EEBBB}"/>
    <cellStyle name="Currency 6 4 4 2" xfId="30211" xr:uid="{12407B92-C8A4-4C8B-B0BE-C376D6D9EFAF}"/>
    <cellStyle name="Currency 6 4 5" xfId="24860" xr:uid="{5F7FD4A1-DB18-425B-B6D1-66A6965E70C1}"/>
    <cellStyle name="Currency 6 4 6" xfId="13637" xr:uid="{6DF1BF81-40CD-468A-B241-4518F1185C6D}"/>
    <cellStyle name="Currency 6 5" xfId="2655" xr:uid="{00000000-0005-0000-0000-0000E9020000}"/>
    <cellStyle name="Currency 6 5 2" xfId="5915" xr:uid="{884454CE-9BB5-4952-A318-76C10FC2969B}"/>
    <cellStyle name="Currency 6 5 2 2" xfId="27783" xr:uid="{4FDB38CB-03AA-42FF-B207-98D7582340D6}"/>
    <cellStyle name="Currency 6 5 2 3" xfId="28532" xr:uid="{A6A2558C-E1CD-4C2B-9176-8E13D2286CC5}"/>
    <cellStyle name="Currency 6 5 2 4" xfId="15327" xr:uid="{D9FDA700-08F4-4C71-93E9-9407BC6B886E}"/>
    <cellStyle name="Currency 6 5 3" xfId="7780" xr:uid="{F2FAB7B5-F236-4DC4-B28B-3A6854E4B875}"/>
    <cellStyle name="Currency 6 5 3 2" xfId="18160" xr:uid="{0C874C31-2A39-405A-A16A-A06F88C1AC35}"/>
    <cellStyle name="Currency 6 5 4" xfId="10613" xr:uid="{CB2DA553-5D06-48A8-AB3B-AACFD3650070}"/>
    <cellStyle name="Currency 6 5 4 2" xfId="20993" xr:uid="{1403120B-21CB-46E2-9B76-9DD978DC38D4}"/>
    <cellStyle name="Currency 6 5 5" xfId="24613" xr:uid="{67F13161-25AE-4408-95FE-08905A1D8AA1}"/>
    <cellStyle name="Currency 6 5 6" xfId="13057" xr:uid="{E9754CFD-B7FF-45FA-A0ED-3474F3A0F8F5}"/>
    <cellStyle name="Currency 6 6" xfId="2260" xr:uid="{00000000-0005-0000-0000-0000E4020000}"/>
    <cellStyle name="Currency 6 6 2" xfId="7387" xr:uid="{7C3D1EAE-4B6B-474E-9444-4BA9474956D4}"/>
    <cellStyle name="Currency 6 6 2 2" xfId="17767" xr:uid="{7157F5A0-44A1-4505-AA98-97C60BBF8A9B}"/>
    <cellStyle name="Currency 6 6 3" xfId="10220" xr:uid="{2FF151E0-A286-4D71-B98D-0244C7A48819}"/>
    <cellStyle name="Currency 6 6 3 2" xfId="20600" xr:uid="{B845B794-5689-492F-9725-A7C4850136EE}"/>
    <cellStyle name="Currency 6 6 4" xfId="24753" xr:uid="{ECD448A1-191F-40A2-AC56-85EC7F255739}"/>
    <cellStyle name="Currency 6 6 5" xfId="27107" xr:uid="{E7222C6F-38D4-4265-BAD5-F6A728370D82}"/>
    <cellStyle name="Currency 6 6 6" xfId="14934" xr:uid="{9160889B-8DC8-4D98-822E-48072C4B21D1}"/>
    <cellStyle name="Currency 6 7" xfId="3879" xr:uid="{360D4F66-F527-41D6-8F24-FCC5A5565C18}"/>
    <cellStyle name="Currency 6 7 2" xfId="8711" xr:uid="{17793515-7535-4B1E-AA90-9C7F622372E0}"/>
    <cellStyle name="Currency 6 7 2 2" xfId="19091" xr:uid="{04A3C4D1-648D-45E3-9B5E-0D47174CAAE3}"/>
    <cellStyle name="Currency 6 7 3" xfId="11544" xr:uid="{8A54C42F-7E13-48C8-80EA-59EB08013AEF}"/>
    <cellStyle name="Currency 6 7 3 2" xfId="21924" xr:uid="{7BBA711C-00CF-466C-9E78-9C3F01AD11AB}"/>
    <cellStyle name="Currency 6 7 4" xfId="26483" xr:uid="{E34036AA-DC09-4709-8C5E-380A56D25544}"/>
    <cellStyle name="Currency 6 7 5" xfId="27947" xr:uid="{467C4526-CA73-4ED5-8981-41B423076598}"/>
    <cellStyle name="Currency 6 7 6" xfId="16258" xr:uid="{7BC8DB39-A4BD-44E8-BB49-CB6E0CA6B3C2}"/>
    <cellStyle name="Currency 6 8" xfId="4980" xr:uid="{B78EC983-8FF8-45D6-A2BE-5944B0A2127E}"/>
    <cellStyle name="Currency 6 8 2" xfId="14275" xr:uid="{457A1028-6AA1-48DA-861B-93D3474006AF}"/>
    <cellStyle name="Currency 6 9" xfId="6728" xr:uid="{FEDA079E-B119-4EF6-B8D5-5B72B9E2447A}"/>
    <cellStyle name="Currency 6 9 2" xfId="17108" xr:uid="{C5054BCD-63D8-4D93-8946-F8D687080C64}"/>
    <cellStyle name="Currency 7" xfId="2689" xr:uid="{00000000-0005-0000-0000-0000EA020000}"/>
    <cellStyle name="Currency 7 2" xfId="3119" xr:uid="{00000000-0005-0000-0000-0000EB020000}"/>
    <cellStyle name="Currency 7 2 2" xfId="6177" xr:uid="{D9E1B83A-3F24-471B-9EDA-B54E6533FE98}"/>
    <cellStyle name="Currency 7 2 2 2" xfId="24685" xr:uid="{CEFCDACB-282E-4FF9-BC48-3099B0FC7EE8}"/>
    <cellStyle name="Currency 7 2 2 2 2" xfId="26465" xr:uid="{A5B4D759-8536-4897-8E66-68106CAB1926}"/>
    <cellStyle name="Currency 7 2 2 3" xfId="27289" xr:uid="{AB679207-A083-4BDA-AAF7-C356897E6C22}"/>
    <cellStyle name="Currency 7 2 2 4" xfId="15746" xr:uid="{D39065B7-B32F-45CB-83B8-87230959F43A}"/>
    <cellStyle name="Currency 7 2 3" xfId="8199" xr:uid="{3C3DEA77-9252-4CA8-95EE-509344333E7F}"/>
    <cellStyle name="Currency 7 2 3 2" xfId="28864" xr:uid="{68F4C44D-B657-416C-80FC-5D2B8078A738}"/>
    <cellStyle name="Currency 7 2 3 3" xfId="25956" xr:uid="{764CC72C-A203-49F1-83F5-21D1E1AC9C73}"/>
    <cellStyle name="Currency 7 2 3 4" xfId="18579" xr:uid="{46A679A2-A92A-43BF-8655-ACEB4DC7A7E3}"/>
    <cellStyle name="Currency 7 2 4" xfId="11032" xr:uid="{CE58C3F8-7D55-4BB5-BCAF-F941D45451FF}"/>
    <cellStyle name="Currency 7 2 4 2" xfId="21412" xr:uid="{3C7DC662-43E0-46B4-AC8B-4A2C14775DCF}"/>
    <cellStyle name="Currency 7 2 5" xfId="24754" xr:uid="{1744AF6C-B642-4038-B9F9-51CE37983E0F}"/>
    <cellStyle name="Currency 7 2 6" xfId="13640" xr:uid="{C64D0CCC-D5E4-4BBA-8D76-FCFD2937BB16}"/>
    <cellStyle name="Currency 7 3" xfId="4271" xr:uid="{5108D09C-1E19-45C4-93DC-64048A56B178}"/>
    <cellStyle name="Currency 7 3 2" xfId="9043" xr:uid="{8F7597DB-637C-46B3-83BD-6588FA3E34D5}"/>
    <cellStyle name="Currency 7 3 2 2" xfId="29095" xr:uid="{06FC2BF0-EBD5-4CEB-9242-29A9386AB13C}"/>
    <cellStyle name="Currency 7 3 2 3" xfId="28687" xr:uid="{A3FB48B2-3692-4591-8E9F-3E16484E5530}"/>
    <cellStyle name="Currency 7 3 2 4" xfId="19423" xr:uid="{8B236A8B-DEBD-4E86-A4CE-0E6F116B28C3}"/>
    <cellStyle name="Currency 7 3 3" xfId="11876" xr:uid="{C614D5A7-091C-4DD5-BA80-8AEEF15D9816}"/>
    <cellStyle name="Currency 7 3 3 2" xfId="22256" xr:uid="{945F5127-9043-4071-B578-DE8BFB6A1213}"/>
    <cellStyle name="Currency 7 3 4" xfId="24603" xr:uid="{3F6D4EEB-B317-43CE-93BF-EB575C97ED08}"/>
    <cellStyle name="Currency 7 3 5" xfId="16590" xr:uid="{C10B803F-9C27-4444-8090-74F8AD11404E}"/>
    <cellStyle name="Currency 7 4" xfId="5922" xr:uid="{888BDFFC-D2BF-45F4-A2B0-4399EE5C49DE}"/>
    <cellStyle name="Currency 7 4 2" xfId="25904" xr:uid="{3BF6F9AB-DC2E-447F-A41D-2567B62C22C6}"/>
    <cellStyle name="Currency 7 4 3" xfId="28062" xr:uid="{AA463E49-7A22-4909-979B-7CAF52DEDD91}"/>
    <cellStyle name="Currency 7 4 4" xfId="15360" xr:uid="{F3E089C9-EB82-4D8E-A808-DBDDFDF0CBC6}"/>
    <cellStyle name="Currency 7 5" xfId="7813" xr:uid="{6050E524-E0E1-4F67-919D-9C66FA0948FE}"/>
    <cellStyle name="Currency 7 5 2" xfId="28084" xr:uid="{A188E16C-5F3D-4633-9AD1-4AE3F6637154}"/>
    <cellStyle name="Currency 7 5 3" xfId="27117" xr:uid="{9FBEB50B-1AEB-4BCF-8344-A76646EF3686}"/>
    <cellStyle name="Currency 7 5 4" xfId="18193" xr:uid="{C204D0C8-FB98-404D-9491-702EDA690BB0}"/>
    <cellStyle name="Currency 7 6" xfId="10646" xr:uid="{6C513F88-72EA-4351-861A-D129ADD4254E}"/>
    <cellStyle name="Currency 7 6 2" xfId="21026" xr:uid="{FEDA0071-305A-4ED3-9BCA-BD38BD64DF1D}"/>
    <cellStyle name="Currency 7 7" xfId="23842" xr:uid="{18EA0297-8161-4A87-A071-53E82500C750}"/>
    <cellStyle name="Currency 7 8" xfId="24056" xr:uid="{D9559532-AA1D-410A-986C-78FAAC4D8BA3}"/>
    <cellStyle name="Currency 7 8 2" xfId="30218" xr:uid="{771E29AB-D90F-446C-8664-A32FD06D0022}"/>
    <cellStyle name="Currency 7 9" xfId="13102" xr:uid="{30FB82D5-F473-4E05-BB1D-109AEF4101FC}"/>
    <cellStyle name="Currency 8" xfId="4935" xr:uid="{F197CEBD-2C5D-4CBF-9D96-43D31DB105BC}"/>
    <cellStyle name="Currency 8 2" xfId="25602" xr:uid="{0A3EC9D9-FE1A-46FC-829B-E8E11294A4C2}"/>
    <cellStyle name="Currency 8 3" xfId="14227" xr:uid="{12253B7A-9A70-4C29-8C8E-F200B7DAA98B}"/>
    <cellStyle name="Currency 9" xfId="6680" xr:uid="{92AD7E56-FF09-4440-B173-1094A71FB0D3}"/>
    <cellStyle name="Currency 9 2" xfId="17060"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6" builtinId="53" customBuiltin="1"/>
    <cellStyle name="Explanatory Text 2" xfId="29553" xr:uid="{B4576BC8-55D4-46C7-856A-8A52C91891FA}"/>
    <cellStyle name="FundHeaderRowCol.*" xfId="12314" xr:uid="{30107591-BA76-4D19-A887-3FEAE1650577}"/>
    <cellStyle name="FundHeaderRowCol.1" xfId="12315" xr:uid="{00EFF92D-2F4D-4486-B652-96404B414C85}"/>
    <cellStyle name="FundHeaderRowCol.2" xfId="12316" xr:uid="{69018372-DFBE-43C7-B42A-CF4B4A9EA553}"/>
    <cellStyle name="FundSectionHeaderRowDescCol" xfId="12317" xr:uid="{8BD053DD-2230-48D8-AC57-44B3DE83240D}"/>
    <cellStyle name="FundSectionHeaderRowJERefCol" xfId="12318" xr:uid="{8CE873D4-FF14-4149-A394-6FF189B8DF37}"/>
    <cellStyle name="FundSectionHeaderRowNameCol" xfId="12319" xr:uid="{AF61B6DD-8826-4CF0-90CF-282A2B921CC6}"/>
    <cellStyle name="Good" xfId="4831" builtinId="26" customBuiltin="1"/>
    <cellStyle name="Good 2" xfId="601" xr:uid="{00000000-0005-0000-0000-000004040000}"/>
    <cellStyle name="Good 3" xfId="602" xr:uid="{00000000-0005-0000-0000-000005040000}"/>
    <cellStyle name="Good 4" xfId="29554" xr:uid="{73D04EFA-6288-4DE1-AC60-080AD9DDB73A}"/>
    <cellStyle name="GroupSectionHeaderRowBalance" xfId="12320" xr:uid="{DA166E2E-B504-4B9A-8852-CD4BEAFC2AAE}"/>
    <cellStyle name="GroupSectionHeaderRowDescCol" xfId="12321" xr:uid="{09A65350-37C6-483C-9076-B9B9EE9DB424}"/>
    <cellStyle name="GroupSectionHeaderRowNameCol" xfId="12322" xr:uid="{48CEC677-4043-42C1-A934-4F76033302EF}"/>
    <cellStyle name="GroupSelectionHeaderRowJERefCol" xfId="12323" xr:uid="{94232F09-04F3-4E6D-B7DB-04F59E9CD5DE}"/>
    <cellStyle name="Heading 1" xfId="4827" builtinId="16" customBuiltin="1"/>
    <cellStyle name="Heading 1 2" xfId="603" xr:uid="{00000000-0005-0000-0000-000006040000}"/>
    <cellStyle name="Heading 1 3" xfId="604" xr:uid="{00000000-0005-0000-0000-000007040000}"/>
    <cellStyle name="Heading 1 4" xfId="29555" xr:uid="{CA4BF050-0BB8-4C07-AB32-EEDEC7DE8D02}"/>
    <cellStyle name="Heading 2" xfId="4828" builtinId="17" customBuiltin="1"/>
    <cellStyle name="Heading 2 2" xfId="605" xr:uid="{00000000-0005-0000-0000-000008040000}"/>
    <cellStyle name="Heading 2 3" xfId="606" xr:uid="{00000000-0005-0000-0000-000009040000}"/>
    <cellStyle name="Heading 2 4" xfId="29556" xr:uid="{C46319D0-77EB-4CD4-930D-A0782678B5C8}"/>
    <cellStyle name="Heading 3" xfId="4829" builtinId="18" customBuiltin="1"/>
    <cellStyle name="Heading 3 2" xfId="607" xr:uid="{00000000-0005-0000-0000-00000A040000}"/>
    <cellStyle name="Heading 3 2 2" xfId="29557" xr:uid="{34280CFD-9731-497F-BC7D-6606D1BE1D50}"/>
    <cellStyle name="Heading 3 3" xfId="608" xr:uid="{00000000-0005-0000-0000-00000B040000}"/>
    <cellStyle name="Heading 3 3 2" xfId="29558" xr:uid="{7F9170D1-699D-48ED-ACD3-2207BA3A3A38}"/>
    <cellStyle name="Heading 3 4" xfId="29559" xr:uid="{32EE2CF5-75CA-4329-B9DB-F327B55E31FB}"/>
    <cellStyle name="Heading 4" xfId="4830" builtinId="19" customBuiltin="1"/>
    <cellStyle name="Heading 4 2" xfId="609" xr:uid="{00000000-0005-0000-0000-00000C040000}"/>
    <cellStyle name="Heading 4 3" xfId="610" xr:uid="{00000000-0005-0000-0000-00000D040000}"/>
    <cellStyle name="Heading 4 4" xfId="29560" xr:uid="{26CF4506-3C0C-4149-82F5-67DE7222738E}"/>
    <cellStyle name="Hyperlink" xfId="611" builtinId="8"/>
    <cellStyle name="Hyperlink 2" xfId="612" xr:uid="{00000000-0005-0000-0000-00000F040000}"/>
    <cellStyle name="Hyperlink 2 2" xfId="29596" xr:uid="{AFC0C00D-F11C-4445-A195-9C58C7F6F9AF}"/>
    <cellStyle name="Hyperlink 3" xfId="613" xr:uid="{00000000-0005-0000-0000-000010040000}"/>
    <cellStyle name="Hyperlink 4" xfId="614" xr:uid="{00000000-0005-0000-0000-000011040000}"/>
    <cellStyle name="Hyperlink 5" xfId="29597" xr:uid="{53BF9B33-031B-4A47-A462-794552C5F5C4}"/>
    <cellStyle name="Input" xfId="4833" builtinId="20" customBuiltin="1"/>
    <cellStyle name="Input 2" xfId="615" xr:uid="{00000000-0005-0000-0000-000012040000}"/>
    <cellStyle name="Input 3" xfId="616" xr:uid="{00000000-0005-0000-0000-000013040000}"/>
    <cellStyle name="Input 4" xfId="29561" xr:uid="{C0B9884E-84BA-41A6-ADBA-85A7A4A4B29C}"/>
    <cellStyle name="JEDescriptionRowNameCol" xfId="12324" xr:uid="{D7AC7BB0-9688-456A-B8D3-FA09DD0137F5}"/>
    <cellStyle name="JEDetailRowCreditCol" xfId="12325" xr:uid="{2B66B052-A8A2-4315-8820-BA95C9FC0D86}"/>
    <cellStyle name="JEDetailRowDebitCol" xfId="12326" xr:uid="{BA43A963-4B13-4778-AB36-88E6086C035F}"/>
    <cellStyle name="JEDetailRowDescCol" xfId="12327" xr:uid="{866EA52A-1467-4A66-8C56-CBBB989288FF}"/>
    <cellStyle name="JEDetailRowNameCol" xfId="12328" xr:uid="{D5EDB40B-5B17-40F4-BA94-A5C2FF9895DF}"/>
    <cellStyle name="JEDetailRowWPRefCol" xfId="12329" xr:uid="{388908A3-E726-44B7-A73F-A3C06954DF15}"/>
    <cellStyle name="JEIdentityRowDescCol" xfId="12330" xr:uid="{825B0865-A30D-4C62-8B41-AA14FFCCB4D4}"/>
    <cellStyle name="JEIdentityRowNameCol" xfId="12331" xr:uid="{A0A88C57-EFB6-4680-B416-FABA545BB0F9}"/>
    <cellStyle name="JEIdentityRowWPRefCol" xfId="12332" xr:uid="{AA8FCA78-A35F-435A-9773-AE7D5DFEB05A}"/>
    <cellStyle name="JETotalRowCreditCol" xfId="12333" xr:uid="{CBC2F19F-9212-4A47-B1E9-F8CBBFEB30BF}"/>
    <cellStyle name="JETotalRowDebitCol" xfId="12334" xr:uid="{86004B0D-F111-43BD-91D6-74F17F1148B0}"/>
    <cellStyle name="JETotalRowDescCol" xfId="12335" xr:uid="{E60B60DE-39B9-4650-86A4-D2C09E6902FC}"/>
    <cellStyle name="JETotalRowNameCol" xfId="12336" xr:uid="{054CE1E2-C09D-4C50-B388-27AA302258ED}"/>
    <cellStyle name="JETotalRowWPRefCol" xfId="12337" xr:uid="{61C2FCFF-EC42-4DF3-8C13-5AD2D79709C0}"/>
    <cellStyle name="JETypeDescriptionRowDescCol" xfId="12338" xr:uid="{8065F69E-3861-45A6-A349-5CFDE18A5F97}"/>
    <cellStyle name="JETypeDescriptionRowNameCol" xfId="12339" xr:uid="{52E08EE2-90C8-4506-BF47-147EE565D429}"/>
    <cellStyle name="Linked Cell" xfId="4836" builtinId="24" customBuiltin="1"/>
    <cellStyle name="Linked Cell 2" xfId="617" xr:uid="{00000000-0005-0000-0000-000014040000}"/>
    <cellStyle name="Linked Cell 3" xfId="618" xr:uid="{00000000-0005-0000-0000-000015040000}"/>
    <cellStyle name="Linked Cell 4" xfId="29562" xr:uid="{8B4B6641-0453-4E55-B892-08C524C0A5B2}"/>
    <cellStyle name="NetIncomeLossRowBalance" xfId="12340" xr:uid="{1433FCB7-B0C9-4DF0-B9B6-271B460A2FE0}"/>
    <cellStyle name="NetIncomeLossRowDescCol" xfId="12341" xr:uid="{597C11A1-FC41-41D2-B06D-C46DAEDC1B38}"/>
    <cellStyle name="NetIncomeLossRowJERefCol" xfId="12342" xr:uid="{63E13319-5232-4EEA-94AD-7E617E4FE709}"/>
    <cellStyle name="NetIncomeLossRowNameCol" xfId="12343" xr:uid="{FBC05D99-2A3C-4D44-8907-1C72E5EF1406}"/>
    <cellStyle name="NetIncomeLossRowVarPectCol" xfId="12344" xr:uid="{34E3AE3A-34B2-4329-B9E3-10C568F30822}"/>
    <cellStyle name="NetIncomeLossRowWPRefCol" xfId="12345" xr:uid="{0373C2AB-7463-4889-B6F1-C9B138613C3F}"/>
    <cellStyle name="Neutral 2" xfId="619" xr:uid="{00000000-0005-0000-0000-000016040000}"/>
    <cellStyle name="Neutral 3" xfId="620" xr:uid="{00000000-0005-0000-0000-000017040000}"/>
    <cellStyle name="Neutral 4" xfId="12254" xr:uid="{C7790D3F-7D01-4B5C-A199-EBC5EBD75914}"/>
    <cellStyle name="Neutral 4 2" xfId="29563" xr:uid="{428E148C-FAA0-4622-BE5C-127270522EA8}"/>
    <cellStyle name="Normal" xfId="0" builtinId="0"/>
    <cellStyle name="Normal 10" xfId="621" xr:uid="{00000000-0005-0000-0000-000019040000}"/>
    <cellStyle name="Normal 10 10" xfId="622" xr:uid="{00000000-0005-0000-0000-00001A040000}"/>
    <cellStyle name="Normal 10 10 2" xfId="3120" xr:uid="{00000000-0005-0000-0000-000005030000}"/>
    <cellStyle name="Normal 10 10 2 2" xfId="6178" xr:uid="{A48A6148-8147-4125-A12B-D8297B0DC6CE}"/>
    <cellStyle name="Normal 10 10 2 2 2" xfId="25732" xr:uid="{B93DA6C7-7B79-4108-B9B5-B8A81754163B}"/>
    <cellStyle name="Normal 10 10 2 2 3" xfId="26658" xr:uid="{3251EC09-E98D-432F-9FC1-719234C11B5F}"/>
    <cellStyle name="Normal 10 10 2 2 4" xfId="15747" xr:uid="{2CD1E5DE-C9FF-4874-8003-89ED02E976BC}"/>
    <cellStyle name="Normal 10 10 2 3" xfId="8200" xr:uid="{1E044D6B-77A0-49E0-8B6C-5F8F91E4792D}"/>
    <cellStyle name="Normal 10 10 2 3 2" xfId="28865" xr:uid="{F1BD571F-1560-49E1-8425-9B4799EE4C95}"/>
    <cellStyle name="Normal 10 10 2 3 3" xfId="18580" xr:uid="{C1410412-EC63-425F-8309-06C9FBE86E43}"/>
    <cellStyle name="Normal 10 10 2 4" xfId="11033" xr:uid="{5BA87819-5ABC-4ED4-AEBE-8E4FF6B09B7D}"/>
    <cellStyle name="Normal 10 10 2 4 2" xfId="21413" xr:uid="{1F718540-6159-4DED-BADE-5D719579F358}"/>
    <cellStyle name="Normal 10 10 2 5" xfId="23359" xr:uid="{A2F437CA-096E-4AD7-ABF2-8FC71022E231}"/>
    <cellStyle name="Normal 10 10 2 6" xfId="13641" xr:uid="{A8B787A3-15CD-49C8-88EB-15F04FD33F37}"/>
    <cellStyle name="Normal 10 10 3" xfId="2859" xr:uid="{00000000-0005-0000-0000-000006030000}"/>
    <cellStyle name="Normal 10 10 3 2" xfId="6072" xr:uid="{04870463-D7A8-44C0-B512-4B2CCF31F619}"/>
    <cellStyle name="Normal 10 10 3 2 2" xfId="28552" xr:uid="{0AD1D515-099A-47C0-BF64-E4C2E245900B}"/>
    <cellStyle name="Normal 10 10 3 2 3" xfId="15528" xr:uid="{C4E869DD-5012-4D41-AFFC-13C01508893B}"/>
    <cellStyle name="Normal 10 10 3 3" xfId="7981" xr:uid="{03B7D17F-8189-4ACE-923B-BDA665E25C79}"/>
    <cellStyle name="Normal 10 10 3 3 2" xfId="18361" xr:uid="{9C417B3D-0AD0-4992-A722-66D546994356}"/>
    <cellStyle name="Normal 10 10 3 4" xfId="10814" xr:uid="{3689B4B7-D4D3-4C10-9185-0F3DB2326800}"/>
    <cellStyle name="Normal 10 10 3 4 2" xfId="21194" xr:uid="{19B5D9BC-9C95-4340-ADA3-A7B5FA429E57}"/>
    <cellStyle name="Normal 10 10 3 5" xfId="25371" xr:uid="{2F619995-6181-409A-ADB1-EC322F973720}"/>
    <cellStyle name="Normal 10 10 3 6" xfId="13348" xr:uid="{586F1DD7-06A8-47EA-861F-D9CA85A788C6}"/>
    <cellStyle name="Normal 10 10 4" xfId="4145" xr:uid="{E80EB3A7-2CB6-4571-B043-917518450B51}"/>
    <cellStyle name="Normal 10 10 4 2" xfId="8917" xr:uid="{6EF97CAD-3298-4E65-98A6-6064F4C57182}"/>
    <cellStyle name="Normal 10 10 4 2 2" xfId="29018" xr:uid="{417C58D3-9799-4D46-9F6E-85B0D5026EAA}"/>
    <cellStyle name="Normal 10 10 4 2 3" xfId="19297" xr:uid="{0F9E426B-F47A-45A8-908C-E03D1FBEF688}"/>
    <cellStyle name="Normal 10 10 4 3" xfId="11750" xr:uid="{FD8848E4-23E2-4675-A872-E92E6F18DEB4}"/>
    <cellStyle name="Normal 10 10 4 3 2" xfId="22130" xr:uid="{50D26883-7F62-478C-AC5A-4239A024C1CD}"/>
    <cellStyle name="Normal 10 10 4 4" xfId="26285" xr:uid="{09455926-8F40-4E56-AA80-029CE8CB3D13}"/>
    <cellStyle name="Normal 10 10 4 5" xfId="16464" xr:uid="{A1987070-EC4A-44EF-A443-F203EA91973B}"/>
    <cellStyle name="Normal 10 10 5" xfId="4982" xr:uid="{E753EFC7-DAAA-43D3-B599-9A8598387912}"/>
    <cellStyle name="Normal 10 10 5 2" xfId="27336" xr:uid="{00F6F234-CF51-4305-9F2C-ADABAAABFC62}"/>
    <cellStyle name="Normal 10 10 5 3" xfId="14277" xr:uid="{45C443CD-DFC3-4F30-AF6B-047E441B48B0}"/>
    <cellStyle name="Normal 10 10 6" xfId="6730" xr:uid="{F769CB9A-5118-40B8-BFE1-BA45F45B3866}"/>
    <cellStyle name="Normal 10 10 6 2" xfId="17110" xr:uid="{96160406-AA55-4F3A-89A2-A36B462387BC}"/>
    <cellStyle name="Normal 10 10 7" xfId="9563" xr:uid="{8CE60302-7137-4977-ACE2-0CB0D21166D4}"/>
    <cellStyle name="Normal 10 10 7 2" xfId="19943" xr:uid="{BD059445-37A6-42A9-BBB6-2958E62DD1D8}"/>
    <cellStyle name="Normal 10 10 8" xfId="22899" xr:uid="{E2F28D9D-80D1-4AA1-950E-7F88298C357A}"/>
    <cellStyle name="Normal 10 10 9" xfId="12693" xr:uid="{BF623A86-DEA6-43D7-A8DF-075214355472}"/>
    <cellStyle name="Normal 10 11" xfId="623" xr:uid="{00000000-0005-0000-0000-00001B040000}"/>
    <cellStyle name="Normal 10 11 2" xfId="4983" xr:uid="{4A05A02C-96FD-4D1C-B9EA-2D237A2C3E1A}"/>
    <cellStyle name="Normal 10 11 2 2" xfId="24792" xr:uid="{80136C4F-516F-4571-8124-CA54C4A0D6E6}"/>
    <cellStyle name="Normal 10 11 2 3" xfId="27940" xr:uid="{6CA6B494-D6D1-42DD-8636-F29BE1730242}"/>
    <cellStyle name="Normal 10 11 2 4" xfId="14278" xr:uid="{7EA7914E-1DFE-465B-A512-FB4CB6AD8339}"/>
    <cellStyle name="Normal 10 11 3" xfId="6731" xr:uid="{972F9648-428D-46F0-ADB4-CF0E092FA608}"/>
    <cellStyle name="Normal 10 11 3 2" xfId="26905" xr:uid="{06042D5C-60F2-4660-9E2E-27D032A92803}"/>
    <cellStyle name="Normal 10 11 3 3" xfId="17111" xr:uid="{60BFD8D1-729B-455C-805A-FC03EBE5BF80}"/>
    <cellStyle name="Normal 10 11 4" xfId="9564" xr:uid="{EF0D317D-E54A-4A22-A8F7-62430034A042}"/>
    <cellStyle name="Normal 10 11 4 2" xfId="19944" xr:uid="{6040C0D3-6DF1-43CD-A964-89078F3349CF}"/>
    <cellStyle name="Normal 10 11 5" xfId="24545" xr:uid="{A8967592-2218-41C3-B75C-802374552DA4}"/>
    <cellStyle name="Normal 10 11 6" xfId="13391" xr:uid="{EAA21CE2-9C63-4B7D-A2A9-38AA0689EBAD}"/>
    <cellStyle name="Normal 10 12" xfId="624" xr:uid="{00000000-0005-0000-0000-00001C040000}"/>
    <cellStyle name="Normal 10 12 2" xfId="4984" xr:uid="{81C5B629-06FA-4C73-953D-3DE3B667ECA5}"/>
    <cellStyle name="Normal 10 12 2 2" xfId="28684" xr:uid="{70D88F76-2598-4C16-8EE5-C3E673473E1F}"/>
    <cellStyle name="Normal 10 12 2 3" xfId="14279" xr:uid="{89C68C09-9400-4D3A-AAB7-DA5D79F33409}"/>
    <cellStyle name="Normal 10 12 3" xfId="6732" xr:uid="{57ACEA7E-EF16-4D67-A33B-4FF3DC7A1D93}"/>
    <cellStyle name="Normal 10 12 3 2" xfId="17112" xr:uid="{D1ABC6DD-7170-43EB-B1CB-741E1C0DD98A}"/>
    <cellStyle name="Normal 10 12 4" xfId="9565" xr:uid="{87002A86-8D06-487A-AC53-CE9ED5BA9106}"/>
    <cellStyle name="Normal 10 12 4 2" xfId="19945" xr:uid="{BFDDF5AC-6A3D-4842-8E39-CF390305EE0E}"/>
    <cellStyle name="Normal 10 12 5" xfId="25344" xr:uid="{79FBB3CA-C3EC-4A74-86B1-41F1BED65901}"/>
    <cellStyle name="Normal 10 12 6" xfId="12830" xr:uid="{7D54B555-AEC5-4C97-9972-9E98BAF09667}"/>
    <cellStyle name="Normal 10 13" xfId="2173" xr:uid="{00000000-0005-0000-0000-000003030000}"/>
    <cellStyle name="Normal 10 13 2" xfId="7300" xr:uid="{7471D1E5-75EE-4ED7-BD7F-6DF83D0E9EB3}"/>
    <cellStyle name="Normal 10 13 2 2" xfId="26230" xr:uid="{FE4CFAEE-5A24-4CA5-9A6F-D15D149AEF8B}"/>
    <cellStyle name="Normal 10 13 2 3" xfId="17680" xr:uid="{C8E76887-BB42-4116-AB46-494CEC4EA311}"/>
    <cellStyle name="Normal 10 13 3" xfId="10133" xr:uid="{8CC65BA9-FB64-4FED-8E5E-40F54B9077A2}"/>
    <cellStyle name="Normal 10 13 3 2" xfId="20513" xr:uid="{DB027F51-F73F-4F34-AED5-42AF3848CBC3}"/>
    <cellStyle name="Normal 10 13 4" xfId="24627" xr:uid="{BA4460E7-40E0-4E0D-AA35-A58B189F0726}"/>
    <cellStyle name="Normal 10 13 5" xfId="14847" xr:uid="{37C09BCD-6E46-4E63-AABA-545A983990B3}"/>
    <cellStyle name="Normal 10 14" xfId="3904" xr:uid="{7725DFF7-5497-4F7F-AD85-E7F55E85149E}"/>
    <cellStyle name="Normal 10 14 2" xfId="8736" xr:uid="{D3261DEB-D026-4F7B-8A63-7BD33965FEFC}"/>
    <cellStyle name="Normal 10 14 2 2" xfId="19116" xr:uid="{380C6917-A8A9-4DB7-9E0B-B3881FEAE402}"/>
    <cellStyle name="Normal 10 14 3" xfId="11569" xr:uid="{301B0EC4-1920-4FE8-9DAB-CDC888ED9AD6}"/>
    <cellStyle name="Normal 10 14 3 2" xfId="21949" xr:uid="{8007155B-0D73-4E13-85BF-1868E391322A}"/>
    <cellStyle name="Normal 10 14 4" xfId="24489" xr:uid="{DD5DDC51-8259-4362-8BB5-3571609555BA}"/>
    <cellStyle name="Normal 10 14 5" xfId="16283" xr:uid="{5334FDBE-99E4-43B0-9536-0E4983E9CFFC}"/>
    <cellStyle name="Normal 10 15" xfId="4981" xr:uid="{7CC6FFB8-54FD-4DB8-994D-5373C639D597}"/>
    <cellStyle name="Normal 10 15 2" xfId="14276" xr:uid="{9D18A003-1AFB-4E00-826E-418CD25DC677}"/>
    <cellStyle name="Normal 10 16" xfId="6729" xr:uid="{9F24BD89-D286-4571-8C43-0DA4709BB7A6}"/>
    <cellStyle name="Normal 10 16 2" xfId="17109" xr:uid="{4D7CE34E-C0EB-4B47-B925-99E2328FCD47}"/>
    <cellStyle name="Normal 10 17" xfId="9562" xr:uid="{1F5857E8-0180-43B6-A67A-D8A50D53EE2D}"/>
    <cellStyle name="Normal 10 17 2" xfId="19942" xr:uid="{28EA8336-B58D-4001-97E1-1918AD18C978}"/>
    <cellStyle name="Normal 10 18" xfId="22965" xr:uid="{742F234D-82A3-42A6-B583-194E4A5AFD22}"/>
    <cellStyle name="Normal 10 19" xfId="12405" xr:uid="{F5251D3C-5E86-4A72-9FC4-354A3A96E2D8}"/>
    <cellStyle name="Normal 10 2" xfId="625" xr:uid="{00000000-0005-0000-0000-00001D040000}"/>
    <cellStyle name="Normal 10 2 10" xfId="4985" xr:uid="{AF9C9F13-AE12-416F-AE40-EC642CC2467C}"/>
    <cellStyle name="Normal 10 2 10 2" xfId="14280" xr:uid="{854A259B-B3C1-41B4-AF59-D6117453A646}"/>
    <cellStyle name="Normal 10 2 11" xfId="6733" xr:uid="{F38BD8C0-9421-42A1-8328-B5BC33C98FA2}"/>
    <cellStyle name="Normal 10 2 11 2" xfId="17113" xr:uid="{8E9DC401-4643-4F67-B21F-7F04CAF49562}"/>
    <cellStyle name="Normal 10 2 12" xfId="9566" xr:uid="{54731853-DF17-4F3C-8343-C979F78B6C83}"/>
    <cellStyle name="Normal 10 2 12 2" xfId="19946" xr:uid="{40651727-1308-4000-9898-92BFF5BA47AB}"/>
    <cellStyle name="Normal 10 2 13" xfId="22653" xr:uid="{7651A22B-3469-4C2B-915E-B0399D89FE02}"/>
    <cellStyle name="Normal 10 2 14" xfId="12428" xr:uid="{0FAB5A96-8730-4777-B641-7813F9F03870}"/>
    <cellStyle name="Normal 10 2 2" xfId="626" xr:uid="{00000000-0005-0000-0000-00001E040000}"/>
    <cellStyle name="Normal 10 2 2 10" xfId="6734" xr:uid="{5DEEFE5E-DCB4-4FB8-B9D0-9F375FA6CE18}"/>
    <cellStyle name="Normal 10 2 2 10 2" xfId="17114" xr:uid="{6B3362CF-1EAE-44AD-8E7C-6F8884070197}"/>
    <cellStyle name="Normal 10 2 2 11" xfId="9567" xr:uid="{C5321B08-B5F0-4349-9FC9-DE9D93B783A2}"/>
    <cellStyle name="Normal 10 2 2 11 2" xfId="19947" xr:uid="{BD78E8AA-A088-4DFF-8DB9-13392B6FBD50}"/>
    <cellStyle name="Normal 10 2 2 12" xfId="23869" xr:uid="{D7019344-E4F0-4EAD-A39E-0177C41E3B6B}"/>
    <cellStyle name="Normal 10 2 2 13" xfId="12488" xr:uid="{C372DA4C-48CA-4BB5-B2ED-2CF5B05C7D9B}"/>
    <cellStyle name="Normal 10 2 2 2" xfId="627" xr:uid="{00000000-0005-0000-0000-00001F040000}"/>
    <cellStyle name="Normal 10 2 2 2 10" xfId="13053" xr:uid="{D22D6458-D1DC-4AF5-8DFD-A093A36FDE01}"/>
    <cellStyle name="Normal 10 2 2 2 2" xfId="628" xr:uid="{00000000-0005-0000-0000-000020040000}"/>
    <cellStyle name="Normal 10 2 2 2 2 2" xfId="3123" xr:uid="{00000000-0005-0000-0000-00000D030000}"/>
    <cellStyle name="Normal 10 2 2 2 2 2 2" xfId="6181" xr:uid="{8892C1C8-BA0C-49CC-998F-780716EF93FA}"/>
    <cellStyle name="Normal 10 2 2 2 2 2 2 2" xfId="23345" xr:uid="{7DD4C7C2-B7B8-4A07-A0CB-863E7FD205F2}"/>
    <cellStyle name="Normal 10 2 2 2 2 2 2 3" xfId="15750" xr:uid="{04E6806C-7482-4417-8D92-21640E43690F}"/>
    <cellStyle name="Normal 10 2 2 2 2 2 3" xfId="8203" xr:uid="{CE95F44B-0481-40F9-81DF-031D79118290}"/>
    <cellStyle name="Normal 10 2 2 2 2 2 3 2" xfId="18583" xr:uid="{FB00175E-8C54-4F49-A0C0-F63484131B1D}"/>
    <cellStyle name="Normal 10 2 2 2 2 2 4" xfId="11036" xr:uid="{174873F6-C547-4786-A0B5-95F1612AD408}"/>
    <cellStyle name="Normal 10 2 2 2 2 2 4 2" xfId="21416" xr:uid="{BC9E8C52-4E9E-4F82-BC19-DEE42A19635E}"/>
    <cellStyle name="Normal 10 2 2 2 2 2 5" xfId="24510" xr:uid="{BD0491B1-769E-4376-BB95-956B81D9FAFD}"/>
    <cellStyle name="Normal 10 2 2 2 2 2 6" xfId="13644" xr:uid="{901212EF-41CF-4F24-8CB8-0D1DDE0AC254}"/>
    <cellStyle name="Normal 10 2 2 2 2 3" xfId="4282" xr:uid="{ACAE5F72-B919-4576-BC83-C3FD833AB1D4}"/>
    <cellStyle name="Normal 10 2 2 2 2 3 2" xfId="9054" xr:uid="{3AAA8962-D937-47D1-9A1D-B77E1ED0C51B}"/>
    <cellStyle name="Normal 10 2 2 2 2 3 2 2" xfId="29097" xr:uid="{979D5129-1C24-480B-A486-28EFA77CBE6D}"/>
    <cellStyle name="Normal 10 2 2 2 2 3 2 3" xfId="19434" xr:uid="{8602EA7C-0304-44EA-9F5F-2C6CBBB27DCE}"/>
    <cellStyle name="Normal 10 2 2 2 2 3 3" xfId="11887" xr:uid="{5FD814A5-9474-41D9-B7E0-A872F7B57471}"/>
    <cellStyle name="Normal 10 2 2 2 2 3 3 2" xfId="22267" xr:uid="{62E22EB4-6F34-4C11-A610-E66C71AAB67C}"/>
    <cellStyle name="Normal 10 2 2 2 2 3 4" xfId="24520" xr:uid="{C870E03D-2651-4024-82C9-F9C038A7E458}"/>
    <cellStyle name="Normal 10 2 2 2 2 3 5" xfId="16601" xr:uid="{D410EB35-9C13-475F-B509-4399F7E15C5F}"/>
    <cellStyle name="Normal 10 2 2 2 2 4" xfId="4988" xr:uid="{33657853-CCCE-4302-B0EA-6563BF685939}"/>
    <cellStyle name="Normal 10 2 2 2 2 4 2" xfId="26222" xr:uid="{E63D3BC4-CAE8-4CA8-B9EF-663319E45499}"/>
    <cellStyle name="Normal 10 2 2 2 2 4 3" xfId="14283" xr:uid="{2E27CB9C-65EF-432E-BC69-EC5871C28694}"/>
    <cellStyle name="Normal 10 2 2 2 2 5" xfId="6736" xr:uid="{18B0B3AE-F00C-44A4-A0BB-D96BC596D169}"/>
    <cellStyle name="Normal 10 2 2 2 2 5 2" xfId="17116" xr:uid="{43ED36AD-FE12-4253-9FDB-568A257CFF1C}"/>
    <cellStyle name="Normal 10 2 2 2 2 6" xfId="9569" xr:uid="{D6EF9651-6789-4D71-98F0-25F6733E9671}"/>
    <cellStyle name="Normal 10 2 2 2 2 6 2" xfId="19949" xr:uid="{215801CB-DDFC-4481-A3A3-2CEE6AD78369}"/>
    <cellStyle name="Normal 10 2 2 2 2 7" xfId="24124" xr:uid="{B5C766AC-D80E-4C99-BD59-6B9CA2AA78CC}"/>
    <cellStyle name="Normal 10 2 2 2 2 8" xfId="13125" xr:uid="{529951AB-5337-4B58-AF34-28E627BFA22D}"/>
    <cellStyle name="Normal 10 2 2 2 3" xfId="3124" xr:uid="{00000000-0005-0000-0000-00000E030000}"/>
    <cellStyle name="Normal 10 2 2 2 3 2" xfId="4439" xr:uid="{E2AA89EB-C97D-45BE-B966-48B716394DC9}"/>
    <cellStyle name="Normal 10 2 2 2 3 2 2" xfId="9211" xr:uid="{A3B3B5A1-450A-4876-9D75-2993D84F44F3}"/>
    <cellStyle name="Normal 10 2 2 2 3 2 2 2" xfId="19591" xr:uid="{618354FD-25C4-458F-BFA6-C1EDB634E19D}"/>
    <cellStyle name="Normal 10 2 2 2 3 2 3" xfId="12044" xr:uid="{D5657C4F-0073-4FED-BB23-E2D66386C214}"/>
    <cellStyle name="Normal 10 2 2 2 3 2 3 2" xfId="22424" xr:uid="{15DFA9D5-A74F-4957-834C-89B1892B51BE}"/>
    <cellStyle name="Normal 10 2 2 2 3 2 4" xfId="27378" xr:uid="{2C986A78-EA2D-4068-986C-4E50A0F9FB45}"/>
    <cellStyle name="Normal 10 2 2 2 3 2 5" xfId="16758" xr:uid="{5ED5E4E4-5416-4C27-92D6-B47855558055}"/>
    <cellStyle name="Normal 10 2 2 2 3 3" xfId="6182" xr:uid="{4E29BB3B-DC72-4DB0-B11F-BE88024F461F}"/>
    <cellStyle name="Normal 10 2 2 2 3 3 2" xfId="15751" xr:uid="{EB54DE73-99AA-4D15-B8EB-3C02BD029B8A}"/>
    <cellStyle name="Normal 10 2 2 2 3 4" xfId="8204" xr:uid="{024080C8-FA45-445F-A9C2-075CF8735947}"/>
    <cellStyle name="Normal 10 2 2 2 3 4 2" xfId="18584" xr:uid="{CFD5300B-1A3A-4915-A199-BFB4713B9D53}"/>
    <cellStyle name="Normal 10 2 2 2 3 5" xfId="11037" xr:uid="{15B46448-C47E-4D53-8BA5-BAB75DA022BA}"/>
    <cellStyle name="Normal 10 2 2 2 3 5 2" xfId="21417" xr:uid="{46A57970-6CE9-4A9D-99DC-DA644B6031D5}"/>
    <cellStyle name="Normal 10 2 2 2 3 6" xfId="25016" xr:uid="{6BD65E36-2C60-492E-BF6B-E21F3E861AC8}"/>
    <cellStyle name="Normal 10 2 2 2 3 7" xfId="13645" xr:uid="{FC53FECB-58BA-4718-8075-86664A1E6322}"/>
    <cellStyle name="Normal 10 2 2 2 4" xfId="3122" xr:uid="{00000000-0005-0000-0000-00000F030000}"/>
    <cellStyle name="Normal 10 2 2 2 4 2" xfId="6180" xr:uid="{D9AC5840-A868-42B7-9B07-5467B903D80D}"/>
    <cellStyle name="Normal 10 2 2 2 4 2 2" xfId="27787" xr:uid="{6564ECEB-9CA3-4A47-94F0-5EC4020FDC7A}"/>
    <cellStyle name="Normal 10 2 2 2 4 2 3" xfId="15749" xr:uid="{4D09A5EA-43A7-4061-94DA-4B6895A7D0CB}"/>
    <cellStyle name="Normal 10 2 2 2 4 3" xfId="8202" xr:uid="{D06D1FBF-1680-4C3E-9F8A-32347ED393AD}"/>
    <cellStyle name="Normal 10 2 2 2 4 3 2" xfId="18582" xr:uid="{86D4CCAD-D172-455E-81A3-1B1576D47BE7}"/>
    <cellStyle name="Normal 10 2 2 2 4 4" xfId="11035" xr:uid="{47AAC3C3-12E0-4688-8845-ED89CF201C9A}"/>
    <cellStyle name="Normal 10 2 2 2 4 4 2" xfId="21415" xr:uid="{599659D8-BCA0-4A15-BD36-14286147DB92}"/>
    <cellStyle name="Normal 10 2 2 2 4 5" xfId="25232" xr:uid="{1467B399-15F1-469F-89D4-8D378EDA1FA0}"/>
    <cellStyle name="Normal 10 2 2 2 4 6" xfId="13643" xr:uid="{BDB8401F-D8F7-4119-B70B-3F723D886614}"/>
    <cellStyle name="Normal 10 2 2 2 5" xfId="4250" xr:uid="{94DF746F-DA76-404E-A5D8-2B1EE8D78DA3}"/>
    <cellStyle name="Normal 10 2 2 2 5 2" xfId="9022" xr:uid="{51F0B0BE-85FE-4E4E-B024-52D05B01FDCD}"/>
    <cellStyle name="Normal 10 2 2 2 5 2 2" xfId="29093" xr:uid="{73998EA0-D064-4F29-A126-C4B7190220D2}"/>
    <cellStyle name="Normal 10 2 2 2 5 2 3" xfId="19402" xr:uid="{D71AF534-1369-4686-BCE9-85026FB57262}"/>
    <cellStyle name="Normal 10 2 2 2 5 3" xfId="11855" xr:uid="{FE6B161D-014D-401F-8215-1201007CF6F0}"/>
    <cellStyle name="Normal 10 2 2 2 5 3 2" xfId="22235" xr:uid="{69257FAD-A830-4407-BCFF-14E744BD8843}"/>
    <cellStyle name="Normal 10 2 2 2 5 4" xfId="24848" xr:uid="{BF300921-F94D-44A8-A812-EA36D6C647C1}"/>
    <cellStyle name="Normal 10 2 2 2 5 5" xfId="16569" xr:uid="{F2AE2A62-5EF8-4BFC-A25A-0A40AF8873BD}"/>
    <cellStyle name="Normal 10 2 2 2 6" xfId="4987" xr:uid="{6DEC9617-4757-4E64-BC38-968162AA2B65}"/>
    <cellStyle name="Normal 10 2 2 2 6 2" xfId="27152" xr:uid="{EA5B05D8-4061-4FF1-9F63-73DCD8376713}"/>
    <cellStyle name="Normal 10 2 2 2 6 3" xfId="14282" xr:uid="{E995415C-5015-4182-B255-64042699E0EA}"/>
    <cellStyle name="Normal 10 2 2 2 7" xfId="6735" xr:uid="{2237665E-E1E3-429A-B237-ABFA50A6625D}"/>
    <cellStyle name="Normal 10 2 2 2 7 2" xfId="17115" xr:uid="{814AB8BE-BD1F-4884-809F-2EB47B6090D0}"/>
    <cellStyle name="Normal 10 2 2 2 8" xfId="9568" xr:uid="{DB6FA345-7CDC-4D88-9112-5692E390DAA1}"/>
    <cellStyle name="Normal 10 2 2 2 8 2" xfId="19948" xr:uid="{9A481BF5-C7A2-4A10-BABA-A2E3BC565592}"/>
    <cellStyle name="Normal 10 2 2 2 9" xfId="23956" xr:uid="{BA52BDE3-7C7F-4D71-B637-52CBEA0DC3C0}"/>
    <cellStyle name="Normal 10 2 2 3" xfId="2706" xr:uid="{00000000-0005-0000-0000-000010030000}"/>
    <cellStyle name="Normal 10 2 2 3 2" xfId="3125" xr:uid="{00000000-0005-0000-0000-000011030000}"/>
    <cellStyle name="Normal 10 2 2 3 2 2" xfId="6183" xr:uid="{48C97DF0-1B66-4E10-823D-2ACA6DD41F45}"/>
    <cellStyle name="Normal 10 2 2 3 2 2 2" xfId="26484" xr:uid="{13AF5A21-8AB7-489C-8F85-C901E665D8C3}"/>
    <cellStyle name="Normal 10 2 2 3 2 2 3" xfId="15752" xr:uid="{4F3E3C81-A716-4B7A-B445-DA0536082110}"/>
    <cellStyle name="Normal 10 2 2 3 2 3" xfId="8205" xr:uid="{679CFA99-C008-41F0-B3C2-7EFA4FE36039}"/>
    <cellStyle name="Normal 10 2 2 3 2 3 2" xfId="18585" xr:uid="{97598FA3-C428-4140-AB50-8DCC1F0285F1}"/>
    <cellStyle name="Normal 10 2 2 3 2 4" xfId="11038" xr:uid="{30298B94-DD4A-4294-9F1A-80A691CD9A12}"/>
    <cellStyle name="Normal 10 2 2 3 2 4 2" xfId="21418" xr:uid="{D3554601-3873-4F72-B7E5-991D36B2D377}"/>
    <cellStyle name="Normal 10 2 2 3 2 5" xfId="25076" xr:uid="{DE176F45-4FA0-4E85-A104-C6FF0B1E6858}"/>
    <cellStyle name="Normal 10 2 2 3 2 6" xfId="13646" xr:uid="{16879DED-629F-4609-BF09-A8A776EE44C9}"/>
    <cellStyle name="Normal 10 2 2 3 3" xfId="4281" xr:uid="{1FAC44FA-4E51-4628-9445-2D7F98E054FF}"/>
    <cellStyle name="Normal 10 2 2 3 3 2" xfId="9053" xr:uid="{9D2B4F89-3C6D-45B9-8FC0-CFBC91013C54}"/>
    <cellStyle name="Normal 10 2 2 3 3 2 2" xfId="29096" xr:uid="{31B8CD6C-56D8-4712-AD9D-5A096EDB8514}"/>
    <cellStyle name="Normal 10 2 2 3 3 2 3" xfId="19433" xr:uid="{1DB8198A-E086-435C-92A5-D58553A06934}"/>
    <cellStyle name="Normal 10 2 2 3 3 3" xfId="11886" xr:uid="{1F979839-73B0-43B0-8E2C-F9D05D14CE39}"/>
    <cellStyle name="Normal 10 2 2 3 3 3 2" xfId="22266" xr:uid="{7189CD82-BC97-4C66-B6C8-20310049DF0B}"/>
    <cellStyle name="Normal 10 2 2 3 3 4" xfId="22911" xr:uid="{29581224-7E1A-4F3D-8D71-43A05C9C3CF3}"/>
    <cellStyle name="Normal 10 2 2 3 3 5" xfId="16600" xr:uid="{8C62D345-4F4D-478F-9D49-90B9453F88AE}"/>
    <cellStyle name="Normal 10 2 2 3 4" xfId="5924" xr:uid="{87D7F008-1DE4-4403-922B-D43A674A8AF2}"/>
    <cellStyle name="Normal 10 2 2 3 4 2" xfId="28201" xr:uid="{216470CD-747B-4C14-BE39-4CD59150A29E}"/>
    <cellStyle name="Normal 10 2 2 3 4 3" xfId="15377" xr:uid="{6ECE865A-6850-41C4-B5FB-9021FDD1F7F1}"/>
    <cellStyle name="Normal 10 2 2 3 5" xfId="7830" xr:uid="{B72C48AE-99C2-4CF0-8F6E-9DCCFB35ECE3}"/>
    <cellStyle name="Normal 10 2 2 3 5 2" xfId="18210" xr:uid="{78E51D10-62FB-47C7-8EEF-7DBD6583F8BC}"/>
    <cellStyle name="Normal 10 2 2 3 6" xfId="10663" xr:uid="{C9754DF2-04FB-4E00-96FF-A8F0C6CA43F7}"/>
    <cellStyle name="Normal 10 2 2 3 6 2" xfId="21043" xr:uid="{38B2FB28-ED29-4378-A066-79B7D0569704}"/>
    <cellStyle name="Normal 10 2 2 3 7" xfId="25119" xr:uid="{1FB94C85-7A95-4041-A50D-4E4803B1F68D}"/>
    <cellStyle name="Normal 10 2 2 3 8" xfId="13124" xr:uid="{810DCD6C-AD33-40D9-96A4-AEDFAE5EB9D5}"/>
    <cellStyle name="Normal 10 2 2 4" xfId="3126" xr:uid="{00000000-0005-0000-0000-000012030000}"/>
    <cellStyle name="Normal 10 2 2 4 2" xfId="4440" xr:uid="{6A906AE3-F548-4ECA-BD57-FC395690FEB4}"/>
    <cellStyle name="Normal 10 2 2 4 2 2" xfId="9212" xr:uid="{7E3EDC44-BAC1-489F-BB1B-4FE1DAA125F6}"/>
    <cellStyle name="Normal 10 2 2 4 2 2 2" xfId="19592" xr:uid="{EE763FE1-8B4F-4ED7-8C96-891A9D75D388}"/>
    <cellStyle name="Normal 10 2 2 4 2 3" xfId="12045" xr:uid="{67E1344F-0FB7-4417-A708-415AF897B88A}"/>
    <cellStyle name="Normal 10 2 2 4 2 3 2" xfId="22425" xr:uid="{14DC1667-F57E-4E9E-A7B5-C34D3228285B}"/>
    <cellStyle name="Normal 10 2 2 4 2 4" xfId="28311" xr:uid="{6BAEB0CE-AD41-4B42-A657-24E562108FAE}"/>
    <cellStyle name="Normal 10 2 2 4 2 5" xfId="16759" xr:uid="{4B9A97F8-D356-4D13-89D2-1EBC3BFF3B45}"/>
    <cellStyle name="Normal 10 2 2 4 3" xfId="6184" xr:uid="{19FFAA4F-CA95-48BE-8A08-FDBB7385607E}"/>
    <cellStyle name="Normal 10 2 2 4 3 2" xfId="15753" xr:uid="{36457E7F-C528-4151-997A-D93BE52C0390}"/>
    <cellStyle name="Normal 10 2 2 4 4" xfId="8206" xr:uid="{062830E6-052A-4E08-8036-A8A8E008D303}"/>
    <cellStyle name="Normal 10 2 2 4 4 2" xfId="18586" xr:uid="{274EC4F0-70C6-4FE1-9118-7B00898CED38}"/>
    <cellStyle name="Normal 10 2 2 4 5" xfId="11039" xr:uid="{2235F72D-D9D8-451D-A44F-6D478CBDF570}"/>
    <cellStyle name="Normal 10 2 2 4 5 2" xfId="21419" xr:uid="{3E96E501-BEDA-4F0D-9220-39A1146CF4C8}"/>
    <cellStyle name="Normal 10 2 2 4 6" xfId="25455" xr:uid="{A2FF38E6-342E-457A-A41E-F5A0C44280FB}"/>
    <cellStyle name="Normal 10 2 2 4 7" xfId="13647" xr:uid="{90C28F50-ECB7-4081-8BEE-F5EB3141D9C0}"/>
    <cellStyle name="Normal 10 2 2 5" xfId="3121" xr:uid="{00000000-0005-0000-0000-000013030000}"/>
    <cellStyle name="Normal 10 2 2 5 2" xfId="6179" xr:uid="{AAE91224-3FEA-4689-A1E2-BFE40525C04F}"/>
    <cellStyle name="Normal 10 2 2 5 2 2" xfId="26988" xr:uid="{65C35670-8E2B-47FB-B53E-DCCC7AAE461E}"/>
    <cellStyle name="Normal 10 2 2 5 2 3" xfId="15748" xr:uid="{9B8C1A40-5D77-4300-BF2C-8D0ECB82559B}"/>
    <cellStyle name="Normal 10 2 2 5 3" xfId="8201" xr:uid="{B2634CB7-F7A0-4518-BE1A-015DA6363A14}"/>
    <cellStyle name="Normal 10 2 2 5 3 2" xfId="18581" xr:uid="{7267FF51-299B-4E4E-80F9-90C0C9B72B63}"/>
    <cellStyle name="Normal 10 2 2 5 4" xfId="11034" xr:uid="{E3CDB59C-41AB-43F2-85A3-03249FD04521}"/>
    <cellStyle name="Normal 10 2 2 5 4 2" xfId="21414" xr:uid="{758D40D6-153A-4892-BC0F-E00FA5E16AB2}"/>
    <cellStyle name="Normal 10 2 2 5 5" xfId="24600" xr:uid="{BC000EEA-3EE4-42FF-A305-B87A508F8440}"/>
    <cellStyle name="Normal 10 2 2 5 6" xfId="13642" xr:uid="{428F0E52-915D-48E4-8517-0440EBB4D1A1}"/>
    <cellStyle name="Normal 10 2 2 6" xfId="2562" xr:uid="{00000000-0005-0000-0000-000014030000}"/>
    <cellStyle name="Normal 10 2 2 6 2" xfId="5832" xr:uid="{C2B45855-423A-47FB-9D6B-CB7368A13FAB}"/>
    <cellStyle name="Normal 10 2 2 6 2 2" xfId="27722" xr:uid="{B8E57B14-3087-4FD8-A70F-558C6E2EFEEF}"/>
    <cellStyle name="Normal 10 2 2 6 2 3" xfId="15234" xr:uid="{1BA6B575-E010-4591-AF3E-E793868702D3}"/>
    <cellStyle name="Normal 10 2 2 6 3" xfId="7687" xr:uid="{13D7AF40-FEAB-4878-BA8F-FA0C3D7D1285}"/>
    <cellStyle name="Normal 10 2 2 6 3 2" xfId="18067" xr:uid="{2C2250EA-CDE2-4AD7-B12C-9C5FF7FE71DA}"/>
    <cellStyle name="Normal 10 2 2 6 4" xfId="10520" xr:uid="{1E2817E8-F6C1-422A-AFF1-B08F6C4EC9EB}"/>
    <cellStyle name="Normal 10 2 2 6 4 2" xfId="20900" xr:uid="{649F1F4D-1B63-4577-AC77-F280D4AD418F}"/>
    <cellStyle name="Normal 10 2 2 6 5" xfId="23236" xr:uid="{A9A7B9A4-10FD-49F2-9A94-1BE00B532B9A}"/>
    <cellStyle name="Normal 10 2 2 6 6" xfId="12950" xr:uid="{8F8890C7-BEA1-4B46-92AD-CFB11FD11F2D}"/>
    <cellStyle name="Normal 10 2 2 7" xfId="2256" xr:uid="{00000000-0005-0000-0000-00000A030000}"/>
    <cellStyle name="Normal 10 2 2 7 2" xfId="7383" xr:uid="{BD878DF1-E595-4B3A-B030-1A4B86DE4C21}"/>
    <cellStyle name="Normal 10 2 2 7 2 2" xfId="17763" xr:uid="{96FB03A1-1F58-4F36-A6A6-BC99F5CC940D}"/>
    <cellStyle name="Normal 10 2 2 7 3" xfId="10216" xr:uid="{7BF5D359-D939-4B06-906E-7B39368A0073}"/>
    <cellStyle name="Normal 10 2 2 7 3 2" xfId="20596" xr:uid="{45D50ACB-C477-45EC-831A-F6720E857490}"/>
    <cellStyle name="Normal 10 2 2 7 4" xfId="25308" xr:uid="{B0BFD245-6F57-4792-B8AD-25314C9A3201}"/>
    <cellStyle name="Normal 10 2 2 7 5" xfId="14930" xr:uid="{9E1162FB-4068-4B26-9EE1-0DC7552744FA}"/>
    <cellStyle name="Normal 10 2 2 8" xfId="3806" xr:uid="{DE5EA038-3A02-4C47-8DE6-3A1441EDFAFA}"/>
    <cellStyle name="Normal 10 2 2 8 2" xfId="8642" xr:uid="{D2E15AB2-9668-4E5F-A639-514A11FF50D6}"/>
    <cellStyle name="Normal 10 2 2 8 2 2" xfId="19022" xr:uid="{3480B3A6-F662-4937-99DC-49EAFB9EA7A0}"/>
    <cellStyle name="Normal 10 2 2 8 3" xfId="11475" xr:uid="{A75F9D08-7B58-4EAA-A634-12F25C9A3922}"/>
    <cellStyle name="Normal 10 2 2 8 3 2" xfId="21855" xr:uid="{944B4970-0F84-4A3B-980A-849E2953B158}"/>
    <cellStyle name="Normal 10 2 2 8 4" xfId="16189" xr:uid="{BA2B70A8-69BA-4C67-B45B-50196AACCD26}"/>
    <cellStyle name="Normal 10 2 2 9" xfId="4986" xr:uid="{86C9F154-476B-4468-9FC4-5F160EBE9B49}"/>
    <cellStyle name="Normal 10 2 2 9 2" xfId="14281" xr:uid="{E3E2A61B-9D40-43EB-9D48-D96BFD3B58D0}"/>
    <cellStyle name="Normal 10 2 3" xfId="629" xr:uid="{00000000-0005-0000-0000-000021040000}"/>
    <cellStyle name="Normal 10 2 3 10" xfId="9570" xr:uid="{2C97D25C-BB1A-476C-B040-C7129D7C78F8}"/>
    <cellStyle name="Normal 10 2 3 10 2" xfId="19950" xr:uid="{C26B30B1-CA24-4063-9990-E82CA8D30A9E}"/>
    <cellStyle name="Normal 10 2 3 11" xfId="23694" xr:uid="{F46EF993-5487-4161-8132-6E4469E10AEF}"/>
    <cellStyle name="Normal 10 2 3 12" xfId="12536" xr:uid="{30ABFEF1-F302-48E8-80C8-FD85B566AB15}"/>
    <cellStyle name="Normal 10 2 3 2" xfId="2707" xr:uid="{00000000-0005-0000-0000-000016030000}"/>
    <cellStyle name="Normal 10 2 3 2 2" xfId="3128" xr:uid="{00000000-0005-0000-0000-000017030000}"/>
    <cellStyle name="Normal 10 2 3 2 2 2" xfId="6186" xr:uid="{F21BBDC9-8812-4296-AE4A-F43642B538F5}"/>
    <cellStyle name="Normal 10 2 3 2 2 2 2" xfId="26667" xr:uid="{D968F027-8C5A-4D5B-B2BC-79932E896B70}"/>
    <cellStyle name="Normal 10 2 3 2 2 2 3" xfId="15755" xr:uid="{2C3E5444-0944-4235-BBC7-58B631C232E9}"/>
    <cellStyle name="Normal 10 2 3 2 2 3" xfId="8208" xr:uid="{748CFDF7-39AA-4B48-846D-DFD53DCCDE46}"/>
    <cellStyle name="Normal 10 2 3 2 2 3 2" xfId="18588" xr:uid="{45C7548F-ABE9-4FD8-83DB-E4116F5BE0B7}"/>
    <cellStyle name="Normal 10 2 3 2 2 4" xfId="11041" xr:uid="{4B9FDFC5-57BF-47DF-8AEB-61C1EC11D3B0}"/>
    <cellStyle name="Normal 10 2 3 2 2 4 2" xfId="21421" xr:uid="{E77E9332-7AC6-44BC-80D8-AEA8D4B6FAC2}"/>
    <cellStyle name="Normal 10 2 3 2 2 5" xfId="23465" xr:uid="{DFBE45BE-79EF-49C6-BDC8-FF482BE25A0D}"/>
    <cellStyle name="Normal 10 2 3 2 2 6" xfId="13649" xr:uid="{50B21915-FBD1-44FF-955B-D305CBBC1A89}"/>
    <cellStyle name="Normal 10 2 3 2 3" xfId="4283" xr:uid="{2B94F73E-A71F-4B45-AB1A-F96E9B6FFBF5}"/>
    <cellStyle name="Normal 10 2 3 2 3 2" xfId="9055" xr:uid="{9FD5F957-C578-4F01-9FC1-69B359F5BAA4}"/>
    <cellStyle name="Normal 10 2 3 2 3 2 2" xfId="29098" xr:uid="{11FBA423-68F9-439E-B708-B9AF85FDFE2B}"/>
    <cellStyle name="Normal 10 2 3 2 3 2 3" xfId="19435" xr:uid="{4415A3C6-10BF-4B36-BC90-6F409E7AFDE1}"/>
    <cellStyle name="Normal 10 2 3 2 3 3" xfId="11888" xr:uid="{73E975D7-4723-457E-9759-1D54AC5E7481}"/>
    <cellStyle name="Normal 10 2 3 2 3 3 2" xfId="22268" xr:uid="{23334B30-CD1E-46BA-AA8F-928E8AA57B4B}"/>
    <cellStyle name="Normal 10 2 3 2 3 4" xfId="24451" xr:uid="{5EB69AA1-13EC-42BD-8FFE-6B2134503511}"/>
    <cellStyle name="Normal 10 2 3 2 3 5" xfId="16602" xr:uid="{A384552F-2090-445E-BAE5-6698F6D122C7}"/>
    <cellStyle name="Normal 10 2 3 2 4" xfId="5925" xr:uid="{CDA1F97D-60A1-407B-B633-AC0832D801F2}"/>
    <cellStyle name="Normal 10 2 3 2 4 2" xfId="28677" xr:uid="{A36775EF-6401-4226-A35F-5E9C74DF1AE6}"/>
    <cellStyle name="Normal 10 2 3 2 4 3" xfId="15378" xr:uid="{68E1D7BA-AD29-4DAD-950B-38FC6C839C0D}"/>
    <cellStyle name="Normal 10 2 3 2 5" xfId="7831" xr:uid="{85DC09AA-F078-4D23-AA13-CB516827E64E}"/>
    <cellStyle name="Normal 10 2 3 2 5 2" xfId="18211" xr:uid="{8981F427-A24D-4F3E-B774-84932F365DD4}"/>
    <cellStyle name="Normal 10 2 3 2 6" xfId="10664" xr:uid="{76110124-625D-47D4-AF91-BED10133DE30}"/>
    <cellStyle name="Normal 10 2 3 2 6 2" xfId="21044" xr:uid="{BE01F4B8-1875-492C-A5AD-83F27D3906D7}"/>
    <cellStyle name="Normal 10 2 3 2 7" xfId="24964" xr:uid="{A0FFC7DF-C238-474F-B0A2-5445E1885BE2}"/>
    <cellStyle name="Normal 10 2 3 2 8" xfId="13126" xr:uid="{50D78E67-3B19-4C22-AEF5-DF8C50160B8B}"/>
    <cellStyle name="Normal 10 2 3 3" xfId="3129" xr:uid="{00000000-0005-0000-0000-000018030000}"/>
    <cellStyle name="Normal 10 2 3 3 2" xfId="4441" xr:uid="{395FBBAC-4EB4-44DD-8BC8-3E17ADF9C3C0}"/>
    <cellStyle name="Normal 10 2 3 3 2 2" xfId="9213" xr:uid="{4044E785-F68D-497F-9D5B-50D7712F8C51}"/>
    <cellStyle name="Normal 10 2 3 3 2 2 2" xfId="29206" xr:uid="{F50990A4-77BD-4A19-9863-0010F3A43A57}"/>
    <cellStyle name="Normal 10 2 3 3 2 2 3" xfId="19593" xr:uid="{00874A4E-4DC7-4779-B725-0D034CD349DA}"/>
    <cellStyle name="Normal 10 2 3 3 2 3" xfId="12046" xr:uid="{651E0D9F-48E2-4C7E-B5CF-4E86AAEBDD58}"/>
    <cellStyle name="Normal 10 2 3 3 2 3 2" xfId="22426" xr:uid="{48A2501C-7E6B-4B28-BE41-C2D0983E25E3}"/>
    <cellStyle name="Normal 10 2 3 3 2 4" xfId="25827" xr:uid="{577FDCE4-8711-41C9-988F-AA44708C4806}"/>
    <cellStyle name="Normal 10 2 3 3 2 5" xfId="16760" xr:uid="{F5EB9542-0769-4B8A-91A4-7565AA0988C4}"/>
    <cellStyle name="Normal 10 2 3 3 3" xfId="6187" xr:uid="{ADCA5275-39F2-482D-8C01-D8EBC900C88A}"/>
    <cellStyle name="Normal 10 2 3 3 3 2" xfId="26224" xr:uid="{20EDA385-3F6C-463F-B9BB-E0DE71B26C1E}"/>
    <cellStyle name="Normal 10 2 3 3 3 3" xfId="15756" xr:uid="{EFE888DE-88DF-48D1-8F6B-2E83EDEA6128}"/>
    <cellStyle name="Normal 10 2 3 3 4" xfId="8209" xr:uid="{F0E2F6A5-BD42-4693-8AD0-A0C2526BA6B5}"/>
    <cellStyle name="Normal 10 2 3 3 4 2" xfId="18589" xr:uid="{D9C95B31-CCAA-4855-A2DF-2B2A41476B74}"/>
    <cellStyle name="Normal 10 2 3 3 5" xfId="11042" xr:uid="{12E48EE7-DB63-4777-854C-58E263EEB5CB}"/>
    <cellStyle name="Normal 10 2 3 3 5 2" xfId="21422" xr:uid="{9BE837BB-437F-4A9C-8324-8CA1E2D2D28C}"/>
    <cellStyle name="Normal 10 2 3 3 6" xfId="23788" xr:uid="{40569D23-61AB-45F8-AA45-BF39002CE525}"/>
    <cellStyle name="Normal 10 2 3 3 7" xfId="13650" xr:uid="{559FA790-3884-4188-B322-850E090BEBA9}"/>
    <cellStyle name="Normal 10 2 3 4" xfId="3127" xr:uid="{00000000-0005-0000-0000-000019030000}"/>
    <cellStyle name="Normal 10 2 3 4 2" xfId="6185" xr:uid="{6F80E080-F8C7-483A-84F6-435A6A402000}"/>
    <cellStyle name="Normal 10 2 3 4 2 2" xfId="28015" xr:uid="{CFCDEAE0-D338-4091-AC15-668D3B295B8B}"/>
    <cellStyle name="Normal 10 2 3 4 2 3" xfId="15754" xr:uid="{960A2809-F7FF-48CB-B2EB-DB8E348B18EC}"/>
    <cellStyle name="Normal 10 2 3 4 3" xfId="8207" xr:uid="{302DF909-5642-4A8D-88D7-5BFCE03896E9}"/>
    <cellStyle name="Normal 10 2 3 4 3 2" xfId="18587" xr:uid="{AB93101C-88F5-4130-A19E-5E38DF614E7E}"/>
    <cellStyle name="Normal 10 2 3 4 4" xfId="11040" xr:uid="{0B293727-8820-41D2-A0EB-ED5FCBF3C6B4}"/>
    <cellStyle name="Normal 10 2 3 4 4 2" xfId="21420" xr:uid="{98F15AD6-31E3-4DB6-85DB-7BFEF91DDA77}"/>
    <cellStyle name="Normal 10 2 3 4 5" xfId="23742" xr:uid="{4DEFB253-2EDE-47A7-8D1D-E3D674008FF9}"/>
    <cellStyle name="Normal 10 2 3 4 6" xfId="13648" xr:uid="{AFDB53F8-9F26-4C3F-BA97-172B32C285DF}"/>
    <cellStyle name="Normal 10 2 3 5" xfId="2605" xr:uid="{00000000-0005-0000-0000-00001A030000}"/>
    <cellStyle name="Normal 10 2 3 5 2" xfId="5870" xr:uid="{1F649C14-9E5E-422A-970C-FA8E95C730BA}"/>
    <cellStyle name="Normal 10 2 3 5 2 2" xfId="28060" xr:uid="{9C373D47-6388-4819-BB1F-656D0917F65C}"/>
    <cellStyle name="Normal 10 2 3 5 2 3" xfId="15277" xr:uid="{891E1580-5625-4160-8DB8-13978498474D}"/>
    <cellStyle name="Normal 10 2 3 5 3" xfId="7730" xr:uid="{A4A6A792-4386-4B80-9437-B711498C0164}"/>
    <cellStyle name="Normal 10 2 3 5 3 2" xfId="18110" xr:uid="{FCDC4A15-63D9-48D4-B37F-F0FF50324AE8}"/>
    <cellStyle name="Normal 10 2 3 5 4" xfId="10563" xr:uid="{DC0E6A81-5298-47EC-95E1-D37895DB0800}"/>
    <cellStyle name="Normal 10 2 3 5 4 2" xfId="20943" xr:uid="{C5FF6D72-279D-449B-A4B1-66785E62441F}"/>
    <cellStyle name="Normal 10 2 3 5 5" xfId="23814" xr:uid="{3974C175-0484-428C-819E-385B5B192098}"/>
    <cellStyle name="Normal 10 2 3 5 6" xfId="12993" xr:uid="{B567E562-90E7-4D8E-AAA7-875E9F4F5717}"/>
    <cellStyle name="Normal 10 2 3 6" xfId="2304" xr:uid="{00000000-0005-0000-0000-000015030000}"/>
    <cellStyle name="Normal 10 2 3 6 2" xfId="7431" xr:uid="{F65338EF-E7C1-4C21-ADD6-C3AE8BACAA87}"/>
    <cellStyle name="Normal 10 2 3 6 2 2" xfId="17811" xr:uid="{FAAE8B82-D8D7-4E2D-9117-A7D262707BC4}"/>
    <cellStyle name="Normal 10 2 3 6 3" xfId="10264" xr:uid="{92434D7F-4325-4704-BC8A-75EEF454854D}"/>
    <cellStyle name="Normal 10 2 3 6 3 2" xfId="20644" xr:uid="{6F76CD2A-A882-4BE1-9036-58E856D0DF41}"/>
    <cellStyle name="Normal 10 2 3 6 4" xfId="24568" xr:uid="{F399ECA1-22BC-4C28-BAC2-CEF11C98ECB3}"/>
    <cellStyle name="Normal 10 2 3 6 5" xfId="14978" xr:uid="{830DE2F1-D4F3-45C3-9DBE-14ADA1AAA0A6}"/>
    <cellStyle name="Normal 10 2 3 7" xfId="3835" xr:uid="{8B8290D7-AE8C-4937-9A4F-00917BF737BC}"/>
    <cellStyle name="Normal 10 2 3 7 2" xfId="8668" xr:uid="{EA0FCEC4-836D-4690-A6E7-8DC48BC34E27}"/>
    <cellStyle name="Normal 10 2 3 7 2 2" xfId="19048" xr:uid="{EF39DD86-7CBF-44F7-A0CA-DADF53320C47}"/>
    <cellStyle name="Normal 10 2 3 7 3" xfId="11501" xr:uid="{E7C24303-4015-422A-8765-8C895ECC8561}"/>
    <cellStyle name="Normal 10 2 3 7 3 2" xfId="21881" xr:uid="{9D168038-5E4A-4E92-B20D-4299A65F34C0}"/>
    <cellStyle name="Normal 10 2 3 7 4" xfId="16215" xr:uid="{88B26A2A-744C-4C28-A600-D8665AC5EC8A}"/>
    <cellStyle name="Normal 10 2 3 8" xfId="4989" xr:uid="{ED7C97D3-0FB5-4457-A673-C604FF5B7447}"/>
    <cellStyle name="Normal 10 2 3 8 2" xfId="14284" xr:uid="{91F9CF94-E671-4888-B146-8AAE97D323D1}"/>
    <cellStyle name="Normal 10 2 3 9" xfId="6737" xr:uid="{49615C31-75D1-4474-9BA1-F20597FA187A}"/>
    <cellStyle name="Normal 10 2 3 9 2" xfId="17117" xr:uid="{12A1D631-F493-4267-A179-AE8F3EBBF983}"/>
    <cellStyle name="Normal 10 2 4" xfId="630" xr:uid="{00000000-0005-0000-0000-000022040000}"/>
    <cellStyle name="Normal 10 2 4 2" xfId="3130" xr:uid="{00000000-0005-0000-0000-00001C030000}"/>
    <cellStyle name="Normal 10 2 4 2 2" xfId="6188" xr:uid="{CD81C353-7344-4C59-8828-166DB4D348FE}"/>
    <cellStyle name="Normal 10 2 4 2 2 2" xfId="28346" xr:uid="{761D17AF-64FC-417E-82CE-5B8063632213}"/>
    <cellStyle name="Normal 10 2 4 2 2 3" xfId="15757" xr:uid="{3302B5E1-2623-4BDC-99AF-F55B35D19A11}"/>
    <cellStyle name="Normal 10 2 4 2 3" xfId="8210" xr:uid="{15B50D38-A3A0-4A3A-B597-1BDBAC43A9B1}"/>
    <cellStyle name="Normal 10 2 4 2 3 2" xfId="18590" xr:uid="{9CB06398-FD5C-46CA-819B-B9D9A4A38E1D}"/>
    <cellStyle name="Normal 10 2 4 2 4" xfId="11043" xr:uid="{18D219A1-E916-4473-A30E-0EE6E957F7FC}"/>
    <cellStyle name="Normal 10 2 4 2 4 2" xfId="21423" xr:uid="{F6950B87-B095-4A92-9CDB-E62C0DF212BF}"/>
    <cellStyle name="Normal 10 2 4 2 5" xfId="24517" xr:uid="{FA73F80A-DCD5-4B61-8B84-C4D4B7693C92}"/>
    <cellStyle name="Normal 10 2 4 2 6" xfId="13651" xr:uid="{F767D00E-752E-4CFE-92E0-30323D098EBD}"/>
    <cellStyle name="Normal 10 2 4 3" xfId="2705" xr:uid="{00000000-0005-0000-0000-00001D030000}"/>
    <cellStyle name="Normal 10 2 4 3 2" xfId="5923" xr:uid="{0CCC0FB0-A059-4BCB-8DA1-770EA4429DFA}"/>
    <cellStyle name="Normal 10 2 4 3 2 2" xfId="26616" xr:uid="{802FFC82-4CAD-45AB-877A-9FA01D5FD3BF}"/>
    <cellStyle name="Normal 10 2 4 3 2 3" xfId="15376" xr:uid="{E2F920D3-F6FB-4E7E-9047-6D662B6AB81B}"/>
    <cellStyle name="Normal 10 2 4 3 3" xfId="7829" xr:uid="{74B90E5E-ED06-4B53-9B1F-8F05E7797B5F}"/>
    <cellStyle name="Normal 10 2 4 3 3 2" xfId="18209" xr:uid="{349E2243-017D-4FE5-BD7D-A90B7A3AB615}"/>
    <cellStyle name="Normal 10 2 4 3 4" xfId="10662" xr:uid="{C824EB2A-2B0A-4B36-A699-DDBAA50CF09F}"/>
    <cellStyle name="Normal 10 2 4 3 4 2" xfId="21042" xr:uid="{405BC94C-5055-4760-A913-4B930CAB0E7E}"/>
    <cellStyle name="Normal 10 2 4 3 5" xfId="24198" xr:uid="{73BF47DB-4558-46E0-9682-515D48F68056}"/>
    <cellStyle name="Normal 10 2 4 3 6" xfId="13123" xr:uid="{0F44A364-78A2-4162-90F3-50FE8FA80242}"/>
    <cellStyle name="Normal 10 2 4 4" xfId="4146" xr:uid="{F5B8E602-5C20-4A6E-97E5-C382727F07E8}"/>
    <cellStyle name="Normal 10 2 4 4 2" xfId="8918" xr:uid="{964DB0DE-F5F5-4ABA-BCC8-41DD10D7565A}"/>
    <cellStyle name="Normal 10 2 4 4 2 2" xfId="19298" xr:uid="{C47C3A9A-B917-4B8F-902B-F0A583A5B4EA}"/>
    <cellStyle name="Normal 10 2 4 4 3" xfId="11751" xr:uid="{7ED79008-29F0-476F-8C01-46DE75F05338}"/>
    <cellStyle name="Normal 10 2 4 4 3 2" xfId="22131" xr:uid="{BC7CF7BB-416D-4990-9C30-F72688ECBA70}"/>
    <cellStyle name="Normal 10 2 4 4 4" xfId="22946" xr:uid="{A370B6D4-A1E7-4B01-949F-2BE08000CCBB}"/>
    <cellStyle name="Normal 10 2 4 4 5" xfId="16465" xr:uid="{71362419-E58F-4356-B691-ED3DEF516EA1}"/>
    <cellStyle name="Normal 10 2 4 5" xfId="4990" xr:uid="{3620BA03-891B-4B6C-B831-2F7A09D9D59D}"/>
    <cellStyle name="Normal 10 2 4 5 2" xfId="14285" xr:uid="{13F992D6-3CE3-4B6A-882E-DC9C16A5E430}"/>
    <cellStyle name="Normal 10 2 4 6" xfId="6738" xr:uid="{11EE109C-25B0-4477-B953-6C38A2D79450}"/>
    <cellStyle name="Normal 10 2 4 6 2" xfId="17118" xr:uid="{1ABB1FCB-A73C-47FD-A1F2-908B22603DF6}"/>
    <cellStyle name="Normal 10 2 4 7" xfId="9571" xr:uid="{035FBA25-20E3-48E3-A528-D611C212017A}"/>
    <cellStyle name="Normal 10 2 4 7 2" xfId="19951" xr:uid="{F1863EE5-2F73-4F0D-865C-DE77E05A4C14}"/>
    <cellStyle name="Normal 10 2 4 8" xfId="25200" xr:uid="{FA6DC77F-6C8F-4F7B-A62E-33AABEEFCA03}"/>
    <cellStyle name="Normal 10 2 4 9" xfId="12694" xr:uid="{ECC619C5-78D3-4209-B844-DE894BEC0E7E}"/>
    <cellStyle name="Normal 10 2 5" xfId="3131" xr:uid="{00000000-0005-0000-0000-00001E030000}"/>
    <cellStyle name="Normal 10 2 5 2" xfId="4442" xr:uid="{9E338F2E-BE96-4E83-90F2-E16A4690B5A9}"/>
    <cellStyle name="Normal 10 2 5 2 2" xfId="9214" xr:uid="{BA65854E-AF92-4803-80F5-7C22DCC8293B}"/>
    <cellStyle name="Normal 10 2 5 2 2 2" xfId="29207" xr:uid="{6314A263-83F1-4B28-ABCE-765CABFD8127}"/>
    <cellStyle name="Normal 10 2 5 2 2 3" xfId="19594" xr:uid="{370D15FE-C276-4A45-83E6-DF6F800B0860}"/>
    <cellStyle name="Normal 10 2 5 2 3" xfId="12047" xr:uid="{496D436E-B032-4A07-B26D-488CDFFEC77E}"/>
    <cellStyle name="Normal 10 2 5 2 3 2" xfId="22427" xr:uid="{766BF66E-6196-4E68-9B7C-FF0C469F7940}"/>
    <cellStyle name="Normal 10 2 5 2 4" xfId="25622" xr:uid="{157B87D2-C5CA-4D5E-B2DA-1D3FC9672306}"/>
    <cellStyle name="Normal 10 2 5 2 5" xfId="16761" xr:uid="{7082362A-ECD0-4F4B-848B-5CCF414252C3}"/>
    <cellStyle name="Normal 10 2 5 3" xfId="6189" xr:uid="{BD1BFEE4-9F62-4A48-BD95-D53BC4D82615}"/>
    <cellStyle name="Normal 10 2 5 3 2" xfId="28203" xr:uid="{3A30FCB9-803E-4EC5-9919-163306731BC1}"/>
    <cellStyle name="Normal 10 2 5 3 3" xfId="15758" xr:uid="{3F571267-5D40-4D73-81AC-EC846B65A91F}"/>
    <cellStyle name="Normal 10 2 5 4" xfId="8211" xr:uid="{DD3F144C-0B72-4220-AF0F-6C8AF931DF96}"/>
    <cellStyle name="Normal 10 2 5 4 2" xfId="18591" xr:uid="{D44E319F-2FC8-4885-8CA0-4D3D7071A191}"/>
    <cellStyle name="Normal 10 2 5 5" xfId="11044" xr:uid="{4C93613D-EEC5-4473-A995-AFA6F2F8F050}"/>
    <cellStyle name="Normal 10 2 5 5 2" xfId="21424" xr:uid="{63931744-0C21-4ECC-BD7A-9138DB1EEDD1}"/>
    <cellStyle name="Normal 10 2 5 6" xfId="24523" xr:uid="{9F740B7E-7987-49C4-82C9-35191C4BEAEE}"/>
    <cellStyle name="Normal 10 2 5 7" xfId="13652" xr:uid="{5417E4E0-F7F8-4917-9C5E-6C988C3578DF}"/>
    <cellStyle name="Normal 10 2 6" xfId="2890" xr:uid="{00000000-0005-0000-0000-00001F030000}"/>
    <cellStyle name="Normal 10 2 6 2" xfId="6076" xr:uid="{B8B7211B-FFDA-4B81-A375-DD45B1DD517E}"/>
    <cellStyle name="Normal 10 2 6 2 2" xfId="27184" xr:uid="{76D46EE7-A365-41C6-8123-6B42149712D0}"/>
    <cellStyle name="Normal 10 2 6 2 3" xfId="15554" xr:uid="{0796DDD0-7B21-41F0-BCC5-C48576AB08EE}"/>
    <cellStyle name="Normal 10 2 6 3" xfId="8007" xr:uid="{0CA1C121-A45E-4913-9CCA-CBBAA3AE18EB}"/>
    <cellStyle name="Normal 10 2 6 3 2" xfId="18387" xr:uid="{93B5654E-534E-47BD-BD90-C53F0B89EC8A}"/>
    <cellStyle name="Normal 10 2 6 4" xfId="10840" xr:uid="{E7171419-1314-4CBA-B06A-C3721FCD9CA9}"/>
    <cellStyle name="Normal 10 2 6 4 2" xfId="21220" xr:uid="{C8AF0209-EC6E-43EB-9357-A1E5EC0623EF}"/>
    <cellStyle name="Normal 10 2 6 5" xfId="24836" xr:uid="{2AA68A3A-DCAE-496A-82A2-4D3838D9ABF1}"/>
    <cellStyle name="Normal 10 2 6 6" xfId="13392" xr:uid="{14C536AA-DB87-428A-B8DD-54EAB2B90CD1}"/>
    <cellStyle name="Normal 10 2 7" xfId="2502" xr:uid="{00000000-0005-0000-0000-000020030000}"/>
    <cellStyle name="Normal 10 2 7 2" xfId="5783" xr:uid="{D0B4CEE4-5864-4622-B725-5D5D21567676}"/>
    <cellStyle name="Normal 10 2 7 2 2" xfId="27113" xr:uid="{978E091B-8C60-428F-8E28-08D94C396028}"/>
    <cellStyle name="Normal 10 2 7 2 3" xfId="15174" xr:uid="{CE2A363D-DDDE-4623-A501-AAAF537750CD}"/>
    <cellStyle name="Normal 10 2 7 3" xfId="7627" xr:uid="{7A984B8F-FF27-492E-BA0E-F5C3E75B7C54}"/>
    <cellStyle name="Normal 10 2 7 3 2" xfId="18007" xr:uid="{45DE27C2-5F10-4CA5-BF51-54192B24021B}"/>
    <cellStyle name="Normal 10 2 7 4" xfId="10460" xr:uid="{5B46C42E-A9F8-44A4-B466-83BEF0D6B08F}"/>
    <cellStyle name="Normal 10 2 7 4 2" xfId="20840" xr:uid="{A911A6C3-C177-4436-98E2-79D9650DA797}"/>
    <cellStyle name="Normal 10 2 7 5" xfId="22949" xr:uid="{EF1259EB-84F5-4CD6-8766-0001F2586003}"/>
    <cellStyle name="Normal 10 2 7 6" xfId="12890" xr:uid="{62449018-77E9-4C59-A406-BD186A7876FD}"/>
    <cellStyle name="Normal 10 2 8" xfId="2196" xr:uid="{00000000-0005-0000-0000-000009030000}"/>
    <cellStyle name="Normal 10 2 8 2" xfId="7323" xr:uid="{CD3D437D-65A4-45F7-BD24-8B506936D243}"/>
    <cellStyle name="Normal 10 2 8 2 2" xfId="17703" xr:uid="{459D8D6A-E723-445E-8E7D-E58CC4E9DB9E}"/>
    <cellStyle name="Normal 10 2 8 3" xfId="10156" xr:uid="{A4E6239E-293D-43CF-BAE1-920FC2436C0D}"/>
    <cellStyle name="Normal 10 2 8 3 2" xfId="20536" xr:uid="{58CF501C-C41C-4CE0-9DC0-D9DF3C98CCAA}"/>
    <cellStyle name="Normal 10 2 8 4" xfId="23947" xr:uid="{B16A613C-DC7C-4BAB-9CE5-D2D4386F503D}"/>
    <cellStyle name="Normal 10 2 8 5" xfId="14870" xr:uid="{D2AC8B86-F8E4-403F-B63E-A61C29DDF6FC}"/>
    <cellStyle name="Normal 10 2 9" xfId="3905" xr:uid="{8D267ABA-D2E7-4AB9-85B6-698D2920A9CF}"/>
    <cellStyle name="Normal 10 2 9 2" xfId="8737" xr:uid="{AF649095-E975-4879-A024-D9E79D05AA14}"/>
    <cellStyle name="Normal 10 2 9 2 2" xfId="19117" xr:uid="{3191403E-2306-45DA-906D-6C9E51CA3AEA}"/>
    <cellStyle name="Normal 10 2 9 3" xfId="11570" xr:uid="{D853CF8D-5370-4F11-A2CD-EB1C71549CBB}"/>
    <cellStyle name="Normal 10 2 9 3 2" xfId="21950" xr:uid="{967439E1-E452-43A8-80DA-4BBE4EACCEE0}"/>
    <cellStyle name="Normal 10 2 9 4" xfId="16284" xr:uid="{D850474B-04FD-41D5-9E02-5BDAD9D1B3B8}"/>
    <cellStyle name="Normal 10 3" xfId="631" xr:uid="{00000000-0005-0000-0000-000023040000}"/>
    <cellStyle name="Normal 10 3 10" xfId="4991" xr:uid="{B971CAB3-4E5E-42A8-8E41-7E9B5496E5A2}"/>
    <cellStyle name="Normal 10 3 10 2" xfId="14286" xr:uid="{1D1E5673-3166-446E-874B-A45C646CA6F2}"/>
    <cellStyle name="Normal 10 3 11" xfId="6739" xr:uid="{2ED9A2C1-5D97-491C-ACA5-960CC9F31B2C}"/>
    <cellStyle name="Normal 10 3 11 2" xfId="17119" xr:uid="{0911746F-79BE-42B5-8D11-8F7DD6FFFB9D}"/>
    <cellStyle name="Normal 10 3 12" xfId="9572" xr:uid="{255DC69B-92E1-4FEB-9EFA-4F0D81443FB9}"/>
    <cellStyle name="Normal 10 3 12 2" xfId="19952" xr:uid="{7DB05A14-DDDF-42E0-BCD6-AF6AB9D9B9C4}"/>
    <cellStyle name="Normal 10 3 13" xfId="23887" xr:uid="{6272B891-EDDC-4148-A2A1-936240A89EBA}"/>
    <cellStyle name="Normal 10 3 14" xfId="12465" xr:uid="{359FC0B9-F250-4559-B02E-40DB23ABD1A8}"/>
    <cellStyle name="Normal 10 3 2" xfId="632" xr:uid="{00000000-0005-0000-0000-000024040000}"/>
    <cellStyle name="Normal 10 3 2 10" xfId="9573" xr:uid="{51C02921-58A3-463A-B4FC-F82EDF76A44E}"/>
    <cellStyle name="Normal 10 3 2 10 2" xfId="19953" xr:uid="{928C13C0-E605-4FA9-8E38-6C8897FF5498}"/>
    <cellStyle name="Normal 10 3 2 11" xfId="23013" xr:uid="{1AEADB29-65B1-4D02-9750-E5CD446409E6}"/>
    <cellStyle name="Normal 10 3 2 12" xfId="12537" xr:uid="{E0A41ED9-2C13-409B-93F2-56564369BD81}"/>
    <cellStyle name="Normal 10 3 2 2" xfId="633" xr:uid="{00000000-0005-0000-0000-000025040000}"/>
    <cellStyle name="Normal 10 3 2 2 2" xfId="3133" xr:uid="{00000000-0005-0000-0000-000024030000}"/>
    <cellStyle name="Normal 10 3 2 2 2 2" xfId="6191" xr:uid="{818E3871-8BBD-49A5-8F2F-3AA2809212CC}"/>
    <cellStyle name="Normal 10 3 2 2 2 2 2" xfId="26169" xr:uid="{EA40498E-9AB9-4A85-918E-BFACEC00A1BF}"/>
    <cellStyle name="Normal 10 3 2 2 2 2 3" xfId="25886" xr:uid="{53D87904-1416-4640-96E8-2900CC5A05C6}"/>
    <cellStyle name="Normal 10 3 2 2 2 2 4" xfId="15760" xr:uid="{528ECC10-08C3-4C6E-BA5F-675B8F05A6D1}"/>
    <cellStyle name="Normal 10 3 2 2 2 3" xfId="8213" xr:uid="{C721729A-2337-4936-B79F-891C05B4A559}"/>
    <cellStyle name="Normal 10 3 2 2 2 3 2" xfId="28866" xr:uid="{B96E90F2-99D0-4B90-805E-5BE51C97634A}"/>
    <cellStyle name="Normal 10 3 2 2 2 3 3" xfId="18593" xr:uid="{87839693-9F0F-49A5-850D-92BA297E6CB6}"/>
    <cellStyle name="Normal 10 3 2 2 2 4" xfId="11046" xr:uid="{BF195E82-5187-4D41-BD8C-60ED6733DFB5}"/>
    <cellStyle name="Normal 10 3 2 2 2 4 2" xfId="21426" xr:uid="{040CE62B-8DD3-48FD-885B-700066E6B86B}"/>
    <cellStyle name="Normal 10 3 2 2 2 5" xfId="22878" xr:uid="{BBA932E6-1E09-4080-98F2-0F79EA82D601}"/>
    <cellStyle name="Normal 10 3 2 2 2 6" xfId="13654" xr:uid="{5DADBDA1-26F8-4BD9-873A-036A9D4F8118}"/>
    <cellStyle name="Normal 10 3 2 2 3" xfId="4285" xr:uid="{A53AD929-881D-4AA3-8224-140DAE4C1638}"/>
    <cellStyle name="Normal 10 3 2 2 3 2" xfId="9057" xr:uid="{8C75F184-FFC8-4F9E-AACF-5A5E3057638C}"/>
    <cellStyle name="Normal 10 3 2 2 3 2 2" xfId="29100" xr:uid="{3FA52B86-173F-47DB-A46D-08887A85E943}"/>
    <cellStyle name="Normal 10 3 2 2 3 2 3" xfId="19437" xr:uid="{CF9251E8-D165-4028-9B55-9DFABB159669}"/>
    <cellStyle name="Normal 10 3 2 2 3 3" xfId="11890" xr:uid="{7B657372-A9AB-4CC8-A4F1-DA61F6B8BD3E}"/>
    <cellStyle name="Normal 10 3 2 2 3 3 2" xfId="22270" xr:uid="{7A27E98F-A5A0-4A1D-9085-C99D62911EC4}"/>
    <cellStyle name="Normal 10 3 2 2 3 4" xfId="24765" xr:uid="{B0263DA0-4320-4DB7-B5C5-010F7FD3EAA0}"/>
    <cellStyle name="Normal 10 3 2 2 3 5" xfId="16604" xr:uid="{DCC0A920-4C3C-4AB7-BF06-0525ABDD4CEB}"/>
    <cellStyle name="Normal 10 3 2 2 4" xfId="4993" xr:uid="{8FBD8140-B9BC-491C-8D7F-C7C1AAC31563}"/>
    <cellStyle name="Normal 10 3 2 2 4 2" xfId="26246" xr:uid="{5A9FC39D-CFFE-4712-BA37-6A6B52AF9965}"/>
    <cellStyle name="Normal 10 3 2 2 4 3" xfId="14288" xr:uid="{07170A62-D7A3-4CF8-AF7A-00C71D5117E1}"/>
    <cellStyle name="Normal 10 3 2 2 5" xfId="6741" xr:uid="{F488103A-1068-48DE-89EF-889B889BB68C}"/>
    <cellStyle name="Normal 10 3 2 2 5 2" xfId="17121" xr:uid="{723E325F-12B8-4F4B-BDC3-0F57FCB0A260}"/>
    <cellStyle name="Normal 10 3 2 2 6" xfId="9574" xr:uid="{6ED5D63F-9B82-414B-88E6-E4DB8CB3E9EB}"/>
    <cellStyle name="Normal 10 3 2 2 6 2" xfId="19954" xr:uid="{8BE44BC7-DC90-4F84-B987-DC25E2CE5C9D}"/>
    <cellStyle name="Normal 10 3 2 2 7" xfId="25181" xr:uid="{2F7CE6EA-3726-424C-8D77-756D4623EE51}"/>
    <cellStyle name="Normal 10 3 2 2 8" xfId="13128" xr:uid="{B9446284-ECCF-4080-BA5F-5D5B591A76AD}"/>
    <cellStyle name="Normal 10 3 2 3" xfId="3134" xr:uid="{00000000-0005-0000-0000-000025030000}"/>
    <cellStyle name="Normal 10 3 2 3 2" xfId="4443" xr:uid="{AB4DC996-997D-43F3-A978-07BE861BA132}"/>
    <cellStyle name="Normal 10 3 2 3 2 2" xfId="9215" xr:uid="{A96D1B7B-5F8C-4D05-9DC8-DE3645EF2A3D}"/>
    <cellStyle name="Normal 10 3 2 3 2 2 2" xfId="29208" xr:uid="{843C4DA1-F182-487D-80F5-0E6BE11C9AF5}"/>
    <cellStyle name="Normal 10 3 2 3 2 2 3" xfId="19595" xr:uid="{2E2CD963-89F6-41AE-88AD-9526C805221B}"/>
    <cellStyle name="Normal 10 3 2 3 2 3" xfId="12048" xr:uid="{3E76F8F7-3EC2-480D-BE7A-4019B720399F}"/>
    <cellStyle name="Normal 10 3 2 3 2 3 2" xfId="22428" xr:uid="{C1D9A5B9-0886-4A15-B4AC-905F0C43B983}"/>
    <cellStyle name="Normal 10 3 2 3 2 4" xfId="24900" xr:uid="{EF39CD07-3306-40C4-AC6B-FFC0565E7D10}"/>
    <cellStyle name="Normal 10 3 2 3 2 5" xfId="16762" xr:uid="{78EC5100-9684-4998-9F40-39204151AC55}"/>
    <cellStyle name="Normal 10 3 2 3 3" xfId="6192" xr:uid="{4FA7B985-F3FD-4BB1-BE6E-726FBE11C1C7}"/>
    <cellStyle name="Normal 10 3 2 3 3 2" xfId="28119" xr:uid="{CEA23EA0-2236-4A39-8BAD-FB0EC0DB315A}"/>
    <cellStyle name="Normal 10 3 2 3 3 3" xfId="15761" xr:uid="{9144E66A-91B6-4E51-ACAA-56ACDAF6CBAE}"/>
    <cellStyle name="Normal 10 3 2 3 4" xfId="8214" xr:uid="{0277978F-4825-43B0-B34A-710A6A851632}"/>
    <cellStyle name="Normal 10 3 2 3 4 2" xfId="18594" xr:uid="{72752379-22DD-4D52-BF80-11B385A74B1D}"/>
    <cellStyle name="Normal 10 3 2 3 5" xfId="11047" xr:uid="{1C342EAE-3E22-40BE-A5C7-8125513E85B4}"/>
    <cellStyle name="Normal 10 3 2 3 5 2" xfId="21427" xr:uid="{3BCAC77F-4504-4411-91D6-CDBAD0294ACA}"/>
    <cellStyle name="Normal 10 3 2 3 6" xfId="25054" xr:uid="{B1DA9158-FF4F-43E3-81BC-72A67E9F1FCA}"/>
    <cellStyle name="Normal 10 3 2 3 7" xfId="13655" xr:uid="{5F15AA7E-F44B-4554-B334-229175320190}"/>
    <cellStyle name="Normal 10 3 2 4" xfId="3132" xr:uid="{00000000-0005-0000-0000-000026030000}"/>
    <cellStyle name="Normal 10 3 2 4 2" xfId="6190" xr:uid="{B077E13E-CA6B-45D4-9087-D61876575884}"/>
    <cellStyle name="Normal 10 3 2 4 2 2" xfId="26602" xr:uid="{92FF2D64-E0F2-4AAB-81C6-B9C1DA63E523}"/>
    <cellStyle name="Normal 10 3 2 4 2 3" xfId="15759" xr:uid="{4B82FBAC-F2C9-4089-824F-815BB8080F6F}"/>
    <cellStyle name="Normal 10 3 2 4 3" xfId="8212" xr:uid="{B2BFB5DC-6009-4CCA-94A5-544F7797A084}"/>
    <cellStyle name="Normal 10 3 2 4 3 2" xfId="18592" xr:uid="{7E9BCD89-84C1-498B-B93E-51EAF88235C7}"/>
    <cellStyle name="Normal 10 3 2 4 4" xfId="11045" xr:uid="{E028B317-F9CA-4C90-B28A-1E0061DE4622}"/>
    <cellStyle name="Normal 10 3 2 4 4 2" xfId="21425" xr:uid="{66936DCA-6B75-429F-9723-956BD3D56201}"/>
    <cellStyle name="Normal 10 3 2 4 5" xfId="23280" xr:uid="{A2698027-CC44-496E-A047-99571E1CFE91}"/>
    <cellStyle name="Normal 10 3 2 4 6" xfId="13653" xr:uid="{B746249F-45B3-4BC8-9F06-58E0393BEAB6}"/>
    <cellStyle name="Normal 10 3 2 5" xfId="2539" xr:uid="{00000000-0005-0000-0000-000027030000}"/>
    <cellStyle name="Normal 10 3 2 5 2" xfId="5813" xr:uid="{3AFAD17B-9CB7-4043-92C4-690A02D02BCC}"/>
    <cellStyle name="Normal 10 3 2 5 2 2" xfId="28504" xr:uid="{EBF5EBE1-ED80-4526-AEB5-FBEF36F58529}"/>
    <cellStyle name="Normal 10 3 2 5 2 3" xfId="15211" xr:uid="{6989A562-4251-4F9F-8419-A33C25A59A25}"/>
    <cellStyle name="Normal 10 3 2 5 3" xfId="7664" xr:uid="{1831CD6D-9BE7-41B6-B199-6DCD146669B3}"/>
    <cellStyle name="Normal 10 3 2 5 3 2" xfId="18044" xr:uid="{BD83013A-EEF5-42AE-A6F5-16BD16D55753}"/>
    <cellStyle name="Normal 10 3 2 5 4" xfId="10497" xr:uid="{012ED8AA-B686-49AB-AFE6-52E2F18ECBDD}"/>
    <cellStyle name="Normal 10 3 2 5 4 2" xfId="20877" xr:uid="{DDCB5631-F786-43E1-AFAE-8891BC06A146}"/>
    <cellStyle name="Normal 10 3 2 5 5" xfId="24094" xr:uid="{81847829-8D06-4E14-B304-A1014F7064EF}"/>
    <cellStyle name="Normal 10 3 2 5 6" xfId="12927" xr:uid="{DF20E022-3898-4380-82B3-AC87090882AC}"/>
    <cellStyle name="Normal 10 3 2 6" xfId="2305" xr:uid="{00000000-0005-0000-0000-000022030000}"/>
    <cellStyle name="Normal 10 3 2 6 2" xfId="7432" xr:uid="{EAE563C9-0ED2-48F8-9124-2A92354E338C}"/>
    <cellStyle name="Normal 10 3 2 6 2 2" xfId="17812" xr:uid="{9E740C62-6C9B-4F4E-930E-6A6A3F2F3603}"/>
    <cellStyle name="Normal 10 3 2 6 3" xfId="10265" xr:uid="{49165BC3-52B0-4C24-A6C9-50659493E6C0}"/>
    <cellStyle name="Normal 10 3 2 6 3 2" xfId="20645" xr:uid="{9F65774C-CA03-4F18-9D11-43914841E605}"/>
    <cellStyle name="Normal 10 3 2 6 4" xfId="24223" xr:uid="{932920D9-C582-48DA-A395-DE5A8D4E9988}"/>
    <cellStyle name="Normal 10 3 2 6 5" xfId="14979" xr:uid="{58451BA6-A69A-4535-AEA4-F75B5AF1C6C4}"/>
    <cellStyle name="Normal 10 3 2 7" xfId="3836" xr:uid="{5DE2482C-58BB-48C3-BFAB-C7FEF5582713}"/>
    <cellStyle name="Normal 10 3 2 7 2" xfId="8669" xr:uid="{8DB17317-09E6-4641-BC0A-ED4C68F648C6}"/>
    <cellStyle name="Normal 10 3 2 7 2 2" xfId="19049" xr:uid="{353414D2-5965-4C88-9155-5637FB721339}"/>
    <cellStyle name="Normal 10 3 2 7 3" xfId="11502" xr:uid="{A50C2AEA-0E22-4976-9959-F2741F1D478D}"/>
    <cellStyle name="Normal 10 3 2 7 3 2" xfId="21882" xr:uid="{6537CBDA-0B47-4A02-9559-AE5B06F9477F}"/>
    <cellStyle name="Normal 10 3 2 7 4" xfId="16216" xr:uid="{D36FE6EB-A15E-44F2-8054-6C2B99B90891}"/>
    <cellStyle name="Normal 10 3 2 8" xfId="4992" xr:uid="{AABF2103-4513-4583-A363-6F64B000444F}"/>
    <cellStyle name="Normal 10 3 2 8 2" xfId="14287" xr:uid="{7022F2AB-98F8-4CC8-95C8-F55383562AED}"/>
    <cellStyle name="Normal 10 3 2 9" xfId="6740" xr:uid="{1FB954EC-E729-41E3-BF60-916B01A6773C}"/>
    <cellStyle name="Normal 10 3 2 9 2" xfId="17120" xr:uid="{066F68D1-A22B-4004-9509-9E7EFB117A42}"/>
    <cellStyle name="Normal 10 3 3" xfId="634" xr:uid="{00000000-0005-0000-0000-000026040000}"/>
    <cellStyle name="Normal 10 3 3 10" xfId="24635" xr:uid="{FC8A1D8D-9502-4418-BE56-E62F82A545E2}"/>
    <cellStyle name="Normal 10 3 3 11" xfId="12695" xr:uid="{107F9FA7-0259-4E3D-8341-5FD559C59C48}"/>
    <cellStyle name="Normal 10 3 3 2" xfId="2708" xr:uid="{00000000-0005-0000-0000-000029030000}"/>
    <cellStyle name="Normal 10 3 3 2 2" xfId="3136" xr:uid="{00000000-0005-0000-0000-00002A030000}"/>
    <cellStyle name="Normal 10 3 3 2 2 2" xfId="6194" xr:uid="{CD6BC6DD-65A0-4460-A783-00734090C10A}"/>
    <cellStyle name="Normal 10 3 3 2 2 2 2" xfId="27548" xr:uid="{F6E9DF03-CA51-4FF2-BF49-97DE818A30D7}"/>
    <cellStyle name="Normal 10 3 3 2 2 2 3" xfId="15763" xr:uid="{0C0BC6BF-440D-42B6-9B31-E981D40669B5}"/>
    <cellStyle name="Normal 10 3 3 2 2 3" xfId="8216" xr:uid="{E70CDCB3-2C59-4855-AC91-BC2EE6F71F41}"/>
    <cellStyle name="Normal 10 3 3 2 2 3 2" xfId="18596" xr:uid="{B6009367-2002-477F-ADA8-D12A52FB6F22}"/>
    <cellStyle name="Normal 10 3 3 2 2 4" xfId="11049" xr:uid="{511DD6FF-718F-40CE-8B3D-66AD6CA908FC}"/>
    <cellStyle name="Normal 10 3 3 2 2 4 2" xfId="21429" xr:uid="{2E00B27A-A42E-4F8B-B13D-BBB37244772E}"/>
    <cellStyle name="Normal 10 3 3 2 2 5" xfId="25087" xr:uid="{6363B84C-CDDF-4381-9906-941F5A74FE90}"/>
    <cellStyle name="Normal 10 3 3 2 2 6" xfId="13657" xr:uid="{F1911E96-22FE-4804-BF2B-2DC39E7E8FCF}"/>
    <cellStyle name="Normal 10 3 3 2 3" xfId="4286" xr:uid="{1084E21D-2F01-48DF-8530-0DD6342FD1D6}"/>
    <cellStyle name="Normal 10 3 3 2 3 2" xfId="9058" xr:uid="{3A87375D-5DC6-42E2-ACD4-630770DB3433}"/>
    <cellStyle name="Normal 10 3 3 2 3 2 2" xfId="29101" xr:uid="{8FB4BF09-347C-4E03-9A17-26F38F50AD2F}"/>
    <cellStyle name="Normal 10 3 3 2 3 2 3" xfId="19438" xr:uid="{F2F6F10E-DE6A-4D03-A63B-95C80F4D8ECB}"/>
    <cellStyle name="Normal 10 3 3 2 3 3" xfId="11891" xr:uid="{B5FEBB2C-18BD-4B11-9079-92D4D09B2BB6}"/>
    <cellStyle name="Normal 10 3 3 2 3 3 2" xfId="22271" xr:uid="{192847B9-433A-4DBD-8D2A-7ECB95F601F6}"/>
    <cellStyle name="Normal 10 3 3 2 3 4" xfId="24209" xr:uid="{CE8311F5-474D-495D-8F29-9C610027580A}"/>
    <cellStyle name="Normal 10 3 3 2 3 5" xfId="16605" xr:uid="{AA0CBE19-0038-472F-BE01-2DE5D8879BD4}"/>
    <cellStyle name="Normal 10 3 3 2 4" xfId="5926" xr:uid="{49AE9B8B-60D5-412E-A13F-852B75B379C2}"/>
    <cellStyle name="Normal 10 3 3 2 4 2" xfId="28293" xr:uid="{F2CB1B38-AB99-424C-B821-A6989D844967}"/>
    <cellStyle name="Normal 10 3 3 2 4 3" xfId="15379" xr:uid="{8864088A-97F7-4F3D-A94D-BC5AD6843D58}"/>
    <cellStyle name="Normal 10 3 3 2 5" xfId="7832" xr:uid="{AC1960BB-B33A-452C-9BAB-4826B5F1C111}"/>
    <cellStyle name="Normal 10 3 3 2 5 2" xfId="18212" xr:uid="{9738F909-F88A-4DA2-9ADF-3E9855FAB67C}"/>
    <cellStyle name="Normal 10 3 3 2 6" xfId="10665" xr:uid="{1713B0A9-4DFC-43D7-B3CB-4E5CCC9FB9E3}"/>
    <cellStyle name="Normal 10 3 3 2 6 2" xfId="21045" xr:uid="{67AD1D3A-BC95-4F8F-9E67-E20FAC2AEDBB}"/>
    <cellStyle name="Normal 10 3 3 2 7" xfId="24701" xr:uid="{579A7D72-7FBB-4A0B-8AC2-8B77510F8FBA}"/>
    <cellStyle name="Normal 10 3 3 2 8" xfId="13129" xr:uid="{6FCAC9DB-4A81-42EC-A4AF-158C0FC5212E}"/>
    <cellStyle name="Normal 10 3 3 3" xfId="3137" xr:uid="{00000000-0005-0000-0000-00002B030000}"/>
    <cellStyle name="Normal 10 3 3 3 2" xfId="4444" xr:uid="{F11CDAB9-888A-47CC-A013-7F0EA6C8B225}"/>
    <cellStyle name="Normal 10 3 3 3 2 2" xfId="9216" xr:uid="{7538ED8B-886C-49A0-B978-7D4B6B68CB80}"/>
    <cellStyle name="Normal 10 3 3 3 2 2 2" xfId="29209" xr:uid="{64ED5053-508E-494D-8FC0-805F9147E2BE}"/>
    <cellStyle name="Normal 10 3 3 3 2 2 3" xfId="19596" xr:uid="{76FD16F7-01B8-4248-A574-98D03BECB22C}"/>
    <cellStyle name="Normal 10 3 3 3 2 3" xfId="12049" xr:uid="{D05F6A24-CCAD-4391-AE37-AE46768AE2AA}"/>
    <cellStyle name="Normal 10 3 3 3 2 3 2" xfId="22429" xr:uid="{9CB67378-A7E5-4DFF-8039-EA53630F68B4}"/>
    <cellStyle name="Normal 10 3 3 3 2 4" xfId="25688" xr:uid="{59D31921-BD7B-410B-995B-A240C490AAC4}"/>
    <cellStyle name="Normal 10 3 3 3 2 5" xfId="16763" xr:uid="{41C32BF1-2AEF-4FCB-B0FB-832D71E9265B}"/>
    <cellStyle name="Normal 10 3 3 3 3" xfId="6195" xr:uid="{38472D4B-C516-4A45-A07C-56DE8DF449E4}"/>
    <cellStyle name="Normal 10 3 3 3 3 2" xfId="26855" xr:uid="{D4921790-E0C7-425A-8388-42044F8799DA}"/>
    <cellStyle name="Normal 10 3 3 3 3 3" xfId="15764" xr:uid="{80E669C7-FC3B-4E63-B72A-C7C6CC2DDC7B}"/>
    <cellStyle name="Normal 10 3 3 3 4" xfId="8217" xr:uid="{0736BEBB-3583-4FED-9AE4-002B3151CD49}"/>
    <cellStyle name="Normal 10 3 3 3 4 2" xfId="18597" xr:uid="{E149C1C9-FD91-4C75-B8C4-600B9FBC45EB}"/>
    <cellStyle name="Normal 10 3 3 3 5" xfId="11050" xr:uid="{2990E9DE-F821-4438-BA00-5B96F3E4EC3D}"/>
    <cellStyle name="Normal 10 3 3 3 5 2" xfId="21430" xr:uid="{CDD16F88-02D7-4B9A-B06B-6A19C7C01B37}"/>
    <cellStyle name="Normal 10 3 3 3 6" xfId="23028" xr:uid="{0EF7FB8A-31D6-40C1-8A48-66E85E1AE895}"/>
    <cellStyle name="Normal 10 3 3 3 7" xfId="13658" xr:uid="{5D07802A-295C-40F9-9CCC-ED8C4ABAD191}"/>
    <cellStyle name="Normal 10 3 3 4" xfId="3135" xr:uid="{00000000-0005-0000-0000-00002C030000}"/>
    <cellStyle name="Normal 10 3 3 4 2" xfId="6193" xr:uid="{CC2E32D4-5362-4611-AF3F-C0F3B40A61C9}"/>
    <cellStyle name="Normal 10 3 3 4 2 2" xfId="27850" xr:uid="{E7631E61-E7EB-487E-AFA4-2FDCD2DEF47E}"/>
    <cellStyle name="Normal 10 3 3 4 2 3" xfId="15762" xr:uid="{2BF59D66-C81C-499C-A46A-B1E17B24526C}"/>
    <cellStyle name="Normal 10 3 3 4 3" xfId="8215" xr:uid="{4B1740DF-DA70-4371-8F14-AB8C840FB985}"/>
    <cellStyle name="Normal 10 3 3 4 3 2" xfId="18595" xr:uid="{A18AFC81-B1D5-4A27-9E55-AA891CB5A47D}"/>
    <cellStyle name="Normal 10 3 3 4 4" xfId="11048" xr:uid="{A00259E1-939B-4EE5-B516-39DDAEFB0C33}"/>
    <cellStyle name="Normal 10 3 3 4 4 2" xfId="21428" xr:uid="{82B9EB5A-BF13-4A91-B6C3-D4633F88A1BF}"/>
    <cellStyle name="Normal 10 3 3 4 5" xfId="23475" xr:uid="{88365AA0-F73F-4C93-85F9-8056223A3BB7}"/>
    <cellStyle name="Normal 10 3 3 4 6" xfId="13656" xr:uid="{7AC675F4-EDE3-49BF-9A92-3810128595BF}"/>
    <cellStyle name="Normal 10 3 3 5" xfId="2641" xr:uid="{00000000-0005-0000-0000-00002D030000}"/>
    <cellStyle name="Normal 10 3 3 5 2" xfId="5903" xr:uid="{7317C662-3FFA-44C0-8540-BB269EC96C05}"/>
    <cellStyle name="Normal 10 3 3 5 2 2" xfId="28030" xr:uid="{4CBB18E1-F517-4DFF-847C-0B3F7CD6D389}"/>
    <cellStyle name="Normal 10 3 3 5 2 3" xfId="15313" xr:uid="{D2D60040-57CB-48AC-A06D-BA5300FEA18D}"/>
    <cellStyle name="Normal 10 3 3 5 3" xfId="7766" xr:uid="{65C29C45-4F49-4B4C-ACD4-B306EBC5733B}"/>
    <cellStyle name="Normal 10 3 3 5 3 2" xfId="18146" xr:uid="{1EE2A97B-CBB0-483E-BFD9-E0EBA9854283}"/>
    <cellStyle name="Normal 10 3 3 5 4" xfId="10599" xr:uid="{538FCF69-8E10-4AE3-BF4A-413C4FDB95A5}"/>
    <cellStyle name="Normal 10 3 3 5 4 2" xfId="20979" xr:uid="{CA4C8EE0-D68A-423B-AF9F-FEB3A83A347E}"/>
    <cellStyle name="Normal 10 3 3 5 5" xfId="24263" xr:uid="{9EE9879A-47D9-4A6A-B4AB-0EA40920AE79}"/>
    <cellStyle name="Normal 10 3 3 5 6" xfId="13030" xr:uid="{B3FC1032-6990-49BF-84CD-EA042BF26A29}"/>
    <cellStyle name="Normal 10 3 3 6" xfId="4147" xr:uid="{720A314B-D736-4B55-91D2-0A9538020FD9}"/>
    <cellStyle name="Normal 10 3 3 6 2" xfId="8919" xr:uid="{146BDAE5-801A-4480-9109-EF36CF3B3DAA}"/>
    <cellStyle name="Normal 10 3 3 6 2 2" xfId="19299" xr:uid="{F8E6BE30-8223-49EA-B7BC-C94DE5882EE1}"/>
    <cellStyle name="Normal 10 3 3 6 3" xfId="11752" xr:uid="{A25CFEF2-6593-4B5E-BD21-853D15FEBE47}"/>
    <cellStyle name="Normal 10 3 3 6 3 2" xfId="22132" xr:uid="{E2B4B273-0C6E-46FC-9E81-7BEC7BDA1D81}"/>
    <cellStyle name="Normal 10 3 3 6 4" xfId="24871" xr:uid="{6DEEF9DD-47F9-4373-AAF8-CDDE7FDB613C}"/>
    <cellStyle name="Normal 10 3 3 6 5" xfId="16466" xr:uid="{6F742FA1-D46B-4D41-83A7-CE84B26DD2D2}"/>
    <cellStyle name="Normal 10 3 3 7" xfId="4994" xr:uid="{76F195E5-F9BA-4629-A81C-7B3E73E89933}"/>
    <cellStyle name="Normal 10 3 3 7 2" xfId="14289" xr:uid="{793A3B51-E81A-4FCA-A6B8-8CAA78409040}"/>
    <cellStyle name="Normal 10 3 3 8" xfId="6742" xr:uid="{BB120FCB-8F6F-4A47-B67F-5468A5DC608A}"/>
    <cellStyle name="Normal 10 3 3 8 2" xfId="17122" xr:uid="{85583FF8-70AD-437B-93D6-4F13048E3AF1}"/>
    <cellStyle name="Normal 10 3 3 9" xfId="9575" xr:uid="{41F6E2E7-A077-43F8-9D5A-AD836BAB6389}"/>
    <cellStyle name="Normal 10 3 3 9 2" xfId="19955" xr:uid="{114E6468-8F35-48AA-8672-BACA8957B9DF}"/>
    <cellStyle name="Normal 10 3 4" xfId="635" xr:uid="{00000000-0005-0000-0000-000027040000}"/>
    <cellStyle name="Normal 10 3 4 2" xfId="3138" xr:uid="{00000000-0005-0000-0000-00002F030000}"/>
    <cellStyle name="Normal 10 3 4 2 2" xfId="6196" xr:uid="{EC9CB456-353B-44ED-8A95-68E8A608ACEA}"/>
    <cellStyle name="Normal 10 3 4 2 2 2" xfId="26079" xr:uid="{75B4E989-52C1-44C7-8D64-9F4442940882}"/>
    <cellStyle name="Normal 10 3 4 2 2 3" xfId="15765" xr:uid="{89FB9AF6-D2C0-4323-B17D-0D9743F23090}"/>
    <cellStyle name="Normal 10 3 4 2 3" xfId="8218" xr:uid="{D9E85761-58C7-4D3B-A2E5-044FD81D648F}"/>
    <cellStyle name="Normal 10 3 4 2 3 2" xfId="18598" xr:uid="{3AD4567C-F8F1-4839-95DF-E6D1F272F4E9}"/>
    <cellStyle name="Normal 10 3 4 2 4" xfId="11051" xr:uid="{D5C8DE77-E2A0-4247-806C-9D1FB1DA9EF6}"/>
    <cellStyle name="Normal 10 3 4 2 4 2" xfId="21431" xr:uid="{77712E07-E454-4FD2-841B-CDCBB182B862}"/>
    <cellStyle name="Normal 10 3 4 2 5" xfId="23008" xr:uid="{BDA9C7EB-35AD-4DBD-98B6-607A7BF34470}"/>
    <cellStyle name="Normal 10 3 4 2 6" xfId="13659" xr:uid="{C702F0AE-C2AB-4C81-997D-9B38F9C4558A}"/>
    <cellStyle name="Normal 10 3 4 3" xfId="4284" xr:uid="{727D90BB-C968-4920-862C-C2445E4027CE}"/>
    <cellStyle name="Normal 10 3 4 3 2" xfId="9056" xr:uid="{863D40C7-53A3-4DDB-B49D-A4C79F4AD3D9}"/>
    <cellStyle name="Normal 10 3 4 3 2 2" xfId="29099" xr:uid="{64B61225-A459-4345-8D2E-74E1F3B1BE4D}"/>
    <cellStyle name="Normal 10 3 4 3 2 3" xfId="19436" xr:uid="{4EC32CE8-1524-4A45-B50A-B559E9C19604}"/>
    <cellStyle name="Normal 10 3 4 3 3" xfId="11889" xr:uid="{84BC5F95-4EFD-4694-AFF7-81748F31181C}"/>
    <cellStyle name="Normal 10 3 4 3 3 2" xfId="22269" xr:uid="{E621FF38-7BB4-4CAD-B98F-3ED2F043755D}"/>
    <cellStyle name="Normal 10 3 4 3 4" xfId="24841" xr:uid="{874E08A6-1CA2-4DFD-BF71-3686E26141B8}"/>
    <cellStyle name="Normal 10 3 4 3 5" xfId="16603" xr:uid="{F19BB2E2-EA6D-4675-BBF3-E9766FA2DA92}"/>
    <cellStyle name="Normal 10 3 4 4" xfId="4995" xr:uid="{B3771ED7-7A4F-40E1-87A2-DD284B4D1FB0}"/>
    <cellStyle name="Normal 10 3 4 4 2" xfId="27711" xr:uid="{80240733-1F28-42D8-B52E-02AE0A900E69}"/>
    <cellStyle name="Normal 10 3 4 4 3" xfId="14290" xr:uid="{BC0FB313-E332-491A-A5A7-6B4708A96082}"/>
    <cellStyle name="Normal 10 3 4 5" xfId="6743" xr:uid="{B3EB4B11-BE2B-43D1-B380-671FAA13BD8B}"/>
    <cellStyle name="Normal 10 3 4 5 2" xfId="17123" xr:uid="{5F8A9B4C-9FF1-4D8C-9496-FB59C5921250}"/>
    <cellStyle name="Normal 10 3 4 6" xfId="9576" xr:uid="{6E895E4C-005B-4662-9C39-27B82A4CC90B}"/>
    <cellStyle name="Normal 10 3 4 6 2" xfId="19956" xr:uid="{6EC62299-454E-4B07-ACE0-9500222FE647}"/>
    <cellStyle name="Normal 10 3 4 7" xfId="25261" xr:uid="{9EC4ACD6-11A5-4535-A452-6040A01BCAA4}"/>
    <cellStyle name="Normal 10 3 4 8" xfId="13127" xr:uid="{5F516308-ACFA-4B49-ACB9-72422E653091}"/>
    <cellStyle name="Normal 10 3 5" xfId="3139" xr:uid="{00000000-0005-0000-0000-000030030000}"/>
    <cellStyle name="Normal 10 3 5 2" xfId="4445" xr:uid="{62BD4B13-781A-4338-ADA1-0DC58DB46F2D}"/>
    <cellStyle name="Normal 10 3 5 2 2" xfId="9217" xr:uid="{D51671E0-8C4B-44E4-868D-63BEE2417B69}"/>
    <cellStyle name="Normal 10 3 5 2 2 2" xfId="29210" xr:uid="{6B1E295B-F988-45A4-BC42-71E89C2D3DF1}"/>
    <cellStyle name="Normal 10 3 5 2 2 3" xfId="19597" xr:uid="{023E5AED-B5A8-49BA-8431-DBEBB38239BE}"/>
    <cellStyle name="Normal 10 3 5 2 3" xfId="12050" xr:uid="{909C78E4-B07A-4982-B196-49877638CD02}"/>
    <cellStyle name="Normal 10 3 5 2 3 2" xfId="22430" xr:uid="{A6376CE5-989F-4195-817F-5BEAB3B9170C}"/>
    <cellStyle name="Normal 10 3 5 2 4" xfId="22917" xr:uid="{77B4ADC0-A2C8-40E6-9F1C-F642C569F62A}"/>
    <cellStyle name="Normal 10 3 5 2 5" xfId="16764" xr:uid="{9C623E23-6903-4F72-9EE1-85955EAC33BA}"/>
    <cellStyle name="Normal 10 3 5 3" xfId="6197" xr:uid="{CE4477DA-1B11-4CBA-AD1A-7D1380E3DD0C}"/>
    <cellStyle name="Normal 10 3 5 3 2" xfId="28359" xr:uid="{609100A2-1C49-43BA-AFFB-B525D809C074}"/>
    <cellStyle name="Normal 10 3 5 3 3" xfId="15766" xr:uid="{E3A4951F-3AAB-42EB-8126-F57A869F346F}"/>
    <cellStyle name="Normal 10 3 5 4" xfId="8219" xr:uid="{310D63A0-24A3-4583-9A58-6F43F74A70F5}"/>
    <cellStyle name="Normal 10 3 5 4 2" xfId="18599" xr:uid="{473F5B53-4F3E-4867-A798-E2C5F0893558}"/>
    <cellStyle name="Normal 10 3 5 5" xfId="11052" xr:uid="{7D0B090E-B73A-4CEB-B990-6AEF5FBDED22}"/>
    <cellStyle name="Normal 10 3 5 5 2" xfId="21432" xr:uid="{1679AD0C-73AF-4ABB-A95F-69279A289615}"/>
    <cellStyle name="Normal 10 3 5 6" xfId="23809" xr:uid="{D907B0AC-9064-445B-82B3-C52D4CD7D1A4}"/>
    <cellStyle name="Normal 10 3 5 7" xfId="13660" xr:uid="{0BFE96D1-7E73-457E-8B74-D53EC3A2F9E0}"/>
    <cellStyle name="Normal 10 3 6" xfId="2891" xr:uid="{00000000-0005-0000-0000-000031030000}"/>
    <cellStyle name="Normal 10 3 6 2" xfId="6077" xr:uid="{63A2D3D4-354F-449C-B873-B13D65947A08}"/>
    <cellStyle name="Normal 10 3 6 2 2" xfId="25916" xr:uid="{7DE0E2F3-70A6-43B5-93B0-198AD3C5775D}"/>
    <cellStyle name="Normal 10 3 6 2 3" xfId="15555" xr:uid="{C889F172-5532-4A43-BB5E-6EFA80DE8FAA}"/>
    <cellStyle name="Normal 10 3 6 3" xfId="8008" xr:uid="{AD5B01FF-F810-4694-8B59-D841ABAC3A1D}"/>
    <cellStyle name="Normal 10 3 6 3 2" xfId="18388" xr:uid="{58414A3F-B83C-40A9-87CD-F6D074149D43}"/>
    <cellStyle name="Normal 10 3 6 4" xfId="10841" xr:uid="{68254EF4-AEDE-4D34-B040-74F5D68FD5F5}"/>
    <cellStyle name="Normal 10 3 6 4 2" xfId="21221" xr:uid="{3271912B-DD9A-4C23-A609-AD4A7076B685}"/>
    <cellStyle name="Normal 10 3 6 5" xfId="24750" xr:uid="{AD44433C-85A8-4C20-9673-689AB694C163}"/>
    <cellStyle name="Normal 10 3 6 6" xfId="13393" xr:uid="{94555134-64E5-494E-AB15-1E9A2FAA925D}"/>
    <cellStyle name="Normal 10 3 7" xfId="2479" xr:uid="{00000000-0005-0000-0000-000032030000}"/>
    <cellStyle name="Normal 10 3 7 2" xfId="5767" xr:uid="{35DABF79-AA0F-4397-B432-85D30F5B920E}"/>
    <cellStyle name="Normal 10 3 7 2 2" xfId="26005" xr:uid="{FBC0DBAE-8A1D-42BA-BF39-C45491425BDB}"/>
    <cellStyle name="Normal 10 3 7 2 3" xfId="15151" xr:uid="{46D098F0-24F6-4176-88F8-57985AC6B38B}"/>
    <cellStyle name="Normal 10 3 7 3" xfId="7604" xr:uid="{FA9123AC-D647-47A4-9914-D64BDD0110B6}"/>
    <cellStyle name="Normal 10 3 7 3 2" xfId="17984" xr:uid="{38861170-D29E-45DC-8318-4891B525C210}"/>
    <cellStyle name="Normal 10 3 7 4" xfId="10437" xr:uid="{DC90A635-41B1-4961-ACC7-F29EBD1693E0}"/>
    <cellStyle name="Normal 10 3 7 4 2" xfId="20817" xr:uid="{AC535C21-3E7B-4184-A68E-5617BE88C281}"/>
    <cellStyle name="Normal 10 3 7 5" xfId="25491" xr:uid="{C7698235-9481-465F-B45D-D05D6DF59E2A}"/>
    <cellStyle name="Normal 10 3 7 6" xfId="12867" xr:uid="{DA3547F9-157C-4BFC-B3B8-8754CCE8ABEC}"/>
    <cellStyle name="Normal 10 3 8" xfId="2233" xr:uid="{00000000-0005-0000-0000-000021030000}"/>
    <cellStyle name="Normal 10 3 8 2" xfId="7360" xr:uid="{72DDA263-81F6-43F0-8CA4-35ED37362871}"/>
    <cellStyle name="Normal 10 3 8 2 2" xfId="17740" xr:uid="{D0A43869-7421-42CA-AF8E-1A675A7319A5}"/>
    <cellStyle name="Normal 10 3 8 3" xfId="10193" xr:uid="{249BBC59-308D-4AB7-994C-5BA0CB273377}"/>
    <cellStyle name="Normal 10 3 8 3 2" xfId="20573" xr:uid="{B2AE14CA-27EC-4C5A-96EC-CF5A0B662E47}"/>
    <cellStyle name="Normal 10 3 8 4" xfId="23521" xr:uid="{DDCD5947-88AE-4CE7-AD1A-EE9946108DAD}"/>
    <cellStyle name="Normal 10 3 8 5" xfId="14907" xr:uid="{02D250B9-C265-425D-9921-FF6CCCAE255F}"/>
    <cellStyle name="Normal 10 3 9" xfId="3906" xr:uid="{DFAFEC0D-1123-40C7-8396-37B72A42A4E3}"/>
    <cellStyle name="Normal 10 3 9 2" xfId="8738" xr:uid="{0F6D0A89-C57D-4D60-909D-6327E96986AB}"/>
    <cellStyle name="Normal 10 3 9 2 2" xfId="19118" xr:uid="{F5AC2B97-3B86-43D1-AC13-952EA5581640}"/>
    <cellStyle name="Normal 10 3 9 3" xfId="11571" xr:uid="{A4405A67-BCE0-4793-905D-62F3F5DB56A9}"/>
    <cellStyle name="Normal 10 3 9 3 2" xfId="21951" xr:uid="{C3E35E6D-E8DA-48DB-A53C-AD965A433A5D}"/>
    <cellStyle name="Normal 10 3 9 4" xfId="16285" xr:uid="{7A4E722F-1587-42FD-B760-787107CE8583}"/>
    <cellStyle name="Normal 10 4" xfId="636" xr:uid="{00000000-0005-0000-0000-000028040000}"/>
    <cellStyle name="Normal 10 4 10" xfId="6744" xr:uid="{5920DC48-8D65-4018-A698-5A50362A0AE9}"/>
    <cellStyle name="Normal 10 4 10 2" xfId="17124" xr:uid="{44F67FD2-AE53-45BF-A513-ADCA8928DB4C}"/>
    <cellStyle name="Normal 10 4 11" xfId="9577" xr:uid="{B50B7FAB-23C0-4688-A51D-D6CD38E5B80C}"/>
    <cellStyle name="Normal 10 4 11 2" xfId="19957" xr:uid="{125C44FF-B7ED-432F-81AE-C213AA8C7EA1}"/>
    <cellStyle name="Normal 10 4 12" xfId="24682" xr:uid="{07D436A0-15B4-481A-8FE0-DDD06F0E7513}"/>
    <cellStyle name="Normal 10 4 13" xfId="12445" xr:uid="{9AC2E468-90FE-4AEA-8091-0C552D6D5FFB}"/>
    <cellStyle name="Normal 10 4 2" xfId="637" xr:uid="{00000000-0005-0000-0000-000029040000}"/>
    <cellStyle name="Normal 10 4 2 10" xfId="9578" xr:uid="{D4EA277E-FCC7-408B-9F3A-15E2DCB74069}"/>
    <cellStyle name="Normal 10 4 2 10 2" xfId="19958" xr:uid="{D6C62D71-8F1E-42A7-908F-5455BBDA1460}"/>
    <cellStyle name="Normal 10 4 2 11" xfId="25128" xr:uid="{BBCCF5EB-D03B-4D18-8B03-4B5ACA3F8E52}"/>
    <cellStyle name="Normal 10 4 2 12" xfId="12538" xr:uid="{67D8D94B-B82C-4209-95DD-0E71EBF554E7}"/>
    <cellStyle name="Normal 10 4 2 2" xfId="638" xr:uid="{00000000-0005-0000-0000-00002A040000}"/>
    <cellStyle name="Normal 10 4 2 2 2" xfId="3141" xr:uid="{00000000-0005-0000-0000-000036030000}"/>
    <cellStyle name="Normal 10 4 2 2 2 2" xfId="6199" xr:uid="{06F2B0D2-BE3F-4D5B-AE7B-D9F8BAA9692B}"/>
    <cellStyle name="Normal 10 4 2 2 2 2 2" xfId="26132" xr:uid="{EFF958C4-7ABB-4414-90EB-6A9CA6062F73}"/>
    <cellStyle name="Normal 10 4 2 2 2 2 3" xfId="28300" xr:uid="{E8C8467E-3FA8-4BAD-BD59-FD8074EF5103}"/>
    <cellStyle name="Normal 10 4 2 2 2 2 4" xfId="15768" xr:uid="{82792F97-AF95-4AE6-AA11-BB1C251B447A}"/>
    <cellStyle name="Normal 10 4 2 2 2 3" xfId="8221" xr:uid="{E8796C8C-6CB8-435E-9FAA-835CE642407F}"/>
    <cellStyle name="Normal 10 4 2 2 2 3 2" xfId="28867" xr:uid="{5C8AB1BF-315E-4194-950D-C7136336B9A1}"/>
    <cellStyle name="Normal 10 4 2 2 2 3 3" xfId="18601" xr:uid="{151C9F4C-E7BF-4FEC-B6A0-55545E0CB77B}"/>
    <cellStyle name="Normal 10 4 2 2 2 4" xfId="11054" xr:uid="{311656CA-3B45-45CB-A8D1-CA97EE9093C5}"/>
    <cellStyle name="Normal 10 4 2 2 2 4 2" xfId="21434" xr:uid="{9F359290-AB77-40CE-84DD-0746890789C4}"/>
    <cellStyle name="Normal 10 4 2 2 2 5" xfId="24714" xr:uid="{F315BE77-CBE9-40FF-A827-0A56A7F13A4E}"/>
    <cellStyle name="Normal 10 4 2 2 2 6" xfId="13662" xr:uid="{FC7B5103-5216-4ECD-BF0E-B0BF8325ADC0}"/>
    <cellStyle name="Normal 10 4 2 2 3" xfId="4287" xr:uid="{B33BE118-5B4D-42C0-8D8A-297D42D660E7}"/>
    <cellStyle name="Normal 10 4 2 2 3 2" xfId="9059" xr:uid="{011992E4-0B30-44AE-A330-84E6552E89A3}"/>
    <cellStyle name="Normal 10 4 2 2 3 2 2" xfId="29102" xr:uid="{EB6DCA00-11B9-45E4-850C-5A399C944CBC}"/>
    <cellStyle name="Normal 10 4 2 2 3 2 3" xfId="19439" xr:uid="{1E17F9D3-6FD9-4450-99BC-C17CF8C82ACF}"/>
    <cellStyle name="Normal 10 4 2 2 3 3" xfId="11892" xr:uid="{97A9FCD3-A616-4251-8DFA-44C6F1ADE11B}"/>
    <cellStyle name="Normal 10 4 2 2 3 3 2" xfId="22272" xr:uid="{B101FA82-953C-48BB-A152-913C8A344D20}"/>
    <cellStyle name="Normal 10 4 2 2 3 4" xfId="24821" xr:uid="{4F0432A1-A14C-4239-BDE4-C460D67AE82C}"/>
    <cellStyle name="Normal 10 4 2 2 3 5" xfId="16606" xr:uid="{322B70BC-6257-49F5-B228-4413C8E07220}"/>
    <cellStyle name="Normal 10 4 2 2 4" xfId="4998" xr:uid="{DAC04E3E-B1F8-4219-8EEB-0CCC0602482F}"/>
    <cellStyle name="Normal 10 4 2 2 4 2" xfId="27181" xr:uid="{6D7294A7-36FD-411B-8AA4-9FEE1CBCAF8E}"/>
    <cellStyle name="Normal 10 4 2 2 4 3" xfId="14293" xr:uid="{A0DBF87B-3249-475F-9F52-469F0EC7E109}"/>
    <cellStyle name="Normal 10 4 2 2 5" xfId="6746" xr:uid="{A4EB902D-3F9F-482C-86AD-9B66CF3E6B6F}"/>
    <cellStyle name="Normal 10 4 2 2 5 2" xfId="17126" xr:uid="{360D45F0-3803-4399-8218-0E713D188873}"/>
    <cellStyle name="Normal 10 4 2 2 6" xfId="9579" xr:uid="{6837B5A4-4671-4052-B884-5815B8212445}"/>
    <cellStyle name="Normal 10 4 2 2 6 2" xfId="19959" xr:uid="{F386D1A6-ABF7-4A9B-80BB-1D559C002524}"/>
    <cellStyle name="Normal 10 4 2 2 7" xfId="23060" xr:uid="{562739F2-F603-449E-9354-410FD527F77C}"/>
    <cellStyle name="Normal 10 4 2 2 8" xfId="13131" xr:uid="{9088F7F0-E3D0-4740-BC17-78C6ECDB3265}"/>
    <cellStyle name="Normal 10 4 2 3" xfId="3142" xr:uid="{00000000-0005-0000-0000-000037030000}"/>
    <cellStyle name="Normal 10 4 2 3 2" xfId="4446" xr:uid="{993D9A1E-0007-45A2-BDBD-615C6FF77875}"/>
    <cellStyle name="Normal 10 4 2 3 2 2" xfId="9218" xr:uid="{796D87CC-9C72-4436-9930-353404431198}"/>
    <cellStyle name="Normal 10 4 2 3 2 2 2" xfId="29211" xr:uid="{C9ABEA5E-0955-415D-B46F-B2F425FD2BEA}"/>
    <cellStyle name="Normal 10 4 2 3 2 2 3" xfId="19598" xr:uid="{947B9434-2737-4894-9CC1-886C18DE310E}"/>
    <cellStyle name="Normal 10 4 2 3 2 3" xfId="12051" xr:uid="{0017D429-C5F7-490A-95D2-40E3BACD14ED}"/>
    <cellStyle name="Normal 10 4 2 3 2 3 2" xfId="22431" xr:uid="{E15CCBB8-A745-4C41-8B06-D2E218F02349}"/>
    <cellStyle name="Normal 10 4 2 3 2 4" xfId="25646" xr:uid="{8EA90F6A-A0A5-454C-8877-AE245AD0F1CD}"/>
    <cellStyle name="Normal 10 4 2 3 2 5" xfId="16765" xr:uid="{D1707C35-54BC-42A0-B0DB-1F0221CD4D31}"/>
    <cellStyle name="Normal 10 4 2 3 3" xfId="6200" xr:uid="{3DA9AEB0-7430-4CD8-9759-403B2B29CB6E}"/>
    <cellStyle name="Normal 10 4 2 3 3 2" xfId="26248" xr:uid="{3988C583-4C03-4BA0-AD61-B9CD7F2D84B7}"/>
    <cellStyle name="Normal 10 4 2 3 3 3" xfId="15769" xr:uid="{9E97FCAA-40EF-49B6-BAB0-C8A96DEE02DB}"/>
    <cellStyle name="Normal 10 4 2 3 4" xfId="8222" xr:uid="{F9E0C1BB-B07A-45D9-A20E-5C7E023AFF5B}"/>
    <cellStyle name="Normal 10 4 2 3 4 2" xfId="18602" xr:uid="{5A7EDB01-41B1-4940-A948-C970566C72FF}"/>
    <cellStyle name="Normal 10 4 2 3 5" xfId="11055" xr:uid="{EABB47FE-094A-474B-A42F-A7A3FC429DAA}"/>
    <cellStyle name="Normal 10 4 2 3 5 2" xfId="21435" xr:uid="{45C324ED-D85E-4D25-862F-2C30CCA2847A}"/>
    <cellStyle name="Normal 10 4 2 3 6" xfId="22955" xr:uid="{BDD945F4-126B-4310-A9CC-2F9EAEE48A6C}"/>
    <cellStyle name="Normal 10 4 2 3 7" xfId="13663" xr:uid="{3E05150E-F02D-4C9A-AF6B-FB73AF8C6753}"/>
    <cellStyle name="Normal 10 4 2 4" xfId="3140" xr:uid="{00000000-0005-0000-0000-000038030000}"/>
    <cellStyle name="Normal 10 4 2 4 2" xfId="6198" xr:uid="{F68DC60C-0CB8-4A45-BAC8-8424ACFD301F}"/>
    <cellStyle name="Normal 10 4 2 4 2 2" xfId="27849" xr:uid="{BD935948-09BD-4AA5-82A6-309D057C86D6}"/>
    <cellStyle name="Normal 10 4 2 4 2 3" xfId="15767" xr:uid="{A4908460-27B0-484F-92FF-93FF6395B6CD}"/>
    <cellStyle name="Normal 10 4 2 4 3" xfId="8220" xr:uid="{8DA40B03-6080-411D-A100-B17AD3AAEB20}"/>
    <cellStyle name="Normal 10 4 2 4 3 2" xfId="18600" xr:uid="{210C5264-BF80-42B2-94FF-154D54786E94}"/>
    <cellStyle name="Normal 10 4 2 4 4" xfId="11053" xr:uid="{1B409DD8-EB9C-4B23-A0A3-166A63E15783}"/>
    <cellStyle name="Normal 10 4 2 4 4 2" xfId="21433" xr:uid="{83A1F8ED-7D53-4A69-89E7-AE220B6CF328}"/>
    <cellStyle name="Normal 10 4 2 4 5" xfId="24870" xr:uid="{6EC4A12D-7401-478A-88CC-9CEAEB506704}"/>
    <cellStyle name="Normal 10 4 2 4 6" xfId="13661" xr:uid="{88C1FCDE-2E73-41E3-8E0D-E934FA0EA4CD}"/>
    <cellStyle name="Normal 10 4 2 5" xfId="2622" xr:uid="{00000000-0005-0000-0000-000039030000}"/>
    <cellStyle name="Normal 10 4 2 5 2" xfId="5884" xr:uid="{7917804F-2066-4009-AC2B-830867C24119}"/>
    <cellStyle name="Normal 10 4 2 5 2 2" xfId="27756" xr:uid="{D102A650-5E04-4406-B6B7-8060D68E0AB1}"/>
    <cellStyle name="Normal 10 4 2 5 2 3" xfId="15294" xr:uid="{A8C87728-B097-4C76-A74E-DDF95D9FEE7C}"/>
    <cellStyle name="Normal 10 4 2 5 3" xfId="7747" xr:uid="{4B540000-AE30-4A5F-ADEB-495A25D7A052}"/>
    <cellStyle name="Normal 10 4 2 5 3 2" xfId="18127" xr:uid="{45E63A77-7412-4FF8-A4B0-6E92CBB14507}"/>
    <cellStyle name="Normal 10 4 2 5 4" xfId="10580" xr:uid="{C2A5C0CF-02E0-40E3-BA57-074EAA4B0557}"/>
    <cellStyle name="Normal 10 4 2 5 4 2" xfId="20960" xr:uid="{26DADC33-1F0D-4A63-AC2E-045E04BC48F6}"/>
    <cellStyle name="Normal 10 4 2 5 5" xfId="23695" xr:uid="{990F2A7C-A315-40A3-9E57-81A6FF4430F8}"/>
    <cellStyle name="Normal 10 4 2 5 6" xfId="13010" xr:uid="{3484E672-7684-4267-BB0F-3C5E93887B9E}"/>
    <cellStyle name="Normal 10 4 2 6" xfId="2306" xr:uid="{00000000-0005-0000-0000-000034030000}"/>
    <cellStyle name="Normal 10 4 2 6 2" xfId="7433" xr:uid="{BE5C89C6-840C-4D3D-9726-B49AF4747209}"/>
    <cellStyle name="Normal 10 4 2 6 2 2" xfId="17813" xr:uid="{954947CA-450C-4C41-AB3A-EB4432C2DD6E}"/>
    <cellStyle name="Normal 10 4 2 6 3" xfId="10266" xr:uid="{01117BE3-C7B3-4B34-B74A-E7A6E6080D2D}"/>
    <cellStyle name="Normal 10 4 2 6 3 2" xfId="20646" xr:uid="{7D36C5F0-7A94-445A-9AB6-40883BD93440}"/>
    <cellStyle name="Normal 10 4 2 6 4" xfId="25348" xr:uid="{5FF42BE9-003E-4F23-A987-93A9A6D87DA6}"/>
    <cellStyle name="Normal 10 4 2 6 5" xfId="14980" xr:uid="{BBD008D9-0D26-492B-8B56-9A8562448128}"/>
    <cellStyle name="Normal 10 4 2 7" xfId="3837" xr:uid="{7142DFA1-FE94-4334-A0D7-6C68B979514B}"/>
    <cellStyle name="Normal 10 4 2 7 2" xfId="8670" xr:uid="{384817B5-8FD6-4447-BB73-A5B71EE33F12}"/>
    <cellStyle name="Normal 10 4 2 7 2 2" xfId="19050" xr:uid="{46EA25DB-CEB0-45D5-85EE-E6E6C3B22B7B}"/>
    <cellStyle name="Normal 10 4 2 7 3" xfId="11503" xr:uid="{B1C3691F-7152-4061-9FCA-DA33E83D3158}"/>
    <cellStyle name="Normal 10 4 2 7 3 2" xfId="21883" xr:uid="{33FCF75F-0A24-4BC5-923D-974A5A02D885}"/>
    <cellStyle name="Normal 10 4 2 7 4" xfId="16217" xr:uid="{38104868-A40D-4F57-8878-59FCCA185F3D}"/>
    <cellStyle name="Normal 10 4 2 8" xfId="4997" xr:uid="{F5620966-7500-46ED-ADF1-F39A527642D9}"/>
    <cellStyle name="Normal 10 4 2 8 2" xfId="14292" xr:uid="{D9E36E45-AB1F-4C71-B895-C81DBBE23A85}"/>
    <cellStyle name="Normal 10 4 2 9" xfId="6745" xr:uid="{3B20EA16-B0DA-4F52-80D8-4A1A0A0C6CA7}"/>
    <cellStyle name="Normal 10 4 2 9 2" xfId="17125" xr:uid="{D75970FD-2A89-47B8-99E7-A2D9AB51E08D}"/>
    <cellStyle name="Normal 10 4 3" xfId="639" xr:uid="{00000000-0005-0000-0000-00002B040000}"/>
    <cellStyle name="Normal 10 4 3 2" xfId="3143" xr:uid="{00000000-0005-0000-0000-00003B030000}"/>
    <cellStyle name="Normal 10 4 3 2 2" xfId="6201" xr:uid="{8F85BE44-7EF3-4891-845F-2DCD5C213315}"/>
    <cellStyle name="Normal 10 4 3 2 2 2" xfId="24702" xr:uid="{1F5188A0-6D56-4E17-B88D-A7F231F86F17}"/>
    <cellStyle name="Normal 10 4 3 2 2 3" xfId="25959" xr:uid="{081438D6-0364-449B-92F6-660801982FCC}"/>
    <cellStyle name="Normal 10 4 3 2 2 4" xfId="15770" xr:uid="{73B2B1C6-F505-4F47-89A5-6CD78220D768}"/>
    <cellStyle name="Normal 10 4 3 2 3" xfId="8223" xr:uid="{CB49CE44-5EDE-4732-AF65-C4DEDE36D4C3}"/>
    <cellStyle name="Normal 10 4 3 2 3 2" xfId="28868" xr:uid="{2DF24A94-F17A-48E4-9285-3B04406C1BF2}"/>
    <cellStyle name="Normal 10 4 3 2 3 3" xfId="18603" xr:uid="{78738C8F-D1EA-446D-9460-7CA52EF59C6F}"/>
    <cellStyle name="Normal 10 4 3 2 4" xfId="11056" xr:uid="{4029CED2-7EB8-4117-B79B-450103ADD0FA}"/>
    <cellStyle name="Normal 10 4 3 2 4 2" xfId="21436" xr:uid="{89715F7D-B3FC-47EA-A310-712CF50AEFEA}"/>
    <cellStyle name="Normal 10 4 3 2 5" xfId="25533" xr:uid="{6A394A0E-95C8-4E61-97DD-6E9845B52B8B}"/>
    <cellStyle name="Normal 10 4 3 2 6" xfId="13664" xr:uid="{8C4953EC-805E-4453-9DBF-E6316EA73EFA}"/>
    <cellStyle name="Normal 10 4 3 3" xfId="2709" xr:uid="{00000000-0005-0000-0000-00003C030000}"/>
    <cellStyle name="Normal 10 4 3 3 2" xfId="5927" xr:uid="{E87DED74-5821-4857-BC63-6E961DE4D68E}"/>
    <cellStyle name="Normal 10 4 3 3 2 2" xfId="26870" xr:uid="{1AB606FD-7B4A-4E77-9ED0-D6A0BE3B2D8A}"/>
    <cellStyle name="Normal 10 4 3 3 2 3" xfId="15380" xr:uid="{BECC7A84-5C45-406F-B230-8C7832F7B885}"/>
    <cellStyle name="Normal 10 4 3 3 3" xfId="7833" xr:uid="{E69B4CBA-360D-49EB-A290-5485BDB1CBD4}"/>
    <cellStyle name="Normal 10 4 3 3 3 2" xfId="18213" xr:uid="{ADC9A054-D12B-485F-B2B5-93D9AA501CFE}"/>
    <cellStyle name="Normal 10 4 3 3 4" xfId="10666" xr:uid="{599ACBAD-8074-481F-8522-B8A6AA968E3A}"/>
    <cellStyle name="Normal 10 4 3 3 4 2" xfId="21046" xr:uid="{AF954BE9-B8D8-488D-B848-D1C6059FC95C}"/>
    <cellStyle name="Normal 10 4 3 3 5" xfId="24080" xr:uid="{E1FA7AE9-4B99-48AE-A6C0-8B9A1136EE4D}"/>
    <cellStyle name="Normal 10 4 3 3 6" xfId="13130" xr:uid="{348E9538-5BF6-4A8B-B83B-885F374C5708}"/>
    <cellStyle name="Normal 10 4 3 4" xfId="4148" xr:uid="{070D1809-360B-4990-A48A-9E25559891D3}"/>
    <cellStyle name="Normal 10 4 3 4 2" xfId="8920" xr:uid="{C14CCB26-7312-4AD7-833C-AB9D9B8AAB42}"/>
    <cellStyle name="Normal 10 4 3 4 2 2" xfId="29019" xr:uid="{2BCAA687-A7A8-4059-BAD7-6FAFAC315C04}"/>
    <cellStyle name="Normal 10 4 3 4 2 3" xfId="19300" xr:uid="{B0FCB9C4-92EC-4CA7-8EB0-9A23ED324B83}"/>
    <cellStyle name="Normal 10 4 3 4 3" xfId="11753" xr:uid="{CD4AEE46-359D-48CB-9B99-8C7A97D1F520}"/>
    <cellStyle name="Normal 10 4 3 4 3 2" xfId="22133" xr:uid="{8DAD3DEC-E9A7-495A-89B7-F14352CB269B}"/>
    <cellStyle name="Normal 10 4 3 4 4" xfId="25015" xr:uid="{2902129C-7B15-4B58-83AE-8C5C219BCA07}"/>
    <cellStyle name="Normal 10 4 3 4 5" xfId="16467" xr:uid="{A188AB4A-1B58-4C30-8023-79EA61F360E0}"/>
    <cellStyle name="Normal 10 4 3 5" xfId="4999" xr:uid="{D198BE66-4998-4CAE-9F89-01324D1C2DE2}"/>
    <cellStyle name="Normal 10 4 3 5 2" xfId="27212" xr:uid="{E7120924-463D-4C57-B848-00559370920B}"/>
    <cellStyle name="Normal 10 4 3 5 3" xfId="14294" xr:uid="{A453E66D-77BC-4EB6-BE7F-5AAD45936D9F}"/>
    <cellStyle name="Normal 10 4 3 6" xfId="6747" xr:uid="{03C4DB5A-EABD-457E-A697-0F4671C8956C}"/>
    <cellStyle name="Normal 10 4 3 6 2" xfId="17127" xr:uid="{41EE90C5-6814-4D0A-9303-2F921AE41FCC}"/>
    <cellStyle name="Normal 10 4 3 7" xfId="9580" xr:uid="{4F105625-756E-480C-B94F-3F476E725CBC}"/>
    <cellStyle name="Normal 10 4 3 7 2" xfId="19960" xr:uid="{3F4E1114-A756-4379-96E3-1E614F3FC23F}"/>
    <cellStyle name="Normal 10 4 3 8" xfId="23735" xr:uid="{D3699B06-F6E4-4343-BA14-3AFD9E6C5024}"/>
    <cellStyle name="Normal 10 4 3 9" xfId="12696" xr:uid="{B2FFDC8E-DEA9-4E59-9738-598153DBA741}"/>
    <cellStyle name="Normal 10 4 4" xfId="640" xr:uid="{00000000-0005-0000-0000-00002C040000}"/>
    <cellStyle name="Normal 10 4 4 2" xfId="4447" xr:uid="{FED6DE40-C019-4713-873E-099153FC2462}"/>
    <cellStyle name="Normal 10 4 4 2 2" xfId="9219" xr:uid="{ADDE207E-B207-4521-AA01-418E8FD87EAC}"/>
    <cellStyle name="Normal 10 4 4 2 2 2" xfId="29212" xr:uid="{0117A776-8209-429E-B511-2166081CE8C5}"/>
    <cellStyle name="Normal 10 4 4 2 2 3" xfId="19599" xr:uid="{758C5FCF-8A69-40A6-A8FC-9F17C6AFC487}"/>
    <cellStyle name="Normal 10 4 4 2 3" xfId="12052" xr:uid="{0CB694A1-516B-435E-8AD8-D7D9EEE10627}"/>
    <cellStyle name="Normal 10 4 4 2 3 2" xfId="22432" xr:uid="{1F5E7C9E-7277-4887-8E27-6B294F10874B}"/>
    <cellStyle name="Normal 10 4 4 2 4" xfId="24844" xr:uid="{448F5F0F-3DCC-4A78-870C-B32C436A8893}"/>
    <cellStyle name="Normal 10 4 4 2 5" xfId="16766" xr:uid="{214A2348-DC70-4C8D-A503-8F33E34207FB}"/>
    <cellStyle name="Normal 10 4 4 3" xfId="5000" xr:uid="{4EC831B8-43EE-4E74-BE6D-34012E779941}"/>
    <cellStyle name="Normal 10 4 4 3 2" xfId="26612" xr:uid="{F2478B7F-F2C5-4DAB-B8D5-13B59E8F8C2C}"/>
    <cellStyle name="Normal 10 4 4 3 3" xfId="14295" xr:uid="{4BD185A4-710F-4A33-93A6-B29A09C48BC3}"/>
    <cellStyle name="Normal 10 4 4 4" xfId="6748" xr:uid="{ACF83967-AFFD-4259-B641-CDF2E52DB754}"/>
    <cellStyle name="Normal 10 4 4 4 2" xfId="17128" xr:uid="{B3998039-080B-449A-8BB8-E6DFB21D490A}"/>
    <cellStyle name="Normal 10 4 4 5" xfId="9581" xr:uid="{0315C2AD-26DD-44A0-BC81-2138529DB183}"/>
    <cellStyle name="Normal 10 4 4 5 2" xfId="19961" xr:uid="{D93830F2-A53A-48E8-9C81-32A1C026D838}"/>
    <cellStyle name="Normal 10 4 4 6" xfId="22691" xr:uid="{05A5BCF4-7269-4638-ADA4-BCC60A0C206E}"/>
    <cellStyle name="Normal 10 4 4 7" xfId="13665" xr:uid="{CD3F9ABD-7191-4096-9CF6-ECB8A76C26A1}"/>
    <cellStyle name="Normal 10 4 5" xfId="2892" xr:uid="{00000000-0005-0000-0000-00003E030000}"/>
    <cellStyle name="Normal 10 4 5 2" xfId="6078" xr:uid="{EE912FDA-3587-4907-B455-C7712AB88464}"/>
    <cellStyle name="Normal 10 4 5 2 2" xfId="24998" xr:uid="{F76EBA85-BD92-4A09-B34F-0106A2D1DA3C}"/>
    <cellStyle name="Normal 10 4 5 2 3" xfId="26003" xr:uid="{B764BD81-9438-4D8D-92F1-EB1BB9AF4B44}"/>
    <cellStyle name="Normal 10 4 5 2 4" xfId="15556" xr:uid="{D06332D8-C06B-43DF-BF3F-83CBA4628405}"/>
    <cellStyle name="Normal 10 4 5 3" xfId="8009" xr:uid="{CE8C9C37-020C-4A8B-94F1-20CBF2F8BF50}"/>
    <cellStyle name="Normal 10 4 5 3 2" xfId="27917" xr:uid="{840F7BC9-A550-48E0-B7AE-996D58D5931E}"/>
    <cellStyle name="Normal 10 4 5 3 3" xfId="18389" xr:uid="{123E7895-5FD6-4BD2-B883-866B21142F08}"/>
    <cellStyle name="Normal 10 4 5 4" xfId="10842" xr:uid="{6270DEFA-E90F-4669-AEEE-BABC43DA7B6F}"/>
    <cellStyle name="Normal 10 4 5 4 2" xfId="21222" xr:uid="{7F47293F-5670-4749-A092-33C076919B41}"/>
    <cellStyle name="Normal 10 4 5 5" xfId="23793" xr:uid="{358142E0-908E-4AAE-B622-B79C6883EFF6}"/>
    <cellStyle name="Normal 10 4 5 6" xfId="13394" xr:uid="{F7E2404C-B0F7-4039-9E3C-735C7B365134}"/>
    <cellStyle name="Normal 10 4 6" xfId="2459" xr:uid="{00000000-0005-0000-0000-00003F030000}"/>
    <cellStyle name="Normal 10 4 6 2" xfId="5751" xr:uid="{0F23FB93-E217-41B5-ABF7-350F5ACA6F09}"/>
    <cellStyle name="Normal 10 4 6 2 2" xfId="28044" xr:uid="{8F6684C6-94DC-4FB6-B196-01445336A2BA}"/>
    <cellStyle name="Normal 10 4 6 2 3" xfId="15131" xr:uid="{2DF106B1-9B11-4BE2-B006-712D322DCFB7}"/>
    <cellStyle name="Normal 10 4 6 3" xfId="7584" xr:uid="{82E8652B-3E60-4EBE-B46C-ADDBB56DA047}"/>
    <cellStyle name="Normal 10 4 6 3 2" xfId="17964" xr:uid="{436F72D8-A605-401A-908A-B0DBEA597B52}"/>
    <cellStyle name="Normal 10 4 6 4" xfId="10417" xr:uid="{A0533D02-5157-40E1-A203-2FECB84DE265}"/>
    <cellStyle name="Normal 10 4 6 4 2" xfId="20797" xr:uid="{79DB107B-E074-4A46-805C-95DF99F83734}"/>
    <cellStyle name="Normal 10 4 6 5" xfId="24672" xr:uid="{3D96A320-90F3-41AB-B2A1-89FF4A0B9F65}"/>
    <cellStyle name="Normal 10 4 6 6" xfId="12847" xr:uid="{08DCF182-B7AD-4771-9695-0E35C8C1E668}"/>
    <cellStyle name="Normal 10 4 7" xfId="2213" xr:uid="{00000000-0005-0000-0000-000033030000}"/>
    <cellStyle name="Normal 10 4 7 2" xfId="7340" xr:uid="{BE331FC6-BE1F-4BA6-AB16-71F52CB804EC}"/>
    <cellStyle name="Normal 10 4 7 2 2" xfId="17720" xr:uid="{0871289B-5172-4539-A590-E8E25D2E3C85}"/>
    <cellStyle name="Normal 10 4 7 3" xfId="10173" xr:uid="{E60D71B5-629D-4C19-AE8A-9AB81C5D8AD5}"/>
    <cellStyle name="Normal 10 4 7 3 2" xfId="20553" xr:uid="{FDCD28BB-B3A4-4792-9841-DCC21490CF0B}"/>
    <cellStyle name="Normal 10 4 7 4" xfId="23795" xr:uid="{3E0EE174-F350-44F2-9E95-FE2DB17BBCFF}"/>
    <cellStyle name="Normal 10 4 7 5" xfId="14887" xr:uid="{71D0AC05-FEF8-4414-B6D8-72B294B5EF98}"/>
    <cellStyle name="Normal 10 4 8" xfId="3907" xr:uid="{E3CE3152-8EE9-4765-97AE-16B5954DFA2E}"/>
    <cellStyle name="Normal 10 4 8 2" xfId="8739" xr:uid="{FBF29ED0-88FE-4D24-B021-2C77A98FAD44}"/>
    <cellStyle name="Normal 10 4 8 2 2" xfId="19119" xr:uid="{8E9E50EC-59FF-49B7-8FA7-842DC8E7714B}"/>
    <cellStyle name="Normal 10 4 8 3" xfId="11572" xr:uid="{94E00386-5F15-48F7-A089-4B70EBC6EC14}"/>
    <cellStyle name="Normal 10 4 8 3 2" xfId="21952" xr:uid="{22A81BC2-86F5-4CA8-B327-6A8EB93F4376}"/>
    <cellStyle name="Normal 10 4 8 4" xfId="16286" xr:uid="{B590C8A2-F06D-459F-9E43-58AD1DF85E43}"/>
    <cellStyle name="Normal 10 4 9" xfId="4996" xr:uid="{40C4E1E8-B710-44B3-B4BB-CE66911A92FA}"/>
    <cellStyle name="Normal 10 4 9 2" xfId="14291" xr:uid="{149E8972-AEFC-4542-8FFD-BE8B167B9E89}"/>
    <cellStyle name="Normal 10 5" xfId="641" xr:uid="{00000000-0005-0000-0000-00002D040000}"/>
    <cellStyle name="Normal 10 5 10" xfId="9582" xr:uid="{3D2B9324-A82E-4310-BA59-5AAAC4517DA5}"/>
    <cellStyle name="Normal 10 5 10 2" xfId="19962" xr:uid="{2A62569E-31BE-42E9-8263-EB5CA8F29318}"/>
    <cellStyle name="Normal 10 5 11" xfId="22742" xr:uid="{02FDCA8D-FC0E-421D-8178-10DA43CB3C64}"/>
    <cellStyle name="Normal 10 5 12" xfId="12539" xr:uid="{3E9093EA-65F2-4765-9D30-4458D25DA0AC}"/>
    <cellStyle name="Normal 10 5 2" xfId="642" xr:uid="{00000000-0005-0000-0000-00002E040000}"/>
    <cellStyle name="Normal 10 5 2 2" xfId="643" xr:uid="{00000000-0005-0000-0000-00002F040000}"/>
    <cellStyle name="Normal 10 5 2 2 2" xfId="5003" xr:uid="{13D49CC8-AF93-4DCC-BD3F-FEAC19EECBB2}"/>
    <cellStyle name="Normal 10 5 2 2 2 2" xfId="24669" xr:uid="{BB52119C-4708-4E9D-B6D8-6144069A5569}"/>
    <cellStyle name="Normal 10 5 2 2 2 3" xfId="26414" xr:uid="{4B6F5A75-3F2A-4C3B-A9D7-7C32620B3E88}"/>
    <cellStyle name="Normal 10 5 2 2 2 4" xfId="14298" xr:uid="{6A7D45E9-B50D-49D4-9206-BF6526123D9A}"/>
    <cellStyle name="Normal 10 5 2 2 3" xfId="6751" xr:uid="{1E5737D2-CB2F-4760-B114-DEA854BDCBAF}"/>
    <cellStyle name="Normal 10 5 2 2 3 2" xfId="27557" xr:uid="{DAD4E840-AE7B-4604-88DE-1DA4F46BC69D}"/>
    <cellStyle name="Normal 10 5 2 2 3 3" xfId="28231" xr:uid="{3903B8F2-BFE6-4927-92BC-837A5CA78D6C}"/>
    <cellStyle name="Normal 10 5 2 2 3 4" xfId="17131" xr:uid="{F1F2EFC7-890A-42A4-8F8F-1B2CDB6CC3EC}"/>
    <cellStyle name="Normal 10 5 2 2 4" xfId="9584" xr:uid="{CAD3B168-4B51-4F45-A4A6-B0EF52358EEC}"/>
    <cellStyle name="Normal 10 5 2 2 4 2" xfId="29362" xr:uid="{A58EEC2B-C5A6-4934-828C-ACC0AFE19E0D}"/>
    <cellStyle name="Normal 10 5 2 2 4 3" xfId="19964" xr:uid="{F3835EC0-EA80-433B-9448-5E8DA8E2DE32}"/>
    <cellStyle name="Normal 10 5 2 2 5" xfId="24433" xr:uid="{F7137F87-C20B-4970-8EB6-9521C484C005}"/>
    <cellStyle name="Normal 10 5 2 2 6" xfId="13666" xr:uid="{96944166-BF2D-4EC8-AF70-F2B3AC679B41}"/>
    <cellStyle name="Normal 10 5 2 3" xfId="2710" xr:uid="{00000000-0005-0000-0000-000043030000}"/>
    <cellStyle name="Normal 10 5 2 3 2" xfId="5928" xr:uid="{772520A7-40DF-45D0-9E4E-FD7AF4BB6A20}"/>
    <cellStyle name="Normal 10 5 2 3 2 2" xfId="27375" xr:uid="{7A3A82BE-EB4F-476B-B6FD-7DF6A1D7563E}"/>
    <cellStyle name="Normal 10 5 2 3 2 3" xfId="15381" xr:uid="{7C1A99EC-7531-413E-B4BB-B21DCD684756}"/>
    <cellStyle name="Normal 10 5 2 3 3" xfId="7834" xr:uid="{805BA3C6-0E3E-41ED-A52D-7F9F85B1D98D}"/>
    <cellStyle name="Normal 10 5 2 3 3 2" xfId="18214" xr:uid="{917B624F-01F8-4CA3-A25A-91E857DFFD2F}"/>
    <cellStyle name="Normal 10 5 2 3 4" xfId="10667" xr:uid="{9FAF3AC9-C2DE-40F2-9886-9CD6589B79B0}"/>
    <cellStyle name="Normal 10 5 2 3 4 2" xfId="21047" xr:uid="{82B45561-8EBB-40BF-92C0-375D1B890D86}"/>
    <cellStyle name="Normal 10 5 2 3 5" xfId="23285" xr:uid="{6A6ACFC4-79D8-40A9-B65B-0910BE26AEF2}"/>
    <cellStyle name="Normal 10 5 2 3 6" xfId="13132" xr:uid="{681CAA0D-E8B8-49BA-B0B3-28EF143CAD39}"/>
    <cellStyle name="Normal 10 5 2 4" xfId="4149" xr:uid="{4C14400C-E34E-4C01-8887-3A8C6B63E03D}"/>
    <cellStyle name="Normal 10 5 2 4 2" xfId="8921" xr:uid="{4C48EBA9-F59B-44C9-A24D-4C314E207F08}"/>
    <cellStyle name="Normal 10 5 2 4 2 2" xfId="29020" xr:uid="{850F509F-AFB1-43C9-A790-A6106DBEC02C}"/>
    <cellStyle name="Normal 10 5 2 4 2 3" xfId="19301" xr:uid="{DDEA77CE-47E8-4C55-B8CA-A51C47F69F9B}"/>
    <cellStyle name="Normal 10 5 2 4 3" xfId="11754" xr:uid="{8A2BC8F2-81EF-4856-B76C-10D0DB1454DD}"/>
    <cellStyle name="Normal 10 5 2 4 3 2" xfId="22134" xr:uid="{E7DDCA76-C229-4331-8EAB-786FA0788B6F}"/>
    <cellStyle name="Normal 10 5 2 4 4" xfId="24229" xr:uid="{9CBC4316-7037-4C1A-BDDA-46CE9450F7A3}"/>
    <cellStyle name="Normal 10 5 2 4 5" xfId="16468" xr:uid="{506FDB89-9F30-4141-8870-1C8528927F5A}"/>
    <cellStyle name="Normal 10 5 2 5" xfId="5002" xr:uid="{E18094E2-C432-45DE-95D6-D948243380F5}"/>
    <cellStyle name="Normal 10 5 2 5 2" xfId="27228" xr:uid="{6371D496-E745-437C-B631-0188C249A7EB}"/>
    <cellStyle name="Normal 10 5 2 5 3" xfId="14297" xr:uid="{51A22F7E-012E-46DF-8F82-3FEC58DCF068}"/>
    <cellStyle name="Normal 10 5 2 6" xfId="6750" xr:uid="{2A293268-34C3-48B4-9B72-611DF3FD6758}"/>
    <cellStyle name="Normal 10 5 2 6 2" xfId="17130" xr:uid="{F5AF693C-6D25-4EB1-80B9-1AED14FDC168}"/>
    <cellStyle name="Normal 10 5 2 7" xfId="9583" xr:uid="{80B9C11C-C180-499F-94BA-C2393C403DCA}"/>
    <cellStyle name="Normal 10 5 2 7 2" xfId="19963" xr:uid="{50467DCE-313E-4E47-9BF5-3DD2E127CD9A}"/>
    <cellStyle name="Normal 10 5 2 8" xfId="24850" xr:uid="{090F4E05-A381-40D4-83E2-B26A823EB859}"/>
    <cellStyle name="Normal 10 5 2 9" xfId="12697" xr:uid="{1183FED9-4BD0-4E2F-B2A2-2A128B767239}"/>
    <cellStyle name="Normal 10 5 3" xfId="644" xr:uid="{00000000-0005-0000-0000-000030040000}"/>
    <cellStyle name="Normal 10 5 3 2" xfId="4448" xr:uid="{0A89EA51-063E-43AC-A1E7-E9682E1A5497}"/>
    <cellStyle name="Normal 10 5 3 2 2" xfId="9220" xr:uid="{BEC788BE-A140-47A0-B3F9-6E478422E98D}"/>
    <cellStyle name="Normal 10 5 3 2 2 2" xfId="29213" xr:uid="{DABD82A6-5D8A-4CD2-A5BA-EA9936FF7A45}"/>
    <cellStyle name="Normal 10 5 3 2 2 3" xfId="19600" xr:uid="{1516450A-92D9-4C04-A5EF-E0289F31968B}"/>
    <cellStyle name="Normal 10 5 3 2 3" xfId="12053" xr:uid="{450FDA87-BE48-4598-9290-D9138991DE06}"/>
    <cellStyle name="Normal 10 5 3 2 3 2" xfId="22433" xr:uid="{BC9E09BB-F40E-48A8-BF2D-26B7FBEB0079}"/>
    <cellStyle name="Normal 10 5 3 2 4" xfId="23609" xr:uid="{E0D3A3F8-EB89-463E-A537-660C646B716F}"/>
    <cellStyle name="Normal 10 5 3 2 5" xfId="16767" xr:uid="{A73D3805-4815-48AE-91F3-8E8A74EFB2F3}"/>
    <cellStyle name="Normal 10 5 3 3" xfId="5004" xr:uid="{2370935C-0FC5-43A0-B006-381702E8725C}"/>
    <cellStyle name="Normal 10 5 3 3 2" xfId="25810" xr:uid="{D470DAD1-5445-4CFC-8A2E-461D6B61F8AB}"/>
    <cellStyle name="Normal 10 5 3 3 3" xfId="27073" xr:uid="{B3BFE8E5-F51E-4A6E-A205-5A81DABFDB4F}"/>
    <cellStyle name="Normal 10 5 3 3 4" xfId="14299" xr:uid="{F97CC1F0-6D94-4297-99C7-E2005BFF54E9}"/>
    <cellStyle name="Normal 10 5 3 4" xfId="6752" xr:uid="{E7AB4243-2699-44EE-86F7-5E6A13B8BF80}"/>
    <cellStyle name="Normal 10 5 3 4 2" xfId="23555" xr:uid="{AECD84E2-8C9B-4A09-845D-7B4BAC66D262}"/>
    <cellStyle name="Normal 10 5 3 4 3" xfId="25865" xr:uid="{967A894D-8409-42A0-9782-D490A7D8F21F}"/>
    <cellStyle name="Normal 10 5 3 4 4" xfId="17132" xr:uid="{0CD599A4-10FD-4AA5-B6CC-D23A883806A2}"/>
    <cellStyle name="Normal 10 5 3 5" xfId="9585" xr:uid="{C2C14DB3-8908-4AE5-9D05-EE391474FF2A}"/>
    <cellStyle name="Normal 10 5 3 5 2" xfId="29363" xr:uid="{E48737DB-D702-4530-90D0-CED34E2AC31F}"/>
    <cellStyle name="Normal 10 5 3 5 3" xfId="19965" xr:uid="{57DC1D03-C575-4F1F-B700-D45B4650807B}"/>
    <cellStyle name="Normal 10 5 3 6" xfId="22958" xr:uid="{8E3ADA48-1E77-4039-A3ED-B3239EEBB099}"/>
    <cellStyle name="Normal 10 5 3 7" xfId="13667" xr:uid="{F7C40710-1C7D-4DD7-9825-22D0FC919B80}"/>
    <cellStyle name="Normal 10 5 4" xfId="645" xr:uid="{00000000-0005-0000-0000-000031040000}"/>
    <cellStyle name="Normal 10 5 4 2" xfId="5005" xr:uid="{4342FE0B-AA8F-4CEF-8AD1-7F6AF0BAB1FB}"/>
    <cellStyle name="Normal 10 5 4 2 2" xfId="24354" xr:uid="{A6E43774-BD8C-4352-9908-2DD351546716}"/>
    <cellStyle name="Normal 10 5 4 2 3" xfId="28076" xr:uid="{1B7574FF-4C54-4A95-BA18-173F16F58F3C}"/>
    <cellStyle name="Normal 10 5 4 2 4" xfId="14300" xr:uid="{CA8685CF-F32A-49BA-A644-620267EB76E8}"/>
    <cellStyle name="Normal 10 5 4 3" xfId="6753" xr:uid="{8B908391-30BF-46C0-AA2C-C0D141E31238}"/>
    <cellStyle name="Normal 10 5 4 3 2" xfId="27126" xr:uid="{3F3BF598-F57C-483C-99A5-D3D11EB02E14}"/>
    <cellStyle name="Normal 10 5 4 3 3" xfId="17133" xr:uid="{873FA108-CC8F-47ED-A58C-0134C2E980E2}"/>
    <cellStyle name="Normal 10 5 4 4" xfId="9586" xr:uid="{1E2FBCC0-D82F-4FC5-8A20-6B8C1DB5846F}"/>
    <cellStyle name="Normal 10 5 4 4 2" xfId="19966" xr:uid="{3CD86438-3BE1-48B8-8F94-F0338F604759}"/>
    <cellStyle name="Normal 10 5 4 5" xfId="24983" xr:uid="{4E7198E2-82D7-4B8A-9BC2-CBA7836F1157}"/>
    <cellStyle name="Normal 10 5 4 6" xfId="13395" xr:uid="{7D5D3E02-3D43-4193-B040-52D83F08A6FC}"/>
    <cellStyle name="Normal 10 5 5" xfId="2519" xr:uid="{00000000-0005-0000-0000-000046030000}"/>
    <cellStyle name="Normal 10 5 5 2" xfId="5797" xr:uid="{BBA602D0-A568-4ACB-A67E-F91E93CC6FB9}"/>
    <cellStyle name="Normal 10 5 5 2 2" xfId="27274" xr:uid="{0B555C7B-8EB6-444C-87A4-233D442D0B8D}"/>
    <cellStyle name="Normal 10 5 5 2 3" xfId="15191" xr:uid="{AEB8587F-0FDA-4BC6-9D25-F9DCC8287AB3}"/>
    <cellStyle name="Normal 10 5 5 3" xfId="7644" xr:uid="{2258F18E-951D-40CC-939D-CC1294766736}"/>
    <cellStyle name="Normal 10 5 5 3 2" xfId="18024" xr:uid="{06AFD005-437F-4727-BAE7-1B77907A3A1E}"/>
    <cellStyle name="Normal 10 5 5 4" xfId="10477" xr:uid="{A582D02C-1155-4180-AF05-3E13FA4C7CF6}"/>
    <cellStyle name="Normal 10 5 5 4 2" xfId="20857" xr:uid="{876FD3E6-5094-4C04-8674-5EC01CA7F588}"/>
    <cellStyle name="Normal 10 5 5 5" xfId="22700" xr:uid="{C02C73A9-6AA3-4D62-9381-1FD4F2BFB20C}"/>
    <cellStyle name="Normal 10 5 5 6" xfId="12907" xr:uid="{35683F76-71DE-490F-88CF-96BBEFF827C0}"/>
    <cellStyle name="Normal 10 5 6" xfId="2307" xr:uid="{00000000-0005-0000-0000-000040030000}"/>
    <cellStyle name="Normal 10 5 6 2" xfId="7434" xr:uid="{FC3D809D-CE2E-4EF5-857E-C0DCF26C42B7}"/>
    <cellStyle name="Normal 10 5 6 2 2" xfId="28731" xr:uid="{5C524D39-9C2B-4775-B9F3-C1B576EC8853}"/>
    <cellStyle name="Normal 10 5 6 2 3" xfId="17814" xr:uid="{210D17FB-841F-4727-85E3-5FE3FCC4ADD0}"/>
    <cellStyle name="Normal 10 5 6 3" xfId="10267" xr:uid="{D7731DE1-1F39-414E-94E8-F93ADE22AD36}"/>
    <cellStyle name="Normal 10 5 6 3 2" xfId="20647" xr:uid="{6AB2DD84-FC1E-4FCE-9A41-8AEC43B77AAB}"/>
    <cellStyle name="Normal 10 5 6 4" xfId="23216" xr:uid="{76D85C28-61AE-4219-984D-F64C2F08EF9D}"/>
    <cellStyle name="Normal 10 5 6 5" xfId="14981" xr:uid="{C73A3F77-5F9B-499C-99C1-C10AACA792FB}"/>
    <cellStyle name="Normal 10 5 7" xfId="3908" xr:uid="{8F1ECAB9-B2D0-4C66-A8C8-D8DB6AE70677}"/>
    <cellStyle name="Normal 10 5 7 2" xfId="8740" xr:uid="{3B338859-2BB7-4162-AFF2-8CE799F2D2F0}"/>
    <cellStyle name="Normal 10 5 7 2 2" xfId="19120" xr:uid="{1B97DD6F-C6DE-4CAA-9607-CC5F4AB82DA6}"/>
    <cellStyle name="Normal 10 5 7 3" xfId="11573" xr:uid="{3774D303-F796-402A-B72D-4E421037825C}"/>
    <cellStyle name="Normal 10 5 7 3 2" xfId="21953" xr:uid="{74694248-7D61-4DFB-9E54-39B70FA0DFA2}"/>
    <cellStyle name="Normal 10 5 7 4" xfId="27267" xr:uid="{80689584-B09C-4DBC-87BF-32AC6A054E81}"/>
    <cellStyle name="Normal 10 5 7 5" xfId="16287" xr:uid="{6C2AA31C-BC46-426A-BCD1-F32302E9D9C0}"/>
    <cellStyle name="Normal 10 5 8" xfId="5001" xr:uid="{E8BB7741-C876-45CA-BF01-E4DE7743D2A4}"/>
    <cellStyle name="Normal 10 5 8 2" xfId="14296" xr:uid="{BF531C93-9C84-44B1-B904-F3017FB86359}"/>
    <cellStyle name="Normal 10 5 9" xfId="6749" xr:uid="{60DF6826-08A1-4306-AFE5-63AAD1DDEB6D}"/>
    <cellStyle name="Normal 10 5 9 2" xfId="17129" xr:uid="{E47FA28B-42D9-4FDB-980B-CAB964F7C739}"/>
    <cellStyle name="Normal 10 6" xfId="646" xr:uid="{00000000-0005-0000-0000-000032040000}"/>
    <cellStyle name="Normal 10 6 10" xfId="9587" xr:uid="{BF9B7503-A44F-4390-8711-F07ABCCD2540}"/>
    <cellStyle name="Normal 10 6 10 2" xfId="19967" xr:uid="{8D28974B-C0A7-4A9A-9372-EF4CD004BAA0}"/>
    <cellStyle name="Normal 10 6 11" xfId="22727" xr:uid="{5324FDD6-CA57-4197-9D3A-497320850AF3}"/>
    <cellStyle name="Normal 10 6 12" xfId="12540" xr:uid="{920E345F-4955-448A-AE07-68A5F8ACB112}"/>
    <cellStyle name="Normal 10 6 2" xfId="647" xr:uid="{00000000-0005-0000-0000-000033040000}"/>
    <cellStyle name="Normal 10 6 2 2" xfId="648" xr:uid="{00000000-0005-0000-0000-000034040000}"/>
    <cellStyle name="Normal 10 6 2 2 2" xfId="5008" xr:uid="{39B56996-BACF-4C65-A039-1E7FA06B282E}"/>
    <cellStyle name="Normal 10 6 2 2 2 2" xfId="23704" xr:uid="{FA70729C-931C-4F65-90D9-27DCECD14F7E}"/>
    <cellStyle name="Normal 10 6 2 2 2 3" xfId="26250" xr:uid="{5EE40F8D-F9A4-4B99-822E-0104FF14354B}"/>
    <cellStyle name="Normal 10 6 2 2 2 4" xfId="14303" xr:uid="{10A92140-0D30-4480-BE1A-B6DC52AB4AE1}"/>
    <cellStyle name="Normal 10 6 2 2 3" xfId="6756" xr:uid="{A3F6FFA8-BCE9-488B-9DAC-B79C01361B55}"/>
    <cellStyle name="Normal 10 6 2 2 3 2" xfId="27559" xr:uid="{110C6E9B-7D3A-4776-8589-104B17B83A69}"/>
    <cellStyle name="Normal 10 6 2 2 3 3" xfId="26634" xr:uid="{F8DD828C-3596-4401-950D-AEDD6C57E035}"/>
    <cellStyle name="Normal 10 6 2 2 3 4" xfId="17136" xr:uid="{8F5C6642-B6A5-4231-A1E7-37158AF94102}"/>
    <cellStyle name="Normal 10 6 2 2 4" xfId="9589" xr:uid="{305A9460-1FB6-4B41-8A6E-1AAE76A5C45A}"/>
    <cellStyle name="Normal 10 6 2 2 4 2" xfId="29364" xr:uid="{61129D0B-387D-43DF-A959-20681714EEBD}"/>
    <cellStyle name="Normal 10 6 2 2 4 3" xfId="19969" xr:uid="{77C006B7-64F7-4BAE-AB5B-40567A449837}"/>
    <cellStyle name="Normal 10 6 2 2 5" xfId="23512" xr:uid="{1B56C959-4940-425F-953A-BE4766795580}"/>
    <cellStyle name="Normal 10 6 2 2 6" xfId="13668" xr:uid="{19F67F96-623F-4268-81C2-6B6E4B910625}"/>
    <cellStyle name="Normal 10 6 2 3" xfId="2711" xr:uid="{00000000-0005-0000-0000-00004A030000}"/>
    <cellStyle name="Normal 10 6 2 3 2" xfId="5929" xr:uid="{5982D64B-25C3-4AA1-B3A0-5D662BD0F663}"/>
    <cellStyle name="Normal 10 6 2 3 2 2" xfId="27902" xr:uid="{7E953B40-9F92-4B00-85F0-A374002C4C29}"/>
    <cellStyle name="Normal 10 6 2 3 2 3" xfId="15382" xr:uid="{0CE8BE64-1BB4-466E-8F36-32925D194118}"/>
    <cellStyle name="Normal 10 6 2 3 3" xfId="7835" xr:uid="{E59735AA-3C3C-4813-AF49-F60A6B61A21D}"/>
    <cellStyle name="Normal 10 6 2 3 3 2" xfId="18215" xr:uid="{0DC37640-7389-4FC8-8837-844B7798AD45}"/>
    <cellStyle name="Normal 10 6 2 3 4" xfId="10668" xr:uid="{2E3654C4-1C74-4339-9077-F92F9F9760F7}"/>
    <cellStyle name="Normal 10 6 2 3 4 2" xfId="21048" xr:uid="{880B7BB3-86A3-475B-935A-15DA7BC57CF9}"/>
    <cellStyle name="Normal 10 6 2 3 5" xfId="25295" xr:uid="{95709B43-6BF3-48EB-A15D-1920011B77FD}"/>
    <cellStyle name="Normal 10 6 2 3 6" xfId="13133" xr:uid="{F97B7FDC-819B-42EA-A182-A16499E8E5BA}"/>
    <cellStyle name="Normal 10 6 2 4" xfId="4150" xr:uid="{EAC5EE57-A6D6-4D64-8CB4-5F4C05BE2785}"/>
    <cellStyle name="Normal 10 6 2 4 2" xfId="8922" xr:uid="{B5C4E55E-AC21-412A-98AF-BE94B7998617}"/>
    <cellStyle name="Normal 10 6 2 4 2 2" xfId="29021" xr:uid="{880A3DEA-76D8-4573-A4D0-5E4C9480521D}"/>
    <cellStyle name="Normal 10 6 2 4 2 3" xfId="19302" xr:uid="{DBBE1912-80A6-4A42-A3FC-441F30A86E8B}"/>
    <cellStyle name="Normal 10 6 2 4 3" xfId="11755" xr:uid="{8E1B8FA6-9491-4279-BC88-632B6882E82C}"/>
    <cellStyle name="Normal 10 6 2 4 3 2" xfId="22135" xr:uid="{FF12EACC-A967-47BE-BE98-85132AE840E3}"/>
    <cellStyle name="Normal 10 6 2 4 4" xfId="25069" xr:uid="{0E0762A2-528D-416B-9669-382F11E08718}"/>
    <cellStyle name="Normal 10 6 2 4 5" xfId="16469" xr:uid="{DE694583-FED0-46AA-85CF-E78DF760D596}"/>
    <cellStyle name="Normal 10 6 2 5" xfId="5007" xr:uid="{DF1F6823-25E7-4F05-B57E-1EB8AA24D56D}"/>
    <cellStyle name="Normal 10 6 2 5 2" xfId="26552" xr:uid="{A0F6A9B4-5712-4C48-BDE6-DCD858684072}"/>
    <cellStyle name="Normal 10 6 2 5 3" xfId="14302" xr:uid="{84ACA945-8CE1-4B7E-82F0-C166E3A49B8C}"/>
    <cellStyle name="Normal 10 6 2 6" xfId="6755" xr:uid="{9F471B51-AA82-43BA-A861-84BE83FCD1DC}"/>
    <cellStyle name="Normal 10 6 2 6 2" xfId="17135" xr:uid="{A8ED8A8A-D036-48DD-ABBA-ED8B778C2FE3}"/>
    <cellStyle name="Normal 10 6 2 7" xfId="9588" xr:uid="{25BBE8C9-962D-48BE-A0BD-CF2937216FEC}"/>
    <cellStyle name="Normal 10 6 2 7 2" xfId="19968" xr:uid="{BDC739E1-E4E4-4E6B-A607-0B284BF6181C}"/>
    <cellStyle name="Normal 10 6 2 8" xfId="24089" xr:uid="{A2D4E8B2-D1DA-4754-A7F5-B003BAD84636}"/>
    <cellStyle name="Normal 10 6 2 9" xfId="12698" xr:uid="{34815816-84EF-47F5-8A53-5BDEE672354A}"/>
    <cellStyle name="Normal 10 6 3" xfId="649" xr:uid="{00000000-0005-0000-0000-000035040000}"/>
    <cellStyle name="Normal 10 6 3 2" xfId="4449" xr:uid="{F34BD96A-DB02-481B-9106-BFF9E529D8D4}"/>
    <cellStyle name="Normal 10 6 3 2 2" xfId="9221" xr:uid="{B885A5E0-403D-44AF-9BE1-09DAF86C44C0}"/>
    <cellStyle name="Normal 10 6 3 2 2 2" xfId="29214" xr:uid="{C1E3D8E8-BE48-47A5-B322-D45967D645FE}"/>
    <cellStyle name="Normal 10 6 3 2 2 3" xfId="19601" xr:uid="{16BA06DF-F5B4-43E4-AB90-6062B7824A70}"/>
    <cellStyle name="Normal 10 6 3 2 3" xfId="12054" xr:uid="{9CE428CC-3F08-4A0B-AB7D-6EAE5E11E180}"/>
    <cellStyle name="Normal 10 6 3 2 3 2" xfId="22434" xr:uid="{8D085CAC-80A9-49FB-962B-432B8CE290D6}"/>
    <cellStyle name="Normal 10 6 3 2 4" xfId="24864" xr:uid="{B3055D71-81D0-437D-9D41-F2836BE07C9E}"/>
    <cellStyle name="Normal 10 6 3 2 5" xfId="16768" xr:uid="{4A766B7B-E0F0-456B-A7A7-B6061B2E056F}"/>
    <cellStyle name="Normal 10 6 3 3" xfId="5009" xr:uid="{B637C1DD-301C-44F4-B7A7-79AD509BD66D}"/>
    <cellStyle name="Normal 10 6 3 3 2" xfId="26761" xr:uid="{0A587C40-267B-43F6-8529-3D992534D524}"/>
    <cellStyle name="Normal 10 6 3 3 3" xfId="26383" xr:uid="{8A39AC38-4960-4189-A4F2-FEA8F3F1D7E7}"/>
    <cellStyle name="Normal 10 6 3 3 4" xfId="14304" xr:uid="{6636712E-787F-45E7-B7CE-7C4B22CF90BB}"/>
    <cellStyle name="Normal 10 6 3 4" xfId="6757" xr:uid="{521F4715-30F3-450A-8E70-59A4C856F53B}"/>
    <cellStyle name="Normal 10 6 3 4 2" xfId="28494" xr:uid="{68D5B81F-06F9-4F91-8DA7-F99E5FB63E70}"/>
    <cellStyle name="Normal 10 6 3 4 3" xfId="27730" xr:uid="{A66326AE-615D-4899-9097-F01331D0DC14}"/>
    <cellStyle name="Normal 10 6 3 4 4" xfId="17137" xr:uid="{DFE05748-833C-49B5-8FC2-581C2F669F45}"/>
    <cellStyle name="Normal 10 6 3 5" xfId="9590" xr:uid="{9BEA53C0-A74E-473E-95EB-6E1EFC8E46DA}"/>
    <cellStyle name="Normal 10 6 3 5 2" xfId="29365" xr:uid="{1B00EA1A-C873-4984-AD72-859ACAA6BCF7}"/>
    <cellStyle name="Normal 10 6 3 5 3" xfId="19970" xr:uid="{C54DFF6E-8683-4C6A-AE25-D82FB9F4C314}"/>
    <cellStyle name="Normal 10 6 3 6" xfId="23753" xr:uid="{C3E94CB5-A5A2-47A9-A8D2-C9F20271064B}"/>
    <cellStyle name="Normal 10 6 3 7" xfId="13669" xr:uid="{431234E6-A6AB-4CDD-9650-3B70FE740AD1}"/>
    <cellStyle name="Normal 10 6 4" xfId="650" xr:uid="{00000000-0005-0000-0000-000036040000}"/>
    <cellStyle name="Normal 10 6 4 2" xfId="5010" xr:uid="{CDC7742B-7B1D-44B1-A6C7-1F7BF825D790}"/>
    <cellStyle name="Normal 10 6 4 2 2" xfId="25619" xr:uid="{90403AD1-87A2-4A06-B8D4-461532C87A2B}"/>
    <cellStyle name="Normal 10 6 4 2 3" xfId="26949" xr:uid="{8F25B05A-6692-41D6-AC10-02DF8228ABF7}"/>
    <cellStyle name="Normal 10 6 4 2 4" xfId="14305" xr:uid="{DE45C426-2429-44FA-BF31-64B37C6D2B76}"/>
    <cellStyle name="Normal 10 6 4 3" xfId="6758" xr:uid="{8DD2C49C-88CC-4D1E-9FC3-B3DB4EDF03DE}"/>
    <cellStyle name="Normal 10 6 4 3 2" xfId="27045" xr:uid="{29447C94-2B87-406A-A6EC-A96BA26D6005}"/>
    <cellStyle name="Normal 10 6 4 3 3" xfId="17138" xr:uid="{DA62D91E-8730-4317-BBDC-371015900A8A}"/>
    <cellStyle name="Normal 10 6 4 4" xfId="9591" xr:uid="{8D5F5DC9-0F6D-4E91-BB28-C2224301C004}"/>
    <cellStyle name="Normal 10 6 4 4 2" xfId="19971" xr:uid="{BDE4E12D-F3FD-40EB-ADC3-760BA283CA50}"/>
    <cellStyle name="Normal 10 6 4 5" xfId="23636" xr:uid="{EA37B6BC-5E00-4185-891A-4FC7F30E6DE9}"/>
    <cellStyle name="Normal 10 6 4 6" xfId="13396" xr:uid="{AE8005BD-9DD0-4DFB-9025-EA49D1ED0B05}"/>
    <cellStyle name="Normal 10 6 5" xfId="2582" xr:uid="{00000000-0005-0000-0000-00004D030000}"/>
    <cellStyle name="Normal 10 6 5 2" xfId="5847" xr:uid="{FE6DE163-301C-4795-9D06-4A5573B6961C}"/>
    <cellStyle name="Normal 10 6 5 2 2" xfId="26621" xr:uid="{3B123A76-95AA-4AF0-B4E8-68558BE41F55}"/>
    <cellStyle name="Normal 10 6 5 2 3" xfId="15254" xr:uid="{508EC014-028B-40B4-A293-3AE342E1137C}"/>
    <cellStyle name="Normal 10 6 5 3" xfId="7707" xr:uid="{03F66AF6-0F94-47D4-BCE0-E4F38834EC61}"/>
    <cellStyle name="Normal 10 6 5 3 2" xfId="18087" xr:uid="{09400E10-ADC3-428B-86CB-4AF8165E69E4}"/>
    <cellStyle name="Normal 10 6 5 4" xfId="10540" xr:uid="{86986A51-A91C-4172-AC43-10C674BD080F}"/>
    <cellStyle name="Normal 10 6 5 4 2" xfId="20920" xr:uid="{22F9676A-0A99-40C1-8725-F5A266751B24}"/>
    <cellStyle name="Normal 10 6 5 5" xfId="23404" xr:uid="{E89352E2-534E-475D-8CD3-48D0129E04DA}"/>
    <cellStyle name="Normal 10 6 5 6" xfId="12970" xr:uid="{D3105435-CF6A-4D95-9759-F0B25EEDE91F}"/>
    <cellStyle name="Normal 10 6 6" xfId="2308" xr:uid="{00000000-0005-0000-0000-000047030000}"/>
    <cellStyle name="Normal 10 6 6 2" xfId="7435" xr:uid="{F1276FE4-3F1A-44B8-B22D-1BCFFE76D63A}"/>
    <cellStyle name="Normal 10 6 6 2 2" xfId="26779" xr:uid="{B0BBD40A-C10E-4E20-8B65-20FF403BF4C4}"/>
    <cellStyle name="Normal 10 6 6 2 3" xfId="17815" xr:uid="{C074B1F8-18E2-4DEE-A23E-D7FDFD521CA2}"/>
    <cellStyle name="Normal 10 6 6 3" xfId="10268" xr:uid="{285AAFDB-F04D-43BE-9987-4E22A93AECB8}"/>
    <cellStyle name="Normal 10 6 6 3 2" xfId="20648" xr:uid="{B193B365-E63E-4F24-A47E-36330FBA0B4B}"/>
    <cellStyle name="Normal 10 6 6 4" xfId="24798" xr:uid="{9786D1C4-93E6-461A-BB9A-2F390036C635}"/>
    <cellStyle name="Normal 10 6 6 5" xfId="14982" xr:uid="{958DBBFA-20D9-4A0B-BE07-59CAABDC4B74}"/>
    <cellStyle name="Normal 10 6 7" xfId="3909" xr:uid="{A60CFB81-47FF-43EC-B87D-7B2942726973}"/>
    <cellStyle name="Normal 10 6 7 2" xfId="8741" xr:uid="{117CF4B0-DC20-439A-9C13-DE813CBE2479}"/>
    <cellStyle name="Normal 10 6 7 2 2" xfId="19121" xr:uid="{6D224E80-2EC9-4682-B730-A7D49657996C}"/>
    <cellStyle name="Normal 10 6 7 3" xfId="11574" xr:uid="{6E3979E6-29FC-4AD6-A1C8-A556A0047BFD}"/>
    <cellStyle name="Normal 10 6 7 3 2" xfId="21954" xr:uid="{0D3647C2-022A-4930-85A8-0685315DF9D0}"/>
    <cellStyle name="Normal 10 6 7 4" xfId="26979" xr:uid="{1AFC1FBA-F9D5-46EC-A43F-0046A8D48EC0}"/>
    <cellStyle name="Normal 10 6 7 5" xfId="16288" xr:uid="{946ACEF6-C366-4EA0-B9A2-DD5644EA8DD7}"/>
    <cellStyle name="Normal 10 6 8" xfId="5006" xr:uid="{CFAADE8E-03E3-433D-842C-3097079E60E5}"/>
    <cellStyle name="Normal 10 6 8 2" xfId="14301" xr:uid="{BD482CB5-9EAB-4853-B0E2-071175A9790D}"/>
    <cellStyle name="Normal 10 6 9" xfId="6754" xr:uid="{2058E728-6CCA-4E62-8143-E5BCB0205D8E}"/>
    <cellStyle name="Normal 10 6 9 2" xfId="17134" xr:uid="{FAA1640A-AFD2-4287-AD13-70DFDB6442C3}"/>
    <cellStyle name="Normal 10 7" xfId="651" xr:uid="{00000000-0005-0000-0000-000037040000}"/>
    <cellStyle name="Normal 10 7 10" xfId="12541" xr:uid="{F821FDA3-12BC-4518-8F28-E452748F667F}"/>
    <cellStyle name="Normal 10 7 2" xfId="652" xr:uid="{00000000-0005-0000-0000-000038040000}"/>
    <cellStyle name="Normal 10 7 2 2" xfId="2893" xr:uid="{00000000-0005-0000-0000-000050030000}"/>
    <cellStyle name="Normal 10 7 2 2 2" xfId="6079" xr:uid="{CC2ECD8F-407B-4927-ABEA-D40D40D24F66}"/>
    <cellStyle name="Normal 10 7 2 2 2 2" xfId="27282" xr:uid="{882C2F25-DCBF-4694-AA17-02BB48F7B57E}"/>
    <cellStyle name="Normal 10 7 2 2 2 3" xfId="26433" xr:uid="{DF87DB64-E865-49CB-9FDC-157286E0647D}"/>
    <cellStyle name="Normal 10 7 2 2 2 4" xfId="15557" xr:uid="{7EA5F5C9-C78D-415C-9D6F-9362545C0D7C}"/>
    <cellStyle name="Normal 10 7 2 2 3" xfId="8010" xr:uid="{94FA797D-4915-4A54-A568-7FEF5F6F8D40}"/>
    <cellStyle name="Normal 10 7 2 2 3 2" xfId="28451" xr:uid="{AEE86EF5-1F81-4D7C-8A04-C59592590F03}"/>
    <cellStyle name="Normal 10 7 2 2 3 3" xfId="18390" xr:uid="{228C6A02-AE5C-4173-A679-937E957CD907}"/>
    <cellStyle name="Normal 10 7 2 2 4" xfId="10843" xr:uid="{CF1B72B4-4A3F-4F90-A469-E1241D344A7F}"/>
    <cellStyle name="Normal 10 7 2 2 4 2" xfId="21223" xr:uid="{45CCC362-57C6-49C0-993A-DE7C70B0BADB}"/>
    <cellStyle name="Normal 10 7 2 2 5" xfId="24894" xr:uid="{57C54EAD-27D1-4A4D-9B91-6F36FCFB2DFE}"/>
    <cellStyle name="Normal 10 7 2 2 6" xfId="13397" xr:uid="{5FF3E50C-48B5-4A13-A404-BC06F6BFCA6D}"/>
    <cellStyle name="Normal 10 7 2 3" xfId="5012" xr:uid="{FBDBE7E8-6F8E-4593-9927-D38559C06384}"/>
    <cellStyle name="Normal 10 7 2 3 2" xfId="25202" xr:uid="{992B24E4-E892-44B1-90A3-931ACC9D3048}"/>
    <cellStyle name="Normal 10 7 2 3 3" xfId="28700" xr:uid="{90F417C6-03DE-4C3A-92A9-AC7D5FE1C73C}"/>
    <cellStyle name="Normal 10 7 2 3 4" xfId="14307" xr:uid="{0CF190E2-42DC-4B88-88DA-17A866438CF3}"/>
    <cellStyle name="Normal 10 7 2 4" xfId="6760" xr:uid="{A0459E73-A983-4DDF-9714-8E97BD05D5D6}"/>
    <cellStyle name="Normal 10 7 2 4 2" xfId="28298" xr:uid="{A292C127-3B59-4345-8BF7-9EC1B8D0DC4A}"/>
    <cellStyle name="Normal 10 7 2 4 3" xfId="27532" xr:uid="{EAD04638-6469-4367-8D06-21510AA38F8E}"/>
    <cellStyle name="Normal 10 7 2 4 4" xfId="17140" xr:uid="{558ABC0A-95E8-4546-9D32-71B526151466}"/>
    <cellStyle name="Normal 10 7 2 5" xfId="9593" xr:uid="{1784AC74-1DFC-4771-AE3E-D68ED207F8EE}"/>
    <cellStyle name="Normal 10 7 2 5 2" xfId="29366" xr:uid="{CF24331F-8507-4C5D-BFCC-1D3F38373ABE}"/>
    <cellStyle name="Normal 10 7 2 5 3" xfId="19973" xr:uid="{C3ECC58A-68DB-4012-A294-0326A38AC199}"/>
    <cellStyle name="Normal 10 7 2 6" xfId="22778" xr:uid="{B22A62FB-71E1-4CEA-8DA1-514420CD1381}"/>
    <cellStyle name="Normal 10 7 2 7" xfId="12699" xr:uid="{E4679F30-9D82-48AD-8C5B-CE3E86709B40}"/>
    <cellStyle name="Normal 10 7 3" xfId="653" xr:uid="{00000000-0005-0000-0000-000039040000}"/>
    <cellStyle name="Normal 10 7 3 2" xfId="5013" xr:uid="{C88D703C-81D9-4E77-A9D3-E3A21517C11B}"/>
    <cellStyle name="Normal 10 7 3 2 2" xfId="26638" xr:uid="{D73DE642-9C95-4957-8D2E-3DF02C734610}"/>
    <cellStyle name="Normal 10 7 3 2 3" xfId="26236" xr:uid="{638ADA3B-9727-4610-9F27-6A8251079301}"/>
    <cellStyle name="Normal 10 7 3 2 4" xfId="14308" xr:uid="{97DB6D93-0FB0-40C0-8035-803DA0B0EED5}"/>
    <cellStyle name="Normal 10 7 3 3" xfId="6761" xr:uid="{4E8E6403-062F-4D33-B367-EFB72E124076}"/>
    <cellStyle name="Normal 10 7 3 3 2" xfId="26747" xr:uid="{50992C7C-F8DB-4CD2-A1D6-F4DB4AA7DF31}"/>
    <cellStyle name="Normal 10 7 3 3 3" xfId="26568" xr:uid="{5EE0FC62-3A65-427E-BAF7-A25739160E17}"/>
    <cellStyle name="Normal 10 7 3 3 4" xfId="17141" xr:uid="{A8AA640D-8C7D-4575-AAFC-4DAADC06BCDA}"/>
    <cellStyle name="Normal 10 7 3 4" xfId="9594" xr:uid="{EE2FC9AD-A65D-4B9A-8732-6B708047D937}"/>
    <cellStyle name="Normal 10 7 3 4 2" xfId="29367" xr:uid="{32611AD5-F7BB-4BC4-BCB9-A2E09C46AC95}"/>
    <cellStyle name="Normal 10 7 3 4 3" xfId="19974" xr:uid="{2B1A8C81-742B-46B5-84AD-00923842F051}"/>
    <cellStyle name="Normal 10 7 3 5" xfId="22871" xr:uid="{4DDD050D-7732-43E9-90C4-007065CD737D}"/>
    <cellStyle name="Normal 10 7 3 6" xfId="13134" xr:uid="{5F5A99A5-EF3A-4D04-B501-071509441D16}"/>
    <cellStyle name="Normal 10 7 4" xfId="2309" xr:uid="{00000000-0005-0000-0000-00004E030000}"/>
    <cellStyle name="Normal 10 7 4 2" xfId="7436" xr:uid="{BAF217EA-ABDC-42D9-9E6F-41A7B7DE8930}"/>
    <cellStyle name="Normal 10 7 4 2 2" xfId="28147" xr:uid="{A559740B-61C2-4534-A1F4-8F727F634966}"/>
    <cellStyle name="Normal 10 7 4 2 3" xfId="17816" xr:uid="{AB56073A-238B-40AC-BFBA-98C82DDD024F}"/>
    <cellStyle name="Normal 10 7 4 3" xfId="10269" xr:uid="{DDDC7BD6-B3FE-46EE-9E13-DD6DB8618B71}"/>
    <cellStyle name="Normal 10 7 4 3 2" xfId="20649" xr:uid="{C96C7EF9-3262-4674-BF86-7BD8EC2521DD}"/>
    <cellStyle name="Normal 10 7 4 4" xfId="23390" xr:uid="{458D4371-4EFE-4C1D-832F-9A8A629CD593}"/>
    <cellStyle name="Normal 10 7 4 5" xfId="14983" xr:uid="{B299F396-D6F3-4F44-804C-772EFBD69A4E}"/>
    <cellStyle name="Normal 10 7 5" xfId="3910" xr:uid="{61C603DD-50F2-47B0-BCA8-B5EB6B4B49E1}"/>
    <cellStyle name="Normal 10 7 5 2" xfId="8742" xr:uid="{B49ABC57-6C3A-4AA0-B697-397F7ABD4B90}"/>
    <cellStyle name="Normal 10 7 5 2 2" xfId="28970" xr:uid="{ECD4C1E9-2E16-4E43-BC25-666E2AB156C1}"/>
    <cellStyle name="Normal 10 7 5 2 3" xfId="19122" xr:uid="{17C24AE6-B0A5-4521-86AC-96BAD9EAE656}"/>
    <cellStyle name="Normal 10 7 5 3" xfId="11575" xr:uid="{C81BDC82-E733-4F9D-938D-25440A8EEDD4}"/>
    <cellStyle name="Normal 10 7 5 3 2" xfId="21955" xr:uid="{DE0AD418-101F-4343-93B5-357FED240FAF}"/>
    <cellStyle name="Normal 10 7 5 4" xfId="25690" xr:uid="{DA66FF33-3ED4-4FF5-884F-8E76CA287F4D}"/>
    <cellStyle name="Normal 10 7 5 5" xfId="16289" xr:uid="{3A0456F9-E35C-4571-BD66-61535D499AF1}"/>
    <cellStyle name="Normal 10 7 6" xfId="5011" xr:uid="{85677112-D774-4197-804C-C7161A506172}"/>
    <cellStyle name="Normal 10 7 6 2" xfId="26309" xr:uid="{7EF06433-0338-44F1-A066-86EA325F5537}"/>
    <cellStyle name="Normal 10 7 6 3" xfId="27162" xr:uid="{EAE7A6D8-C933-46E4-B21C-514D984637C4}"/>
    <cellStyle name="Normal 10 7 6 4" xfId="14306" xr:uid="{2B4195E4-819A-4BBE-99A5-78CA492C5487}"/>
    <cellStyle name="Normal 10 7 7" xfId="6759" xr:uid="{6CB15D54-D6BE-4B60-8229-8F91DBFF0962}"/>
    <cellStyle name="Normal 10 7 7 2" xfId="27450" xr:uid="{4345BBE0-7708-4EFA-B388-A2920912B8B0}"/>
    <cellStyle name="Normal 10 7 7 3" xfId="17139" xr:uid="{3FA8B168-32A7-44B9-A805-AC0D19DB1902}"/>
    <cellStyle name="Normal 10 7 8" xfId="9592" xr:uid="{A30B71C2-1253-4D9E-8E5A-96397D10B1A0}"/>
    <cellStyle name="Normal 10 7 8 2" xfId="19972" xr:uid="{68E2C79B-3351-427E-90A4-9F8EE4F19241}"/>
    <cellStyle name="Normal 10 7 9" xfId="22895" xr:uid="{EE917F65-BFB8-4AFD-A29D-EA140501DFF2}"/>
    <cellStyle name="Normal 10 8" xfId="654" xr:uid="{00000000-0005-0000-0000-00003A040000}"/>
    <cellStyle name="Normal 10 8 10" xfId="12542" xr:uid="{EE31A128-3B45-438F-9726-B19FCB184595}"/>
    <cellStyle name="Normal 10 8 2" xfId="655" xr:uid="{00000000-0005-0000-0000-00003B040000}"/>
    <cellStyle name="Normal 10 8 2 2" xfId="2894" xr:uid="{00000000-0005-0000-0000-000054030000}"/>
    <cellStyle name="Normal 10 8 2 2 2" xfId="6080" xr:uid="{A0CFB994-EA60-4B02-AA68-B03074C76735}"/>
    <cellStyle name="Normal 10 8 2 2 2 2" xfId="28399" xr:uid="{D5975A2B-9295-469A-A133-0EBC572336E0}"/>
    <cellStyle name="Normal 10 8 2 2 2 3" xfId="27064" xr:uid="{70555EC4-546F-41C0-B750-52D6A322269C}"/>
    <cellStyle name="Normal 10 8 2 2 2 4" xfId="15558" xr:uid="{794DBC6E-14A2-4734-99F7-70D117FBBAD0}"/>
    <cellStyle name="Normal 10 8 2 2 3" xfId="8011" xr:uid="{FBAF8402-64FF-45F9-A42F-592C594DC771}"/>
    <cellStyle name="Normal 10 8 2 2 3 2" xfId="25987" xr:uid="{9097DAC1-B209-4E21-AE4E-BCAE804BAEFE}"/>
    <cellStyle name="Normal 10 8 2 2 3 3" xfId="18391" xr:uid="{CAE71BF5-3F3D-4465-B553-BCFC6E73AF9D}"/>
    <cellStyle name="Normal 10 8 2 2 4" xfId="10844" xr:uid="{6FC633C3-D4A3-42B9-AFCB-1ECA9A33E754}"/>
    <cellStyle name="Normal 10 8 2 2 4 2" xfId="21224" xr:uid="{1D1CE3C8-1DB9-4DB7-A522-1FDDFAADDA5E}"/>
    <cellStyle name="Normal 10 8 2 2 5" xfId="24858" xr:uid="{EB632C0D-AD4B-4FCC-8228-E986BEAEE4B1}"/>
    <cellStyle name="Normal 10 8 2 2 6" xfId="13398" xr:uid="{4FED0E67-E53E-4A17-AAA0-0A54730B296C}"/>
    <cellStyle name="Normal 10 8 2 3" xfId="5015" xr:uid="{409B2478-6962-4107-A19E-0FB21C35F15C}"/>
    <cellStyle name="Normal 10 8 2 3 2" xfId="24767" xr:uid="{CFA91C3D-2253-4631-B07D-0522ADC66C9B}"/>
    <cellStyle name="Normal 10 8 2 3 3" xfId="28166" xr:uid="{972AC645-2F54-44C0-987C-BB9102FC5DE8}"/>
    <cellStyle name="Normal 10 8 2 3 4" xfId="14310" xr:uid="{2D2E11D5-34E7-4B68-A643-72F678070917}"/>
    <cellStyle name="Normal 10 8 2 4" xfId="6763" xr:uid="{1584479C-892A-4314-962F-4E68ADB6D5E5}"/>
    <cellStyle name="Normal 10 8 2 4 2" xfId="28375" xr:uid="{CA89F0A2-B79D-43E4-9223-BD20D06DFA40}"/>
    <cellStyle name="Normal 10 8 2 4 3" xfId="26654" xr:uid="{F72933AC-3920-49BC-A29A-2ADF779F0C81}"/>
    <cellStyle name="Normal 10 8 2 4 4" xfId="17143" xr:uid="{21D46F1C-F270-4F2E-B443-4BE2392A6BB7}"/>
    <cellStyle name="Normal 10 8 2 5" xfId="9596" xr:uid="{317A581C-C5FB-445B-93C4-0A1BE1730DE7}"/>
    <cellStyle name="Normal 10 8 2 5 2" xfId="29368" xr:uid="{D0F43B31-E562-48A9-9176-AA5F40F37B3C}"/>
    <cellStyle name="Normal 10 8 2 5 3" xfId="19976" xr:uid="{92C0130D-6161-4069-ACD0-5D1D49843D38}"/>
    <cellStyle name="Normal 10 8 2 6" xfId="24667" xr:uid="{8DE1D7DF-FF9D-4516-A4A3-9FF161B67641}"/>
    <cellStyle name="Normal 10 8 2 7" xfId="12700" xr:uid="{F3D7643F-E5BE-412E-90FF-8EDF06986B0A}"/>
    <cellStyle name="Normal 10 8 3" xfId="656" xr:uid="{00000000-0005-0000-0000-00003C040000}"/>
    <cellStyle name="Normal 10 8 3 2" xfId="5016" xr:uid="{CAE5D93E-5D45-48CC-B987-3875BFAADF96}"/>
    <cellStyle name="Normal 10 8 3 2 2" xfId="26530" xr:uid="{47C137B0-9F61-45C8-BF19-4E2E1C05E6FE}"/>
    <cellStyle name="Normal 10 8 3 2 3" xfId="27572" xr:uid="{E8F109B9-33A9-41CC-91A6-5AB2C9B69C61}"/>
    <cellStyle name="Normal 10 8 3 2 4" xfId="14311" xr:uid="{AB4E8A9C-01B8-438D-9B99-62BE1966F05F}"/>
    <cellStyle name="Normal 10 8 3 3" xfId="6764" xr:uid="{A22C5863-B2D3-4AEC-A96F-85228836E625}"/>
    <cellStyle name="Normal 10 8 3 3 2" xfId="26857" xr:uid="{6ABAE12B-5A3C-48EC-A6EA-795259A43F37}"/>
    <cellStyle name="Normal 10 8 3 3 3" xfId="26174" xr:uid="{64A3C3EE-5345-4EA9-A7ED-8F7696168E86}"/>
    <cellStyle name="Normal 10 8 3 3 4" xfId="17144" xr:uid="{734FADE0-5EE3-4874-8BF2-008752407627}"/>
    <cellStyle name="Normal 10 8 3 4" xfId="9597" xr:uid="{EB7E1E39-BF3C-4703-8287-CB441AAE210D}"/>
    <cellStyle name="Normal 10 8 3 4 2" xfId="29369" xr:uid="{B25A99E3-6995-487D-A1B1-71C4FF5FF6CF}"/>
    <cellStyle name="Normal 10 8 3 4 3" xfId="19977" xr:uid="{F471CF1F-0349-4DBC-9773-0612DF90A625}"/>
    <cellStyle name="Normal 10 8 3 5" xfId="23462" xr:uid="{D0EFAB01-FE0D-4A03-A9A3-CA9F0E3D1FE0}"/>
    <cellStyle name="Normal 10 8 3 6" xfId="13135" xr:uid="{35FEE4B3-836F-4F9E-9143-C316473FB6F6}"/>
    <cellStyle name="Normal 10 8 4" xfId="2310" xr:uid="{00000000-0005-0000-0000-000052030000}"/>
    <cellStyle name="Normal 10 8 4 2" xfId="7437" xr:uid="{8FF68166-9F49-494D-8462-25DE2B08EE2E}"/>
    <cellStyle name="Normal 10 8 4 2 2" xfId="26886" xr:uid="{4669CDC5-AE32-433E-B6A4-3AE4679915BE}"/>
    <cellStyle name="Normal 10 8 4 2 3" xfId="17817" xr:uid="{70364681-6142-4D63-B7DE-0F5B7101ADAD}"/>
    <cellStyle name="Normal 10 8 4 3" xfId="10270" xr:uid="{488C0532-C5F5-45E2-B7BD-5CA7C011EA91}"/>
    <cellStyle name="Normal 10 8 4 3 2" xfId="20650" xr:uid="{30FDD3FA-02F4-47DB-8A7A-CAC4633D2432}"/>
    <cellStyle name="Normal 10 8 4 4" xfId="24217" xr:uid="{5EFFEEF8-FFC8-4640-85FA-258239ACB54A}"/>
    <cellStyle name="Normal 10 8 4 5" xfId="14984" xr:uid="{C9A74A77-D189-4A5F-BE8B-C46B08914AE5}"/>
    <cellStyle name="Normal 10 8 5" xfId="3911" xr:uid="{C8F123DD-E0F6-4353-820B-E926F9972A75}"/>
    <cellStyle name="Normal 10 8 5 2" xfId="8743" xr:uid="{8F970CBC-8B8E-4BE5-91D5-B32D299E0C52}"/>
    <cellStyle name="Normal 10 8 5 2 2" xfId="28971" xr:uid="{1B312749-DA4D-4BFD-8951-FB227F931A60}"/>
    <cellStyle name="Normal 10 8 5 2 3" xfId="19123" xr:uid="{F076B2C6-4BA3-4F4A-9744-89DC8E5F2DA0}"/>
    <cellStyle name="Normal 10 8 5 3" xfId="11576" xr:uid="{DAE36C14-F7EF-42EC-9DDD-DA03FD75FAFE}"/>
    <cellStyle name="Normal 10 8 5 3 2" xfId="21956" xr:uid="{D7DADB29-3C49-4D5F-B11D-4483FA22B25D}"/>
    <cellStyle name="Normal 10 8 5 4" xfId="23051" xr:uid="{6A8155D8-4B40-41BD-8C49-098456DFD963}"/>
    <cellStyle name="Normal 10 8 5 5" xfId="16290" xr:uid="{02F3164E-78E2-46D4-9BA6-C9EC3EA0CA17}"/>
    <cellStyle name="Normal 10 8 6" xfId="5014" xr:uid="{73290ACF-874E-4463-BF29-35BF3C392A42}"/>
    <cellStyle name="Normal 10 8 6 2" xfId="27013" xr:uid="{05E55131-60F5-414F-90BD-5809515F18DE}"/>
    <cellStyle name="Normal 10 8 6 3" xfId="28623" xr:uid="{FA43042F-556E-47EF-BE99-43541F3F04F3}"/>
    <cellStyle name="Normal 10 8 6 4" xfId="14309" xr:uid="{7A1DFDA4-BFFE-4316-976D-5C0000D69D46}"/>
    <cellStyle name="Normal 10 8 7" xfId="6762" xr:uid="{833A8830-F59C-4B79-94D7-4628C3C62663}"/>
    <cellStyle name="Normal 10 8 7 2" xfId="27920" xr:uid="{545609B8-E434-4CC6-8A8F-8B96C19D7E3D}"/>
    <cellStyle name="Normal 10 8 7 3" xfId="17142" xr:uid="{DB5D6570-175C-4332-8757-3BF2DA3031F1}"/>
    <cellStyle name="Normal 10 8 8" xfId="9595" xr:uid="{D3C09DE8-C693-446C-B052-83ABF954DF2A}"/>
    <cellStyle name="Normal 10 8 8 2" xfId="19975" xr:uid="{1C13563C-18B1-4DF8-ABE6-F35F41AFD964}"/>
    <cellStyle name="Normal 10 8 9" xfId="24297" xr:uid="{B603D7A7-04B1-4ED7-88ED-BFC0E0C71988}"/>
    <cellStyle name="Normal 10 9" xfId="657" xr:uid="{00000000-0005-0000-0000-00003D040000}"/>
    <cellStyle name="Normal 10 9 10" xfId="12535" xr:uid="{6A35C548-C03B-41DB-89F5-E67E3EC2B6B8}"/>
    <cellStyle name="Normal 10 9 2" xfId="658" xr:uid="{00000000-0005-0000-0000-00003E040000}"/>
    <cellStyle name="Normal 10 9 2 2" xfId="5018" xr:uid="{44EA2E7B-0E28-4354-ADFF-C1824D0A66F5}"/>
    <cellStyle name="Normal 10 9 2 2 2" xfId="25680" xr:uid="{49F5C2C5-B8A4-4A2F-B8EF-288E2B6DD99D}"/>
    <cellStyle name="Normal 10 9 2 2 3" xfId="28070" xr:uid="{C5C0F6E1-80A2-467C-8197-E34ABA307372}"/>
    <cellStyle name="Normal 10 9 2 2 4" xfId="14313" xr:uid="{BC7474D3-290D-4433-9889-54AF8D03D824}"/>
    <cellStyle name="Normal 10 9 2 3" xfId="6766" xr:uid="{35CE7DCA-172E-41D1-AEDF-D6BDD15EF4BE}"/>
    <cellStyle name="Normal 10 9 2 3 2" xfId="26056" xr:uid="{037D4F64-AFC1-4B88-8F04-59F028158B0E}"/>
    <cellStyle name="Normal 10 9 2 3 3" xfId="26707" xr:uid="{727E0F45-F15A-4771-A83B-58D00358145B}"/>
    <cellStyle name="Normal 10 9 2 3 4" xfId="17146" xr:uid="{BEBCC9DC-6C69-4362-8885-4504A4A3058D}"/>
    <cellStyle name="Normal 10 9 2 4" xfId="9599" xr:uid="{3012AD1B-DAF3-4034-8022-9E938CE83436}"/>
    <cellStyle name="Normal 10 9 2 4 2" xfId="29370" xr:uid="{332065EF-1C3C-48D9-8992-87DE9C467AFE}"/>
    <cellStyle name="Normal 10 9 2 4 3" xfId="19979" xr:uid="{42CEACA7-1BC8-4363-853A-DF1FCF5E462A}"/>
    <cellStyle name="Normal 10 9 2 5" xfId="24586" xr:uid="{9CAE7B6A-39D2-4C48-9EE7-84D4FD6E1A64}"/>
    <cellStyle name="Normal 10 9 2 6" xfId="13670" xr:uid="{9DEB3DFF-343C-40F6-A724-425256BF1796}"/>
    <cellStyle name="Normal 10 9 3" xfId="659" xr:uid="{00000000-0005-0000-0000-00003F040000}"/>
    <cellStyle name="Normal 10 9 3 2" xfId="2704" xr:uid="{00000000-0005-0000-0000-000058030000}"/>
    <cellStyle name="Normal 10 9 3 2 2" xfId="7828" xr:uid="{2BC96A01-13A6-43CF-9A41-B31CCAED71FF}"/>
    <cellStyle name="Normal 10 9 3 2 2 2" xfId="18208" xr:uid="{D0E5DF64-B356-420C-A17C-FC4B250E48FB}"/>
    <cellStyle name="Normal 10 9 3 2 3" xfId="10661" xr:uid="{109CB8A7-E0E7-403C-BF11-6492C60BA467}"/>
    <cellStyle name="Normal 10 9 3 2 3 2" xfId="21041" xr:uid="{CB50AAB3-2FDA-4AE0-BAAD-EE57FEBDB697}"/>
    <cellStyle name="Normal 10 9 3 2 4" xfId="27812" xr:uid="{7DB748C1-9AD9-4060-ABE2-5B42446CC4E2}"/>
    <cellStyle name="Normal 10 9 3 2 5" xfId="15375" xr:uid="{8A1082E3-E28F-4BA8-BE5A-701F36954EB8}"/>
    <cellStyle name="Normal 10 9 3 3" xfId="3627" xr:uid="{00000000-0005-0000-0000-00003F040000}"/>
    <cellStyle name="Normal 10 9 3 4" xfId="5019" xr:uid="{0C061EC0-651E-4DB0-B891-F07E2F1BDD54}"/>
    <cellStyle name="Normal 10 9 3 4 2" xfId="29994" xr:uid="{4040454C-3474-496A-B2F6-D109B63F9AF3}"/>
    <cellStyle name="Normal 10 9 3 5" xfId="25108" xr:uid="{A45BE94C-D0DC-47D2-B563-6A624B103F55}"/>
    <cellStyle name="Normal 10 9 3 6" xfId="13122" xr:uid="{C69776D5-8F20-4F3F-A364-1CB5A543619C}"/>
    <cellStyle name="Normal 10 9 4" xfId="2303" xr:uid="{00000000-0005-0000-0000-000056030000}"/>
    <cellStyle name="Normal 10 9 4 2" xfId="7430" xr:uid="{9EF342DE-D374-45F9-84AF-CFDBD2020EC2}"/>
    <cellStyle name="Normal 10 9 4 2 2" xfId="26516" xr:uid="{47B76C65-A14F-45B4-86BE-32651113DE28}"/>
    <cellStyle name="Normal 10 9 4 2 3" xfId="17810" xr:uid="{6A00B2B1-1E41-43BF-844E-E441F7A086EB}"/>
    <cellStyle name="Normal 10 9 4 3" xfId="10263" xr:uid="{682143A9-6192-47B4-93BA-0CB37927D3EE}"/>
    <cellStyle name="Normal 10 9 4 3 2" xfId="20643" xr:uid="{53B223BB-7E51-48BD-B152-655A411727BD}"/>
    <cellStyle name="Normal 10 9 4 4" xfId="24827" xr:uid="{4B75FB7A-6443-4AD5-A663-73E034A91ED2}"/>
    <cellStyle name="Normal 10 9 4 5" xfId="14977" xr:uid="{B9FD1D9C-4B85-4425-9107-F3FAA7C3292F}"/>
    <cellStyle name="Normal 10 9 5" xfId="3834" xr:uid="{38BEE9A2-138A-41C8-B897-26528965E9DC}"/>
    <cellStyle name="Normal 10 9 5 2" xfId="8667" xr:uid="{B1742B3F-F04A-46A7-9828-8E973F14E9E6}"/>
    <cellStyle name="Normal 10 9 5 2 2" xfId="19047" xr:uid="{12F12C3C-1009-41E4-BBFA-73E7EDC440C5}"/>
    <cellStyle name="Normal 10 9 5 3" xfId="11500" xr:uid="{A752D179-299D-4CED-84AC-43D333648C84}"/>
    <cellStyle name="Normal 10 9 5 3 2" xfId="21880" xr:uid="{CE83D025-6021-4861-A652-A8E895DDA20B}"/>
    <cellStyle name="Normal 10 9 5 4" xfId="24304" xr:uid="{7E973DDE-E521-4FF7-8B24-244FD6CEED26}"/>
    <cellStyle name="Normal 10 9 5 5" xfId="16214" xr:uid="{4CE5572E-57F1-406B-B8C2-60A4D9CDF3DA}"/>
    <cellStyle name="Normal 10 9 6" xfId="5017" xr:uid="{AEAAFD5F-4136-4B13-B97E-E1E6C09730CD}"/>
    <cellStyle name="Normal 10 9 6 2" xfId="14312" xr:uid="{4C8CA4C8-5764-4A18-B6E2-6CF1E28FDB22}"/>
    <cellStyle name="Normal 10 9 7" xfId="6765" xr:uid="{8784D988-4DCD-4478-948C-0E41BDC10F40}"/>
    <cellStyle name="Normal 10 9 7 2" xfId="17145" xr:uid="{25522DA6-EE50-4885-8B3B-D83433D1611A}"/>
    <cellStyle name="Normal 10 9 8" xfId="9598" xr:uid="{27AEA380-710C-4BDB-900B-A2D1A307B94E}"/>
    <cellStyle name="Normal 10 9 8 2" xfId="19978" xr:uid="{30E46A4B-4D08-4DB9-B09C-757CA4C06A5D}"/>
    <cellStyle name="Normal 10 9 9" xfId="23673" xr:uid="{85013132-E928-4914-B06F-88A658A30795}"/>
    <cellStyle name="Normal 11" xfId="660" xr:uid="{00000000-0005-0000-0000-000040040000}"/>
    <cellStyle name="Normal 11 10" xfId="3912" xr:uid="{B5FFDD0D-8E0B-4ED0-8A0D-4B8007D11A86}"/>
    <cellStyle name="Normal 11 10 2" xfId="8744" xr:uid="{AAB818BF-5CBB-4811-A7E4-A58D68CC5CE6}"/>
    <cellStyle name="Normal 11 10 2 2" xfId="19124" xr:uid="{C4FDB22F-4B32-4AFE-B1AC-B26D9CF0FEB6}"/>
    <cellStyle name="Normal 11 10 3" xfId="11577" xr:uid="{D8EDAFB7-A8BA-4FFF-91B2-6F2F30E36C13}"/>
    <cellStyle name="Normal 11 10 3 2" xfId="21957" xr:uid="{482897BE-7CE2-40D9-842C-3D6ACA578724}"/>
    <cellStyle name="Normal 11 10 4" xfId="27743" xr:uid="{34AA4C46-2A82-4BEC-A34F-A934DFD40F05}"/>
    <cellStyle name="Normal 11 10 5" xfId="16291" xr:uid="{D3184AC5-B09E-4D07-9B20-2FC93E3C3148}"/>
    <cellStyle name="Normal 11 11" xfId="5020" xr:uid="{4441E4E4-3C73-4FAC-9B9C-BDA790075A13}"/>
    <cellStyle name="Normal 11 11 2" xfId="14314" xr:uid="{646FA8FC-F484-45CF-B8FB-D6C592D859AF}"/>
    <cellStyle name="Normal 11 12" xfId="6767" xr:uid="{A351784F-7502-4117-838D-712C558F09FF}"/>
    <cellStyle name="Normal 11 12 2" xfId="17147" xr:uid="{2569FF26-C820-41A3-B9C6-C00588A74406}"/>
    <cellStyle name="Normal 11 13" xfId="9600" xr:uid="{A86FF662-0F53-4B38-8D1E-BE7AAF8E4A33}"/>
    <cellStyle name="Normal 11 13 2" xfId="19980" xr:uid="{0FC1EA5E-0F5F-486C-9AF6-605A65B49914}"/>
    <cellStyle name="Normal 11 14" xfId="22816" xr:uid="{5833387D-E9A9-4441-B9FE-4D9EAFAC98D4}"/>
    <cellStyle name="Normal 11 15" xfId="12489" xr:uid="{7EFC5989-DA7E-48B8-880F-CC6997E49A5D}"/>
    <cellStyle name="Normal 11 2" xfId="661" xr:uid="{00000000-0005-0000-0000-000041040000}"/>
    <cellStyle name="Normal 11 2 10" xfId="12544" xr:uid="{7E869A50-9584-4C5E-9D24-F234CDB98485}"/>
    <cellStyle name="Normal 11 2 2" xfId="662" xr:uid="{00000000-0005-0000-0000-000042040000}"/>
    <cellStyle name="Normal 11 2 2 2" xfId="663" xr:uid="{00000000-0005-0000-0000-000043040000}"/>
    <cellStyle name="Normal 11 2 2 2 2" xfId="5023" xr:uid="{BA8DA40D-765F-4216-82AB-BCD7EFE51A86}"/>
    <cellStyle name="Normal 11 2 2 2 2 2" xfId="26768" xr:uid="{D7BC8985-AC76-484A-83F1-F401BDDEC26E}"/>
    <cellStyle name="Normal 11 2 2 2 2 3" xfId="26094" xr:uid="{395AE3D6-859A-4CE7-A280-6E488F1674D3}"/>
    <cellStyle name="Normal 11 2 2 2 2 4" xfId="14317" xr:uid="{B2FC0D89-6FFE-420A-BBC4-6244EB26879D}"/>
    <cellStyle name="Normal 11 2 2 2 3" xfId="6770" xr:uid="{6ED8C70E-7C6C-4CA0-891E-0EEECA17AA0B}"/>
    <cellStyle name="Normal 11 2 2 2 3 2" xfId="27562" xr:uid="{094EEDDA-A4DD-4F1C-ABB6-2BE7049EC4E0}"/>
    <cellStyle name="Normal 11 2 2 2 3 3" xfId="17150" xr:uid="{6439F4BB-E5F4-4187-B455-B2E1C3FE540A}"/>
    <cellStyle name="Normal 11 2 2 2 4" xfId="9603" xr:uid="{18713007-5CA2-4DE3-A579-91CDBA2B003D}"/>
    <cellStyle name="Normal 11 2 2 2 4 2" xfId="19983" xr:uid="{B954F003-7930-465D-BCF0-331C99E7F348}"/>
    <cellStyle name="Normal 11 2 2 2 5" xfId="22839" xr:uid="{71469C86-025B-4C88-9D43-019C15117EF9}"/>
    <cellStyle name="Normal 11 2 2 2 6" xfId="13400" xr:uid="{86A143AF-F29F-4F80-B659-86F5E63994C2}"/>
    <cellStyle name="Normal 11 2 2 3" xfId="5022" xr:uid="{3666E523-EAB3-4F61-8F2A-1ED85699C265}"/>
    <cellStyle name="Normal 11 2 2 3 2" xfId="25104" xr:uid="{A78CBC4B-639F-4CB4-8708-3B4C0F09661D}"/>
    <cellStyle name="Normal 11 2 2 3 3" xfId="28021" xr:uid="{429137E1-1FD7-4D02-BE96-8AE50CA8DCE0}"/>
    <cellStyle name="Normal 11 2 2 3 4" xfId="14316" xr:uid="{92DA86C5-C158-4A16-B7A1-8B534FB7D785}"/>
    <cellStyle name="Normal 11 2 2 4" xfId="6769" xr:uid="{E0CD5663-441D-498F-A2EB-60988238896E}"/>
    <cellStyle name="Normal 11 2 2 4 2" xfId="23149" xr:uid="{B44FB618-BE3C-4955-9D18-97BD37EE7801}"/>
    <cellStyle name="Normal 11 2 2 4 3" xfId="26286" xr:uid="{32FF9B93-DE82-4AF8-A8A0-FB357E510D26}"/>
    <cellStyle name="Normal 11 2 2 4 4" xfId="17149" xr:uid="{A617F348-0250-40A7-9E68-6603C4F1233F}"/>
    <cellStyle name="Normal 11 2 2 5" xfId="9602" xr:uid="{669B17C0-DD9D-485B-8A13-678C00CFD102}"/>
    <cellStyle name="Normal 11 2 2 5 2" xfId="29371" xr:uid="{5BED36D4-72D3-43BB-A326-B56F2A7DB586}"/>
    <cellStyle name="Normal 11 2 2 5 3" xfId="19982" xr:uid="{04AF60EA-E3B2-4C0D-888A-5643CF5F053A}"/>
    <cellStyle name="Normal 11 2 2 6" xfId="24037" xr:uid="{2A976BB5-7227-426B-BAF5-710F9FB7AD66}"/>
    <cellStyle name="Normal 11 2 2 7" xfId="12702" xr:uid="{B9B44B2F-09F4-4F5A-81A4-A363C3B08CD8}"/>
    <cellStyle name="Normal 11 2 3" xfId="664" xr:uid="{00000000-0005-0000-0000-000044040000}"/>
    <cellStyle name="Normal 11 2 3 2" xfId="5024" xr:uid="{8D7B7765-0EE9-4AB0-9533-6D02F1D32CA6}"/>
    <cellStyle name="Normal 11 2 3 2 2" xfId="24061" xr:uid="{13EE7752-BAC5-4761-8D52-865BD1687F8B}"/>
    <cellStyle name="Normal 11 2 3 2 3" xfId="26423" xr:uid="{3F65E947-7EC7-4CA6-9FA9-31FBAAC4DB31}"/>
    <cellStyle name="Normal 11 2 3 2 4" xfId="14318" xr:uid="{36110C57-00AC-439B-9109-7B28C2CE2368}"/>
    <cellStyle name="Normal 11 2 3 3" xfId="6771" xr:uid="{D2360609-4E98-41CE-9402-047DAEBF7659}"/>
    <cellStyle name="Normal 11 2 3 3 2" xfId="25745" xr:uid="{9BF657A4-76E3-4294-96AC-9699E9AD370A}"/>
    <cellStyle name="Normal 11 2 3 3 3" xfId="28561" xr:uid="{5B8552F4-CAA9-45AB-A23A-F3B977DEA90C}"/>
    <cellStyle name="Normal 11 2 3 3 4" xfId="17151" xr:uid="{1EE0F6BE-5908-4A06-8918-BCBC0962A927}"/>
    <cellStyle name="Normal 11 2 3 4" xfId="9604" xr:uid="{E227C0A7-82F8-433F-AAF0-F42C79778371}"/>
    <cellStyle name="Normal 11 2 3 4 2" xfId="29372" xr:uid="{47494459-9E4E-4E1E-9967-DF12DF0B497D}"/>
    <cellStyle name="Normal 11 2 3 4 3" xfId="19984" xr:uid="{FC34B077-EBC7-4E7B-B96A-5617E40A1C2B}"/>
    <cellStyle name="Normal 11 2 3 5" xfId="25354" xr:uid="{2C1C60BF-0ED5-4A71-A86B-258F3212A8ED}"/>
    <cellStyle name="Normal 11 2 3 6" xfId="13137" xr:uid="{CE0F4D07-EED5-46F9-80EE-7ECBB432934E}"/>
    <cellStyle name="Normal 11 2 4" xfId="665" xr:uid="{00000000-0005-0000-0000-000045040000}"/>
    <cellStyle name="Normal 11 2 4 2" xfId="6772" xr:uid="{6FC13055-6C37-4A68-84C0-0EF1382DF28E}"/>
    <cellStyle name="Normal 11 2 4 2 2" xfId="27255" xr:uid="{41EC3C82-FA1C-4CB9-A3E7-F65B4905A12C}"/>
    <cellStyle name="Normal 11 2 4 2 3" xfId="17152" xr:uid="{2AEBD2DB-F0C3-47CB-BEF5-8D3B2C03CCC4}"/>
    <cellStyle name="Normal 11 2 4 3" xfId="9605" xr:uid="{149F13F6-B3CB-4D97-A0CE-2FFA9F125BEF}"/>
    <cellStyle name="Normal 11 2 4 3 2" xfId="19985" xr:uid="{05C9874B-CE67-4883-ABF1-BF3E014ED98B}"/>
    <cellStyle name="Normal 11 2 4 4" xfId="24291" xr:uid="{7EA0A519-3A89-48B0-9F76-76FA7FC64127}"/>
    <cellStyle name="Normal 11 2 4 5" xfId="14319" xr:uid="{3B4D1103-8FD6-4B6F-A67D-2616A7686505}"/>
    <cellStyle name="Normal 11 2 5" xfId="3913" xr:uid="{6D6FC8A0-19C3-4AFB-B0F3-1A70299C8861}"/>
    <cellStyle name="Normal 11 2 5 2" xfId="8745" xr:uid="{F42E2E87-920C-451F-A729-A8A289DF4DA6}"/>
    <cellStyle name="Normal 11 2 5 2 2" xfId="28972" xr:uid="{54456655-4F9A-48B2-BDC1-89B46144FB14}"/>
    <cellStyle name="Normal 11 2 5 2 3" xfId="19125" xr:uid="{65BFA062-C9FB-4635-A3E3-75513F96D177}"/>
    <cellStyle name="Normal 11 2 5 3" xfId="11578" xr:uid="{1B5C27D1-9672-4C2A-AFF7-0103D9DCCFF8}"/>
    <cellStyle name="Normal 11 2 5 3 2" xfId="21958" xr:uid="{D4500874-26D1-47F2-BA91-E45F7B7C840F}"/>
    <cellStyle name="Normal 11 2 5 4" xfId="25611" xr:uid="{FF225065-C54F-40C4-9707-1FAC0F1087E9}"/>
    <cellStyle name="Normal 11 2 5 5" xfId="16292" xr:uid="{93EDE843-9A22-4B3F-A14C-23A596433670}"/>
    <cellStyle name="Normal 11 2 6" xfId="5021" xr:uid="{3D522979-40D5-4A0D-812B-B82FFA87AAE4}"/>
    <cellStyle name="Normal 11 2 6 2" xfId="25734" xr:uid="{A09E37DF-F035-4BCA-A2E3-7A1295B00C72}"/>
    <cellStyle name="Normal 11 2 6 3" xfId="26554" xr:uid="{2C88A89D-BE01-464B-ACA7-6C72CCE9D11C}"/>
    <cellStyle name="Normal 11 2 6 4" xfId="14315" xr:uid="{7644D493-7267-4E52-AE60-1BA38E58EDDC}"/>
    <cellStyle name="Normal 11 2 7" xfId="6768" xr:uid="{41A70720-8E2A-42FE-9FBA-A60213032968}"/>
    <cellStyle name="Normal 11 2 7 2" xfId="27774" xr:uid="{ECB8DF8A-84B3-4F5D-B320-3B309D58FA40}"/>
    <cellStyle name="Normal 11 2 7 3" xfId="17148" xr:uid="{D41CF98A-C869-4219-9D61-63C9438080EF}"/>
    <cellStyle name="Normal 11 2 8" xfId="9601" xr:uid="{03680630-C21E-427F-A1D7-05E958DC8ADA}"/>
    <cellStyle name="Normal 11 2 8 2" xfId="19981" xr:uid="{8E89BE1B-ADF8-4A58-B216-FE5A5BCD1E3C}"/>
    <cellStyle name="Normal 11 2 9" xfId="23177" xr:uid="{81460E23-6EB1-49D8-A645-1A3E44E65310}"/>
    <cellStyle name="Normal 11 3" xfId="666" xr:uid="{00000000-0005-0000-0000-000046040000}"/>
    <cellStyle name="Normal 11 3 10" xfId="12545" xr:uid="{DE5CB4EC-3856-4404-8BD5-694F19EB3F2D}"/>
    <cellStyle name="Normal 11 3 2" xfId="667" xr:uid="{00000000-0005-0000-0000-000047040000}"/>
    <cellStyle name="Normal 11 3 2 2" xfId="668" xr:uid="{00000000-0005-0000-0000-000048040000}"/>
    <cellStyle name="Normal 11 3 2 2 2" xfId="5027" xr:uid="{C586F6EF-9902-4006-9902-EFBD3D1B3642}"/>
    <cellStyle name="Normal 11 3 2 2 2 2" xfId="26769" xr:uid="{0E88BB26-8DE8-4727-8EE1-C4104993574F}"/>
    <cellStyle name="Normal 11 3 2 2 2 3" xfId="26175" xr:uid="{9B686E4D-46C1-400F-BDB0-7E4DF50065AF}"/>
    <cellStyle name="Normal 11 3 2 2 2 4" xfId="14322" xr:uid="{4C7A75A4-55C7-4E8D-9CC7-EAF58D0D639A}"/>
    <cellStyle name="Normal 11 3 2 2 3" xfId="6775" xr:uid="{61E2EB25-B676-4750-8EF4-67A1701A3DF1}"/>
    <cellStyle name="Normal 11 3 2 2 3 2" xfId="27563" xr:uid="{9975980D-517F-4D31-8D2C-7D36363CCB32}"/>
    <cellStyle name="Normal 11 3 2 2 3 3" xfId="17155" xr:uid="{FB084660-5EC1-4824-888F-AAD9D6A5A50B}"/>
    <cellStyle name="Normal 11 3 2 2 4" xfId="9608" xr:uid="{B93F1DC8-F2EB-4222-9E05-D11416E9425E}"/>
    <cellStyle name="Normal 11 3 2 2 4 2" xfId="19988" xr:uid="{FA781ABD-CA61-4631-8DAF-3991ED4F265C}"/>
    <cellStyle name="Normal 11 3 2 2 5" xfId="24449" xr:uid="{DAC33619-D368-4550-A016-8622F25A9985}"/>
    <cellStyle name="Normal 11 3 2 2 6" xfId="13401" xr:uid="{D18452EE-469E-4F40-A03A-DF8D1F87B9CF}"/>
    <cellStyle name="Normal 11 3 2 3" xfId="5026" xr:uid="{DBAD4C82-4BF6-469F-81BD-0D549C5FFEAE}"/>
    <cellStyle name="Normal 11 3 2 3 2" xfId="23761" xr:uid="{EC0EF743-3D30-43D1-B983-4201625E7AD6}"/>
    <cellStyle name="Normal 11 3 2 3 3" xfId="28497" xr:uid="{8E1709E5-F404-41D5-B7E0-7AEA04AEB1FD}"/>
    <cellStyle name="Normal 11 3 2 3 4" xfId="14321" xr:uid="{5A480C38-8B8B-4B06-8B69-93FA2FF2396C}"/>
    <cellStyle name="Normal 11 3 2 4" xfId="6774" xr:uid="{05A750AD-AE05-48AD-B276-D9CA212BFE29}"/>
    <cellStyle name="Normal 11 3 2 4 2" xfId="24829" xr:uid="{0BBCF30A-9949-44A1-B8C4-E0C4D4D5D345}"/>
    <cellStyle name="Normal 11 3 2 4 3" xfId="28614" xr:uid="{C01ED12D-4FAB-49DF-A5F2-D3A87905D3BD}"/>
    <cellStyle name="Normal 11 3 2 4 4" xfId="17154" xr:uid="{3B0486EB-1E20-4ED3-A24E-DD6F37DF8F78}"/>
    <cellStyle name="Normal 11 3 2 5" xfId="9607" xr:uid="{549D58CD-3A88-48EC-9E8F-308ACBA6E02D}"/>
    <cellStyle name="Normal 11 3 2 5 2" xfId="29373" xr:uid="{EA46AE19-808A-4B5C-B068-F29641C577CC}"/>
    <cellStyle name="Normal 11 3 2 5 3" xfId="19987" xr:uid="{6B09AE4B-A9F8-4E59-AF75-B41B85C3F703}"/>
    <cellStyle name="Normal 11 3 2 6" xfId="23838" xr:uid="{27B6450B-2151-40CE-BF23-437819165869}"/>
    <cellStyle name="Normal 11 3 2 7" xfId="12703" xr:uid="{AEE0F9C2-DBED-4C83-9B30-1BFF1EF0E86D}"/>
    <cellStyle name="Normal 11 3 3" xfId="669" xr:uid="{00000000-0005-0000-0000-000049040000}"/>
    <cellStyle name="Normal 11 3 3 2" xfId="5028" xr:uid="{8C06DBC2-DDA8-4EF3-BD25-C5AA42C4564D}"/>
    <cellStyle name="Normal 11 3 3 2 2" xfId="26770" xr:uid="{A25B506B-BAF3-4505-8C8B-22FF2B6837ED}"/>
    <cellStyle name="Normal 11 3 3 2 3" xfId="28292" xr:uid="{CB6A426F-82A5-4260-A673-F81C3686242E}"/>
    <cellStyle name="Normal 11 3 3 2 4" xfId="14323" xr:uid="{0935CDD8-A7DB-4461-A014-80E9BEF715E7}"/>
    <cellStyle name="Normal 11 3 3 3" xfId="6776" xr:uid="{A41BC5D5-5123-4ED0-95F1-D9D160AC9C9D}"/>
    <cellStyle name="Normal 11 3 3 3 2" xfId="27564" xr:uid="{1A5F9BCC-B8AF-4809-8026-C15ADB9475A0}"/>
    <cellStyle name="Normal 11 3 3 3 3" xfId="26756" xr:uid="{477DA55A-367C-46B8-AC6D-106F743997AE}"/>
    <cellStyle name="Normal 11 3 3 3 4" xfId="17156" xr:uid="{93677684-FB0B-435D-A229-1C0AA2DA0D95}"/>
    <cellStyle name="Normal 11 3 3 4" xfId="9609" xr:uid="{6F0DFD3F-9895-4D8B-A8F5-981B36E0833D}"/>
    <cellStyle name="Normal 11 3 3 4 2" xfId="29374" xr:uid="{37D965CF-A197-4014-AFCA-5E70F1CD73C5}"/>
    <cellStyle name="Normal 11 3 3 4 3" xfId="19989" xr:uid="{296E0623-3297-40EC-93A6-E57B3F4A63A3}"/>
    <cellStyle name="Normal 11 3 3 5" xfId="24235" xr:uid="{0D851AD1-5272-4B55-9B36-BC31461895C4}"/>
    <cellStyle name="Normal 11 3 3 6" xfId="13138" xr:uid="{72F81136-ACE5-4FE5-A423-15E999396A2B}"/>
    <cellStyle name="Normal 11 3 4" xfId="670" xr:uid="{00000000-0005-0000-0000-00004A040000}"/>
    <cellStyle name="Normal 11 3 4 2" xfId="6777" xr:uid="{525E3984-2309-474D-8E61-2FBEDEDD798E}"/>
    <cellStyle name="Normal 11 3 4 2 2" xfId="27240" xr:uid="{18DF850A-9BB7-49F7-87DC-E6724D416728}"/>
    <cellStyle name="Normal 11 3 4 2 3" xfId="17157" xr:uid="{D4BEB83E-59B7-466C-B2C6-BE7ED1AC57D3}"/>
    <cellStyle name="Normal 11 3 4 3" xfId="9610" xr:uid="{7B93175C-3CC7-4031-B187-09D083BC8DD3}"/>
    <cellStyle name="Normal 11 3 4 3 2" xfId="19990" xr:uid="{EA99FA9B-4552-4798-981D-D2D03430BACB}"/>
    <cellStyle name="Normal 11 3 4 4" xfId="22882" xr:uid="{BA692C8E-869D-49A4-9FBB-086A65872992}"/>
    <cellStyle name="Normal 11 3 4 5" xfId="14324" xr:uid="{429B78E7-79ED-4010-8247-8AE18B06BFDD}"/>
    <cellStyle name="Normal 11 3 5" xfId="3914" xr:uid="{5F8D0651-3182-4A9E-AA1E-9C3AA1F77872}"/>
    <cellStyle name="Normal 11 3 5 2" xfId="8746" xr:uid="{1E1AD780-6E4E-4309-A722-2ECEAD03D09D}"/>
    <cellStyle name="Normal 11 3 5 2 2" xfId="28973" xr:uid="{30B45775-90E9-42E7-8B5C-46CCA9BAF7D7}"/>
    <cellStyle name="Normal 11 3 5 2 3" xfId="19126" xr:uid="{B67135CF-3284-4839-AAB7-7A6E3C0EBE03}"/>
    <cellStyle name="Normal 11 3 5 3" xfId="11579" xr:uid="{BD6BA976-0F9A-4F2C-90BB-CC1A607DED1A}"/>
    <cellStyle name="Normal 11 3 5 3 2" xfId="21959" xr:uid="{DE7A4E47-0D13-4BFE-8D85-77E6EBB294CC}"/>
    <cellStyle name="Normal 11 3 5 4" xfId="24000" xr:uid="{FC38D255-9A66-4C5C-B6F8-2FA9BE087CEF}"/>
    <cellStyle name="Normal 11 3 5 5" xfId="16293" xr:uid="{7DBADBA1-71E0-4C63-BF7C-8B98471971B0}"/>
    <cellStyle name="Normal 11 3 6" xfId="5025" xr:uid="{D4B640ED-396F-451B-B450-FED05EC40CCF}"/>
    <cellStyle name="Normal 11 3 6 2" xfId="23499" xr:uid="{45C3B587-B34B-4C0C-88D8-F99AF9F39D21}"/>
    <cellStyle name="Normal 11 3 6 3" xfId="27394" xr:uid="{D818418A-E729-4CFB-82CD-736FF1664127}"/>
    <cellStyle name="Normal 11 3 6 4" xfId="14320" xr:uid="{6A686EA7-3EC9-44F1-A330-0BA34D3C04DE}"/>
    <cellStyle name="Normal 11 3 7" xfId="6773" xr:uid="{AFE4D348-22E3-4EB0-8EB2-3C3195851085}"/>
    <cellStyle name="Normal 11 3 7 2" xfId="27385" xr:uid="{35B54A7C-0AE2-4961-8813-85FFE7E9F321}"/>
    <cellStyle name="Normal 11 3 7 3" xfId="17153" xr:uid="{E8A39245-1E46-4E1B-BEC6-4CE9E1F208E1}"/>
    <cellStyle name="Normal 11 3 8" xfId="9606" xr:uid="{E413EBD7-91A4-4C65-A0EC-EBF30833767A}"/>
    <cellStyle name="Normal 11 3 8 2" xfId="19986" xr:uid="{1B735CB8-671D-4E0E-B092-914FB5F16E02}"/>
    <cellStyle name="Normal 11 3 9" xfId="24661" xr:uid="{2AE20C54-B79E-4CDD-8E85-0E151CBDC13D}"/>
    <cellStyle name="Normal 11 4" xfId="671" xr:uid="{00000000-0005-0000-0000-00004B040000}"/>
    <cellStyle name="Normal 11 4 10" xfId="12546" xr:uid="{32DA3DB1-B217-4604-9AFD-0F53DC3D9D79}"/>
    <cellStyle name="Normal 11 4 2" xfId="672" xr:uid="{00000000-0005-0000-0000-00004C040000}"/>
    <cellStyle name="Normal 11 4 2 2" xfId="2895" xr:uid="{00000000-0005-0000-0000-000064030000}"/>
    <cellStyle name="Normal 11 4 2 2 2" xfId="6081" xr:uid="{638AB7AD-2EFD-4587-8170-B6C9ABC8A860}"/>
    <cellStyle name="Normal 11 4 2 2 2 2" xfId="27505" xr:uid="{44BCF25B-3303-491B-9398-AC74199A8FB7}"/>
    <cellStyle name="Normal 11 4 2 2 2 3" xfId="27959" xr:uid="{421CA5BC-66DE-4C11-8560-8085836A964F}"/>
    <cellStyle name="Normal 11 4 2 2 2 4" xfId="15559" xr:uid="{77D678A6-FB04-499A-8D50-6CC3EF7377B6}"/>
    <cellStyle name="Normal 11 4 2 2 3" xfId="8012" xr:uid="{92A64233-E5FA-4DF0-9033-18F2C8D20752}"/>
    <cellStyle name="Normal 11 4 2 2 3 2" xfId="27483" xr:uid="{A24A71F0-CF05-4172-B496-E2FD313B6CA9}"/>
    <cellStyle name="Normal 11 4 2 2 3 3" xfId="18392" xr:uid="{8535BAF6-E18C-4E47-A456-D14F8A6AAF7D}"/>
    <cellStyle name="Normal 11 4 2 2 4" xfId="10845" xr:uid="{0E33385C-032E-4B16-86D0-C2EC2609EB17}"/>
    <cellStyle name="Normal 11 4 2 2 4 2" xfId="21225" xr:uid="{0A965AF9-165C-4F2E-A797-A6545CDDAC86}"/>
    <cellStyle name="Normal 11 4 2 2 5" xfId="24842" xr:uid="{6C4EF4A7-F04B-40EB-B0CB-D2FB244C5B1D}"/>
    <cellStyle name="Normal 11 4 2 2 6" xfId="13402" xr:uid="{FF490721-9360-45FF-B598-4A6DEAEF1BD9}"/>
    <cellStyle name="Normal 11 4 2 3" xfId="5030" xr:uid="{09D41346-65F9-4754-8981-A6AE4D6D2B71}"/>
    <cellStyle name="Normal 11 4 2 3 2" xfId="23139" xr:uid="{A5B4D553-00F5-4278-A192-BCA5460DB1D2}"/>
    <cellStyle name="Normal 11 4 2 3 3" xfId="27656" xr:uid="{DA2178ED-C0B4-47E7-9A18-D04930947376}"/>
    <cellStyle name="Normal 11 4 2 3 4" xfId="14326" xr:uid="{8C3C65EE-A230-4AE1-A48F-8F19DD39C15D}"/>
    <cellStyle name="Normal 11 4 2 4" xfId="6779" xr:uid="{3FC43918-8A16-43A7-86EC-EF093A22A354}"/>
    <cellStyle name="Normal 11 4 2 4 2" xfId="26986" xr:uid="{F9C89338-8822-49FE-A0F9-344C1828451B}"/>
    <cellStyle name="Normal 11 4 2 4 3" xfId="28197" xr:uid="{CAFE39BD-9339-49FD-BE1D-24FC802D2383}"/>
    <cellStyle name="Normal 11 4 2 4 4" xfId="17159" xr:uid="{BE195126-BF42-46F0-80F9-B7BDBD2D837F}"/>
    <cellStyle name="Normal 11 4 2 5" xfId="9612" xr:uid="{FA3BF229-151C-4960-B5B6-9BD084993B34}"/>
    <cellStyle name="Normal 11 4 2 5 2" xfId="29375" xr:uid="{C66D6D37-59E4-46D1-9486-9A0AA0B9946A}"/>
    <cellStyle name="Normal 11 4 2 5 3" xfId="19992" xr:uid="{15262610-0F77-49C1-8B94-420F88791E14}"/>
    <cellStyle name="Normal 11 4 2 6" xfId="23281" xr:uid="{9B5595E7-9D85-47DE-A5FF-B00EA32836C6}"/>
    <cellStyle name="Normal 11 4 2 7" xfId="12704" xr:uid="{CE0D822D-5F48-4257-89C6-FAE62D7003F1}"/>
    <cellStyle name="Normal 11 4 3" xfId="673" xr:uid="{00000000-0005-0000-0000-00004D040000}"/>
    <cellStyle name="Normal 11 4 3 2" xfId="5031" xr:uid="{0C5810A7-7868-4A70-B763-EFD90EACFF69}"/>
    <cellStyle name="Normal 11 4 3 2 2" xfId="27264" xr:uid="{95ED38D0-6E85-4036-B35C-1751487878B3}"/>
    <cellStyle name="Normal 11 4 3 2 3" xfId="28068" xr:uid="{04B9A4C7-6478-42D6-90BF-88A3E2705691}"/>
    <cellStyle name="Normal 11 4 3 2 4" xfId="14327" xr:uid="{5C58E733-5A2F-4AD8-8A2A-8E8AFD15AB66}"/>
    <cellStyle name="Normal 11 4 3 3" xfId="6780" xr:uid="{D2ABF370-7D95-4DC2-9860-4CF5DB0775BE}"/>
    <cellStyle name="Normal 11 4 3 3 2" xfId="27796" xr:uid="{8DB23A2A-405D-4EF1-BDCA-91298B2F4FDA}"/>
    <cellStyle name="Normal 11 4 3 3 3" xfId="28405" xr:uid="{542C35E4-DE9B-4FD1-AC17-9798A51217D5}"/>
    <cellStyle name="Normal 11 4 3 3 4" xfId="17160" xr:uid="{69FE33AE-1816-4A43-89F9-3170E4FBBB41}"/>
    <cellStyle name="Normal 11 4 3 4" xfId="9613" xr:uid="{DC1B4FCE-FA02-4419-A0F4-7832434EF505}"/>
    <cellStyle name="Normal 11 4 3 4 2" xfId="29376" xr:uid="{1B44CD20-4F94-4165-8758-24170B523D18}"/>
    <cellStyle name="Normal 11 4 3 4 3" xfId="19993" xr:uid="{6EEE6ED3-74BF-4802-9021-5CF73EF5E5E3}"/>
    <cellStyle name="Normal 11 4 3 5" xfId="23338" xr:uid="{913A5553-8E2D-491A-9ECD-001DA73C9D57}"/>
    <cellStyle name="Normal 11 4 3 6" xfId="13139" xr:uid="{D9C8ABD3-EB57-455D-B81C-45325FB4E9B5}"/>
    <cellStyle name="Normal 11 4 4" xfId="2312" xr:uid="{00000000-0005-0000-0000-000062030000}"/>
    <cellStyle name="Normal 11 4 4 2" xfId="7439" xr:uid="{394811E4-217E-4816-8676-94FAE0589D3B}"/>
    <cellStyle name="Normal 11 4 4 2 2" xfId="26727" xr:uid="{1AF97864-D37D-4037-84D1-6CCD2AE37F6A}"/>
    <cellStyle name="Normal 11 4 4 2 3" xfId="17819" xr:uid="{22C4DDA3-0E64-4F06-8798-CE2CF1C14E38}"/>
    <cellStyle name="Normal 11 4 4 3" xfId="10272" xr:uid="{9A3D01F3-3A79-4FC6-B0B3-6124229E4D93}"/>
    <cellStyle name="Normal 11 4 4 3 2" xfId="20652" xr:uid="{C29B0363-002B-411E-895A-035368462CED}"/>
    <cellStyle name="Normal 11 4 4 4" xfId="25165" xr:uid="{D83C62A1-72F3-433C-BBC3-3EA1C796A097}"/>
    <cellStyle name="Normal 11 4 4 5" xfId="14986" xr:uid="{E5B598D3-FBC0-4B13-8358-920035AFF140}"/>
    <cellStyle name="Normal 11 4 5" xfId="3915" xr:uid="{9902BB13-0532-49D2-AEAD-792FC1809C68}"/>
    <cellStyle name="Normal 11 4 5 2" xfId="8747" xr:uid="{15F0FC37-5EC8-4DBB-AB36-1807EBF63018}"/>
    <cellStyle name="Normal 11 4 5 2 2" xfId="28974" xr:uid="{8CB43262-9F07-43E1-A748-EC554C77FA7B}"/>
    <cellStyle name="Normal 11 4 5 2 3" xfId="19127" xr:uid="{75928AAB-E63A-4E0D-B91B-1CB56A039DA7}"/>
    <cellStyle name="Normal 11 4 5 3" xfId="11580" xr:uid="{0405A663-ADD8-4A00-B9EC-955BAA456DF8}"/>
    <cellStyle name="Normal 11 4 5 3 2" xfId="21960" xr:uid="{23CC4FBC-7AC6-4FC7-BB7E-4EC14EF4FD8B}"/>
    <cellStyle name="Normal 11 4 5 4" xfId="23502" xr:uid="{CFD8BA40-1C3D-4CC8-8CB4-2F43131FAC8C}"/>
    <cellStyle name="Normal 11 4 5 5" xfId="16294" xr:uid="{608C74BC-40EF-43E7-8644-7C6CDFA9BA1E}"/>
    <cellStyle name="Normal 11 4 6" xfId="5029" xr:uid="{530B1860-0E38-4AB1-82D5-34D2D503466A}"/>
    <cellStyle name="Normal 11 4 6 2" xfId="26626" xr:uid="{6E4FFAB8-89DA-48A3-860E-AECD758CC5DF}"/>
    <cellStyle name="Normal 11 4 6 3" xfId="28682" xr:uid="{3FB66B60-3A9D-4335-8BCD-F245C49E3A54}"/>
    <cellStyle name="Normal 11 4 6 4" xfId="14325" xr:uid="{D3CE1157-80D7-4098-A91E-25BC0F82AE7C}"/>
    <cellStyle name="Normal 11 4 7" xfId="6778" xr:uid="{FA6FE495-F3FF-4302-943D-6B551539A985}"/>
    <cellStyle name="Normal 11 4 7 2" xfId="26818" xr:uid="{C8C05CDF-F846-41C0-A7BD-E6BF2BBE40CA}"/>
    <cellStyle name="Normal 11 4 7 3" xfId="17158" xr:uid="{C919DAC2-5ED6-4CA6-9C63-167B91DD9B7C}"/>
    <cellStyle name="Normal 11 4 8" xfId="9611" xr:uid="{E9EBDB79-4531-45D4-BD3C-274B2FF4B4C8}"/>
    <cellStyle name="Normal 11 4 8 2" xfId="19991" xr:uid="{FFA46CB1-C19C-4FD7-86AB-486C0515D668}"/>
    <cellStyle name="Normal 11 4 9" xfId="24257" xr:uid="{E8D0F19D-FDF9-43A5-91F0-731DE19A0A38}"/>
    <cellStyle name="Normal 11 5" xfId="674" xr:uid="{00000000-0005-0000-0000-00004E040000}"/>
    <cellStyle name="Normal 11 5 10" xfId="12543" xr:uid="{51AC1F11-C3FE-4EE9-8A11-26E03486E04E}"/>
    <cellStyle name="Normal 11 5 2" xfId="675" xr:uid="{00000000-0005-0000-0000-00004F040000}"/>
    <cellStyle name="Normal 11 5 2 2" xfId="5033" xr:uid="{2ECDA429-4EC8-4F67-98C9-7D876071CA03}"/>
    <cellStyle name="Normal 11 5 2 2 2" xfId="23180" xr:uid="{D6939B94-C692-4BBC-915C-45AE47A84439}"/>
    <cellStyle name="Normal 11 5 2 2 3" xfId="28361" xr:uid="{D36EC450-F19F-4975-AFB9-0B6FBC0C572B}"/>
    <cellStyle name="Normal 11 5 2 2 4" xfId="14329" xr:uid="{5D1E616E-3750-4D32-8DF1-D7426BDEB46B}"/>
    <cellStyle name="Normal 11 5 2 3" xfId="6782" xr:uid="{D1E164DC-1B11-469A-A7D5-A802A85B6DB3}"/>
    <cellStyle name="Normal 11 5 2 3 2" xfId="27566" xr:uid="{88109015-6CD9-4DC7-AE64-38E719ED4739}"/>
    <cellStyle name="Normal 11 5 2 3 3" xfId="28264" xr:uid="{0F2F7947-5A46-4A3D-8922-F710568EAD34}"/>
    <cellStyle name="Normal 11 5 2 3 4" xfId="17162" xr:uid="{D65AD02B-E74C-4006-B96B-120B8260D3AF}"/>
    <cellStyle name="Normal 11 5 2 4" xfId="9615" xr:uid="{E3B27907-6F21-42C4-BE25-292AEB6116F5}"/>
    <cellStyle name="Normal 11 5 2 4 2" xfId="29377" xr:uid="{88499F2D-8EDE-4595-B670-5C59F4C4079E}"/>
    <cellStyle name="Normal 11 5 2 4 3" xfId="19995" xr:uid="{A0AC8923-E63F-4815-87E4-1F847DC99337}"/>
    <cellStyle name="Normal 11 5 2 5" xfId="22898" xr:uid="{10AC2A4C-25B8-407B-86EB-D23AC8AE782F}"/>
    <cellStyle name="Normal 11 5 2 6" xfId="13671" xr:uid="{76BB1F48-F840-4163-B2ED-D67E928F6313}"/>
    <cellStyle name="Normal 11 5 3" xfId="2712" xr:uid="{00000000-0005-0000-0000-000068030000}"/>
    <cellStyle name="Normal 11 5 3 2" xfId="5930" xr:uid="{6F92EF33-8D36-4526-A477-9E3E38C0EF3D}"/>
    <cellStyle name="Normal 11 5 3 2 2" xfId="28483" xr:uid="{3D87EF29-19C2-41BB-8C2A-1F71A97B2050}"/>
    <cellStyle name="Normal 11 5 3 2 3" xfId="15383" xr:uid="{61F7D16C-D0BE-4935-AD5F-5C37E576F00C}"/>
    <cellStyle name="Normal 11 5 3 3" xfId="7836" xr:uid="{DC9D65AA-0A05-4438-B41F-99F031A1D619}"/>
    <cellStyle name="Normal 11 5 3 3 2" xfId="18216" xr:uid="{39276640-D55F-4F75-835D-12F838513141}"/>
    <cellStyle name="Normal 11 5 3 4" xfId="10669" xr:uid="{37F29275-441E-4E18-BABE-CF5B89C41A13}"/>
    <cellStyle name="Normal 11 5 3 4 2" xfId="21049" xr:uid="{5843CE77-DEA0-46CE-BA6D-3AA8FC5A9BC7}"/>
    <cellStyle name="Normal 11 5 3 5" xfId="24016" xr:uid="{4F462E06-2789-43B4-9538-4BFEF5954722}"/>
    <cellStyle name="Normal 11 5 3 6" xfId="13136" xr:uid="{99B4E794-325F-4CD6-91D4-ACCEC952CE5D}"/>
    <cellStyle name="Normal 11 5 4" xfId="2311" xr:uid="{00000000-0005-0000-0000-000066030000}"/>
    <cellStyle name="Normal 11 5 4 2" xfId="7438" xr:uid="{35B10574-9D4D-4578-AC4E-A61C69771504}"/>
    <cellStyle name="Normal 11 5 4 2 2" xfId="27377" xr:uid="{C8368EE2-DA1F-43DE-8F75-E476DF764D55}"/>
    <cellStyle name="Normal 11 5 4 2 3" xfId="17818" xr:uid="{419A3659-2A11-44E1-A28C-26C85944F939}"/>
    <cellStyle name="Normal 11 5 4 3" xfId="10271" xr:uid="{C8B48D61-49CA-4B57-9C8B-DBD170D7F774}"/>
    <cellStyle name="Normal 11 5 4 3 2" xfId="20651" xr:uid="{DCC9D1B5-17C8-42D9-BC5F-22A86B416D42}"/>
    <cellStyle name="Normal 11 5 4 4" xfId="25360" xr:uid="{5C49BD4A-9C02-47AF-9DA1-A08A087E6962}"/>
    <cellStyle name="Normal 11 5 4 5" xfId="14985" xr:uid="{A07DE548-936A-4CB8-94E7-52FA4E3A9589}"/>
    <cellStyle name="Normal 11 5 5" xfId="3838" xr:uid="{D19BC1C9-2E10-4B47-B0C8-B6F0346CE62D}"/>
    <cellStyle name="Normal 11 5 5 2" xfId="8671" xr:uid="{98449998-45F3-41E3-BEFC-C7A5CD274203}"/>
    <cellStyle name="Normal 11 5 5 2 2" xfId="19051" xr:uid="{D9DFE239-6AE4-49FD-91BC-4D8FE9CC916D}"/>
    <cellStyle name="Normal 11 5 5 3" xfId="11504" xr:uid="{ECB60C65-AE28-4FD2-A77A-C8F5F5E542F8}"/>
    <cellStyle name="Normal 11 5 5 3 2" xfId="21884" xr:uid="{D537F629-95BF-4A91-AE3A-8202DF7F1EAD}"/>
    <cellStyle name="Normal 11 5 5 4" xfId="26819" xr:uid="{1132127F-3DB5-46A5-BB43-6BCF4B34D10F}"/>
    <cellStyle name="Normal 11 5 5 5" xfId="16218" xr:uid="{7BA8269A-E710-4EEF-BE55-A3B6C7D256FA}"/>
    <cellStyle name="Normal 11 5 6" xfId="5032" xr:uid="{ACC57913-C41D-415C-AB56-B836E90863CC}"/>
    <cellStyle name="Normal 11 5 6 2" xfId="14328" xr:uid="{3918465B-9A15-4C3E-9B12-CCF9B5CA9EF1}"/>
    <cellStyle name="Normal 11 5 7" xfId="6781" xr:uid="{BA1E19AF-9C0A-4A8D-8781-6A9D8108365F}"/>
    <cellStyle name="Normal 11 5 7 2" xfId="17161" xr:uid="{8BE4348E-2A2B-4371-99E8-1FAAFC57962E}"/>
    <cellStyle name="Normal 11 5 8" xfId="9614" xr:uid="{1EF09A24-7522-4965-91FA-F627EED0F86E}"/>
    <cellStyle name="Normal 11 5 8 2" xfId="19994" xr:uid="{36C7FCF1-DF08-49D1-B277-C0EA1EF462A2}"/>
    <cellStyle name="Normal 11 5 9" xfId="23310" xr:uid="{0BB148A3-0364-4042-9D78-23888DA62354}"/>
    <cellStyle name="Normal 11 6" xfId="676" xr:uid="{00000000-0005-0000-0000-000050040000}"/>
    <cellStyle name="Normal 11 6 2" xfId="3144" xr:uid="{00000000-0005-0000-0000-00006A030000}"/>
    <cellStyle name="Normal 11 6 2 2" xfId="6202" xr:uid="{BD2FB26E-5A54-4702-8AD8-BF4594B190BE}"/>
    <cellStyle name="Normal 11 6 2 2 2" xfId="27434" xr:uid="{8411C2E7-6F5C-4B86-9ABF-BFF24311035C}"/>
    <cellStyle name="Normal 11 6 2 2 3" xfId="27279" xr:uid="{99477210-CFF4-4DA4-9107-C7EDD774EF58}"/>
    <cellStyle name="Normal 11 6 2 2 4" xfId="15771" xr:uid="{2A1554A1-6644-46C6-AD6B-A491CE4466C2}"/>
    <cellStyle name="Normal 11 6 2 3" xfId="8224" xr:uid="{1977EEAB-C78B-4F89-A0A2-57B4FE295A7A}"/>
    <cellStyle name="Normal 11 6 2 3 2" xfId="28869" xr:uid="{9AEE0E77-4E08-48C3-9C2F-5E9C4C8DCA98}"/>
    <cellStyle name="Normal 11 6 2 3 3" xfId="18604" xr:uid="{4FB95FB6-A6BC-4810-A27B-07F758FEBEF0}"/>
    <cellStyle name="Normal 11 6 2 4" xfId="11057" xr:uid="{5DC9A81C-8400-4BF9-B424-33BD0E155F50}"/>
    <cellStyle name="Normal 11 6 2 4 2" xfId="21437" xr:uid="{3245FFD4-9E08-459A-805A-681AC8FDAD7D}"/>
    <cellStyle name="Normal 11 6 2 5" xfId="24379" xr:uid="{9788469F-2D8A-4D77-A45D-F5DD89018255}"/>
    <cellStyle name="Normal 11 6 2 6" xfId="13672" xr:uid="{6D5378A5-9F6A-4DD9-88B5-A35EDAE7891B}"/>
    <cellStyle name="Normal 11 6 3" xfId="2860" xr:uid="{00000000-0005-0000-0000-00006B030000}"/>
    <cellStyle name="Normal 11 6 3 2" xfId="6073" xr:uid="{15DD6167-203B-433F-A9E3-2A16E6DED355}"/>
    <cellStyle name="Normal 11 6 3 2 2" xfId="26195" xr:uid="{4BEDC51B-725A-4593-9E6F-94F99D7F80AA}"/>
    <cellStyle name="Normal 11 6 3 2 3" xfId="15529" xr:uid="{49E981A8-79E2-4F5A-B95F-10B2AB8193C5}"/>
    <cellStyle name="Normal 11 6 3 3" xfId="7982" xr:uid="{08214E28-A72D-40B5-A0FF-BBC0FE4C1529}"/>
    <cellStyle name="Normal 11 6 3 3 2" xfId="18362" xr:uid="{43EB3EFD-E78F-4679-BBDC-835B346BDB3B}"/>
    <cellStyle name="Normal 11 6 3 4" xfId="10815" xr:uid="{A1CE415C-D7A7-430E-B35E-FA2D26E8C63C}"/>
    <cellStyle name="Normal 11 6 3 4 2" xfId="21195" xr:uid="{3E53748C-901F-4ABE-B0FB-05984115E6B7}"/>
    <cellStyle name="Normal 11 6 3 5" xfId="24151" xr:uid="{D95C5E7B-8D7F-4AFD-9FFC-363BC5D9368F}"/>
    <cellStyle name="Normal 11 6 3 6" xfId="13349" xr:uid="{A7160CAA-E05C-42CC-9C4E-7CF2940DD71A}"/>
    <cellStyle name="Normal 11 6 4" xfId="4151" xr:uid="{8897D64D-3888-4BB8-9522-58EB076CD29F}"/>
    <cellStyle name="Normal 11 6 4 2" xfId="8923" xr:uid="{34FD39BE-6E6B-4AD5-BEC0-389BB156B5B3}"/>
    <cellStyle name="Normal 11 6 4 2 2" xfId="29022" xr:uid="{96374AE3-3679-4035-B9B3-F79B3DA14166}"/>
    <cellStyle name="Normal 11 6 4 2 3" xfId="19303" xr:uid="{217AB037-360E-43AE-B0B0-259481AA9338}"/>
    <cellStyle name="Normal 11 6 4 3" xfId="11756" xr:uid="{A9DA5D51-E46E-4BCB-8481-C81DCA54B20A}"/>
    <cellStyle name="Normal 11 6 4 3 2" xfId="22136" xr:uid="{2FF41ADB-2ECD-4F50-AC3B-147B5FE36219}"/>
    <cellStyle name="Normal 11 6 4 4" xfId="28485" xr:uid="{75AA98EB-F151-4117-9127-C1275A9C0006}"/>
    <cellStyle name="Normal 11 6 4 5" xfId="16470" xr:uid="{078E3D01-56AA-4595-9FB7-B04864440EC3}"/>
    <cellStyle name="Normal 11 6 5" xfId="5034" xr:uid="{CC1A95E0-B1E7-46CF-AFFF-52BB857E64C8}"/>
    <cellStyle name="Normal 11 6 5 2" xfId="27490" xr:uid="{64B45BFB-1BBC-4084-97A0-74B6A5E9A3EA}"/>
    <cellStyle name="Normal 11 6 5 3" xfId="14330" xr:uid="{FA70D1E4-E891-43DE-A664-7C2EE46E6787}"/>
    <cellStyle name="Normal 11 6 6" xfId="6783" xr:uid="{7D48E33C-69FE-439E-942C-4531C77FC840}"/>
    <cellStyle name="Normal 11 6 6 2" xfId="17163" xr:uid="{C9D6E1D2-24A2-448A-B67A-2510BAAC2BC4}"/>
    <cellStyle name="Normal 11 6 7" xfId="9616" xr:uid="{D7C41B80-F05F-49AC-9D45-D2A58C8503A3}"/>
    <cellStyle name="Normal 11 6 7 2" xfId="19996" xr:uid="{B05B765F-6156-4216-9857-FFAFC4C46E29}"/>
    <cellStyle name="Normal 11 6 8" xfId="25570" xr:uid="{F67A65D7-3B24-4110-8BA4-D4600D14EC47}"/>
    <cellStyle name="Normal 11 6 9" xfId="12701" xr:uid="{7B8BA89E-E580-44A4-B170-94A6475269B6}"/>
    <cellStyle name="Normal 11 7" xfId="677" xr:uid="{00000000-0005-0000-0000-000051040000}"/>
    <cellStyle name="Normal 11 7 2" xfId="5035" xr:uid="{E2F2A623-6DC7-4ADF-87D8-C8404433EF29}"/>
    <cellStyle name="Normal 11 7 2 2" xfId="24300" xr:uid="{6658F537-39AE-4CEA-A705-BFA760AE7921}"/>
    <cellStyle name="Normal 11 7 2 3" xfId="28288" xr:uid="{4AF7F0B1-F341-4D19-B61E-35484FCA54DA}"/>
    <cellStyle name="Normal 11 7 2 4" xfId="14331" xr:uid="{172FED5F-EF95-4CE1-895E-131F5BFE53E3}"/>
    <cellStyle name="Normal 11 7 3" xfId="6784" xr:uid="{C70B7F4A-CFDA-408D-8E8C-60D74F6957C8}"/>
    <cellStyle name="Normal 11 7 3 2" xfId="26916" xr:uid="{45EE320C-490B-472A-84F1-B3CD9D7A21FE}"/>
    <cellStyle name="Normal 11 7 3 3" xfId="17164" xr:uid="{DA37AFFF-3F63-4AF7-BA68-6F52E5231E45}"/>
    <cellStyle name="Normal 11 7 4" xfId="9617" xr:uid="{207D58B0-82A5-4E81-BBD0-2A00B8F9B192}"/>
    <cellStyle name="Normal 11 7 4 2" xfId="19997" xr:uid="{217F3421-304B-4632-AAD6-496D87CB8017}"/>
    <cellStyle name="Normal 11 7 5" xfId="24074" xr:uid="{17114C85-D6E0-4CA6-8C08-BE54408EB7E6}"/>
    <cellStyle name="Normal 11 7 6" xfId="13399" xr:uid="{FA874369-E5D4-4170-94AB-236BD918FFB8}"/>
    <cellStyle name="Normal 11 8" xfId="2652" xr:uid="{00000000-0005-0000-0000-00006D030000}"/>
    <cellStyle name="Normal 11 8 2" xfId="5914" xr:uid="{3C16B3C4-9BA2-4BA5-B56C-569FDC9C4593}"/>
    <cellStyle name="Normal 11 8 2 2" xfId="26112" xr:uid="{54BF3F3F-E486-4A98-8F86-41E336AFA9FE}"/>
    <cellStyle name="Normal 11 8 2 3" xfId="15324" xr:uid="{C9968FD0-A6FD-4FFC-8DD2-8D5D8F8B13DB}"/>
    <cellStyle name="Normal 11 8 3" xfId="7777" xr:uid="{1CBB693E-D222-4711-9277-F48DC820F811}"/>
    <cellStyle name="Normal 11 8 3 2" xfId="18157" xr:uid="{695EB2FB-8162-4F8F-AB9B-77C49AC9BC6D}"/>
    <cellStyle name="Normal 11 8 4" xfId="10610" xr:uid="{9DDBDCA2-A42D-46D7-A65A-9B5B5F7571DF}"/>
    <cellStyle name="Normal 11 8 4 2" xfId="20990" xr:uid="{E64107D0-E411-4EED-ABAC-042DFC620510}"/>
    <cellStyle name="Normal 11 8 5" xfId="24149" xr:uid="{DE3B9CCD-AB2F-43CC-8B21-43E9D3C24ECA}"/>
    <cellStyle name="Normal 11 8 6" xfId="13054" xr:uid="{683EF287-66DA-4C6E-89BD-CBED583B0E34}"/>
    <cellStyle name="Normal 11 9" xfId="2257" xr:uid="{00000000-0005-0000-0000-000059030000}"/>
    <cellStyle name="Normal 11 9 2" xfId="7384" xr:uid="{CC45CD05-6C38-4C8F-969D-40CD46DD4EC2}"/>
    <cellStyle name="Normal 11 9 2 2" xfId="27281" xr:uid="{72E147AB-D952-44EA-AF13-327D60A7B6A6}"/>
    <cellStyle name="Normal 11 9 2 3" xfId="17764" xr:uid="{8A41127B-A9DB-421D-8BAB-419AD756C79D}"/>
    <cellStyle name="Normal 11 9 3" xfId="10217" xr:uid="{1EAA9FB2-92CE-410F-B029-E2AE91B18BE7}"/>
    <cellStyle name="Normal 11 9 3 2" xfId="20597" xr:uid="{4321BE4B-2DA1-492D-8447-49E3C6028460}"/>
    <cellStyle name="Normal 11 9 4" xfId="23173" xr:uid="{9FB7D291-3478-42A8-8F80-95239D39C086}"/>
    <cellStyle name="Normal 11 9 5" xfId="14931" xr:uid="{9FD45EBF-AC69-4791-830E-35A1B66B4468}"/>
    <cellStyle name="Normal 12" xfId="678" xr:uid="{00000000-0005-0000-0000-000052040000}"/>
    <cellStyle name="Normal 12 10" xfId="22966" xr:uid="{033343EA-8A5A-4D18-A061-28041EF0DCC6}"/>
    <cellStyle name="Normal 12 11" xfId="12497" xr:uid="{C76A44B9-FF9F-49AA-868F-89A514942165}"/>
    <cellStyle name="Normal 12 2" xfId="679" xr:uid="{00000000-0005-0000-0000-000053040000}"/>
    <cellStyle name="Normal 12 2 2" xfId="5037" xr:uid="{AD475A3E-73E0-4B12-B0FE-634B3B93A6DB}"/>
    <cellStyle name="Normal 12 2 2 2" xfId="25711" xr:uid="{7DEF7E45-F8D2-4063-B834-3C42CF35FB5A}"/>
    <cellStyle name="Normal 12 2 2 3" xfId="28325" xr:uid="{47B5D16A-CAC2-48DD-97F0-0C9E4E57B817}"/>
    <cellStyle name="Normal 12 2 2 4" xfId="14333" xr:uid="{073FA9A3-B4A4-40BF-82B1-D44419344B16}"/>
    <cellStyle name="Normal 12 2 3" xfId="6786" xr:uid="{7E55DEA3-BC79-4550-9BF7-EE947CFB9519}"/>
    <cellStyle name="Normal 12 2 3 2" xfId="26154" xr:uid="{81BE5766-15C6-4192-B29B-386BCB362BB7}"/>
    <cellStyle name="Normal 12 2 3 3" xfId="28619" xr:uid="{41EE9D90-22B5-4D91-B56D-7AEBE4D80B29}"/>
    <cellStyle name="Normal 12 2 3 4" xfId="17166" xr:uid="{EB77552A-3E39-4B3A-B257-4C2ECD7599FC}"/>
    <cellStyle name="Normal 12 2 4" xfId="9619" xr:uid="{F376DB83-EF64-4A8A-8A23-F57AF8F0224E}"/>
    <cellStyle name="Normal 12 2 4 2" xfId="29378" xr:uid="{16BF253E-C692-4009-9718-45A3A081B9C4}"/>
    <cellStyle name="Normal 12 2 4 3" xfId="19999" xr:uid="{C7955B86-9016-4C69-83B8-7A3A2A612F4F}"/>
    <cellStyle name="Normal 12 2 5" xfId="23085" xr:uid="{01633C0A-A72D-4EE4-9F1A-3DF12E369B3B}"/>
    <cellStyle name="Normal 12 2 6" xfId="13350" xr:uid="{04ADC0D9-B86A-46C2-99CE-0C892D77FB6D}"/>
    <cellStyle name="Normal 12 3" xfId="3145" xr:uid="{00000000-0005-0000-0000-000070030000}"/>
    <cellStyle name="Normal 12 3 2" xfId="6203" xr:uid="{7D022FC5-7870-45D9-8D59-60C6C14ADAA5}"/>
    <cellStyle name="Normal 12 3 2 2" xfId="22822" xr:uid="{A94978FC-D56E-43B3-9DC5-0274A2631273}"/>
    <cellStyle name="Normal 12 3 2 3" xfId="28692" xr:uid="{B751A062-B9D7-469D-A5F7-D39FB081053B}"/>
    <cellStyle name="Normal 12 3 2 4" xfId="15772" xr:uid="{12715E97-5114-4E2C-8FB6-DE55CB85D0A7}"/>
    <cellStyle name="Normal 12 3 3" xfId="8225" xr:uid="{280E29AF-96C5-490F-A35E-4FE1D8B8925E}"/>
    <cellStyle name="Normal 12 3 3 2" xfId="28870" xr:uid="{DB1364C7-AF5D-4030-A5A3-4EC5C448E437}"/>
    <cellStyle name="Normal 12 3 3 3" xfId="18605" xr:uid="{4A4433A0-54AB-4011-AC64-8F7A09961B7A}"/>
    <cellStyle name="Normal 12 3 4" xfId="11058" xr:uid="{967ED9CC-BE3E-49B9-B845-28C03999D68A}"/>
    <cellStyle name="Normal 12 3 4 2" xfId="21438" xr:uid="{709F180A-4DE2-4C8B-8544-6FE558FA0956}"/>
    <cellStyle name="Normal 12 3 5" xfId="23531" xr:uid="{D5234BF6-12FD-419A-8C41-7A9641DE3930}"/>
    <cellStyle name="Normal 12 3 6" xfId="13673" xr:uid="{0E151977-D1A2-40E0-AF8A-9538AD77A839}"/>
    <cellStyle name="Normal 12 4" xfId="2660" xr:uid="{00000000-0005-0000-0000-000071030000}"/>
    <cellStyle name="Normal 12 4 2" xfId="5920" xr:uid="{770C451C-813B-4FF8-B587-13F9DBD1EDDF}"/>
    <cellStyle name="Normal 12 4 2 2" xfId="26366" xr:uid="{A71634E2-0DF5-493D-84C0-FC73DA14EE97}"/>
    <cellStyle name="Normal 12 4 2 3" xfId="15332" xr:uid="{CC0B48EF-C0F2-4E06-A1BC-09A8A75F57FE}"/>
    <cellStyle name="Normal 12 4 3" xfId="7785" xr:uid="{BE42800C-35A8-4D46-A402-C7092A9B236B}"/>
    <cellStyle name="Normal 12 4 3 2" xfId="18165" xr:uid="{7B232A74-B0B6-4F4E-96AB-6D93C640B5A0}"/>
    <cellStyle name="Normal 12 4 4" xfId="10618" xr:uid="{FA08CA2A-FAAF-443C-9DDE-1D77E1DEA92C}"/>
    <cellStyle name="Normal 12 4 4 2" xfId="20998" xr:uid="{92F78D94-E3D1-471E-BEDA-A74745FCF85D}"/>
    <cellStyle name="Normal 12 4 5" xfId="23751" xr:uid="{DD1E9B09-6FEC-4C59-9677-7A102651FFEB}"/>
    <cellStyle name="Normal 12 4 6" xfId="13062" xr:uid="{A5C88BF8-7A2F-4C5B-A0D7-BBF24B97022B}"/>
    <cellStyle name="Normal 12 5" xfId="2265" xr:uid="{00000000-0005-0000-0000-00006E030000}"/>
    <cellStyle name="Normal 12 5 2" xfId="7392" xr:uid="{7E50454D-933B-4840-8B3F-BB52394ED944}"/>
    <cellStyle name="Normal 12 5 2 2" xfId="17772" xr:uid="{4048479F-63F7-41DF-BC82-7A11D85C922E}"/>
    <cellStyle name="Normal 12 5 3" xfId="10225" xr:uid="{F12FA1EC-A2E7-45E9-BE43-2774C2E1BC84}"/>
    <cellStyle name="Normal 12 5 3 2" xfId="20605" xr:uid="{B9D70D8E-2672-4BF9-9869-6734F15C2519}"/>
    <cellStyle name="Normal 12 5 4" xfId="24478" xr:uid="{DFAA973F-326E-446E-A2AD-301ABEE1A675}"/>
    <cellStyle name="Normal 12 5 5" xfId="14939" xr:uid="{10721356-729C-4D58-94C5-73C19FEC5DA1}"/>
    <cellStyle name="Normal 12 6" xfId="3788" xr:uid="{FC5D471A-BA1A-4CEB-A00A-3C532FA45458}"/>
    <cellStyle name="Normal 12 6 2" xfId="8627" xr:uid="{4A058FC5-A2EB-4011-AFB4-00F15F2B6912}"/>
    <cellStyle name="Normal 12 6 2 2" xfId="19007" xr:uid="{317FE9FD-0925-4241-B2DD-16B933DBA824}"/>
    <cellStyle name="Normal 12 6 3" xfId="11460" xr:uid="{F70DC20A-4CB9-48B4-9B61-85C555A8C8E9}"/>
    <cellStyle name="Normal 12 6 3 2" xfId="21840" xr:uid="{0810842A-5B40-4B7C-9C40-6719AEEE95F9}"/>
    <cellStyle name="Normal 12 6 4" xfId="16174" xr:uid="{5BB47EA7-B128-4837-9360-E10735DAAB63}"/>
    <cellStyle name="Normal 12 7" xfId="5036" xr:uid="{D8E44DB6-B01F-4F4D-BD68-0CD5A36983BA}"/>
    <cellStyle name="Normal 12 7 2" xfId="14332" xr:uid="{8BB7854B-15D0-42A0-B9E8-58D48B1E44D2}"/>
    <cellStyle name="Normal 12 8" xfId="6785" xr:uid="{A16B3C71-8F9F-450E-843E-AC7EFF0240D8}"/>
    <cellStyle name="Normal 12 8 2" xfId="17165" xr:uid="{B73FF3CB-5A5C-4E83-9F3D-74B341F1AA0B}"/>
    <cellStyle name="Normal 12 9" xfId="9618" xr:uid="{1F8F4189-B832-4E1E-A1D8-D39FD28B04F1}"/>
    <cellStyle name="Normal 12 9 2" xfId="19998" xr:uid="{8DD72BD7-34D7-44AA-991F-BA6B4ED22B16}"/>
    <cellStyle name="Normal 13" xfId="680" xr:uid="{00000000-0005-0000-0000-000054040000}"/>
    <cellStyle name="Normal 13 2" xfId="2858" xr:uid="{00000000-0005-0000-0000-000073030000}"/>
    <cellStyle name="Normal 13 2 2" xfId="6071" xr:uid="{AA45E48B-09ED-4685-8AB6-AA6F639FBB2D}"/>
    <cellStyle name="Normal 13 2 2 2" xfId="27454" xr:uid="{0ECDDCD3-2C26-43D1-B28A-9066ED64A0C3}"/>
    <cellStyle name="Normal 13 2 2 3" xfId="15527" xr:uid="{5315A895-933C-4175-B1C5-5A178C13C8AC}"/>
    <cellStyle name="Normal 13 2 3" xfId="7980" xr:uid="{D6ED7299-EB16-4696-9CA3-92A77439F31C}"/>
    <cellStyle name="Normal 13 2 3 2" xfId="18360" xr:uid="{D5E1AFA7-D19D-42A0-9BA6-AB9511E67ADC}"/>
    <cellStyle name="Normal 13 2 4" xfId="10813" xr:uid="{A6E33D61-2B9E-43E3-8C2E-E87F8B37CAB6}"/>
    <cellStyle name="Normal 13 2 4 2" xfId="21193" xr:uid="{0F36D579-9F20-4F18-916E-96830EF010CE}"/>
    <cellStyle name="Normal 13 2 5" xfId="25077" xr:uid="{4FF1AE43-EA66-47B5-B73F-454B5E6A16AC}"/>
    <cellStyle name="Normal 13 2 6" xfId="13347" xr:uid="{D4F3D36C-A7FC-4FDC-AAE9-E1EEBC23B8B9}"/>
    <cellStyle name="Normal 13 3" xfId="5038" xr:uid="{5EF0DBC1-19E6-4D57-AA65-7566483BF4E3}"/>
    <cellStyle name="Normal 13 3 2" xfId="23888" xr:uid="{BAF24BDA-9EA4-4E49-9C2F-0A1B24FBA196}"/>
    <cellStyle name="Normal 13 3 3" xfId="14334" xr:uid="{9DE4D361-8895-4AF1-9B4A-485DAAF66D82}"/>
    <cellStyle name="Normal 13 3 4" xfId="30265" xr:uid="{45BC022C-1C86-4CA6-9737-A8B357C66508}"/>
    <cellStyle name="Normal 13 4" xfId="6787" xr:uid="{E5B61214-23AE-4E08-9C32-6624FB8807D7}"/>
    <cellStyle name="Normal 13 4 2" xfId="24751" xr:uid="{30EAA314-B589-4A22-96C7-402013D2E5F1}"/>
    <cellStyle name="Normal 13 4 3" xfId="17167" xr:uid="{CD1AFCFF-8A29-40F4-BCB3-13A9938CCB65}"/>
    <cellStyle name="Normal 13 5" xfId="9620" xr:uid="{A64C81F3-8753-4787-8678-DA3C0B4E0D5D}"/>
    <cellStyle name="Normal 13 5 2" xfId="20000" xr:uid="{6AD10095-07EB-44EC-BF77-DAA26E917E4A}"/>
    <cellStyle name="Normal 13 6" xfId="24644" xr:uid="{C31D4092-6773-469F-B36E-534BE4E414D1}"/>
    <cellStyle name="Normal 13 7" xfId="12655" xr:uid="{8816A397-40EB-4D81-AB75-F4B738433536}"/>
    <cellStyle name="Normal 14" xfId="681" xr:uid="{00000000-0005-0000-0000-000055040000}"/>
    <cellStyle name="Normal 14 2" xfId="5039" xr:uid="{0D3D8E5F-1EDF-435C-B1B0-BD478797D276}"/>
    <cellStyle name="Normal 14 2 2" xfId="24479" xr:uid="{C034AB12-76B5-486A-9894-6A048BC7366A}"/>
    <cellStyle name="Normal 14 2 3" xfId="27543" xr:uid="{2A7A1040-187C-4B84-82AB-F3A4C14E60F4}"/>
    <cellStyle name="Normal 14 2 4" xfId="14335" xr:uid="{1F912A46-1F27-4E86-990F-1ED3312AE108}"/>
    <cellStyle name="Normal 14 3" xfId="6788" xr:uid="{F3711F9B-2A3C-4CD8-BBD7-40DE750693A8}"/>
    <cellStyle name="Normal 14 3 2" xfId="26277" xr:uid="{2E219A78-E01D-45C7-835F-4A082BBDE51C}"/>
    <cellStyle name="Normal 14 3 3" xfId="17168" xr:uid="{98E27F91-1457-4546-AA50-24A60B093E5D}"/>
    <cellStyle name="Normal 14 4" xfId="9621" xr:uid="{24ACE589-6F58-480C-A0A9-E0CCB13410CC}"/>
    <cellStyle name="Normal 14 4 2" xfId="20001" xr:uid="{34A16C81-10AF-4836-996D-F492EE7E1506}"/>
    <cellStyle name="Normal 14 5" xfId="24461" xr:uid="{B2C5D97A-D174-4AE7-8B7D-B2C708EFC8E7}"/>
    <cellStyle name="Normal 14 6" xfId="13353" xr:uid="{A6F71BD5-6E29-429D-86A0-A3FE750FA4A2}"/>
    <cellStyle name="Normal 15" xfId="2427" xr:uid="{00000000-0005-0000-0000-000075030000}"/>
    <cellStyle name="Normal 15 2" xfId="23096" xr:uid="{2C9AB8CE-D120-4791-BB69-A1D95A2CF072}"/>
    <cellStyle name="Normal 15 3" xfId="25235" xr:uid="{43C97933-000E-4EB9-ADD0-F68EC944A8A0}"/>
    <cellStyle name="Normal 15 4" xfId="30219" xr:uid="{03CF0965-9006-407C-A6F3-C355CBD4412A}"/>
    <cellStyle name="Normal 16" xfId="2426" xr:uid="{00000000-0005-0000-0000-000076030000}"/>
    <cellStyle name="Normal 16 2" xfId="5726" xr:uid="{B477EC25-0A93-45EF-93C3-5F54D32200CD}"/>
    <cellStyle name="Normal 16 2 2" xfId="28320" xr:uid="{D5DCF4FC-BC09-4702-B3D6-AB3F7724FBFD}"/>
    <cellStyle name="Normal 16 2 3" xfId="15100" xr:uid="{29037CB6-2C9A-47AC-9730-FFD64DBF95FD}"/>
    <cellStyle name="Normal 16 3" xfId="7553" xr:uid="{63D701BD-ABDA-4964-8C51-6402DDBE271A}"/>
    <cellStyle name="Normal 16 3 2" xfId="17933" xr:uid="{9D219CFE-1969-42B2-A553-D5847A6DA9DD}"/>
    <cellStyle name="Normal 16 4" xfId="10386" xr:uid="{D2522661-93A0-4956-9697-D1730F5CFA20}"/>
    <cellStyle name="Normal 16 4 2" xfId="20766" xr:uid="{5137FD37-CDFD-4897-8D9B-C3DCFC154183}"/>
    <cellStyle name="Normal 16 5" xfId="25182" xr:uid="{7A977A69-078F-4B3B-A863-D178A5FF7356}"/>
    <cellStyle name="Normal 16 6" xfId="12813" xr:uid="{29E9BBF2-7804-4601-B0CA-D6862E03B065}"/>
    <cellStyle name="Normal 17" xfId="4846" xr:uid="{4EC3EDA1-0B49-4397-ACE6-F65BB86475E3}"/>
    <cellStyle name="Normal 17 2" xfId="26265" xr:uid="{F9058EFE-70AF-4C20-8F8B-416CE835CA40}"/>
    <cellStyle name="Normal 17 3" xfId="14134" xr:uid="{19AEF679-6457-4A98-AD6A-ED8181B653C8}"/>
    <cellStyle name="Normal 17 4" xfId="29614" xr:uid="{1408406F-0F3E-4B32-8FAF-E9953EA12EC1}"/>
    <cellStyle name="Normal 17 5" xfId="29589" xr:uid="{4ED93E39-21EF-4DCF-B005-6E3097EA06BD}"/>
    <cellStyle name="Normal 17 5 2" xfId="29641" xr:uid="{45B16796-CAAF-4DF6-B906-098BDC71E282}"/>
    <cellStyle name="Normal 17 6" xfId="29639" xr:uid="{2615603F-F587-465C-9DB1-DFE5AAD13470}"/>
    <cellStyle name="Normal 18" xfId="6587" xr:uid="{41350291-B8D4-4B0F-BB97-B6A2FEFF55C8}"/>
    <cellStyle name="Normal 18 2" xfId="16967" xr:uid="{A08ADA9E-880A-423A-BC21-A77F0F152E4B}"/>
    <cellStyle name="Normal 19" xfId="9420" xr:uid="{EEFE1ADD-8068-4691-A806-69EFDD9F49C8}"/>
    <cellStyle name="Normal 19 2" xfId="19800" xr:uid="{B56B06F7-E066-401E-BD37-8901D45D37C2}"/>
    <cellStyle name="Normal 2" xfId="682" xr:uid="{00000000-0005-0000-0000-000056040000}"/>
    <cellStyle name="Normal 2 10" xfId="683" xr:uid="{00000000-0005-0000-0000-000057040000}"/>
    <cellStyle name="Normal 2 10 10" xfId="9622" xr:uid="{6A978DBD-1903-4566-A76F-D9BD2824005F}"/>
    <cellStyle name="Normal 2 10 10 2" xfId="20002" xr:uid="{FCAF2797-04A4-45F3-AAB4-4974094B7C05}"/>
    <cellStyle name="Normal 2 10 11" xfId="24310" xr:uid="{7CE40F8D-2C6C-40A0-827F-401595517E6B}"/>
    <cellStyle name="Normal 2 10 12" xfId="12547" xr:uid="{D8F2B4BC-75C0-46DD-AA3E-912AAFB27616}"/>
    <cellStyle name="Normal 2 10 2" xfId="684" xr:uid="{00000000-0005-0000-0000-000058040000}"/>
    <cellStyle name="Normal 2 10 2 10" xfId="12705" xr:uid="{03590174-D100-4823-9470-1F863032040F}"/>
    <cellStyle name="Normal 2 10 2 2" xfId="685" xr:uid="{00000000-0005-0000-0000-000059040000}"/>
    <cellStyle name="Normal 2 10 2 2 2" xfId="5042" xr:uid="{4B1D97E6-96DB-48FB-BE29-9C4A808EEAF1}"/>
    <cellStyle name="Normal 2 10 2 2 2 2" xfId="25028" xr:uid="{85EF3525-AC41-4E56-B053-2013675EAF5F}"/>
    <cellStyle name="Normal 2 10 2 2 2 3" xfId="27771" xr:uid="{E3908DE8-2AA8-4280-BAA0-A0384637A422}"/>
    <cellStyle name="Normal 2 10 2 2 2 4" xfId="14338" xr:uid="{715D0DB7-0BAC-4BB5-8734-41CF55C22CDC}"/>
    <cellStyle name="Normal 2 10 2 2 3" xfId="6791" xr:uid="{0E5A8F5D-0961-4D45-9D50-F9720832934F}"/>
    <cellStyle name="Normal 2 10 2 2 3 2" xfId="27570" xr:uid="{FC2BD4B1-3FF0-4C9B-B62C-30EB7E056146}"/>
    <cellStyle name="Normal 2 10 2 2 3 3" xfId="28315" xr:uid="{2E712B32-BDE8-415B-A965-6709DFF53A01}"/>
    <cellStyle name="Normal 2 10 2 2 3 4" xfId="17171" xr:uid="{7732C903-252A-4177-B4EE-01EA203637C3}"/>
    <cellStyle name="Normal 2 10 2 2 4" xfId="9624" xr:uid="{90E5D0CC-8E0F-4145-AD1C-7A6B585F163D}"/>
    <cellStyle name="Normal 2 10 2 2 4 2" xfId="29379" xr:uid="{48816090-0EC0-4318-9EF0-31208B402F94}"/>
    <cellStyle name="Normal 2 10 2 2 4 3" xfId="20004" xr:uid="{BAC9179B-5B3E-4B5E-946C-494A9C64BE30}"/>
    <cellStyle name="Normal 2 10 2 2 5" xfId="24023" xr:uid="{69D296D9-4E64-4349-A6C1-12380EBC0D27}"/>
    <cellStyle name="Normal 2 10 2 2 6" xfId="13674" xr:uid="{21AB60BC-1520-40B2-80EB-15E14175247D}"/>
    <cellStyle name="Normal 2 10 2 3" xfId="2713" xr:uid="{00000000-0005-0000-0000-00007B030000}"/>
    <cellStyle name="Normal 2 10 2 3 2" xfId="5931" xr:uid="{6F9B445A-F519-4F2B-841F-0828963C8272}"/>
    <cellStyle name="Normal 2 10 2 3 2 2" xfId="27658" xr:uid="{84CDA419-4F55-43FC-ADC1-410564068752}"/>
    <cellStyle name="Normal 2 10 2 3 2 3" xfId="15384" xr:uid="{4BF48A87-A58E-48C5-B237-DBBC0B37BCFF}"/>
    <cellStyle name="Normal 2 10 2 3 3" xfId="7837" xr:uid="{756D2142-0636-4E39-AA65-B82595E47ED9}"/>
    <cellStyle name="Normal 2 10 2 3 3 2" xfId="18217" xr:uid="{8974FC1F-3940-4551-8566-90BF8E1DBE46}"/>
    <cellStyle name="Normal 2 10 2 3 4" xfId="10670" xr:uid="{981C3D8B-0BC7-4C56-8B70-DF9DCC096F32}"/>
    <cellStyle name="Normal 2 10 2 3 4 2" xfId="21050" xr:uid="{04A75ED6-0273-48B9-957F-A9EF01D42227}"/>
    <cellStyle name="Normal 2 10 2 3 5" xfId="23046" xr:uid="{A8EBECA3-327C-48A7-853D-6A48EDFE396E}"/>
    <cellStyle name="Normal 2 10 2 3 6" xfId="13140" xr:uid="{C2DFDE86-C1D5-41D4-BE4E-0A9C42D6D918}"/>
    <cellStyle name="Normal 2 10 2 4" xfId="2421" xr:uid="{00000000-0005-0000-0000-000079030000}"/>
    <cellStyle name="Normal 2 10 2 4 2" xfId="7548" xr:uid="{3B36CAC2-FF81-448A-95FB-1AA5EF72530D}"/>
    <cellStyle name="Normal 2 10 2 4 2 2" xfId="27934" xr:uid="{D2FE575E-6C08-4270-98DA-54828BC91846}"/>
    <cellStyle name="Normal 2 10 2 4 2 3" xfId="17928" xr:uid="{F6D443BF-C32A-492D-865E-6B60716A332A}"/>
    <cellStyle name="Normal 2 10 2 4 3" xfId="10381" xr:uid="{78384D6C-1B9B-4ED5-A6E0-75FBD89CE93B}"/>
    <cellStyle name="Normal 2 10 2 4 3 2" xfId="20761" xr:uid="{B112BDC5-E73D-4943-A297-053DD2012967}"/>
    <cellStyle name="Normal 2 10 2 4 4" xfId="24925" xr:uid="{54163CFA-A981-416D-A52A-8376976FC0C9}"/>
    <cellStyle name="Normal 2 10 2 4 5" xfId="15095" xr:uid="{5725EBF2-79D5-45F0-9961-B3DD42B887C3}"/>
    <cellStyle name="Normal 2 10 2 5" xfId="3917" xr:uid="{BD5E7341-68BF-4756-8305-A435157C6732}"/>
    <cellStyle name="Normal 2 10 2 5 2" xfId="8749" xr:uid="{7215D1F5-0354-459D-8EC2-14DB0923EF4F}"/>
    <cellStyle name="Normal 2 10 2 5 2 2" xfId="19129" xr:uid="{1B946FF3-D8FF-49C9-8E18-EDA76F7B3291}"/>
    <cellStyle name="Normal 2 10 2 5 3" xfId="11582" xr:uid="{A2149190-495C-499F-817F-63A921074BCE}"/>
    <cellStyle name="Normal 2 10 2 5 3 2" xfId="21962" xr:uid="{CCB3DD2F-6369-4CCF-A0BB-9B6FD6A06564}"/>
    <cellStyle name="Normal 2 10 2 5 4" xfId="26100" xr:uid="{12B3E98C-809D-4A86-BBB9-BCD3ED4B0349}"/>
    <cellStyle name="Normal 2 10 2 5 5" xfId="16296" xr:uid="{12D5A544-ABFE-4F3E-BCE3-3E0259E3DDDD}"/>
    <cellStyle name="Normal 2 10 2 6" xfId="5041" xr:uid="{D5B2E7E1-955B-4DE0-AE72-078AEA147FA3}"/>
    <cellStyle name="Normal 2 10 2 6 2" xfId="14337" xr:uid="{B1481CA9-47DB-478D-B9E6-EDCB74F5F9FE}"/>
    <cellStyle name="Normal 2 10 2 7" xfId="6790" xr:uid="{836EDE06-7085-4C14-AD6D-C9F5F92FC2A3}"/>
    <cellStyle name="Normal 2 10 2 7 2" xfId="17170" xr:uid="{38C9EFBA-9DB9-48BD-96E0-0CB7D0C9787F}"/>
    <cellStyle name="Normal 2 10 2 8" xfId="9623" xr:uid="{B9D44309-A423-4CC3-8623-A597779FE67A}"/>
    <cellStyle name="Normal 2 10 2 8 2" xfId="20003" xr:uid="{D7D18A0B-24F2-45BA-8A57-C998D2A2B2F1}"/>
    <cellStyle name="Normal 2 10 2 9" xfId="23587" xr:uid="{8CE583E1-4E59-4591-9A6A-677E69EF0669}"/>
    <cellStyle name="Normal 2 10 3" xfId="686" xr:uid="{00000000-0005-0000-0000-00005A040000}"/>
    <cellStyle name="Normal 2 10 3 2" xfId="4450" xr:uid="{056BFCF5-1274-4918-A4DB-F87B2191CBDF}"/>
    <cellStyle name="Normal 2 10 3 2 2" xfId="9222" xr:uid="{050CFBA6-16B7-4853-A509-E414C781678D}"/>
    <cellStyle name="Normal 2 10 3 2 2 2" xfId="29215" xr:uid="{2BA3FFC7-FF5D-4274-8170-8C001DC032FF}"/>
    <cellStyle name="Normal 2 10 3 2 2 3" xfId="19602" xr:uid="{3F2C4159-088E-40FF-8CC1-40E4F01F2175}"/>
    <cellStyle name="Normal 2 10 3 2 3" xfId="12055" xr:uid="{1737CD57-5D2B-42D0-AF93-FA54A6266609}"/>
    <cellStyle name="Normal 2 10 3 2 3 2" xfId="22435" xr:uid="{92A273E8-584A-4750-B49B-6A439EE7CDCF}"/>
    <cellStyle name="Normal 2 10 3 2 4" xfId="25659" xr:uid="{939EA17D-5404-42BF-9BCE-F96FB7F08C8C}"/>
    <cellStyle name="Normal 2 10 3 2 5" xfId="16769" xr:uid="{5BD07587-E792-4E60-81B5-E88AF2F62CBA}"/>
    <cellStyle name="Normal 2 10 3 3" xfId="5043" xr:uid="{A07D5222-E95C-4645-B95C-D413E152A2E0}"/>
    <cellStyle name="Normal 2 10 3 3 2" xfId="24508" xr:uid="{E4FB581A-5B57-460F-9BFE-9BBB58D36D54}"/>
    <cellStyle name="Normal 2 10 3 3 3" xfId="26534" xr:uid="{EB907162-DEC4-4F5E-9493-D102550CE772}"/>
    <cellStyle name="Normal 2 10 3 3 4" xfId="14339" xr:uid="{42913208-0214-447A-AAC1-150923146ADA}"/>
    <cellStyle name="Normal 2 10 3 4" xfId="6792" xr:uid="{C7792434-52BD-4AF3-90AC-0E6F0DB2DE3B}"/>
    <cellStyle name="Normal 2 10 3 4 2" xfId="24388" xr:uid="{ACBB8426-ADCF-4399-A188-1C03473A4B6F}"/>
    <cellStyle name="Normal 2 10 3 4 3" xfId="25866" xr:uid="{C99A89DD-C295-4A1A-AEFA-162926ACA3B9}"/>
    <cellStyle name="Normal 2 10 3 4 4" xfId="17172" xr:uid="{0F2D2FA9-4751-42CD-9D77-7FED9BC3B7DD}"/>
    <cellStyle name="Normal 2 10 3 5" xfId="9625" xr:uid="{D3E6235E-5788-4E8F-827B-7F0456FA5E08}"/>
    <cellStyle name="Normal 2 10 3 5 2" xfId="29380" xr:uid="{23296332-AF0F-4B31-8C10-BDC4A4C91A07}"/>
    <cellStyle name="Normal 2 10 3 5 3" xfId="20005" xr:uid="{0A543DC3-5871-41AF-A95F-CCCD8399027A}"/>
    <cellStyle name="Normal 2 10 3 6" xfId="23882" xr:uid="{88A6EF82-244A-4931-A304-409A70362C02}"/>
    <cellStyle name="Normal 2 10 3 7" xfId="13675" xr:uid="{35D9751C-52C4-44B3-AE92-A0BE2C32FF41}"/>
    <cellStyle name="Normal 2 10 4" xfId="687" xr:uid="{00000000-0005-0000-0000-00005B040000}"/>
    <cellStyle name="Normal 2 10 4 2" xfId="5044" xr:uid="{F0F1627E-1D02-477B-9062-80DFA671F4A1}"/>
    <cellStyle name="Normal 2 10 4 2 2" xfId="25679" xr:uid="{EFD2D526-1985-4BBF-B4E7-627FD67D47DC}"/>
    <cellStyle name="Normal 2 10 4 2 3" xfId="27924" xr:uid="{C17E5783-7881-49DD-859E-5D6DC5FCDACD}"/>
    <cellStyle name="Normal 2 10 4 2 4" xfId="14340" xr:uid="{0D9E0302-872C-41EE-AAD3-1D698F8F637D}"/>
    <cellStyle name="Normal 2 10 4 3" xfId="6793" xr:uid="{2E122C95-0419-48D1-B781-FE19679BDA09}"/>
    <cellStyle name="Normal 2 10 4 3 2" xfId="26673" xr:uid="{756C9BF8-7F4E-4D5D-BFEA-0DC97959D1C8}"/>
    <cellStyle name="Normal 2 10 4 3 3" xfId="17173" xr:uid="{6C9C85BD-F9DC-424A-8FA1-5460624278FD}"/>
    <cellStyle name="Normal 2 10 4 4" xfId="9626" xr:uid="{326FC538-9A19-44D5-B746-510789696F5A}"/>
    <cellStyle name="Normal 2 10 4 4 2" xfId="20006" xr:uid="{C629BCCB-DEA1-46F1-8FCC-A0F4FCAC0B9B}"/>
    <cellStyle name="Normal 2 10 4 5" xfId="24326" xr:uid="{D3B42B4B-9B2D-4347-967B-69A50EED4634}"/>
    <cellStyle name="Normal 2 10 4 6" xfId="13403" xr:uid="{0F9FA0E0-BEE7-41CF-AF3D-4AB2C0132119}"/>
    <cellStyle name="Normal 2 10 5" xfId="2504" xr:uid="{00000000-0005-0000-0000-00007E030000}"/>
    <cellStyle name="Normal 2 10 5 2" xfId="5784" xr:uid="{35CEC759-4A6C-40CC-BF8A-236861E32D53}"/>
    <cellStyle name="Normal 2 10 5 2 2" xfId="28492" xr:uid="{45F6E169-BB30-4E7B-9E02-EE4370FD78A0}"/>
    <cellStyle name="Normal 2 10 5 2 3" xfId="15176" xr:uid="{1C2128C8-39D5-467D-B67D-C52C1ACE183E}"/>
    <cellStyle name="Normal 2 10 5 3" xfId="7629" xr:uid="{58E3CCDA-41AC-456B-8B87-365313B280B1}"/>
    <cellStyle name="Normal 2 10 5 3 2" xfId="18009" xr:uid="{3B8B6460-2202-4356-BD8D-D6C673D66CAF}"/>
    <cellStyle name="Normal 2 10 5 4" xfId="10462" xr:uid="{7BD48EB6-81F0-4168-9D24-324DCFC2998C}"/>
    <cellStyle name="Normal 2 10 5 4 2" xfId="20842" xr:uid="{E05399EA-7298-4A1B-8A5D-E719A730BCFD}"/>
    <cellStyle name="Normal 2 10 5 5" xfId="23022" xr:uid="{A4F06588-7611-44B0-941D-2B3DAE839F8A}"/>
    <cellStyle name="Normal 2 10 5 6" xfId="12892" xr:uid="{77731914-FBAD-4C62-8728-7EB91800362C}"/>
    <cellStyle name="Normal 2 10 6" xfId="2313" xr:uid="{00000000-0005-0000-0000-000078030000}"/>
    <cellStyle name="Normal 2 10 6 2" xfId="7440" xr:uid="{823EDB6F-E493-41CE-A857-F74FF97C3104}"/>
    <cellStyle name="Normal 2 10 6 2 2" xfId="28349" xr:uid="{F9D97EDC-77FD-4C92-8C2F-CB40999DFDDD}"/>
    <cellStyle name="Normal 2 10 6 2 3" xfId="17820" xr:uid="{F5C772A3-31A2-4AF6-92E9-FDFC9BB82E61}"/>
    <cellStyle name="Normal 2 10 6 3" xfId="10273" xr:uid="{97712D6C-5236-40BF-BEE6-725451375070}"/>
    <cellStyle name="Normal 2 10 6 3 2" xfId="20653" xr:uid="{68EC7E14-846C-47E4-A899-7D9526CC3A2A}"/>
    <cellStyle name="Normal 2 10 6 4" xfId="24083" xr:uid="{4D8E30FC-2E63-43FE-A0C3-711DD8F4D046}"/>
    <cellStyle name="Normal 2 10 6 5" xfId="14987" xr:uid="{1181DD5C-0855-4543-8E8D-3FA0D1405AC4}"/>
    <cellStyle name="Normal 2 10 7" xfId="3787" xr:uid="{518FA295-D8E6-4FED-B958-7995796B86E0}"/>
    <cellStyle name="Normal 2 10 7 2" xfId="8626" xr:uid="{DF8E0C14-C08B-4D4E-8B85-5D64FADE70B5}"/>
    <cellStyle name="Normal 2 10 7 2 2" xfId="19006" xr:uid="{ACBA6765-E82B-40E4-8880-08D673526B82}"/>
    <cellStyle name="Normal 2 10 7 3" xfId="11459" xr:uid="{B3B5DF78-D8AF-4EDA-998E-39990D31FCD8}"/>
    <cellStyle name="Normal 2 10 7 3 2" xfId="21839" xr:uid="{92F6B062-43CF-4C49-BC32-F58100DAAC0E}"/>
    <cellStyle name="Normal 2 10 7 4" xfId="26544" xr:uid="{740D2E73-59CD-42D3-B046-5A1CFF56CCE5}"/>
    <cellStyle name="Normal 2 10 7 5" xfId="16173" xr:uid="{E850A9D8-B814-422E-8901-B9B7BCB32F8B}"/>
    <cellStyle name="Normal 2 10 8" xfId="5040" xr:uid="{8B8E9146-C08B-4340-A020-2D969D66A976}"/>
    <cellStyle name="Normal 2 10 8 2" xfId="14336" xr:uid="{E740B02E-4A03-4B04-9557-5007D61D822E}"/>
    <cellStyle name="Normal 2 10 9" xfId="6789" xr:uid="{93F39D5F-0B91-48F9-A606-E5256C9A4BF8}"/>
    <cellStyle name="Normal 2 10 9 2" xfId="17169" xr:uid="{02CFE5B8-BBCE-4940-BE7B-08B07D6A68F7}"/>
    <cellStyle name="Normal 2 11" xfId="688" xr:uid="{00000000-0005-0000-0000-00005C040000}"/>
    <cellStyle name="Normal 2 11 10" xfId="9627" xr:uid="{7548FCAA-9289-4A47-BA79-68BAFF6D3460}"/>
    <cellStyle name="Normal 2 11 10 2" xfId="20007" xr:uid="{A173D02A-D76A-45AF-9D7E-CF93B835499F}"/>
    <cellStyle name="Normal 2 11 11" xfId="23297" xr:uid="{17368848-A1E5-4BD5-A1FE-E3698DB59D92}"/>
    <cellStyle name="Normal 2 11 12" xfId="12548" xr:uid="{CDFC12FC-8415-4608-AA79-491AC8CBA97C}"/>
    <cellStyle name="Normal 2 11 2" xfId="689" xr:uid="{00000000-0005-0000-0000-00005D040000}"/>
    <cellStyle name="Normal 2 11 2 2" xfId="690" xr:uid="{00000000-0005-0000-0000-00005E040000}"/>
    <cellStyle name="Normal 2 11 2 2 2" xfId="5047" xr:uid="{A121F22B-E9DC-42F4-B6C5-AB0316A4170F}"/>
    <cellStyle name="Normal 2 11 2 2 2 2" xfId="24721" xr:uid="{FB5F1BBE-6AB3-41AF-8185-463AD36EB213}"/>
    <cellStyle name="Normal 2 11 2 2 2 3" xfId="26690" xr:uid="{FF9964BB-61F7-4489-80BE-4BF8BFA0CAFD}"/>
    <cellStyle name="Normal 2 11 2 2 2 4" xfId="14343" xr:uid="{85C26CF3-9A61-41B4-9EFA-809A6A39FA16}"/>
    <cellStyle name="Normal 2 11 2 2 3" xfId="6796" xr:uid="{463C792A-969D-45EA-890B-D4320993EA6A}"/>
    <cellStyle name="Normal 2 11 2 2 3 2" xfId="27573" xr:uid="{2450452C-7EDC-4CDD-8592-E8D48DD6E376}"/>
    <cellStyle name="Normal 2 11 2 2 3 3" xfId="26775" xr:uid="{441DF291-444B-43E1-A2AC-6EDBE1179BC5}"/>
    <cellStyle name="Normal 2 11 2 2 3 4" xfId="17176" xr:uid="{E6E690B2-CFF4-4E20-8FE2-C1CE4943C2CE}"/>
    <cellStyle name="Normal 2 11 2 2 4" xfId="9629" xr:uid="{DB6D3923-1ED3-4A63-89AA-B99AC5FED05C}"/>
    <cellStyle name="Normal 2 11 2 2 4 2" xfId="29381" xr:uid="{70BD47A4-93BD-4240-828D-C84766DEECF7}"/>
    <cellStyle name="Normal 2 11 2 2 4 3" xfId="20009" xr:uid="{0E3F1D15-7B3C-4D4B-8FE1-584FDBF7F8E3}"/>
    <cellStyle name="Normal 2 11 2 2 5" xfId="24825" xr:uid="{EBA2E477-AD16-452A-88E4-24DD740FE92F}"/>
    <cellStyle name="Normal 2 11 2 2 6" xfId="13676" xr:uid="{0C357037-5A12-4E9F-A359-B6EE41BB8FAC}"/>
    <cellStyle name="Normal 2 11 2 3" xfId="2714" xr:uid="{00000000-0005-0000-0000-000082030000}"/>
    <cellStyle name="Normal 2 11 2 3 2" xfId="5932" xr:uid="{9A09F166-FA77-4869-954E-ADAB91502713}"/>
    <cellStyle name="Normal 2 11 2 3 2 2" xfId="27084" xr:uid="{D2CD80BB-9D3A-4852-8F45-D9B4481616CB}"/>
    <cellStyle name="Normal 2 11 2 3 2 3" xfId="15385" xr:uid="{F33F2DAC-F98D-48AB-8924-842E8DBA5A51}"/>
    <cellStyle name="Normal 2 11 2 3 3" xfId="7838" xr:uid="{B4A9C05E-4CE1-4774-BB3D-6872279E97A9}"/>
    <cellStyle name="Normal 2 11 2 3 3 2" xfId="18218" xr:uid="{B64314EC-7446-45FD-9DDF-84AD8E4E2989}"/>
    <cellStyle name="Normal 2 11 2 3 4" xfId="10671" xr:uid="{57A0FED7-EE91-4F36-B209-B14BD447FFDB}"/>
    <cellStyle name="Normal 2 11 2 3 4 2" xfId="21051" xr:uid="{4C7B949E-1FB9-4AAC-8BF3-235375D74781}"/>
    <cellStyle name="Normal 2 11 2 3 5" xfId="25372" xr:uid="{0DCA70EE-9F8E-474B-9424-83BEB2617289}"/>
    <cellStyle name="Normal 2 11 2 3 6" xfId="13141" xr:uid="{31C34A61-71BC-4FA9-A305-6233FF33ADB2}"/>
    <cellStyle name="Normal 2 11 2 4" xfId="4152" xr:uid="{6318FECA-3F45-4155-812A-21138AD32A2F}"/>
    <cellStyle name="Normal 2 11 2 4 2" xfId="8924" xr:uid="{B9EC27BE-90BB-40FA-83FF-1CD425CCCAAF}"/>
    <cellStyle name="Normal 2 11 2 4 2 2" xfId="29023" xr:uid="{3A3C317C-E6AC-433D-BEFA-7B1878C467AC}"/>
    <cellStyle name="Normal 2 11 2 4 2 3" xfId="19304" xr:uid="{0A00667E-00DE-44A3-AE8F-86910B1AEDDC}"/>
    <cellStyle name="Normal 2 11 2 4 3" xfId="11757" xr:uid="{D08207BA-352E-413A-819E-FA704D7726FA}"/>
    <cellStyle name="Normal 2 11 2 4 3 2" xfId="22137" xr:uid="{F91428F8-9EF9-4878-98DE-CE6DE92C1F16}"/>
    <cellStyle name="Normal 2 11 2 4 4" xfId="24822" xr:uid="{B6F9C03E-37D1-4BF4-A756-E837032DF0A1}"/>
    <cellStyle name="Normal 2 11 2 4 5" xfId="16471" xr:uid="{BEF11B16-C78A-4FD0-AFBE-C19E85D82267}"/>
    <cellStyle name="Normal 2 11 2 5" xfId="5046" xr:uid="{2109241C-B5BC-4E24-B38E-4BB82FE72988}"/>
    <cellStyle name="Normal 2 11 2 5 2" xfId="27694" xr:uid="{5798BFE2-BADB-43AD-945A-44D3BCAF67DE}"/>
    <cellStyle name="Normal 2 11 2 5 3" xfId="14342" xr:uid="{B3AFDC84-0E9C-4CF5-A8AB-E3F38705A0A1}"/>
    <cellStyle name="Normal 2 11 2 6" xfId="6795" xr:uid="{40B32340-8D5B-460B-8831-8EF4ACC8C41B}"/>
    <cellStyle name="Normal 2 11 2 6 2" xfId="17175" xr:uid="{996A3F2C-39EB-4707-A2F2-F78D870EB6E8}"/>
    <cellStyle name="Normal 2 11 2 7" xfId="9628" xr:uid="{52B71E2C-50C5-44A7-90E1-88009A44BF23}"/>
    <cellStyle name="Normal 2 11 2 7 2" xfId="20008" xr:uid="{A438D991-6F78-4109-A30C-894D3D31F343}"/>
    <cellStyle name="Normal 2 11 2 8" xfId="24105" xr:uid="{AF03A40D-7B56-4DA0-ADCC-41B065F1C27F}"/>
    <cellStyle name="Normal 2 11 2 9" xfId="12706" xr:uid="{5B829EA5-7AAB-4415-9D70-13C1EC52E975}"/>
    <cellStyle name="Normal 2 11 3" xfId="691" xr:uid="{00000000-0005-0000-0000-00005F040000}"/>
    <cellStyle name="Normal 2 11 3 2" xfId="4451" xr:uid="{E4AA06BD-7FE9-48CD-90B1-A362FCBD00C8}"/>
    <cellStyle name="Normal 2 11 3 2 2" xfId="9223" xr:uid="{F0550F66-C55F-492A-A3AD-90BFD7C6BBDC}"/>
    <cellStyle name="Normal 2 11 3 2 2 2" xfId="29216" xr:uid="{37E09FE3-3014-4F20-BFD7-8E250D838089}"/>
    <cellStyle name="Normal 2 11 3 2 2 3" xfId="19603" xr:uid="{3C72F442-633A-4228-8991-E78B9EB79B03}"/>
    <cellStyle name="Normal 2 11 3 2 3" xfId="12056" xr:uid="{B946B2CC-E385-4F3B-AAC6-D354A5957472}"/>
    <cellStyle name="Normal 2 11 3 2 3 2" xfId="22436" xr:uid="{E93E7978-5662-40B0-81D3-620034DA0316}"/>
    <cellStyle name="Normal 2 11 3 2 4" xfId="25493" xr:uid="{D84B4758-CB8C-4D79-8E7D-7EE6146C1370}"/>
    <cellStyle name="Normal 2 11 3 2 5" xfId="16770" xr:uid="{095285EF-4D64-4392-9B31-8190D4A20ED2}"/>
    <cellStyle name="Normal 2 11 3 3" xfId="5048" xr:uid="{E89A2EE6-1ED1-47F2-B0C8-EA5ED086468D}"/>
    <cellStyle name="Normal 2 11 3 3 2" xfId="26776" xr:uid="{8827C68F-BD88-4085-8760-A7E1A3FA6C26}"/>
    <cellStyle name="Normal 2 11 3 3 3" xfId="28721" xr:uid="{662A2953-B65F-4D77-BC6A-49B049514D0B}"/>
    <cellStyle name="Normal 2 11 3 3 4" xfId="14344" xr:uid="{FCA7E365-B79A-448B-BA9F-C1559274F769}"/>
    <cellStyle name="Normal 2 11 3 4" xfId="6797" xr:uid="{C614A644-0336-47E7-A754-B93549ACD5B1}"/>
    <cellStyle name="Normal 2 11 3 4 2" xfId="26105" xr:uid="{BD6077F8-424E-45BA-890F-381664F411F8}"/>
    <cellStyle name="Normal 2 11 3 4 3" xfId="27928" xr:uid="{91779748-978F-4488-92EC-023F7053C0F9}"/>
    <cellStyle name="Normal 2 11 3 4 4" xfId="17177" xr:uid="{E121E7C8-2AD4-413C-B568-6D6773F8980D}"/>
    <cellStyle name="Normal 2 11 3 5" xfId="9630" xr:uid="{A96993EA-D2CD-46B2-AA33-7CA4B13204C7}"/>
    <cellStyle name="Normal 2 11 3 5 2" xfId="29382" xr:uid="{F415137C-BA0B-471C-A285-A0165AA071B4}"/>
    <cellStyle name="Normal 2 11 3 5 3" xfId="20010" xr:uid="{69F6D4C8-E326-4E7C-A2F4-77FAD8FE2A55}"/>
    <cellStyle name="Normal 2 11 3 6" xfId="25040" xr:uid="{24C1CE92-4BC4-4CB8-9D5C-F637E06C03CE}"/>
    <cellStyle name="Normal 2 11 3 7" xfId="13677" xr:uid="{C070D5ED-9226-4525-8A50-EBFAA8BEBDF9}"/>
    <cellStyle name="Normal 2 11 4" xfId="692" xr:uid="{00000000-0005-0000-0000-000060040000}"/>
    <cellStyle name="Normal 2 11 4 2" xfId="5049" xr:uid="{B459AB12-4828-4AA2-8E40-F8B486715A2D}"/>
    <cellStyle name="Normal 2 11 4 2 2" xfId="25262" xr:uid="{5E960269-814D-4456-95E2-655708844D34}"/>
    <cellStyle name="Normal 2 11 4 2 3" xfId="26090" xr:uid="{2C256AD7-078B-4201-9285-BA4F52ED228D}"/>
    <cellStyle name="Normal 2 11 4 2 4" xfId="14345" xr:uid="{6A39B338-3722-45EB-8A96-EA61AD7CBAA7}"/>
    <cellStyle name="Normal 2 11 4 3" xfId="6798" xr:uid="{3CF92346-50DA-4EB4-9C5C-3CCF6DDBC05C}"/>
    <cellStyle name="Normal 2 11 4 3 2" xfId="28543" xr:uid="{B32E054C-5B25-4561-AF31-1988B222402D}"/>
    <cellStyle name="Normal 2 11 4 3 3" xfId="17178" xr:uid="{5B29483F-8037-4C59-95DF-1295B2B45F5D}"/>
    <cellStyle name="Normal 2 11 4 4" xfId="9631" xr:uid="{8C4681F5-AAAA-46E5-9AF1-527E58636B02}"/>
    <cellStyle name="Normal 2 11 4 4 2" xfId="20011" xr:uid="{E0A811DB-F42D-4E4B-B5CF-B8996681460E}"/>
    <cellStyle name="Normal 2 11 4 5" xfId="23098" xr:uid="{C8991AE7-7C46-4C24-A122-733EF8D1EDE0}"/>
    <cellStyle name="Normal 2 11 4 6" xfId="13404" xr:uid="{62845E8B-48F5-4245-B069-A95A01B8AF7B}"/>
    <cellStyle name="Normal 2 11 5" xfId="2564" xr:uid="{00000000-0005-0000-0000-000085030000}"/>
    <cellStyle name="Normal 2 11 5 2" xfId="5833" xr:uid="{3843DFB2-AF84-43EE-B4D8-AE7AFCBBA700}"/>
    <cellStyle name="Normal 2 11 5 2 2" xfId="27269" xr:uid="{8D4F960F-5476-4E3F-B11B-250FAC601B6D}"/>
    <cellStyle name="Normal 2 11 5 2 3" xfId="15236" xr:uid="{D0010BDF-DB6D-45C2-9BF5-B06545F845E0}"/>
    <cellStyle name="Normal 2 11 5 3" xfId="7689" xr:uid="{44B9F64B-A6E0-4186-B934-BA18663C252F}"/>
    <cellStyle name="Normal 2 11 5 3 2" xfId="18069" xr:uid="{97428237-8D3A-49DB-965A-577A4C3636D2}"/>
    <cellStyle name="Normal 2 11 5 4" xfId="10522" xr:uid="{671E1D28-6DC0-42BC-B9C0-60C548BCDE3F}"/>
    <cellStyle name="Normal 2 11 5 4 2" xfId="20902" xr:uid="{A880F3B5-688A-4283-B8C5-7C7FE41008B3}"/>
    <cellStyle name="Normal 2 11 5 5" xfId="23035" xr:uid="{3E971D98-ED51-449C-8034-B00CD32D0621}"/>
    <cellStyle name="Normal 2 11 5 6" xfId="12952" xr:uid="{E1E1477C-2118-45A7-9CD4-049AB2E9D66F}"/>
    <cellStyle name="Normal 2 11 6" xfId="2314" xr:uid="{00000000-0005-0000-0000-00007F030000}"/>
    <cellStyle name="Normal 2 11 6 2" xfId="7441" xr:uid="{69E11F5C-F7BF-4C8E-AD28-0E8B14D6579A}"/>
    <cellStyle name="Normal 2 11 6 2 2" xfId="26938" xr:uid="{9E12E909-DDE7-4313-AB68-987C5001D703}"/>
    <cellStyle name="Normal 2 11 6 2 3" xfId="17821" xr:uid="{373AEC07-D39E-4183-8813-DBA35C3F2492}"/>
    <cellStyle name="Normal 2 11 6 3" xfId="10274" xr:uid="{539AB551-65C7-4741-B5A2-D5FCDB5026CD}"/>
    <cellStyle name="Normal 2 11 6 3 2" xfId="20654" xr:uid="{A8188C4A-C06A-45AD-B4D1-6BC021A6D367}"/>
    <cellStyle name="Normal 2 11 6 4" xfId="22766" xr:uid="{116E2B37-4337-40A3-B329-BE5487142260}"/>
    <cellStyle name="Normal 2 11 6 5" xfId="14988" xr:uid="{67241E7E-C338-4013-BCAF-399ABDFB593E}"/>
    <cellStyle name="Normal 2 11 7" xfId="3918" xr:uid="{06BB3BE3-9D12-4985-BD31-756EEB205484}"/>
    <cellStyle name="Normal 2 11 7 2" xfId="8750" xr:uid="{F57683C8-A1C4-4944-8FD6-7F4EE5939C8F}"/>
    <cellStyle name="Normal 2 11 7 2 2" xfId="19130" xr:uid="{CE16FD75-23A0-4DCC-BFCD-A73B6318A001}"/>
    <cellStyle name="Normal 2 11 7 3" xfId="11583" xr:uid="{82F203D4-7521-454E-A00F-E5AD75C1763C}"/>
    <cellStyle name="Normal 2 11 7 3 2" xfId="21963" xr:uid="{FB0B6F23-F158-4F56-B6D4-B7BC8BEDF650}"/>
    <cellStyle name="Normal 2 11 7 4" xfId="26486" xr:uid="{DBD1EC51-B97B-4FB0-A2A1-503AD5AA6633}"/>
    <cellStyle name="Normal 2 11 7 5" xfId="16297" xr:uid="{C552E4D6-655E-41D0-87B8-4B144DD82BBF}"/>
    <cellStyle name="Normal 2 11 8" xfId="5045" xr:uid="{1F883003-EC5B-4260-8FC9-7C6DB9ABE434}"/>
    <cellStyle name="Normal 2 11 8 2" xfId="14341" xr:uid="{C0136DF8-21E1-4D0E-9F14-3B063A768726}"/>
    <cellStyle name="Normal 2 11 9" xfId="6794" xr:uid="{44DE699F-26F4-406B-AC29-3FB1BDB84D9D}"/>
    <cellStyle name="Normal 2 11 9 2" xfId="17174" xr:uid="{17C94238-CFBE-4971-BCCC-B358BCF6191F}"/>
    <cellStyle name="Normal 2 12" xfId="693" xr:uid="{00000000-0005-0000-0000-000061040000}"/>
    <cellStyle name="Normal 2 12 10" xfId="24315" xr:uid="{C4B1694A-5BCF-45DE-9B73-CFCDB20B6893}"/>
    <cellStyle name="Normal 2 12 11" xfId="12549" xr:uid="{BFFFDA71-7163-41DB-9A19-3654BD8B95EB}"/>
    <cellStyle name="Normal 2 12 2" xfId="694" xr:uid="{00000000-0005-0000-0000-000062040000}"/>
    <cellStyle name="Normal 2 12 2 2" xfId="3146" xr:uid="{00000000-0005-0000-0000-000088030000}"/>
    <cellStyle name="Normal 2 12 2 2 2" xfId="6204" xr:uid="{6C071AA9-8052-4A19-BBC4-C8E53F832150}"/>
    <cellStyle name="Normal 2 12 2 2 2 2" xfId="25990" xr:uid="{F695E4B9-4BC3-47BC-9CA0-3B7921F5510E}"/>
    <cellStyle name="Normal 2 12 2 2 2 3" xfId="27230" xr:uid="{38AFDA61-A737-403B-A881-135D42BED6E6}"/>
    <cellStyle name="Normal 2 12 2 2 2 4" xfId="15773" xr:uid="{FD12E452-2EC6-4BC0-9A90-3CB71518575D}"/>
    <cellStyle name="Normal 2 12 2 2 3" xfId="8226" xr:uid="{EC34CF9E-73C1-4F11-877E-764BEF518540}"/>
    <cellStyle name="Normal 2 12 2 2 3 2" xfId="28871" xr:uid="{6779F0AC-58B0-4A9E-9D88-CC257E668B5C}"/>
    <cellStyle name="Normal 2 12 2 2 3 3" xfId="18606" xr:uid="{A4154F23-51F5-449E-8A05-FDD905E69D20}"/>
    <cellStyle name="Normal 2 12 2 2 4" xfId="11059" xr:uid="{D0A10C70-916A-4888-9EEA-ED28F8E4FF6D}"/>
    <cellStyle name="Normal 2 12 2 2 4 2" xfId="21439" xr:uid="{CF5B5B14-00CE-4717-B460-9F1F01FE11E2}"/>
    <cellStyle name="Normal 2 12 2 2 5" xfId="23632" xr:uid="{26CF3B86-1C4D-4D2A-A134-D8A6565FFB65}"/>
    <cellStyle name="Normal 2 12 2 2 6" xfId="13678" xr:uid="{873C0DE1-ED71-4AE4-AD00-59466186DF89}"/>
    <cellStyle name="Normal 2 12 2 3" xfId="4153" xr:uid="{D6D889A8-360D-4F80-BE4E-266A6A20A4BF}"/>
    <cellStyle name="Normal 2 12 2 3 2" xfId="8925" xr:uid="{A16E22F0-1D4D-45A4-AA47-286B6C3ADAA3}"/>
    <cellStyle name="Normal 2 12 2 3 2 2" xfId="29024" xr:uid="{83CBF888-FA03-447F-8596-28C7633A1CC7}"/>
    <cellStyle name="Normal 2 12 2 3 2 3" xfId="19305" xr:uid="{538EA8EF-BD3F-48CE-8778-1FD143DD9B26}"/>
    <cellStyle name="Normal 2 12 2 3 3" xfId="11758" xr:uid="{F3A7152B-C212-4717-A9E4-13C63A060CD2}"/>
    <cellStyle name="Normal 2 12 2 3 3 2" xfId="22138" xr:uid="{CD431837-B461-4DAD-AEF5-D8B2EA3EC706}"/>
    <cellStyle name="Normal 2 12 2 3 4" xfId="25526" xr:uid="{7C6351C7-1DF0-49F4-89CA-46204D01BE09}"/>
    <cellStyle name="Normal 2 12 2 3 5" xfId="16472" xr:uid="{B1C6F4CE-8387-4716-88CE-B2A151364380}"/>
    <cellStyle name="Normal 2 12 2 4" xfId="5051" xr:uid="{F62C2ABC-1BB4-4029-953A-D59273C67F6E}"/>
    <cellStyle name="Normal 2 12 2 4 2" xfId="26666" xr:uid="{0B9CEAF7-1404-42E7-A05F-D198DDED00CE}"/>
    <cellStyle name="Normal 2 12 2 4 3" xfId="26013" xr:uid="{9DEAB642-BE4E-4E78-A67E-70699AD08010}"/>
    <cellStyle name="Normal 2 12 2 4 4" xfId="14347" xr:uid="{48070E90-91AC-435A-A5A8-EE27C64ECD30}"/>
    <cellStyle name="Normal 2 12 2 5" xfId="6800" xr:uid="{BDA83EE7-03C3-42D1-A66E-72EC9F67172F}"/>
    <cellStyle name="Normal 2 12 2 5 2" xfId="27693" xr:uid="{687265EA-AABC-48CA-A712-B105A5D5D19F}"/>
    <cellStyle name="Normal 2 12 2 5 3" xfId="17180" xr:uid="{82FC7CC3-B637-4692-A214-3CD7CFD6DF5D}"/>
    <cellStyle name="Normal 2 12 2 6" xfId="9633" xr:uid="{1638419B-06C1-42AB-9F98-77B9A86A3617}"/>
    <cellStyle name="Normal 2 12 2 6 2" xfId="20013" xr:uid="{6079A914-03B8-4C16-8E6F-9BCDF6ACEFB3}"/>
    <cellStyle name="Normal 2 12 2 7" xfId="23841" xr:uid="{7C71DCE9-5F17-4CC9-9737-9F99AF9F3569}"/>
    <cellStyle name="Normal 2 12 2 8" xfId="12707" xr:uid="{8DDC709A-75C5-4897-9B52-E8F6F1A3181B}"/>
    <cellStyle name="Normal 2 12 3" xfId="695" xr:uid="{00000000-0005-0000-0000-000063040000}"/>
    <cellStyle name="Normal 2 12 3 2" xfId="5052" xr:uid="{CCC813CD-B7C3-42C7-A528-E5AC42534405}"/>
    <cellStyle name="Normal 2 12 3 2 2" xfId="25267" xr:uid="{A77A91DB-57CE-4117-B9A7-D2B1DBB076DB}"/>
    <cellStyle name="Normal 2 12 3 2 3" xfId="28129" xr:uid="{F62CBC98-6ADF-4C8A-8ADE-D1476DB1C7F4}"/>
    <cellStyle name="Normal 2 12 3 2 4" xfId="14348" xr:uid="{1A6A9825-4FB8-448D-8E8D-BB1048C7D29A}"/>
    <cellStyle name="Normal 2 12 3 3" xfId="6801" xr:uid="{1CFA7D1D-7493-40E9-BCE4-7710842CBAFE}"/>
    <cellStyle name="Normal 2 12 3 3 2" xfId="28733" xr:uid="{41CD5769-6139-4791-9F18-3E8DFDE530F4}"/>
    <cellStyle name="Normal 2 12 3 3 3" xfId="28263" xr:uid="{C966000D-184A-49D0-A2FF-DE2BB300B107}"/>
    <cellStyle name="Normal 2 12 3 3 4" xfId="17181" xr:uid="{EBA3E272-AFDC-446B-977E-9F575C9FF67C}"/>
    <cellStyle name="Normal 2 12 3 4" xfId="9634" xr:uid="{C2EE0B6B-E4B6-4424-B574-89BE29F83862}"/>
    <cellStyle name="Normal 2 12 3 4 2" xfId="26926" xr:uid="{D86BA0A1-F63D-4904-BE59-A0269A7B455F}"/>
    <cellStyle name="Normal 2 12 3 4 3" xfId="29383" xr:uid="{787C53C1-CC97-472E-BB39-879554D19472}"/>
    <cellStyle name="Normal 2 12 3 4 4" xfId="20014" xr:uid="{CD4337CD-DEB4-435A-8FF3-AA4B0D6DFDB8}"/>
    <cellStyle name="Normal 2 12 3 5" xfId="24528" xr:uid="{A71F60CB-D922-4F5A-9AD6-54A8BDC0EB0C}"/>
    <cellStyle name="Normal 2 12 3 6" xfId="26866" xr:uid="{1D230C7E-42DC-4938-B1D1-54C79D0144FB}"/>
    <cellStyle name="Normal 2 12 3 7" xfId="13405" xr:uid="{87A5CEEB-4A97-4BFC-BAA5-FB0FCC8F2AB3}"/>
    <cellStyle name="Normal 2 12 4" xfId="2715" xr:uid="{00000000-0005-0000-0000-00008A030000}"/>
    <cellStyle name="Normal 2 12 4 2" xfId="5933" xr:uid="{6EDD2CC7-2227-43CD-82A7-24FAE130A86C}"/>
    <cellStyle name="Normal 2 12 4 2 2" xfId="26960" xr:uid="{024009E2-69BC-4D14-85E4-41DAC904AAC2}"/>
    <cellStyle name="Normal 2 12 4 2 3" xfId="15386" xr:uid="{038E392B-4452-45D1-8175-0D0EF474C8A6}"/>
    <cellStyle name="Normal 2 12 4 3" xfId="7839" xr:uid="{E0B3EA40-2C1C-44F2-B694-F9521881BF73}"/>
    <cellStyle name="Normal 2 12 4 3 2" xfId="18219" xr:uid="{B472CFE4-A8DF-4F8A-BE9A-CF47B3E19988}"/>
    <cellStyle name="Normal 2 12 4 4" xfId="10672" xr:uid="{D99342C7-A30D-4D14-8108-8C3DECC0681A}"/>
    <cellStyle name="Normal 2 12 4 4 2" xfId="21052" xr:uid="{C3B3BD40-4897-4BAB-AE6F-B5D7241EEB89}"/>
    <cellStyle name="Normal 2 12 4 5" xfId="23047" xr:uid="{403BE773-368D-4016-90E9-A4AFA6A0328E}"/>
    <cellStyle name="Normal 2 12 4 6" xfId="13142" xr:uid="{35741350-EEE0-4A6C-A2C8-88454173C03D}"/>
    <cellStyle name="Normal 2 12 5" xfId="2315" xr:uid="{00000000-0005-0000-0000-000086030000}"/>
    <cellStyle name="Normal 2 12 5 2" xfId="7442" xr:uid="{DC74244F-CEF2-40BA-8E8B-AA2F626EA3B1}"/>
    <cellStyle name="Normal 2 12 5 2 2" xfId="27191" xr:uid="{12ED516D-C73E-4159-ABAD-D572C6B0472C}"/>
    <cellStyle name="Normal 2 12 5 2 3" xfId="17822" xr:uid="{A3327FF1-3D14-4461-8F48-9B893F7E937A}"/>
    <cellStyle name="Normal 2 12 5 3" xfId="10275" xr:uid="{2F6BF530-90FD-4764-B767-726AEAE083C0}"/>
    <cellStyle name="Normal 2 12 5 3 2" xfId="20655" xr:uid="{086AB441-B602-4A8B-8825-81A7CE08EDE3}"/>
    <cellStyle name="Normal 2 12 5 4" xfId="23383" xr:uid="{1930B0EF-6E92-4AD4-91BE-C5868B2324D3}"/>
    <cellStyle name="Normal 2 12 5 5" xfId="14989" xr:uid="{24197653-0156-4DCD-AAC4-185551D9B75C}"/>
    <cellStyle name="Normal 2 12 6" xfId="3919" xr:uid="{862F9C56-87FC-4028-AEE0-D599749BAE49}"/>
    <cellStyle name="Normal 2 12 6 2" xfId="8751" xr:uid="{4FE3C1CA-2370-4773-903B-43E21AD7A1A4}"/>
    <cellStyle name="Normal 2 12 6 2 2" xfId="28975" xr:uid="{88234ACF-7E58-4A8D-8098-E71BB925D1F5}"/>
    <cellStyle name="Normal 2 12 6 2 3" xfId="19131" xr:uid="{8A0FA511-4F05-41B9-9E2A-8EDE7BD4E1C5}"/>
    <cellStyle name="Normal 2 12 6 3" xfId="11584" xr:uid="{42E6267B-FCAD-4BAE-BAD2-0197454CED5A}"/>
    <cellStyle name="Normal 2 12 6 3 2" xfId="21964" xr:uid="{9BEE1500-3526-4456-B1DE-487CBCA099FF}"/>
    <cellStyle name="Normal 2 12 6 4" xfId="27262" xr:uid="{9509CF65-F4CD-4A01-B23A-D9B9F2577566}"/>
    <cellStyle name="Normal 2 12 6 5" xfId="16298" xr:uid="{32B63F1B-CB00-443A-B658-9EF61CC085BF}"/>
    <cellStyle name="Normal 2 12 7" xfId="5050" xr:uid="{205DCC1C-D8B2-45D1-9E98-A8EC02216FA7}"/>
    <cellStyle name="Normal 2 12 7 2" xfId="27217" xr:uid="{0DCF1CAA-9412-4493-867B-E55880945362}"/>
    <cellStyle name="Normal 2 12 7 3" xfId="14346" xr:uid="{45B08D12-5F3A-46E1-8825-F340495B8EA6}"/>
    <cellStyle name="Normal 2 12 8" xfId="6799" xr:uid="{3E9A390C-A202-4D43-8789-BFABD91A663E}"/>
    <cellStyle name="Normal 2 12 8 2" xfId="17179" xr:uid="{D6CDDCE8-823E-46BE-93B7-C9BAD3FB48F6}"/>
    <cellStyle name="Normal 2 12 9" xfId="9632" xr:uid="{9A2B37B7-75C6-4AB4-A526-78B3BAB40987}"/>
    <cellStyle name="Normal 2 12 9 2" xfId="20012" xr:uid="{FD04D961-0A2A-4BFA-9186-70C7CDAB289E}"/>
    <cellStyle name="Normal 2 13" xfId="696" xr:uid="{00000000-0005-0000-0000-000064040000}"/>
    <cellStyle name="Normal 2 13 10" xfId="12550" xr:uid="{607C6339-EF34-4CA7-B007-093589A9DFF1}"/>
    <cellStyle name="Normal 2 13 2" xfId="697" xr:uid="{00000000-0005-0000-0000-000065040000}"/>
    <cellStyle name="Normal 2 13 2 2" xfId="2896" xr:uid="{00000000-0005-0000-0000-00008D030000}"/>
    <cellStyle name="Normal 2 13 2 2 2" xfId="6082" xr:uid="{E7CD39CE-381A-480F-8304-93B35A1E0682}"/>
    <cellStyle name="Normal 2 13 2 2 2 2" xfId="28010" xr:uid="{9854EA64-D986-4B49-A540-0ECA80FCEA37}"/>
    <cellStyle name="Normal 2 13 2 2 2 3" xfId="26643" xr:uid="{3F1FD5B6-B6CD-4ACB-81A0-D882C93C8B85}"/>
    <cellStyle name="Normal 2 13 2 2 2 4" xfId="15560" xr:uid="{870D363D-9308-4DD1-890B-6775A99DE0C9}"/>
    <cellStyle name="Normal 2 13 2 2 3" xfId="8013" xr:uid="{25095A88-A81D-42AE-AF2C-DBADA90D3AC1}"/>
    <cellStyle name="Normal 2 13 2 2 3 2" xfId="27898" xr:uid="{312B33F7-0587-48D5-B937-0C1DDA6D7348}"/>
    <cellStyle name="Normal 2 13 2 2 3 3" xfId="18393" xr:uid="{E002EEA5-C0DA-4285-A382-40BA20D929BD}"/>
    <cellStyle name="Normal 2 13 2 2 4" xfId="10846" xr:uid="{71BB9C2D-DF6D-459D-95F5-030FDE47A73E}"/>
    <cellStyle name="Normal 2 13 2 2 4 2" xfId="21226" xr:uid="{C52CE360-551D-43D7-8E1F-982CAD2A7CE3}"/>
    <cellStyle name="Normal 2 13 2 2 5" xfId="24831" xr:uid="{17456269-B238-4D4B-AB28-04A2ABB60D54}"/>
    <cellStyle name="Normal 2 13 2 2 6" xfId="13406" xr:uid="{38B46987-3AED-480E-8634-DEC961362DBF}"/>
    <cellStyle name="Normal 2 13 2 3" xfId="5054" xr:uid="{C9DD66FA-B797-44BE-9410-5751FBD68DB7}"/>
    <cellStyle name="Normal 2 13 2 3 2" xfId="25401" xr:uid="{D76BF7DB-D0CE-4DA6-8D43-039205485AB8}"/>
    <cellStyle name="Normal 2 13 2 3 3" xfId="28712" xr:uid="{A8A6D2A8-1314-49BF-8395-21ABE9006B2F}"/>
    <cellStyle name="Normal 2 13 2 3 4" xfId="14350" xr:uid="{3E9E1CEC-20B8-4297-AF85-22B2129D76E3}"/>
    <cellStyle name="Normal 2 13 2 4" xfId="6803" xr:uid="{5B4DBFDA-5B2E-45CA-A5D1-EE20766DBB63}"/>
    <cellStyle name="Normal 2 13 2 4 2" xfId="26582" xr:uid="{3C5FB58E-3930-4A1D-AAA5-9891C20A8A77}"/>
    <cellStyle name="Normal 2 13 2 4 3" xfId="26782" xr:uid="{D38BDE4A-B84E-4801-ADA2-55FE88D7D48E}"/>
    <cellStyle name="Normal 2 13 2 4 4" xfId="17183" xr:uid="{35B851E9-70DE-4CEE-AE83-D37F0EA6D399}"/>
    <cellStyle name="Normal 2 13 2 5" xfId="9636" xr:uid="{955ACF57-2DC0-4076-81F5-1243B7117EF2}"/>
    <cellStyle name="Normal 2 13 2 5 2" xfId="29384" xr:uid="{4DA17BA7-05FA-4293-AD12-06B398A16DA6}"/>
    <cellStyle name="Normal 2 13 2 5 3" xfId="20016" xr:uid="{213CDD61-EBBA-4353-A7AD-8D16FE7D192B}"/>
    <cellStyle name="Normal 2 13 2 6" xfId="23569" xr:uid="{A0A782DB-AEF9-44EF-BB70-DDB14D6F3F53}"/>
    <cellStyle name="Normal 2 13 2 7" xfId="12708" xr:uid="{49B418C9-0409-418F-8BC6-D6E3895FCCE4}"/>
    <cellStyle name="Normal 2 13 3" xfId="698" xr:uid="{00000000-0005-0000-0000-000066040000}"/>
    <cellStyle name="Normal 2 13 3 2" xfId="5055" xr:uid="{16B57749-BC2F-4EBA-8A66-16C913CCE0A7}"/>
    <cellStyle name="Normal 2 13 3 2 2" xfId="26676" xr:uid="{4CE37BDF-DDA6-4EF4-A8BE-19F02199E1C5}"/>
    <cellStyle name="Normal 2 13 3 2 3" xfId="26170" xr:uid="{C0B932BA-994D-4246-B559-E24B1500E6E2}"/>
    <cellStyle name="Normal 2 13 3 2 4" xfId="14351" xr:uid="{4B9D994D-9B7F-4BAE-9A81-F34F5BDEB577}"/>
    <cellStyle name="Normal 2 13 3 3" xfId="6804" xr:uid="{629CD0E2-4D5B-451A-B552-F635A4777AA9}"/>
    <cellStyle name="Normal 2 13 3 3 2" xfId="27353" xr:uid="{38F693FB-6BC9-4DE0-96E1-669B38E1019A}"/>
    <cellStyle name="Normal 2 13 3 3 3" xfId="27786" xr:uid="{9680442B-8245-4246-A718-160A9B4BF8B1}"/>
    <cellStyle name="Normal 2 13 3 3 4" xfId="17184" xr:uid="{8323F49B-5484-4FB6-A4F9-5C80BEBC965C}"/>
    <cellStyle name="Normal 2 13 3 4" xfId="9637" xr:uid="{F3E931C3-F020-4CB7-9A99-B88618CE1F14}"/>
    <cellStyle name="Normal 2 13 3 4 2" xfId="29385" xr:uid="{D01D4042-F080-4C53-BD18-CDD381A6175C}"/>
    <cellStyle name="Normal 2 13 3 4 3" xfId="20017" xr:uid="{6DB56589-5B17-4810-8000-63FFF2681DCE}"/>
    <cellStyle name="Normal 2 13 3 5" xfId="23213" xr:uid="{7BF45036-8F2B-49EA-B7BD-11796D6E0761}"/>
    <cellStyle name="Normal 2 13 3 6" xfId="13143" xr:uid="{F3A004A6-7AA8-48A4-9171-2AFF8C2B85B7}"/>
    <cellStyle name="Normal 2 13 4" xfId="2316" xr:uid="{00000000-0005-0000-0000-00008B030000}"/>
    <cellStyle name="Normal 2 13 4 2" xfId="7443" xr:uid="{9FDCFD15-2045-4A73-B622-AAF6F3D2DB93}"/>
    <cellStyle name="Normal 2 13 4 2 2" xfId="27133" xr:uid="{BF7D1718-C9FB-4127-BC76-F04B7B5D282A}"/>
    <cellStyle name="Normal 2 13 4 2 3" xfId="17823" xr:uid="{21DDEA4D-1D09-4C5B-962F-FF6625B56D26}"/>
    <cellStyle name="Normal 2 13 4 3" xfId="10276" xr:uid="{940BD426-6BBD-4FF7-93CB-9B9049819199}"/>
    <cellStyle name="Normal 2 13 4 3 2" xfId="20656" xr:uid="{3E70BC60-4938-42BA-ADAC-D4256578727F}"/>
    <cellStyle name="Normal 2 13 4 4" xfId="23222" xr:uid="{BDD319B5-62A8-4F8E-837C-6526D1A0B017}"/>
    <cellStyle name="Normal 2 13 4 5" xfId="14990" xr:uid="{E57267F2-BDCA-4007-B707-B4B798846748}"/>
    <cellStyle name="Normal 2 13 5" xfId="3920" xr:uid="{AC20E962-BB90-4FD9-AACA-F35BDE47B5CC}"/>
    <cellStyle name="Normal 2 13 5 2" xfId="8752" xr:uid="{B76659DB-71A3-4D9A-81B3-85C900BAE2A4}"/>
    <cellStyle name="Normal 2 13 5 2 2" xfId="28976" xr:uid="{ABE0CF6F-4A69-4581-B8E2-387E2E91F688}"/>
    <cellStyle name="Normal 2 13 5 2 3" xfId="19132" xr:uid="{2EEF2137-3ACA-45D2-BDD9-EC95A5EF6D5A}"/>
    <cellStyle name="Normal 2 13 5 3" xfId="11585" xr:uid="{B612831D-FB7F-41B9-906D-ADCD843F1893}"/>
    <cellStyle name="Normal 2 13 5 3 2" xfId="21965" xr:uid="{E4933414-0080-41AE-BF13-7DEFA8A01D4A}"/>
    <cellStyle name="Normal 2 13 5 4" xfId="24187" xr:uid="{93C18363-F828-42DA-900A-A93383C46AF8}"/>
    <cellStyle name="Normal 2 13 5 5" xfId="16299" xr:uid="{8071185E-916E-422A-8C47-1CEDA5601695}"/>
    <cellStyle name="Normal 2 13 6" xfId="5053" xr:uid="{7B2222A7-5518-4240-ABEF-BB54564377AF}"/>
    <cellStyle name="Normal 2 13 6 2" xfId="28665" xr:uid="{509D706F-B397-497B-B228-7E14A9FD0E9D}"/>
    <cellStyle name="Normal 2 13 6 3" xfId="28527" xr:uid="{995C575B-22C2-4EB5-9366-2DA73AF2183D}"/>
    <cellStyle name="Normal 2 13 6 4" xfId="14349" xr:uid="{B52B2403-5BC0-40BA-9B3C-4D3583CA869C}"/>
    <cellStyle name="Normal 2 13 7" xfId="6802" xr:uid="{51956793-B0A0-42C4-AF73-0CD50D0F0060}"/>
    <cellStyle name="Normal 2 13 7 2" xfId="25838" xr:uid="{B020079B-E1E3-4D6B-892E-4E6785B372D3}"/>
    <cellStyle name="Normal 2 13 7 3" xfId="17182" xr:uid="{6FABBDF4-5A02-47AC-8BBA-64ED8D97D7BD}"/>
    <cellStyle name="Normal 2 13 8" xfId="9635" xr:uid="{29066DE0-0AC4-40A5-A210-1F32B4403DD1}"/>
    <cellStyle name="Normal 2 13 8 2" xfId="20015" xr:uid="{40C4E7B4-633A-405F-98B9-71C300C04F3E}"/>
    <cellStyle name="Normal 2 13 9" xfId="23537" xr:uid="{E3D13D6F-55A0-45A0-8F71-C656C2403A8B}"/>
    <cellStyle name="Normal 2 14" xfId="699" xr:uid="{00000000-0005-0000-0000-000067040000}"/>
    <cellStyle name="Normal 2 14 10" xfId="12498" xr:uid="{E4B5DED5-9547-46A4-84B7-2070BD7594F5}"/>
    <cellStyle name="Normal 2 14 2" xfId="700" xr:uid="{00000000-0005-0000-0000-000068040000}"/>
    <cellStyle name="Normal 2 14 2 2" xfId="5057" xr:uid="{1363D8E9-2358-4A8D-9C52-EE95A4EF83AB}"/>
    <cellStyle name="Normal 2 14 2 2 2" xfId="23647" xr:uid="{858CFCC9-7183-4B2F-B333-E1BC88013BC4}"/>
    <cellStyle name="Normal 2 14 2 2 3" xfId="26030" xr:uid="{40B98B3B-FF7B-495D-BA61-32A07F1C7778}"/>
    <cellStyle name="Normal 2 14 2 2 4" xfId="14353" xr:uid="{AEA686FA-6D4B-45CB-AA24-5FCE2B657FDE}"/>
    <cellStyle name="Normal 2 14 2 3" xfId="6806" xr:uid="{B71CAB16-0D84-48BE-9FE6-E95E192B92BF}"/>
    <cellStyle name="Normal 2 14 2 3 2" xfId="26481" xr:uid="{4F89B049-78E2-40D9-B8C7-1D736BF01293}"/>
    <cellStyle name="Normal 2 14 2 3 3" xfId="17186" xr:uid="{EFE3F972-A6A9-417F-8812-50DAFD47C87F}"/>
    <cellStyle name="Normal 2 14 2 4" xfId="9639" xr:uid="{6CA6BDB9-9B84-4635-8818-F3FF250B3FF6}"/>
    <cellStyle name="Normal 2 14 2 4 2" xfId="20019" xr:uid="{8DA8322E-FA58-48C2-9857-5F86B153E87A}"/>
    <cellStyle name="Normal 2 14 2 5" xfId="24374" xr:uid="{CEF9AF8D-2CF6-4C9A-8003-3940DE7E9F12}"/>
    <cellStyle name="Normal 2 14 2 6" xfId="13679" xr:uid="{174C2A17-2022-4783-8EFD-559BCAD0B7C8}"/>
    <cellStyle name="Normal 2 14 3" xfId="2866" xr:uid="{00000000-0005-0000-0000-000091030000}"/>
    <cellStyle name="Normal 2 14 3 2" xfId="6074" xr:uid="{433CEF8A-6A09-4ED8-AB5B-0926C5EB880D}"/>
    <cellStyle name="Normal 2 14 3 2 2" xfId="28115" xr:uid="{ED8068E4-02E9-4FD7-B3C2-595B9801CF8B}"/>
    <cellStyle name="Normal 2 14 3 2 3" xfId="15530" xr:uid="{FD6EB884-8A67-412A-97AB-66F0E8320116}"/>
    <cellStyle name="Normal 2 14 3 3" xfId="7983" xr:uid="{BA1B966F-DF06-49F3-9029-ABF63BD6DC72}"/>
    <cellStyle name="Normal 2 14 3 3 2" xfId="18363" xr:uid="{B5AA080D-5C5E-4BF3-A5AF-C3BA3DFBB6E8}"/>
    <cellStyle name="Normal 2 14 3 4" xfId="10816" xr:uid="{08498F0A-B8A9-456B-824D-8206B1236DB3}"/>
    <cellStyle name="Normal 2 14 3 4 2" xfId="21196" xr:uid="{49E6165B-1E45-482D-A6DA-B1691A0050C5}"/>
    <cellStyle name="Normal 2 14 3 5" xfId="23791" xr:uid="{D5072974-2C03-4927-BE24-8778772FACC3}"/>
    <cellStyle name="Normal 2 14 3 6" xfId="13351" xr:uid="{7CB9BDEC-71AE-46E8-AC9D-08D2EC46FF1D}"/>
    <cellStyle name="Normal 2 14 4" xfId="2266" xr:uid="{00000000-0005-0000-0000-00008F030000}"/>
    <cellStyle name="Normal 2 14 4 2" xfId="7393" xr:uid="{0B907001-6677-447A-A6C2-0B09DF739454}"/>
    <cellStyle name="Normal 2 14 4 2 2" xfId="28254" xr:uid="{C0F8C62A-F16A-4B3C-AF8B-30750ECC8415}"/>
    <cellStyle name="Normal 2 14 4 2 3" xfId="17773" xr:uid="{3C0F6D6B-5410-44C0-A2DB-223EC0D3F1BC}"/>
    <cellStyle name="Normal 2 14 4 3" xfId="10226" xr:uid="{08302955-BB10-41D8-909E-3E8424E9FBB3}"/>
    <cellStyle name="Normal 2 14 4 3 2" xfId="20606" xr:uid="{3013B32C-E195-4AA3-8280-F836F29D0E34}"/>
    <cellStyle name="Normal 2 14 4 4" xfId="23520" xr:uid="{C86BF460-B055-49D0-BA39-328E04DA1CEE}"/>
    <cellStyle name="Normal 2 14 4 5" xfId="14940" xr:uid="{355B811E-59FE-40CC-B377-45F176EF503D}"/>
    <cellStyle name="Normal 2 14 5" xfId="3809" xr:uid="{D9DAA485-8357-442D-9B98-92C0F260699D}"/>
    <cellStyle name="Normal 2 14 5 2" xfId="8644" xr:uid="{FFA257BC-0620-463A-8892-FF98F7E2FEA9}"/>
    <cellStyle name="Normal 2 14 5 2 2" xfId="19024" xr:uid="{C254367F-4AEE-4169-94FB-52330374D4F4}"/>
    <cellStyle name="Normal 2 14 5 3" xfId="11477" xr:uid="{CC096F01-573E-4C8E-A134-F943EA1CE1B8}"/>
    <cellStyle name="Normal 2 14 5 3 2" xfId="21857" xr:uid="{440DB34D-A26C-498E-BEAB-741B827F6018}"/>
    <cellStyle name="Normal 2 14 5 4" xfId="26723" xr:uid="{72278402-EFDA-4577-8A0D-2FF38D6C0467}"/>
    <cellStyle name="Normal 2 14 5 5" xfId="16191" xr:uid="{23538F8E-01F0-4BE4-968D-C2682A3143FB}"/>
    <cellStyle name="Normal 2 14 6" xfId="5056" xr:uid="{003AE1A6-2D71-41E4-8367-493182C6B595}"/>
    <cellStyle name="Normal 2 14 6 2" xfId="14352" xr:uid="{5DC8EE2A-B3AE-479B-8C67-FF5DB3DD5D9A}"/>
    <cellStyle name="Normal 2 14 7" xfId="6805" xr:uid="{BFD99BEB-92C6-46EC-A90C-D7FFF9A4A6DD}"/>
    <cellStyle name="Normal 2 14 7 2" xfId="17185" xr:uid="{C535D681-CD2F-4176-A2D3-4607F3A12937}"/>
    <cellStyle name="Normal 2 14 8" xfId="9638" xr:uid="{4CC85F6F-785C-4071-B5FD-E355E9959BC3}"/>
    <cellStyle name="Normal 2 14 8 2" xfId="20018" xr:uid="{245A27DE-B47D-4235-8FF5-2773DE19B130}"/>
    <cellStyle name="Normal 2 14 9" xfId="25428" xr:uid="{55DD9E7F-4A86-4C45-BB96-9BFBCE3F7FCB}"/>
    <cellStyle name="Normal 2 15" xfId="701" xr:uid="{00000000-0005-0000-0000-000069040000}"/>
    <cellStyle name="Normal 2 15 2" xfId="702" xr:uid="{00000000-0005-0000-0000-00006A040000}"/>
    <cellStyle name="Normal 2 15 2 2" xfId="5059" xr:uid="{2BFEB100-9E5C-4387-B323-D67574CF9B7E}"/>
    <cellStyle name="Normal 2 15 2 2 2" xfId="26555" xr:uid="{A2B43DCB-B00A-482D-A40B-EE72A1E43D53}"/>
    <cellStyle name="Normal 2 15 2 2 3" xfId="14355" xr:uid="{3D68C065-92F3-43AB-99E1-4F65DB8487D7}"/>
    <cellStyle name="Normal 2 15 2 3" xfId="6808" xr:uid="{7B49F8A6-84DA-45DA-9ABE-2256DFC46515}"/>
    <cellStyle name="Normal 2 15 2 3 2" xfId="17188" xr:uid="{CAA3F761-7097-401C-A1B3-3B23208D0B9D}"/>
    <cellStyle name="Normal 2 15 2 4" xfId="9641" xr:uid="{5527F7A9-E05B-4E2E-9705-E11411FA6C58}"/>
    <cellStyle name="Normal 2 15 2 4 2" xfId="20021" xr:uid="{7503549F-4A4C-4279-AD31-4F76F925ABC4}"/>
    <cellStyle name="Normal 2 15 2 5" xfId="22893" xr:uid="{39EF4E33-F99E-4775-AB98-C096AB7B8D4D}"/>
    <cellStyle name="Normal 2 15 2 6" xfId="13354" xr:uid="{31590658-156D-4AB2-BE37-F7F99165142D}"/>
    <cellStyle name="Normal 2 15 3" xfId="5058" xr:uid="{2CBAD390-B99A-43FD-9248-D8EFF22F6AC0}"/>
    <cellStyle name="Normal 2 15 3 2" xfId="25723" xr:uid="{6A9C28D9-3083-46F9-BD79-130EB0FE65BE}"/>
    <cellStyle name="Normal 2 15 3 3" xfId="27309" xr:uid="{74C16C77-A14C-43B2-98C1-C7ADD053C533}"/>
    <cellStyle name="Normal 2 15 3 4" xfId="14354" xr:uid="{5D2F0C45-D806-4776-8CAB-00970BA81410}"/>
    <cellStyle name="Normal 2 15 4" xfId="6807" xr:uid="{6D31F998-186C-4A82-B044-AB8AC20D8683}"/>
    <cellStyle name="Normal 2 15 4 2" xfId="25635" xr:uid="{91E43EBE-1915-4800-B7E0-94D2E29B09F0}"/>
    <cellStyle name="Normal 2 15 4 3" xfId="17187" xr:uid="{623333CB-EDDB-4765-A904-CE9FBC3BF16B}"/>
    <cellStyle name="Normal 2 15 5" xfId="9640" xr:uid="{B7199FFC-96E7-4347-B276-3A7FC63208A7}"/>
    <cellStyle name="Normal 2 15 5 2" xfId="20020" xr:uid="{95357289-5930-45E0-BAB5-2E572F5D4028}"/>
    <cellStyle name="Normal 2 15 6" xfId="24645" xr:uid="{228E92B8-911F-4BEC-90AB-1F2260168AC5}"/>
    <cellStyle name="Normal 2 15 7" xfId="12656" xr:uid="{5EFFA12E-06D8-49A5-8274-9AAF4DD80AA9}"/>
    <cellStyle name="Normal 2 16" xfId="703" xr:uid="{00000000-0005-0000-0000-00006B040000}"/>
    <cellStyle name="Normal 2 16 2" xfId="5060" xr:uid="{51280BA4-E357-4EC2-9A34-789C36438E69}"/>
    <cellStyle name="Normal 2 16 2 2" xfId="25753" xr:uid="{CCCD803B-7AE1-4D41-ABE9-B9F6DA72F6FB}"/>
    <cellStyle name="Normal 2 16 2 3" xfId="14356" xr:uid="{8F0649BB-FB29-4495-8867-9DADDE3172C1}"/>
    <cellStyle name="Normal 2 16 3" xfId="6809" xr:uid="{4AF8C3FB-1633-48BC-AC40-61D949CAD707}"/>
    <cellStyle name="Normal 2 16 3 2" xfId="25305" xr:uid="{5BB29FFF-05A9-49BD-9902-2A0D82D89346}"/>
    <cellStyle name="Normal 2 16 3 3" xfId="17189" xr:uid="{A72A8BC0-DA84-4C90-9A1A-1B149D8DB9CF}"/>
    <cellStyle name="Normal 2 16 4" xfId="9642" xr:uid="{7769E6A8-C929-46BD-9D9B-0CE77F82B4BD}"/>
    <cellStyle name="Normal 2 16 4 2" xfId="20022" xr:uid="{1B964D72-BC3E-4B50-B774-79758B8AF137}"/>
    <cellStyle name="Normal 2 16 5" xfId="25117" xr:uid="{39C6474D-79C0-4B4E-B2DD-74132C6BA907}"/>
    <cellStyle name="Normal 2 16 6" xfId="12815" xr:uid="{6C7A0E04-A236-4994-AD69-90C1FC6ADB2C}"/>
    <cellStyle name="Normal 2 17" xfId="704" xr:uid="{00000000-0005-0000-0000-00006C040000}"/>
    <cellStyle name="Normal 2 17 2" xfId="6810" xr:uid="{1585CA1A-B0BC-44CA-B92E-8C4A5C1CAD0A}"/>
    <cellStyle name="Normal 2 17 2 2" xfId="24636" xr:uid="{3ED16BA5-56C6-4154-967B-867B46BD49CE}"/>
    <cellStyle name="Normal 2 17 2 3" xfId="17190" xr:uid="{568842C7-4E9D-4D74-8F9A-50A419319891}"/>
    <cellStyle name="Normal 2 17 3" xfId="9643" xr:uid="{68A23A47-558E-4E49-9C63-20825D5B2438}"/>
    <cellStyle name="Normal 2 17 3 2" xfId="22674" xr:uid="{B1FAF7FF-9E8C-4DA4-A408-DDB7E7A7F771}"/>
    <cellStyle name="Normal 2 17 3 3" xfId="20023" xr:uid="{E61D0583-2D14-4241-9338-5AB767513FAC}"/>
    <cellStyle name="Normal 2 17 4" xfId="22655" xr:uid="{2D14B024-0C15-4849-A1C9-CC6835BF0F10}"/>
    <cellStyle name="Normal 2 17 5" xfId="26000" xr:uid="{48156FCF-7B74-410D-844E-48DE9A4DB097}"/>
    <cellStyle name="Normal 2 17 6" xfId="14357" xr:uid="{0FDB1D7D-3738-4279-AFC1-D13102CF7782}"/>
    <cellStyle name="Normal 2 18" xfId="3779" xr:uid="{687AD789-15F4-45FC-8C5E-5A0C50946765}"/>
    <cellStyle name="Normal 2 18 2" xfId="8619" xr:uid="{D0E1F64E-A739-4764-9D73-CF87B51A5F00}"/>
    <cellStyle name="Normal 2 18 2 2" xfId="25821" xr:uid="{BEE5FA88-0071-4F52-8AB1-13C8648A6374}"/>
    <cellStyle name="Normal 2 18 2 3" xfId="18999" xr:uid="{F51F4F5B-90B2-4451-9A34-FF469B481271}"/>
    <cellStyle name="Normal 2 18 3" xfId="11452" xr:uid="{CDA90886-5D08-49E0-9163-5C00974CD9B6}"/>
    <cellStyle name="Normal 2 18 3 2" xfId="24301" xr:uid="{0C326032-0FD6-4917-9657-495AC37DBBE3}"/>
    <cellStyle name="Normal 2 18 3 3" xfId="21832" xr:uid="{8A722C41-4A34-4A02-A2B3-53A584E5910E}"/>
    <cellStyle name="Normal 2 18 4" xfId="25129" xr:uid="{BA8BD175-2F83-4035-AE66-B7D2C8E6709A}"/>
    <cellStyle name="Normal 2 18 5" xfId="24076" xr:uid="{FE883123-03AC-49F1-B7FA-8A98A4DAAC28}"/>
    <cellStyle name="Normal 2 18 6" xfId="16166" xr:uid="{184E429F-5396-4319-8D7D-B20F7B31B908}"/>
    <cellStyle name="Normal 2 19" xfId="12346" xr:uid="{2851D229-502A-4D82-8490-01DA0EBA2159}"/>
    <cellStyle name="Normal 2 19 2" xfId="24058" xr:uid="{C9B81072-9CE2-4F0C-B5E2-CE8D5CE0A9C0}"/>
    <cellStyle name="Normal 2 19 3" xfId="24240" xr:uid="{1066F9CC-788C-4F68-89FE-9B9F75C44A5D}"/>
    <cellStyle name="Normal 2 19 4" xfId="25829" xr:uid="{5058E664-5536-45CD-84E0-6FADFD894F75}"/>
    <cellStyle name="Normal 2 19 5" xfId="24509" xr:uid="{D329221E-E5FF-44FA-92BC-FF4B1867B2F5}"/>
    <cellStyle name="Normal 2 19 6" xfId="29617" xr:uid="{903768B7-2C41-46B2-A4D0-9D86B34D41A4}"/>
    <cellStyle name="Normal 2 19 7" xfId="29591" xr:uid="{8AF71700-81D8-4687-AC91-003585AB8325}"/>
    <cellStyle name="Normal 2 2" xfId="705" xr:uid="{00000000-0005-0000-0000-00006D040000}"/>
    <cellStyle name="Normal 2 2 10" xfId="706" xr:uid="{00000000-0005-0000-0000-00006E040000}"/>
    <cellStyle name="Normal 2 2 10 10" xfId="9645" xr:uid="{AA7C8D4E-8A4E-47BF-9CCA-4873F35B795C}"/>
    <cellStyle name="Normal 2 2 10 10 2" xfId="20025" xr:uid="{98345C2A-DAC5-4825-A0A8-021C089C2AF2}"/>
    <cellStyle name="Normal 2 2 10 11" xfId="24552" xr:uid="{505E598B-1912-43BF-8BA3-279748371E41}"/>
    <cellStyle name="Normal 2 2 10 12" xfId="12551" xr:uid="{69C35B79-29A5-43FB-862C-7335567D3235}"/>
    <cellStyle name="Normal 2 2 10 2" xfId="707" xr:uid="{00000000-0005-0000-0000-00006F040000}"/>
    <cellStyle name="Normal 2 2 10 2 2" xfId="708" xr:uid="{00000000-0005-0000-0000-000070040000}"/>
    <cellStyle name="Normal 2 2 10 2 2 2" xfId="5064" xr:uid="{E5DB27A1-F095-4B0D-B1FE-17B19E42AD2F}"/>
    <cellStyle name="Normal 2 2 10 2 2 2 2" xfId="24800" xr:uid="{FBA8B858-5805-4A81-83DE-365226052A35}"/>
    <cellStyle name="Normal 2 2 10 2 2 2 3" xfId="25900" xr:uid="{00543A6A-1BC8-44D0-9D96-E92831C3A63A}"/>
    <cellStyle name="Normal 2 2 10 2 2 2 4" xfId="14361" xr:uid="{F19CDEC1-13FD-4EE2-ADEF-DEEB1E15C467}"/>
    <cellStyle name="Normal 2 2 10 2 2 3" xfId="6814" xr:uid="{99174851-CC96-4A4C-91C6-5EB30DC24C04}"/>
    <cellStyle name="Normal 2 2 10 2 2 3 2" xfId="27579" xr:uid="{AF3C2EFA-9EB6-4B79-9DA5-FC9B9457BE6D}"/>
    <cellStyle name="Normal 2 2 10 2 2 3 3" xfId="27904" xr:uid="{BA4D5C2E-54AF-42B6-B1E0-A312C4F38B4D}"/>
    <cellStyle name="Normal 2 2 10 2 2 3 4" xfId="17194" xr:uid="{7F1932C3-573D-48A4-9694-EF8B0597E5E4}"/>
    <cellStyle name="Normal 2 2 10 2 2 4" xfId="9647" xr:uid="{2B8E2916-1FAD-4174-93AD-4FDDE1DA699C}"/>
    <cellStyle name="Normal 2 2 10 2 2 4 2" xfId="29386" xr:uid="{D9B05DEC-3C44-4ABB-92C4-B01E058A307D}"/>
    <cellStyle name="Normal 2 2 10 2 2 4 3" xfId="20027" xr:uid="{E1D17510-D4F8-4DF8-9C86-54A85495661A}"/>
    <cellStyle name="Normal 2 2 10 2 2 5" xfId="24649" xr:uid="{2863DE93-E0E9-4DCA-A783-915B8B2D6A3A}"/>
    <cellStyle name="Normal 2 2 10 2 2 6" xfId="13680" xr:uid="{DA987683-831F-4677-BAD2-DC6A81293BDA}"/>
    <cellStyle name="Normal 2 2 10 2 3" xfId="2717" xr:uid="{00000000-0005-0000-0000-000099030000}"/>
    <cellStyle name="Normal 2 2 10 2 3 2" xfId="5935" xr:uid="{107F8361-8D14-48E4-B386-6681F6985830}"/>
    <cellStyle name="Normal 2 2 10 2 3 2 2" xfId="27980" xr:uid="{439563EB-CDA5-4BE7-8F09-47FBE716BB3B}"/>
    <cellStyle name="Normal 2 2 10 2 3 2 3" xfId="15388" xr:uid="{AB8BAA13-0168-4B0A-A122-BEA762FA4220}"/>
    <cellStyle name="Normal 2 2 10 2 3 3" xfId="7841" xr:uid="{63CB1A3F-51C9-40AA-BDFC-374A71D849BD}"/>
    <cellStyle name="Normal 2 2 10 2 3 3 2" xfId="18221" xr:uid="{E506574E-4CD6-4127-960A-7E103336C974}"/>
    <cellStyle name="Normal 2 2 10 2 3 4" xfId="10674" xr:uid="{09130169-8034-4D96-85F9-4356246BFE9D}"/>
    <cellStyle name="Normal 2 2 10 2 3 4 2" xfId="21054" xr:uid="{1F5D3BB1-A60B-4476-8120-9E675D91B416}"/>
    <cellStyle name="Normal 2 2 10 2 3 5" xfId="25026" xr:uid="{4FFB09B8-3AF9-4044-A95D-D1F4BFC266C5}"/>
    <cellStyle name="Normal 2 2 10 2 3 6" xfId="13145" xr:uid="{88DEC1F8-E74A-47F2-B634-04FE49086530}"/>
    <cellStyle name="Normal 2 2 10 2 4" xfId="4154" xr:uid="{E764446D-83C9-4004-865D-359BF5B5F454}"/>
    <cellStyle name="Normal 2 2 10 2 4 2" xfId="8926" xr:uid="{13B6B776-8552-4F27-A149-221E36F04BD2}"/>
    <cellStyle name="Normal 2 2 10 2 4 2 2" xfId="29025" xr:uid="{68438DB2-A994-485C-B68E-63993A56C537}"/>
    <cellStyle name="Normal 2 2 10 2 4 2 3" xfId="19306" xr:uid="{B3CE92A7-987B-4043-8629-8C2E39A98538}"/>
    <cellStyle name="Normal 2 2 10 2 4 3" xfId="11759" xr:uid="{D0E1A260-329B-4663-B10B-AA9B56A80EFF}"/>
    <cellStyle name="Normal 2 2 10 2 4 3 2" xfId="22139" xr:uid="{B6CF3B47-D87D-45BB-87DF-85B77E70452A}"/>
    <cellStyle name="Normal 2 2 10 2 4 4" xfId="22992" xr:uid="{938AAFBC-6206-4672-B3C4-A0BA08185F9C}"/>
    <cellStyle name="Normal 2 2 10 2 4 5" xfId="16473" xr:uid="{90BFF79D-AAD0-4A91-BEBE-C3458FE2D30F}"/>
    <cellStyle name="Normal 2 2 10 2 5" xfId="5063" xr:uid="{7C5CCD42-756E-44AA-B35D-0888BE67E4DC}"/>
    <cellStyle name="Normal 2 2 10 2 5 2" xfId="26499" xr:uid="{8B0F7587-3D90-44A9-9D4E-94008281CF70}"/>
    <cellStyle name="Normal 2 2 10 2 5 3" xfId="14360" xr:uid="{6BB59D92-C073-4562-AF8F-C02AD369E213}"/>
    <cellStyle name="Normal 2 2 10 2 6" xfId="6813" xr:uid="{064FAEDA-6750-41CD-8BA4-6A0D5049602B}"/>
    <cellStyle name="Normal 2 2 10 2 6 2" xfId="17193" xr:uid="{837E47D0-0D94-4D5F-8367-141ABA0D4D67}"/>
    <cellStyle name="Normal 2 2 10 2 7" xfId="9646" xr:uid="{1E27734E-7094-4271-96C0-49C3F5B2DE9F}"/>
    <cellStyle name="Normal 2 2 10 2 7 2" xfId="20026" xr:uid="{81815907-AA58-4EF1-B4BC-87EBA1A0663F}"/>
    <cellStyle name="Normal 2 2 10 2 8" xfId="24488" xr:uid="{B0AB4854-A5AA-4971-A35C-FD6795C66512}"/>
    <cellStyle name="Normal 2 2 10 2 9" xfId="12709" xr:uid="{443C35AA-3E7C-4729-9C69-8DD456AB955A}"/>
    <cellStyle name="Normal 2 2 10 3" xfId="709" xr:uid="{00000000-0005-0000-0000-000071040000}"/>
    <cellStyle name="Normal 2 2 10 3 2" xfId="4452" xr:uid="{42C8B070-231B-4968-AE45-24977E7CDEBF}"/>
    <cellStyle name="Normal 2 2 10 3 2 2" xfId="9224" xr:uid="{B3100822-4B11-4BA9-940F-F2078324B99E}"/>
    <cellStyle name="Normal 2 2 10 3 2 2 2" xfId="29217" xr:uid="{398D0ABA-3928-427C-8C30-89730A5D7A3C}"/>
    <cellStyle name="Normal 2 2 10 3 2 2 3" xfId="19604" xr:uid="{AD153CD0-B2EC-4F34-96CD-AC815A48A242}"/>
    <cellStyle name="Normal 2 2 10 3 2 3" xfId="12057" xr:uid="{2B843B58-7B92-4A52-B7B1-0B052D6B6194}"/>
    <cellStyle name="Normal 2 2 10 3 2 3 2" xfId="22437" xr:uid="{3AD3D460-9B74-4C95-B9E1-A22A6F72193D}"/>
    <cellStyle name="Normal 2 2 10 3 2 4" xfId="23109" xr:uid="{6419FB7A-3DCF-4E03-99E4-C92D33E270D2}"/>
    <cellStyle name="Normal 2 2 10 3 2 5" xfId="16771" xr:uid="{57F08712-9C9F-4D18-8F3C-BB0511D0669C}"/>
    <cellStyle name="Normal 2 2 10 3 3" xfId="5065" xr:uid="{4A72CBA2-F61E-430F-AD4A-4CD853A42699}"/>
    <cellStyle name="Normal 2 2 10 3 3 2" xfId="26780" xr:uid="{F84AF31A-FE99-4562-B39C-4E385FDC17F3}"/>
    <cellStyle name="Normal 2 2 10 3 3 3" xfId="27558" xr:uid="{44CDE390-F64D-4A78-A0D1-B0C47C36573E}"/>
    <cellStyle name="Normal 2 2 10 3 3 4" xfId="14362" xr:uid="{2E7DDF77-9C26-42DB-8D72-47296D039541}"/>
    <cellStyle name="Normal 2 2 10 3 4" xfId="6815" xr:uid="{9D5CA963-1CB6-4841-BECA-773E3EF2CAA0}"/>
    <cellStyle name="Normal 2 2 10 3 4 2" xfId="26618" xr:uid="{789273C5-3E89-4F22-BC58-9FB25ED07422}"/>
    <cellStyle name="Normal 2 2 10 3 4 3" xfId="27222" xr:uid="{CF839B75-0BF5-4802-B3D9-B5A7B178CBC5}"/>
    <cellStyle name="Normal 2 2 10 3 4 4" xfId="17195" xr:uid="{ED4B26D7-2591-4F59-88AA-D0D54072C88D}"/>
    <cellStyle name="Normal 2 2 10 3 5" xfId="9648" xr:uid="{9019F8E2-FD32-4731-A2A8-6681B973D239}"/>
    <cellStyle name="Normal 2 2 10 3 5 2" xfId="29387" xr:uid="{65370D3C-9EB5-4761-8E5F-554AF99B3F9B}"/>
    <cellStyle name="Normal 2 2 10 3 5 3" xfId="20028" xr:uid="{BA430A4F-FF72-4303-9A89-E1A48B406065}"/>
    <cellStyle name="Normal 2 2 10 3 6" xfId="24518" xr:uid="{49067D6F-8843-4DD1-BAE8-7FA2BF07E820}"/>
    <cellStyle name="Normal 2 2 10 3 7" xfId="13681" xr:uid="{6339AC71-D4C9-41B9-A9DB-829F6C8BF374}"/>
    <cellStyle name="Normal 2 2 10 4" xfId="710" xr:uid="{00000000-0005-0000-0000-000072040000}"/>
    <cellStyle name="Normal 2 2 10 4 2" xfId="5066" xr:uid="{43FAF4F6-5944-411B-9C6E-4A883C4EBCCF}"/>
    <cellStyle name="Normal 2 2 10 4 2 2" xfId="24153" xr:uid="{0FF8B60A-773E-488B-9CA4-80B69D49D6F0}"/>
    <cellStyle name="Normal 2 2 10 4 2 3" xfId="28727" xr:uid="{0044B5AD-CC47-4AD7-9BAC-85830A68790F}"/>
    <cellStyle name="Normal 2 2 10 4 2 4" xfId="14363" xr:uid="{63833D4F-15C8-4AB3-85D1-56CFFDC43AAB}"/>
    <cellStyle name="Normal 2 2 10 4 3" xfId="6816" xr:uid="{6F8A17C8-5B7C-4D0A-89CE-3313691FEA10}"/>
    <cellStyle name="Normal 2 2 10 4 3 2" xfId="28598" xr:uid="{A29D8535-73B2-441D-AB06-3782139610D9}"/>
    <cellStyle name="Normal 2 2 10 4 3 3" xfId="17196" xr:uid="{BF3BCAE3-A914-4FAF-8660-894DFDDE4948}"/>
    <cellStyle name="Normal 2 2 10 4 4" xfId="9649" xr:uid="{F6AF43C2-38D3-4B63-9AFB-550F9CC18867}"/>
    <cellStyle name="Normal 2 2 10 4 4 2" xfId="20029" xr:uid="{0C94FB6B-3908-46B9-B035-AA01DE88862A}"/>
    <cellStyle name="Normal 2 2 10 4 5" xfId="24027" xr:uid="{EDDD3FD3-3F21-4BBB-A21E-5363C936A286}"/>
    <cellStyle name="Normal 2 2 10 4 6" xfId="13407" xr:uid="{52461BEE-55D6-4F43-9398-5A297151B16A}"/>
    <cellStyle name="Normal 2 2 10 5" xfId="2565" xr:uid="{00000000-0005-0000-0000-00009C030000}"/>
    <cellStyle name="Normal 2 2 10 5 2" xfId="5834" xr:uid="{F90F4BDD-8B44-417F-9C44-F07B562A1590}"/>
    <cellStyle name="Normal 2 2 10 5 2 2" xfId="26793" xr:uid="{C347E35F-955F-4394-8027-29A455EB4226}"/>
    <cellStyle name="Normal 2 2 10 5 2 3" xfId="15237" xr:uid="{8D2EC9C0-8C74-410D-8868-1302CCCBA839}"/>
    <cellStyle name="Normal 2 2 10 5 3" xfId="7690" xr:uid="{FAD042E3-0A5D-44D0-9B55-4A5BF2609101}"/>
    <cellStyle name="Normal 2 2 10 5 3 2" xfId="18070" xr:uid="{80FFC775-E0A3-405C-9250-A0FE081BCED3}"/>
    <cellStyle name="Normal 2 2 10 5 4" xfId="10523" xr:uid="{271EE65C-4308-4093-A0CA-EBD53146ED2E}"/>
    <cellStyle name="Normal 2 2 10 5 4 2" xfId="20903" xr:uid="{957E9CC8-329E-4D48-BD47-CE43D3C79F5C}"/>
    <cellStyle name="Normal 2 2 10 5 5" xfId="22944" xr:uid="{7FF42F5A-F766-492C-B313-F86840EA921E}"/>
    <cellStyle name="Normal 2 2 10 5 6" xfId="12953" xr:uid="{AFEA08B3-64BD-49F2-A894-F862B4F7670C}"/>
    <cellStyle name="Normal 2 2 10 6" xfId="2317" xr:uid="{00000000-0005-0000-0000-000096030000}"/>
    <cellStyle name="Normal 2 2 10 6 2" xfId="7444" xr:uid="{49339BE6-5FE9-42AE-9BC6-6DD209B051E8}"/>
    <cellStyle name="Normal 2 2 10 6 2 2" xfId="27932" xr:uid="{7D37FA61-88A9-417F-9E00-1067742685F6}"/>
    <cellStyle name="Normal 2 2 10 6 2 3" xfId="17824" xr:uid="{8BA1A808-3FDE-44C7-9142-154BE5F5E6B6}"/>
    <cellStyle name="Normal 2 2 10 6 3" xfId="10277" xr:uid="{2A7065D5-296E-44B5-86F3-53A1D5651C31}"/>
    <cellStyle name="Normal 2 2 10 6 3 2" xfId="20657" xr:uid="{0CDD9D9A-C9E9-419B-BFC8-FB6779F563E0}"/>
    <cellStyle name="Normal 2 2 10 6 4" xfId="24891" xr:uid="{946DE919-8989-49F0-8624-F124357DCEE6}"/>
    <cellStyle name="Normal 2 2 10 6 5" xfId="14991" xr:uid="{A42EDF13-7335-4FE4-9A95-547834990660}"/>
    <cellStyle name="Normal 2 2 10 7" xfId="3922" xr:uid="{498F4368-C384-4172-A5C5-389852219A0E}"/>
    <cellStyle name="Normal 2 2 10 7 2" xfId="8754" xr:uid="{7A29565A-49DE-496F-9B46-A14210F21EEC}"/>
    <cellStyle name="Normal 2 2 10 7 2 2" xfId="19134" xr:uid="{62EC0076-2ADE-4D86-9020-4C074AF71ABC}"/>
    <cellStyle name="Normal 2 2 10 7 3" xfId="11587" xr:uid="{0B8A006D-0451-4A93-A9DD-3B02EF3D4ED5}"/>
    <cellStyle name="Normal 2 2 10 7 3 2" xfId="21967" xr:uid="{1E17511E-8D69-4181-BF2A-8594B5C37FFA}"/>
    <cellStyle name="Normal 2 2 10 7 4" xfId="26887" xr:uid="{EE14755E-4017-4A11-B3B3-C3690CBE6087}"/>
    <cellStyle name="Normal 2 2 10 7 5" xfId="16301" xr:uid="{774583A9-CB71-49DF-9DC4-54BB1C00CF1D}"/>
    <cellStyle name="Normal 2 2 10 8" xfId="5062" xr:uid="{9A8CA319-5397-4A04-92EC-15A8A45212D4}"/>
    <cellStyle name="Normal 2 2 10 8 2" xfId="14359" xr:uid="{C8D3DA57-87D8-4704-97B7-6849991807F7}"/>
    <cellStyle name="Normal 2 2 10 9" xfId="6812" xr:uid="{6AB13237-9298-49AB-B12E-5BEA92D8EA25}"/>
    <cellStyle name="Normal 2 2 10 9 2" xfId="17192" xr:uid="{54002836-6CE1-4C08-BFD8-E939A1F4DFF9}"/>
    <cellStyle name="Normal 2 2 11" xfId="711" xr:uid="{00000000-0005-0000-0000-000073040000}"/>
    <cellStyle name="Normal 2 2 11 10" xfId="24716" xr:uid="{F360E3F7-4553-4010-BCA7-6D1AE9B901A1}"/>
    <cellStyle name="Normal 2 2 11 11" xfId="12552" xr:uid="{0081C13F-8DD0-413F-9503-D5C8BA41F1B0}"/>
    <cellStyle name="Normal 2 2 11 2" xfId="712" xr:uid="{00000000-0005-0000-0000-000074040000}"/>
    <cellStyle name="Normal 2 2 11 2 2" xfId="3147" xr:uid="{00000000-0005-0000-0000-00009F030000}"/>
    <cellStyle name="Normal 2 2 11 2 2 2" xfId="6205" xr:uid="{FF317ED0-C3C5-4BBA-96D4-A4FA9F71D13C}"/>
    <cellStyle name="Normal 2 2 11 2 2 2 2" xfId="26614" xr:uid="{C3C86F65-1009-45B4-ADDC-6A57ED7AC03D}"/>
    <cellStyle name="Normal 2 2 11 2 2 2 3" xfId="27337" xr:uid="{6C543D13-686B-42FE-9BED-916A8DF160CA}"/>
    <cellStyle name="Normal 2 2 11 2 2 2 4" xfId="15774" xr:uid="{F56D3B67-4334-45F9-8EA7-AB3AD0ED3090}"/>
    <cellStyle name="Normal 2 2 11 2 2 3" xfId="8227" xr:uid="{90B187A8-9982-44B7-9857-A6B63355AC82}"/>
    <cellStyle name="Normal 2 2 11 2 2 3 2" xfId="28872" xr:uid="{7EB596B2-7B15-4D64-83F3-AC9014D1750B}"/>
    <cellStyle name="Normal 2 2 11 2 2 3 3" xfId="18607" xr:uid="{8E5CC260-40CB-4E67-9E15-4F95D03C0961}"/>
    <cellStyle name="Normal 2 2 11 2 2 4" xfId="11060" xr:uid="{0C11086F-936F-4562-A968-407CE5092957}"/>
    <cellStyle name="Normal 2 2 11 2 2 4 2" xfId="21440" xr:uid="{ADB81A79-B7E1-43EB-BA27-D0C539476A90}"/>
    <cellStyle name="Normal 2 2 11 2 2 5" xfId="23265" xr:uid="{0F54DA92-1F69-4FE6-B714-AD6A3B712B6E}"/>
    <cellStyle name="Normal 2 2 11 2 2 6" xfId="13682" xr:uid="{66B84033-BF7F-481B-9AFA-9567FEF2CBE8}"/>
    <cellStyle name="Normal 2 2 11 2 3" xfId="4155" xr:uid="{00F1D4EF-91CF-40E8-B6B5-67F1D0D3D9FB}"/>
    <cellStyle name="Normal 2 2 11 2 3 2" xfId="8927" xr:uid="{0790826B-CA55-4CA9-B627-8A167494FAF5}"/>
    <cellStyle name="Normal 2 2 11 2 3 2 2" xfId="29026" xr:uid="{A608EEA1-12E2-4A50-AA92-15B6A6B67A09}"/>
    <cellStyle name="Normal 2 2 11 2 3 2 3" xfId="19307" xr:uid="{EA885710-01F3-4985-8E77-B95014EDAAF3}"/>
    <cellStyle name="Normal 2 2 11 2 3 3" xfId="11760" xr:uid="{858F1373-6516-4269-95EA-069E9EA42B73}"/>
    <cellStyle name="Normal 2 2 11 2 3 3 2" xfId="22140" xr:uid="{5A6A1CE6-03AA-488A-81B0-1F53FD50E577}"/>
    <cellStyle name="Normal 2 2 11 2 3 4" xfId="25220" xr:uid="{530BCB53-2788-48FC-8732-7713CE1DDE0F}"/>
    <cellStyle name="Normal 2 2 11 2 3 5" xfId="16474" xr:uid="{EB502878-9D72-4A66-8CC3-6FE968AF4A80}"/>
    <cellStyle name="Normal 2 2 11 2 4" xfId="5068" xr:uid="{C97103D0-552A-43CA-9D7F-000BE4CCD9EA}"/>
    <cellStyle name="Normal 2 2 11 2 4 2" xfId="27909" xr:uid="{5350DF39-5008-4E85-A8E3-EA51D3E70538}"/>
    <cellStyle name="Normal 2 2 11 2 4 3" xfId="26437" xr:uid="{45D098FC-3762-4A95-8E63-9E90376ED403}"/>
    <cellStyle name="Normal 2 2 11 2 4 4" xfId="14365" xr:uid="{852E6F0C-3895-4C89-86AC-0372EC1A09FB}"/>
    <cellStyle name="Normal 2 2 11 2 5" xfId="6818" xr:uid="{541B02AB-102A-4D2C-B7E2-2CAFA7B83913}"/>
    <cellStyle name="Normal 2 2 11 2 5 2" xfId="27589" xr:uid="{2B54EA2A-F5D7-4647-A3C3-89DA672DC2B2}"/>
    <cellStyle name="Normal 2 2 11 2 5 3" xfId="17198" xr:uid="{F7667B26-C2B3-4730-BA59-8727ECB0A4C1}"/>
    <cellStyle name="Normal 2 2 11 2 6" xfId="9651" xr:uid="{42FEB642-99A6-4F20-9405-ED218DBCD43E}"/>
    <cellStyle name="Normal 2 2 11 2 6 2" xfId="20031" xr:uid="{2D652F2E-72EB-4499-AC69-741A8BA79020}"/>
    <cellStyle name="Normal 2 2 11 2 7" xfId="22928" xr:uid="{9D773C07-20EF-400A-A5CD-96C731A65415}"/>
    <cellStyle name="Normal 2 2 11 2 8" xfId="12710" xr:uid="{557D45CE-8F42-4ABE-9E84-82DBCC416DEF}"/>
    <cellStyle name="Normal 2 2 11 3" xfId="713" xr:uid="{00000000-0005-0000-0000-000075040000}"/>
    <cellStyle name="Normal 2 2 11 3 2" xfId="5069" xr:uid="{0955E37E-640E-43B0-BD50-B8A99418383A}"/>
    <cellStyle name="Normal 2 2 11 3 2 2" xfId="22754" xr:uid="{2BEE5CBA-6AF4-40AF-B0DB-8908603C96C7}"/>
    <cellStyle name="Normal 2 2 11 3 2 3" xfId="27058" xr:uid="{4D557C4E-47EB-4C41-A11C-E40E615CDB78}"/>
    <cellStyle name="Normal 2 2 11 3 2 4" xfId="14366" xr:uid="{4016AE17-1A41-4C9A-98F4-1B4611B620B6}"/>
    <cellStyle name="Normal 2 2 11 3 3" xfId="6819" xr:uid="{00BD513C-FB94-428B-876A-E8EF0C4F55EF}"/>
    <cellStyle name="Normal 2 2 11 3 3 2" xfId="27765" xr:uid="{7ABA0B96-13D5-447B-85CC-329AC2C6D123}"/>
    <cellStyle name="Normal 2 2 11 3 3 3" xfId="26115" xr:uid="{D8E70133-ADC3-46CD-9CF8-B13AD605DBE3}"/>
    <cellStyle name="Normal 2 2 11 3 3 4" xfId="17199" xr:uid="{17775DBB-41D4-400E-94BF-23CFF9786007}"/>
    <cellStyle name="Normal 2 2 11 3 4" xfId="9652" xr:uid="{E8608BBB-BA40-49FE-9FE2-9263E842B72E}"/>
    <cellStyle name="Normal 2 2 11 3 4 2" xfId="27884" xr:uid="{A559915D-1C89-4A10-9523-59AE7D14C0BE}"/>
    <cellStyle name="Normal 2 2 11 3 4 3" xfId="29388" xr:uid="{3F8F59DF-F173-4A24-8C68-4AD13CC6FB4D}"/>
    <cellStyle name="Normal 2 2 11 3 4 4" xfId="20032" xr:uid="{4A8FE24E-E0C9-4A18-A18A-3252FA41CA10}"/>
    <cellStyle name="Normal 2 2 11 3 5" xfId="23891" xr:uid="{A43DAE62-9E93-4920-8A90-84070D82DB45}"/>
    <cellStyle name="Normal 2 2 11 3 6" xfId="26875" xr:uid="{993D1EDA-F7F0-4197-9D42-8112A38CDE4E}"/>
    <cellStyle name="Normal 2 2 11 3 7" xfId="13408" xr:uid="{0077151E-73EA-4320-85DE-C40187F66014}"/>
    <cellStyle name="Normal 2 2 11 4" xfId="2718" xr:uid="{00000000-0005-0000-0000-0000A1030000}"/>
    <cellStyle name="Normal 2 2 11 4 2" xfId="5936" xr:uid="{63E0683B-ACD4-4AA2-90DC-DB6AEBFA2948}"/>
    <cellStyle name="Normal 2 2 11 4 2 2" xfId="26141" xr:uid="{E537ED85-99E9-4A2C-ADE8-0473EAF8C191}"/>
    <cellStyle name="Normal 2 2 11 4 2 3" xfId="15389" xr:uid="{7E1EF9F7-FD04-4E90-BE93-DE2066F7588A}"/>
    <cellStyle name="Normal 2 2 11 4 3" xfId="7842" xr:uid="{FF13673E-D845-4C55-B7C8-00D6EF36B7D1}"/>
    <cellStyle name="Normal 2 2 11 4 3 2" xfId="18222" xr:uid="{D5B33116-A451-467B-9CE8-8F15637E1DCE}"/>
    <cellStyle name="Normal 2 2 11 4 4" xfId="10675" xr:uid="{93731593-600F-4279-9BC7-1C337825ADA4}"/>
    <cellStyle name="Normal 2 2 11 4 4 2" xfId="21055" xr:uid="{86328D34-6873-4657-BB4D-1FF619BF9538}"/>
    <cellStyle name="Normal 2 2 11 4 5" xfId="24616" xr:uid="{FFEC11AB-DB5A-4402-9B21-590F99BB08F6}"/>
    <cellStyle name="Normal 2 2 11 4 6" xfId="13146" xr:uid="{7C3F6871-62B6-4B36-8448-9E73B188E3DE}"/>
    <cellStyle name="Normal 2 2 11 5" xfId="2318" xr:uid="{00000000-0005-0000-0000-00009D030000}"/>
    <cellStyle name="Normal 2 2 11 5 2" xfId="7445" xr:uid="{7A3307D6-3912-4C07-B0F6-72C6E4F3B661}"/>
    <cellStyle name="Normal 2 2 11 5 2 2" xfId="25947" xr:uid="{1FFCC7DB-DE91-465E-A767-AAEF631C5C7D}"/>
    <cellStyle name="Normal 2 2 11 5 2 3" xfId="17825" xr:uid="{D00543A4-5E81-4315-ABFC-3BE08527D330}"/>
    <cellStyle name="Normal 2 2 11 5 3" xfId="10278" xr:uid="{CAE4606C-9F99-412B-B7A9-5DB4111EB00D}"/>
    <cellStyle name="Normal 2 2 11 5 3 2" xfId="20658" xr:uid="{0FF4E45D-E5E1-40C8-B569-7E751AA1A551}"/>
    <cellStyle name="Normal 2 2 11 5 4" xfId="24919" xr:uid="{121CDEFB-55B8-40A6-A06C-5FDF46209248}"/>
    <cellStyle name="Normal 2 2 11 5 5" xfId="14992" xr:uid="{7F643549-6605-400C-8C36-DF20AF78D7FB}"/>
    <cellStyle name="Normal 2 2 11 6" xfId="3923" xr:uid="{B8846A1D-2C16-48D2-8A11-823ADBAB4F28}"/>
    <cellStyle name="Normal 2 2 11 6 2" xfId="8755" xr:uid="{91A10251-2EEC-445C-82E3-E53D5D0CA3A7}"/>
    <cellStyle name="Normal 2 2 11 6 2 2" xfId="28977" xr:uid="{39F5A64B-9A16-4AC9-8402-214E3758C73A}"/>
    <cellStyle name="Normal 2 2 11 6 2 3" xfId="19135" xr:uid="{D8663FF4-7F2C-4388-B7A9-17831C9372D7}"/>
    <cellStyle name="Normal 2 2 11 6 3" xfId="11588" xr:uid="{D8BC32F4-4140-4BD2-BC51-A4794D42B1FF}"/>
    <cellStyle name="Normal 2 2 11 6 3 2" xfId="21968" xr:uid="{4644D31E-EB41-48D5-B4E9-516AFEBE10EF}"/>
    <cellStyle name="Normal 2 2 11 6 4" xfId="27278" xr:uid="{75C8AD18-4AFE-4842-A978-28943ACC31D9}"/>
    <cellStyle name="Normal 2 2 11 6 5" xfId="16302" xr:uid="{8E42CAA9-3BBD-4E3B-9F0B-24760E32739D}"/>
    <cellStyle name="Normal 2 2 11 7" xfId="5067" xr:uid="{B2DA2C86-A69D-4363-A409-5F20A56822C5}"/>
    <cellStyle name="Normal 2 2 11 7 2" xfId="26478" xr:uid="{8DA8B6FD-9B1D-46D4-BB5E-72F6E93EFE7C}"/>
    <cellStyle name="Normal 2 2 11 7 3" xfId="14364" xr:uid="{B631ECBF-56E4-4E7E-A0A4-2E50DFF99648}"/>
    <cellStyle name="Normal 2 2 11 8" xfId="6817" xr:uid="{0A45DC38-A460-417D-B5FF-5914C4641DB3}"/>
    <cellStyle name="Normal 2 2 11 8 2" xfId="17197" xr:uid="{F9AC5293-430A-4340-83DE-C9501E3F8EAB}"/>
    <cellStyle name="Normal 2 2 11 9" xfId="9650" xr:uid="{AEFEC1A8-311C-4583-9866-B998AF29808A}"/>
    <cellStyle name="Normal 2 2 11 9 2" xfId="20030" xr:uid="{36E210C7-88C1-4054-AA67-CA222587FB4B}"/>
    <cellStyle name="Normal 2 2 12" xfId="714" xr:uid="{00000000-0005-0000-0000-000076040000}"/>
    <cellStyle name="Normal 2 2 12 10" xfId="12553" xr:uid="{1065672E-2A58-4FF3-B14F-7A5A656F2C14}"/>
    <cellStyle name="Normal 2 2 12 2" xfId="715" xr:uid="{00000000-0005-0000-0000-000077040000}"/>
    <cellStyle name="Normal 2 2 12 2 2" xfId="2897" xr:uid="{00000000-0005-0000-0000-0000A4030000}"/>
    <cellStyle name="Normal 2 2 12 2 2 2" xfId="6083" xr:uid="{87D14F9D-0490-40A1-B2DF-6C3236D91088}"/>
    <cellStyle name="Normal 2 2 12 2 2 2 2" xfId="27092" xr:uid="{C3153807-B2E2-4D54-8253-7DBAF51F2DE7}"/>
    <cellStyle name="Normal 2 2 12 2 2 2 3" xfId="26700" xr:uid="{C8350D81-427F-46C9-AD88-E335CC47A38B}"/>
    <cellStyle name="Normal 2 2 12 2 2 2 4" xfId="15561" xr:uid="{39752D66-A282-4578-9662-B9863F6E05F0}"/>
    <cellStyle name="Normal 2 2 12 2 2 3" xfId="8014" xr:uid="{0D9E3B43-EDE7-49DA-AC95-C8D84130DC72}"/>
    <cellStyle name="Normal 2 2 12 2 2 3 2" xfId="27686" xr:uid="{AB1AF7C7-2D5A-48E6-8BF5-E5578B2E77B5}"/>
    <cellStyle name="Normal 2 2 12 2 2 3 3" xfId="18394" xr:uid="{1AFB2ABE-54F2-4B73-BE53-A072DAF3C08C}"/>
    <cellStyle name="Normal 2 2 12 2 2 4" xfId="10847" xr:uid="{4AE1C396-5D59-4371-B09F-AFF16EEF18AE}"/>
    <cellStyle name="Normal 2 2 12 2 2 4 2" xfId="21227" xr:uid="{3288323C-DEC5-4597-ACA5-E75281895242}"/>
    <cellStyle name="Normal 2 2 12 2 2 5" xfId="22930" xr:uid="{451C44D4-D385-49D8-8775-BDE566AC57E3}"/>
    <cellStyle name="Normal 2 2 12 2 2 6" xfId="13409" xr:uid="{CD1B9E5A-8689-4A5D-825F-CA09B31EB215}"/>
    <cellStyle name="Normal 2 2 12 2 3" xfId="5071" xr:uid="{E9CA4D25-7E66-4D37-9C3D-EE609FBB5CD4}"/>
    <cellStyle name="Normal 2 2 12 2 3 2" xfId="25614" xr:uid="{C82A4E5B-713A-4F0B-9C44-41515AA8671E}"/>
    <cellStyle name="Normal 2 2 12 2 3 3" xfId="28120" xr:uid="{D1426DE1-404F-476D-AA0E-23A2566C7733}"/>
    <cellStyle name="Normal 2 2 12 2 3 4" xfId="14368" xr:uid="{201E6DFB-DAAA-47D2-93D5-7D35EEF5EE4A}"/>
    <cellStyle name="Normal 2 2 12 2 4" xfId="6821" xr:uid="{9CE24DF9-8A53-40A5-9B9F-A4ED79DBA681}"/>
    <cellStyle name="Normal 2 2 12 2 4 2" xfId="25847" xr:uid="{DB2D1C67-6117-442B-B678-0E475AA7346F}"/>
    <cellStyle name="Normal 2 2 12 2 4 3" xfId="27933" xr:uid="{51025091-3DC7-4B0E-B201-8992EE577B4E}"/>
    <cellStyle name="Normal 2 2 12 2 4 4" xfId="17201" xr:uid="{83106FBE-5519-470B-B973-DC7EFE978364}"/>
    <cellStyle name="Normal 2 2 12 2 5" xfId="9654" xr:uid="{0B7EACDA-BBDF-48E1-8FE2-FC3073D2F396}"/>
    <cellStyle name="Normal 2 2 12 2 5 2" xfId="29389" xr:uid="{EBF4D029-387B-44E3-9D2A-2D2346652B52}"/>
    <cellStyle name="Normal 2 2 12 2 5 3" xfId="20034" xr:uid="{C0C59DC8-A38B-49A7-8B9B-B6BAEE89D21E}"/>
    <cellStyle name="Normal 2 2 12 2 6" xfId="23522" xr:uid="{58EB0826-388D-445A-8CD5-082685758BAB}"/>
    <cellStyle name="Normal 2 2 12 2 7" xfId="12711" xr:uid="{D90D89C1-CD52-404E-8854-9A6CE05D6A25}"/>
    <cellStyle name="Normal 2 2 12 3" xfId="716" xr:uid="{00000000-0005-0000-0000-000078040000}"/>
    <cellStyle name="Normal 2 2 12 3 2" xfId="5072" xr:uid="{3B181DA7-558B-4F08-91C6-2EF108D18741}"/>
    <cellStyle name="Normal 2 2 12 3 2 2" xfId="26076" xr:uid="{DADFDF4C-031A-4E25-9D4F-90085FBCDD66}"/>
    <cellStyle name="Normal 2 2 12 3 2 3" xfId="27302" xr:uid="{7C3C2C6B-A376-4C08-B672-72DD1C6DDA24}"/>
    <cellStyle name="Normal 2 2 12 3 2 4" xfId="14369" xr:uid="{87AA43E2-ABF6-4CF1-95E1-324AB002C98D}"/>
    <cellStyle name="Normal 2 2 12 3 3" xfId="6822" xr:uid="{E2C41153-FFAB-4ED0-AB8B-6014853786DF}"/>
    <cellStyle name="Normal 2 2 12 3 3 2" xfId="27509" xr:uid="{CC38DC81-9159-4D28-B7A4-DAC637FEB901}"/>
    <cellStyle name="Normal 2 2 12 3 3 3" xfId="27088" xr:uid="{7EF38C80-B0D3-4DFD-9A0A-41F57020FEC4}"/>
    <cellStyle name="Normal 2 2 12 3 3 4" xfId="17202" xr:uid="{26E52485-6547-4818-9BE2-E34CFBD2E42B}"/>
    <cellStyle name="Normal 2 2 12 3 4" xfId="9655" xr:uid="{6F87446E-73B0-415B-B3DF-BCDB2932CF02}"/>
    <cellStyle name="Normal 2 2 12 3 4 2" xfId="29390" xr:uid="{E1AB4123-829E-472B-8201-5042441F9D0E}"/>
    <cellStyle name="Normal 2 2 12 3 4 3" xfId="20035" xr:uid="{B5528FC7-B11C-4B89-AD12-5EA5CEA3F156}"/>
    <cellStyle name="Normal 2 2 12 3 5" xfId="23589" xr:uid="{E4661236-05E0-4733-83E4-BF38DCBD5CFB}"/>
    <cellStyle name="Normal 2 2 12 3 6" xfId="13147" xr:uid="{59784323-D983-4403-A797-10888BEA3561}"/>
    <cellStyle name="Normal 2 2 12 4" xfId="2319" xr:uid="{00000000-0005-0000-0000-0000A2030000}"/>
    <cellStyle name="Normal 2 2 12 4 2" xfId="7446" xr:uid="{BC4AB11F-05B5-41C6-848E-34FE761CDCF0}"/>
    <cellStyle name="Normal 2 2 12 4 2 2" xfId="27510" xr:uid="{1D0CBB2E-B506-46BE-9D6B-6EAEAD8F035C}"/>
    <cellStyle name="Normal 2 2 12 4 2 3" xfId="17826" xr:uid="{F50110FA-FA26-4B8F-BD48-D96B1E0B9EFD}"/>
    <cellStyle name="Normal 2 2 12 4 3" xfId="10279" xr:uid="{04089D3B-4538-4C52-A27C-4A9708A69974}"/>
    <cellStyle name="Normal 2 2 12 4 3 2" xfId="20659" xr:uid="{2E0D2A35-A4E4-431F-A576-04C14ABCDA3C}"/>
    <cellStyle name="Normal 2 2 12 4 4" xfId="23711" xr:uid="{93C07792-30FE-4B44-9573-26AEFF3A7BF0}"/>
    <cellStyle name="Normal 2 2 12 4 5" xfId="14993" xr:uid="{51B5B4D7-F9FA-4226-9AA7-18D07081935F}"/>
    <cellStyle name="Normal 2 2 12 5" xfId="3924" xr:uid="{80B48330-8868-42AD-8BDC-4ABE101D7FE5}"/>
    <cellStyle name="Normal 2 2 12 5 2" xfId="8756" xr:uid="{0552D940-71B3-43C0-B2DB-648923AA1A54}"/>
    <cellStyle name="Normal 2 2 12 5 2 2" xfId="28978" xr:uid="{B40DC248-C826-4482-AFB1-2C50FE8E20F9}"/>
    <cellStyle name="Normal 2 2 12 5 2 3" xfId="19136" xr:uid="{0DBB2F03-198E-4EA9-9FCB-52E1EB65A82B}"/>
    <cellStyle name="Normal 2 2 12 5 3" xfId="11589" xr:uid="{F8030501-846D-475A-A3BE-5B1CA040C545}"/>
    <cellStyle name="Normal 2 2 12 5 3 2" xfId="21969" xr:uid="{93B94236-8E68-420A-B001-78A4B3C4C0E4}"/>
    <cellStyle name="Normal 2 2 12 5 4" xfId="23011" xr:uid="{FF2626A7-2135-440A-A877-AEE80954058E}"/>
    <cellStyle name="Normal 2 2 12 5 5" xfId="16303" xr:uid="{E8CC1F3D-DAFB-4840-966E-72DE70B7AF30}"/>
    <cellStyle name="Normal 2 2 12 6" xfId="5070" xr:uid="{084EAE70-9054-40F8-BFE2-D35318827036}"/>
    <cellStyle name="Normal 2 2 12 6 2" xfId="28310" xr:uid="{E571C781-2D2F-4739-921B-7BDC8F0ACB39}"/>
    <cellStyle name="Normal 2 2 12 6 3" xfId="26135" xr:uid="{68DF8A38-4DBF-4086-9398-2C368CB90CBF}"/>
    <cellStyle name="Normal 2 2 12 6 4" xfId="14367" xr:uid="{E415832E-07C5-4280-9D6D-23D0D3FCCF5E}"/>
    <cellStyle name="Normal 2 2 12 7" xfId="6820" xr:uid="{BF3DB480-ACE2-4974-AD3C-1760B38EE11C}"/>
    <cellStyle name="Normal 2 2 12 7 2" xfId="26794" xr:uid="{64BE9471-4482-46F0-B926-F236CF48DE7A}"/>
    <cellStyle name="Normal 2 2 12 7 3" xfId="17200" xr:uid="{CDA13340-5781-4640-96A4-DAC67D8249D7}"/>
    <cellStyle name="Normal 2 2 12 8" xfId="9653" xr:uid="{EC8A2C6E-8145-4C6B-98CD-6625A6067AC5}"/>
    <cellStyle name="Normal 2 2 12 8 2" xfId="20033" xr:uid="{E34FB326-D462-4975-BFF1-2D6B474B3857}"/>
    <cellStyle name="Normal 2 2 12 9" xfId="24820" xr:uid="{92E2412E-AE0B-4E04-8A02-EE933A9D2232}"/>
    <cellStyle name="Normal 2 2 13" xfId="717" xr:uid="{00000000-0005-0000-0000-000079040000}"/>
    <cellStyle name="Normal 2 2 13 10" xfId="12499" xr:uid="{61170B46-1634-41C8-94F6-182BD1D0ECF0}"/>
    <cellStyle name="Normal 2 2 13 2" xfId="3148" xr:uid="{00000000-0005-0000-0000-0000A7030000}"/>
    <cellStyle name="Normal 2 2 13 2 2" xfId="6206" xr:uid="{1BE0B72C-EB5F-4A68-ADBB-776D2ABC6E28}"/>
    <cellStyle name="Normal 2 2 13 2 2 2" xfId="22859" xr:uid="{53D22A31-D144-49D0-91AA-1D8AA931FF1F}"/>
    <cellStyle name="Normal 2 2 13 2 2 3" xfId="26299" xr:uid="{D8911CED-764F-48E2-9168-73042C5D13ED}"/>
    <cellStyle name="Normal 2 2 13 2 2 4" xfId="15775" xr:uid="{E725DF8F-2486-44A0-9DDC-35451486C16E}"/>
    <cellStyle name="Normal 2 2 13 2 3" xfId="8228" xr:uid="{8FE612A1-40D0-4D13-BCB0-0744C78DD892}"/>
    <cellStyle name="Normal 2 2 13 2 3 2" xfId="26186" xr:uid="{06BF066D-2D8C-4346-B71C-B793C1B4A8CB}"/>
    <cellStyle name="Normal 2 2 13 2 3 3" xfId="28873" xr:uid="{8129AB89-2906-47C8-9BA7-89EE51578157}"/>
    <cellStyle name="Normal 2 2 13 2 3 4" xfId="18608" xr:uid="{64C64456-37D7-4EE3-92B2-E77B6817AC99}"/>
    <cellStyle name="Normal 2 2 13 2 4" xfId="11061" xr:uid="{FD08E1CF-839E-4985-96D9-9AA4F72A3267}"/>
    <cellStyle name="Normal 2 2 13 2 4 2" xfId="29476" xr:uid="{038BD399-35D3-48F3-8F87-83353631008F}"/>
    <cellStyle name="Normal 2 2 13 2 4 3" xfId="21441" xr:uid="{535D86DE-691C-4D4C-97D3-6C9A8B1E520E}"/>
    <cellStyle name="Normal 2 2 13 2 5" xfId="25158" xr:uid="{C24663EF-B84A-4159-827E-04DA4C4C0947}"/>
    <cellStyle name="Normal 2 2 13 2 6" xfId="13683" xr:uid="{D7D50C91-20D1-4F4F-B216-79150BA26CFA}"/>
    <cellStyle name="Normal 2 2 13 3" xfId="2716" xr:uid="{00000000-0005-0000-0000-0000A8030000}"/>
    <cellStyle name="Normal 2 2 13 3 2" xfId="5934" xr:uid="{D0C06B45-2A7E-4AB6-A718-198594DC2508}"/>
    <cellStyle name="Normal 2 2 13 3 2 2" xfId="27395" xr:uid="{6491416E-F12A-4584-81F1-655F94FF171F}"/>
    <cellStyle name="Normal 2 2 13 3 2 3" xfId="15387" xr:uid="{ED351527-011C-4C1E-AC63-0808C644313D}"/>
    <cellStyle name="Normal 2 2 13 3 3" xfId="7840" xr:uid="{906AFB7C-6C05-4D62-9036-BCB3EF4B597A}"/>
    <cellStyle name="Normal 2 2 13 3 3 2" xfId="18220" xr:uid="{70736B79-02B6-4245-8B46-CAAAA5DE7056}"/>
    <cellStyle name="Normal 2 2 13 3 4" xfId="10673" xr:uid="{2CB8B3FA-0C80-47EE-9634-14D33F0FA550}"/>
    <cellStyle name="Normal 2 2 13 3 4 2" xfId="21053" xr:uid="{F769EB83-E13C-416F-9B09-5D4D5057E829}"/>
    <cellStyle name="Normal 2 2 13 3 5" xfId="25240" xr:uid="{6C3C5C07-9AFA-4E02-B0A6-FA91BFF57E6E}"/>
    <cellStyle name="Normal 2 2 13 3 6" xfId="13144" xr:uid="{1162147A-342C-4981-8B63-09F1ABF2E97A}"/>
    <cellStyle name="Normal 2 2 13 4" xfId="2267" xr:uid="{00000000-0005-0000-0000-0000A6030000}"/>
    <cellStyle name="Normal 2 2 13 4 2" xfId="7394" xr:uid="{89FD8668-7FA1-4059-9FE1-C4A120F59806}"/>
    <cellStyle name="Normal 2 2 13 4 2 2" xfId="26380" xr:uid="{30E68958-E569-42E9-BA2F-E453205D9189}"/>
    <cellStyle name="Normal 2 2 13 4 2 3" xfId="17774" xr:uid="{C11B38C0-F736-4D86-A774-66F20C82FCF6}"/>
    <cellStyle name="Normal 2 2 13 4 3" xfId="10227" xr:uid="{C380EA43-0880-44F7-916A-3D91415E0C58}"/>
    <cellStyle name="Normal 2 2 13 4 3 2" xfId="20607" xr:uid="{1B250137-71E8-4861-B427-84820C9A4C85}"/>
    <cellStyle name="Normal 2 2 13 4 4" xfId="25248" xr:uid="{0774F863-049F-497C-9A81-59CA0A5BAD79}"/>
    <cellStyle name="Normal 2 2 13 4 5" xfId="14941" xr:uid="{9D586C60-AB7D-471D-9DEB-58BC88B4A903}"/>
    <cellStyle name="Normal 2 2 13 5" xfId="3921" xr:uid="{88D0797E-A6BF-4D0F-A6C0-FD36B77BCA0E}"/>
    <cellStyle name="Normal 2 2 13 5 2" xfId="8753" xr:uid="{03051166-9FC1-44DA-988E-9FADE5847749}"/>
    <cellStyle name="Normal 2 2 13 5 2 2" xfId="19133" xr:uid="{7E7697FE-260A-4D9E-AA2B-095703FCCC3B}"/>
    <cellStyle name="Normal 2 2 13 5 3" xfId="11586" xr:uid="{94226967-A082-4D5A-8487-E119D38878D8}"/>
    <cellStyle name="Normal 2 2 13 5 3 2" xfId="21966" xr:uid="{8E1EFF97-26F7-4B56-B54B-BA8AE98EEF0A}"/>
    <cellStyle name="Normal 2 2 13 5 4" xfId="28465" xr:uid="{C6513DD1-384B-4C82-BAD2-CE01468518F9}"/>
    <cellStyle name="Normal 2 2 13 5 5" xfId="16300" xr:uid="{CE55F6FE-2C4D-414D-8412-7E9EC598D893}"/>
    <cellStyle name="Normal 2 2 13 6" xfId="5073" xr:uid="{B3B3FD30-0DA2-4D0B-90F4-16E1CD25FDF6}"/>
    <cellStyle name="Normal 2 2 13 6 2" xfId="14370" xr:uid="{13419BAA-B656-4198-A9F7-5A4FD8DA4709}"/>
    <cellStyle name="Normal 2 2 13 7" xfId="6823" xr:uid="{CEB21734-C8F9-465C-B46A-FCCCCCE8CFCF}"/>
    <cellStyle name="Normal 2 2 13 7 2" xfId="17203" xr:uid="{706C0D92-3F15-4226-8081-848ED9C101B0}"/>
    <cellStyle name="Normal 2 2 13 8" xfId="9656" xr:uid="{C8721B46-B374-4413-9AE3-932F85723B3E}"/>
    <cellStyle name="Normal 2 2 13 8 2" xfId="20036" xr:uid="{FEB40EA4-6CE0-42DE-A328-4F68BE1326E9}"/>
    <cellStyle name="Normal 2 2 13 9" xfId="24745" xr:uid="{C60147FB-826F-443F-AA1A-C1D4BD123A46}"/>
    <cellStyle name="Normal 2 2 14" xfId="718" xr:uid="{00000000-0005-0000-0000-00007A040000}"/>
    <cellStyle name="Normal 2 2 14 2" xfId="3149" xr:uid="{00000000-0005-0000-0000-0000AA030000}"/>
    <cellStyle name="Normal 2 2 14 2 2" xfId="6207" xr:uid="{8F05DB9B-6A25-4038-B62A-F4C873DD9350}"/>
    <cellStyle name="Normal 2 2 14 2 2 2" xfId="28571" xr:uid="{33B1D394-50B2-48C6-8C60-F743ED085D4B}"/>
    <cellStyle name="Normal 2 2 14 2 2 3" xfId="15776" xr:uid="{9F35178A-3720-4778-B1B0-CC80F28CC6AB}"/>
    <cellStyle name="Normal 2 2 14 2 3" xfId="8229" xr:uid="{2044CE16-91FB-4D80-914A-CE644F87D8F4}"/>
    <cellStyle name="Normal 2 2 14 2 3 2" xfId="18609" xr:uid="{D2404AF2-005E-4188-9906-4F235B286828}"/>
    <cellStyle name="Normal 2 2 14 2 4" xfId="11062" xr:uid="{978E363D-3991-4448-883D-E2E7811566D6}"/>
    <cellStyle name="Normal 2 2 14 2 4 2" xfId="21442" xr:uid="{7CD9C325-1851-4180-A5CB-3E7F4E214531}"/>
    <cellStyle name="Normal 2 2 14 2 5" xfId="25280" xr:uid="{0E9922C5-37E1-4CFC-A1AD-C203AD371C98}"/>
    <cellStyle name="Normal 2 2 14 2 6" xfId="13684" xr:uid="{FA8C0126-C36E-4F2D-B7DC-A80CBCD032BF}"/>
    <cellStyle name="Normal 2 2 14 3" xfId="4114" xr:uid="{602DFCFD-72D5-44D7-ACF2-C21656B95719}"/>
    <cellStyle name="Normal 2 2 14 3 2" xfId="8886" xr:uid="{2CCE2982-B565-4F22-8E33-8D5CA20D7F6E}"/>
    <cellStyle name="Normal 2 2 14 3 2 2" xfId="29001" xr:uid="{2C74AD77-220B-4613-8EF4-23EA7DCE53B9}"/>
    <cellStyle name="Normal 2 2 14 3 2 3" xfId="19266" xr:uid="{CA98168B-B65C-4AA5-94DF-F59345996913}"/>
    <cellStyle name="Normal 2 2 14 3 3" xfId="11719" xr:uid="{78412A5D-245A-4544-97D0-24E00F40E1FB}"/>
    <cellStyle name="Normal 2 2 14 3 3 2" xfId="22099" xr:uid="{76B852D3-6881-4247-B526-76ED020D3A4D}"/>
    <cellStyle name="Normal 2 2 14 3 4" xfId="25692" xr:uid="{75B9DCA7-9735-49CB-B831-5B7CB6738F60}"/>
    <cellStyle name="Normal 2 2 14 3 5" xfId="16433" xr:uid="{0D9D12F8-7C95-49C3-93C2-5B61176932CC}"/>
    <cellStyle name="Normal 2 2 14 4" xfId="5074" xr:uid="{0FE830B5-3A30-4425-8BA3-1607EFF37B17}"/>
    <cellStyle name="Normal 2 2 14 4 2" xfId="25634" xr:uid="{CA7AE7FF-9709-40FF-9F56-95356DE17C7B}"/>
    <cellStyle name="Normal 2 2 14 4 3" xfId="26939" xr:uid="{C80C593B-D2C3-4351-A7D5-8F610999EDE7}"/>
    <cellStyle name="Normal 2 2 14 4 4" xfId="14371" xr:uid="{1BB74058-6697-4959-92B2-21F05B0323C1}"/>
    <cellStyle name="Normal 2 2 14 5" xfId="6824" xr:uid="{C93C6F00-7AA6-4DFD-83A2-657CD0BC4C50}"/>
    <cellStyle name="Normal 2 2 14 5 2" xfId="28718" xr:uid="{8A97C4F5-E096-4825-9758-77B6F6DA2CD0}"/>
    <cellStyle name="Normal 2 2 14 5 3" xfId="17204" xr:uid="{BE1AB2A4-25C8-48F8-AD75-90D61AD378D0}"/>
    <cellStyle name="Normal 2 2 14 6" xfId="9657" xr:uid="{74930A9B-473A-4A6C-8087-6DB80EE741A5}"/>
    <cellStyle name="Normal 2 2 14 6 2" xfId="20037" xr:uid="{24AF2EAD-E8F1-441C-8B69-9B4ADD7029B5}"/>
    <cellStyle name="Normal 2 2 14 7" xfId="25035" xr:uid="{BEC619D2-5B98-42AF-BBF7-4FB6E12567A9}"/>
    <cellStyle name="Normal 2 2 14 8" xfId="12657" xr:uid="{63162DEC-A129-4FF9-A03A-433E2293C74C}"/>
    <cellStyle name="Normal 2 2 15" xfId="719" xr:uid="{00000000-0005-0000-0000-00007B040000}"/>
    <cellStyle name="Normal 2 2 15 2" xfId="5075" xr:uid="{99306018-F539-426E-AFF6-71AB4177B221}"/>
    <cellStyle name="Normal 2 2 15 2 2" xfId="24898" xr:uid="{E75E3B17-5623-440A-8AC2-87E8488F28F8}"/>
    <cellStyle name="Normal 2 2 15 2 3" xfId="27594" xr:uid="{0DEC1CF2-4696-41D2-BDF1-5213B9DC73D4}"/>
    <cellStyle name="Normal 2 2 15 2 4" xfId="14372" xr:uid="{8A48EF3E-8497-433A-B4E0-FC09E0C9B29D}"/>
    <cellStyle name="Normal 2 2 15 3" xfId="6825" xr:uid="{2AFC4162-E263-4598-B568-AA1597C44A31}"/>
    <cellStyle name="Normal 2 2 15 3 2" xfId="23601" xr:uid="{25F08F60-A152-4AFF-9E13-906EB14A6DBF}"/>
    <cellStyle name="Normal 2 2 15 3 3" xfId="17205" xr:uid="{C4B807F5-A277-4249-AB06-7D0E0B3D6BF2}"/>
    <cellStyle name="Normal 2 2 15 4" xfId="9658" xr:uid="{F7968E4B-B502-4F1E-82C8-90DBD07CB023}"/>
    <cellStyle name="Normal 2 2 15 4 2" xfId="20038" xr:uid="{6CBDC6EB-DB76-4B70-AB04-21547ACF243C}"/>
    <cellStyle name="Normal 2 2 15 5" xfId="25483" xr:uid="{F089609E-A798-4813-922E-69531170DBF7}"/>
    <cellStyle name="Normal 2 2 15 6" xfId="13355" xr:uid="{1F482952-DA57-4E9F-823C-05C97A7B78EE}"/>
    <cellStyle name="Normal 2 2 16" xfId="2430" xr:uid="{00000000-0005-0000-0000-0000AC030000}"/>
    <cellStyle name="Normal 2 2 16 2" xfId="5727" xr:uid="{E66317E7-6FD0-4B91-B500-9D3330F0A614}"/>
    <cellStyle name="Normal 2 2 16 2 2" xfId="26391" xr:uid="{ABDA310A-0346-4DC4-984F-29ED74B584EF}"/>
    <cellStyle name="Normal 2 2 16 2 3" xfId="15102" xr:uid="{A6040207-EB44-4575-8EA9-C4CE90C60DC5}"/>
    <cellStyle name="Normal 2 2 16 3" xfId="7555" xr:uid="{1514F63C-9927-45A2-B5F6-B96FBA1E7225}"/>
    <cellStyle name="Normal 2 2 16 3 2" xfId="17935" xr:uid="{E0721F0A-358B-4AE8-9224-B0BFCC2F56D7}"/>
    <cellStyle name="Normal 2 2 16 4" xfId="10388" xr:uid="{FF4F799A-66E3-4F40-B618-37BB9F15E6A9}"/>
    <cellStyle name="Normal 2 2 16 4 2" xfId="20768" xr:uid="{C773C84F-6066-46CF-883F-384DBDBBE522}"/>
    <cellStyle name="Normal 2 2 16 5" xfId="25422" xr:uid="{A63BB850-207E-4F37-B731-B70170A9DB5E}"/>
    <cellStyle name="Normal 2 2 16 6" xfId="12816" xr:uid="{7EF3574B-DB58-4C59-B778-7C91746B762A}"/>
    <cellStyle name="Normal 2 2 17" xfId="2157" xr:uid="{00000000-0005-0000-0000-000095030000}"/>
    <cellStyle name="Normal 2 2 17 2" xfId="7284" xr:uid="{B4EC62D9-AF82-4025-970D-EA4C3E026774}"/>
    <cellStyle name="Normal 2 2 17 2 2" xfId="26238" xr:uid="{6DAF2BCE-0C86-4D88-9E2F-78E919AFD190}"/>
    <cellStyle name="Normal 2 2 17 2 3" xfId="17664" xr:uid="{1E015E8D-58DC-456F-BDFE-E140A635E965}"/>
    <cellStyle name="Normal 2 2 17 3" xfId="10117" xr:uid="{2EC4786D-A0A0-483A-9CB6-2C0C04AACC31}"/>
    <cellStyle name="Normal 2 2 17 3 2" xfId="20497" xr:uid="{0E6F1898-8781-4A3A-BF71-DBEE4D01B0BB}"/>
    <cellStyle name="Normal 2 2 17 4" xfId="23736" xr:uid="{A8D75A14-F8ED-4363-B00E-9520DBE2BB4B}"/>
    <cellStyle name="Normal 2 2 17 5" xfId="14831" xr:uid="{B1CA58E7-00A2-41F1-9A0F-BDFFC5AAD87E}"/>
    <cellStyle name="Normal 2 2 18" xfId="3780" xr:uid="{1A373675-4207-447F-B1B4-24466C74361E}"/>
    <cellStyle name="Normal 2 2 18 2" xfId="8620" xr:uid="{A213806B-ABAF-492B-B6D9-CA5737F09E61}"/>
    <cellStyle name="Normal 2 2 18 2 2" xfId="19000" xr:uid="{160AAC24-51E3-424E-AD27-F18D3F8AE720}"/>
    <cellStyle name="Normal 2 2 18 3" xfId="11453" xr:uid="{5ACF6E83-7460-44A6-9393-BEDF0BFE2652}"/>
    <cellStyle name="Normal 2 2 18 3 2" xfId="21833" xr:uid="{16E87DC4-FD90-46D1-A322-126D2F2E83E0}"/>
    <cellStyle name="Normal 2 2 18 4" xfId="24738" xr:uid="{AA2FF3AD-A4EF-4B36-8436-1AADB93BDB37}"/>
    <cellStyle name="Normal 2 2 18 5" xfId="16167" xr:uid="{AC157D38-856C-4580-B563-DCA32EBD428F}"/>
    <cellStyle name="Normal 2 2 19" xfId="5061" xr:uid="{BC3E59D0-D094-48BD-81F3-E96859DFE0F0}"/>
    <cellStyle name="Normal 2 2 19 2" xfId="14358" xr:uid="{AD30DF1C-1582-45A7-99EE-46D101CF8C51}"/>
    <cellStyle name="Normal 2 2 2" xfId="720" xr:uid="{00000000-0005-0000-0000-00007C040000}"/>
    <cellStyle name="Normal 2 2 2 2" xfId="29565" xr:uid="{0140F41A-A7F6-4E64-8D0A-7ADB50A575AD}"/>
    <cellStyle name="Normal 2 2 20" xfId="6811" xr:uid="{9AA093BE-465D-42F9-802A-DCF38D2C3E24}"/>
    <cellStyle name="Normal 2 2 20 2" xfId="17191" xr:uid="{B7BD99B6-0B8B-4E45-BB86-E9AAD9928BCD}"/>
    <cellStyle name="Normal 2 2 21" xfId="9644" xr:uid="{0A98CF2D-EF20-429F-B97D-47442972AF38}"/>
    <cellStyle name="Normal 2 2 21 2" xfId="20024" xr:uid="{A91E6670-104C-49CF-BFCC-DB2F2A80100C}"/>
    <cellStyle name="Normal 2 2 22" xfId="23645" xr:uid="{0A2E6619-5DD4-4182-B404-64DD36161338}"/>
    <cellStyle name="Normal 2 2 23" xfId="12388"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50" xr:uid="{00000000-0005-0000-0000-0000B1030000}"/>
    <cellStyle name="Normal 2 2 4 10 2 2" xfId="6208" xr:uid="{D7D969D3-4E61-4406-BF24-BF599DCF1FAF}"/>
    <cellStyle name="Normal 2 2 4 10 2 2 2" xfId="26540" xr:uid="{E88740FE-679A-4BE2-AB30-5E1E4717FB7B}"/>
    <cellStyle name="Normal 2 2 4 10 2 2 3" xfId="15777" xr:uid="{F38DC642-4549-412E-BBDA-A3A6DD21FAE8}"/>
    <cellStyle name="Normal 2 2 4 10 2 3" xfId="8230" xr:uid="{D6982DF3-9915-4EEC-9953-5C07FCBC40B5}"/>
    <cellStyle name="Normal 2 2 4 10 2 3 2" xfId="18610" xr:uid="{0946FFCE-0946-4566-BB07-7342E0525B8C}"/>
    <cellStyle name="Normal 2 2 4 10 2 4" xfId="11063" xr:uid="{526B7178-26B3-4B9F-BAE8-574354D1F0EB}"/>
    <cellStyle name="Normal 2 2 4 10 2 4 2" xfId="21443" xr:uid="{AC1455A0-CF64-4E90-A7EF-26CE4100BB90}"/>
    <cellStyle name="Normal 2 2 4 10 2 5" xfId="24283" xr:uid="{3C5BC3D8-8C4D-426E-8F06-8F3538AF29AB}"/>
    <cellStyle name="Normal 2 2 4 10 2 6" xfId="13685" xr:uid="{48B9F930-0C25-4581-8E69-79189B949E6F}"/>
    <cellStyle name="Normal 2 2 4 10 3" xfId="4156" xr:uid="{0FD2C3DC-255B-49BE-9FF6-4AC92C7D63F7}"/>
    <cellStyle name="Normal 2 2 4 10 3 2" xfId="8928" xr:uid="{80F2C0FB-F1DC-4258-AD0E-0DD06142707D}"/>
    <cellStyle name="Normal 2 2 4 10 3 2 2" xfId="29027" xr:uid="{37D72171-B24D-4194-B4D3-0A959E954D4C}"/>
    <cellStyle name="Normal 2 2 4 10 3 2 3" xfId="19308" xr:uid="{0681EC7E-E68D-4E35-B1B5-2655A10948DE}"/>
    <cellStyle name="Normal 2 2 4 10 3 3" xfId="11761" xr:uid="{FB782192-D2F5-470E-9650-80D7248ADBA5}"/>
    <cellStyle name="Normal 2 2 4 10 3 3 2" xfId="22141" xr:uid="{6E3AFC5A-8E1D-454F-B124-8B28C999AE87}"/>
    <cellStyle name="Normal 2 2 4 10 3 4" xfId="25697" xr:uid="{960F127A-99EC-4F61-836C-569C208D49CA}"/>
    <cellStyle name="Normal 2 2 4 10 3 5" xfId="16475" xr:uid="{9FDA4D38-87A1-433B-9B04-BCCC15C7061F}"/>
    <cellStyle name="Normal 2 2 4 10 4" xfId="5077" xr:uid="{1FCF3AF0-FBC6-4D63-B3BA-20A01A6167FF}"/>
    <cellStyle name="Normal 2 2 4 10 4 2" xfId="24033" xr:uid="{1E9FBC44-0CCC-4A72-9906-A1159634CC09}"/>
    <cellStyle name="Normal 2 2 4 10 4 3" xfId="26852" xr:uid="{C9EF5E2D-A247-4207-82D8-EEE74AFA64FD}"/>
    <cellStyle name="Normal 2 2 4 10 4 4" xfId="14374" xr:uid="{A90D1DCD-BBBB-4311-AE23-3B6BA1E3AF5D}"/>
    <cellStyle name="Normal 2 2 4 10 5" xfId="6827" xr:uid="{3A3629AD-74B0-46DD-930A-D13A43E4B5A8}"/>
    <cellStyle name="Normal 2 2 4 10 5 2" xfId="27194" xr:uid="{EE7C6482-5934-4C5E-8210-9C33C60F11DA}"/>
    <cellStyle name="Normal 2 2 4 10 5 3" xfId="17207" xr:uid="{2EA77B2A-9F6B-494B-9CDD-F0DCBF707307}"/>
    <cellStyle name="Normal 2 2 4 10 6" xfId="9660" xr:uid="{C57FB809-5FE2-45E4-ACDC-C1DBA03283E4}"/>
    <cellStyle name="Normal 2 2 4 10 6 2" xfId="20040" xr:uid="{CDB3F3D8-A21A-4F07-ADB0-05173762F68D}"/>
    <cellStyle name="Normal 2 2 4 10 7" xfId="22880" xr:uid="{5CF308C9-6D51-4643-9E2C-5CA6A840CF6A}"/>
    <cellStyle name="Normal 2 2 4 10 8" xfId="12712" xr:uid="{E7A9E7AD-6F08-45B4-9A3F-FF2B6DF2184A}"/>
    <cellStyle name="Normal 2 2 4 11" xfId="724" xr:uid="{00000000-0005-0000-0000-000080040000}"/>
    <cellStyle name="Normal 2 2 4 11 2" xfId="5078" xr:uid="{B2B51439-26A5-4C50-95D8-D9A322E62328}"/>
    <cellStyle name="Normal 2 2 4 11 2 2" xfId="25678" xr:uid="{C402C1D2-4423-4CDA-ADCF-C57202F1D021}"/>
    <cellStyle name="Normal 2 2 4 11 2 3" xfId="26359" xr:uid="{056DCAAC-24E9-43A1-82A6-0C9A315D56AD}"/>
    <cellStyle name="Normal 2 2 4 11 2 4" xfId="14375" xr:uid="{872521E7-6E08-4614-B377-4B95D2864DA4}"/>
    <cellStyle name="Normal 2 2 4 11 3" xfId="6828" xr:uid="{7C2751A7-702E-4DF4-9E80-C1AE00BF3135}"/>
    <cellStyle name="Normal 2 2 4 11 3 2" xfId="27643" xr:uid="{19F6A390-B923-463C-9013-7110AED7F8C9}"/>
    <cellStyle name="Normal 2 2 4 11 3 3" xfId="17208" xr:uid="{AC1AC1C8-1FF9-407E-943E-53543251EF25}"/>
    <cellStyle name="Normal 2 2 4 11 4" xfId="9661" xr:uid="{19073B8C-2791-4F34-812F-A2DE9320F133}"/>
    <cellStyle name="Normal 2 2 4 11 4 2" xfId="20041" xr:uid="{34810A10-8551-4547-9322-99F6D9A4A5EA}"/>
    <cellStyle name="Normal 2 2 4 11 5" xfId="23142" xr:uid="{416C81B3-0819-4BF8-9A30-32B0AC090322}"/>
    <cellStyle name="Normal 2 2 4 11 6" xfId="13410" xr:uid="{FC688F8D-7DA8-4750-8693-6F6C1C293274}"/>
    <cellStyle name="Normal 2 2 4 12" xfId="2437" xr:uid="{00000000-0005-0000-0000-0000B3030000}"/>
    <cellStyle name="Normal 2 2 4 12 2" xfId="5732" xr:uid="{1CA93B62-87E4-4705-96DD-F355FB40FC33}"/>
    <cellStyle name="Normal 2 2 4 12 2 2" xfId="27529" xr:uid="{693F9F83-E752-4F7D-B8DA-264691227F4E}"/>
    <cellStyle name="Normal 2 2 4 12 2 3" xfId="15109" xr:uid="{F5B0BC0C-3FEA-4385-B77E-05F42AF9B996}"/>
    <cellStyle name="Normal 2 2 4 12 3" xfId="7562" xr:uid="{D54A0966-299F-4FC9-8FED-1E10BBEC96F3}"/>
    <cellStyle name="Normal 2 2 4 12 3 2" xfId="17942" xr:uid="{26E2A7A7-1EAB-45EE-920C-AD013DF7E206}"/>
    <cellStyle name="Normal 2 2 4 12 4" xfId="10395" xr:uid="{C84F7657-F60B-4659-BC49-8D0BE4A04CC6}"/>
    <cellStyle name="Normal 2 2 4 12 4 2" xfId="20775" xr:uid="{5769F3AE-2EF9-48C9-AB5C-93E5211D5A0F}"/>
    <cellStyle name="Normal 2 2 4 12 5" xfId="24008" xr:uid="{FABCEE1E-7C42-4836-8C1F-79CA52228F4A}"/>
    <cellStyle name="Normal 2 2 4 12 6" xfId="12824" xr:uid="{676C421A-797B-4EB2-918A-9AC76E6E9645}"/>
    <cellStyle name="Normal 2 2 4 13" xfId="2167" xr:uid="{00000000-0005-0000-0000-0000AF030000}"/>
    <cellStyle name="Normal 2 2 4 13 2" xfId="7294" xr:uid="{F1BFA181-64C5-4E4A-ABD0-7974201F6931}"/>
    <cellStyle name="Normal 2 2 4 13 2 2" xfId="26398" xr:uid="{C5112DC9-9925-499D-B2E9-335E18D7B2D2}"/>
    <cellStyle name="Normal 2 2 4 13 2 3" xfId="17674" xr:uid="{F344F0F8-8DF6-4F0A-BAB4-42D5F92328BF}"/>
    <cellStyle name="Normal 2 2 4 13 3" xfId="10127" xr:uid="{E442D80D-08EC-4EAA-BC94-B6780007F958}"/>
    <cellStyle name="Normal 2 2 4 13 3 2" xfId="20507" xr:uid="{246E3730-AF31-49D0-A8E0-7E7785E2D887}"/>
    <cellStyle name="Normal 2 2 4 13 4" xfId="23599" xr:uid="{D26C7D18-001A-43BB-9815-B9CF2762C3E7}"/>
    <cellStyle name="Normal 2 2 4 13 5" xfId="14841" xr:uid="{A06D253D-74AA-4949-A3C4-488C2ED85076}"/>
    <cellStyle name="Normal 2 2 4 14" xfId="3927" xr:uid="{9224FE76-AF9F-40C7-9E4B-7A38724FA954}"/>
    <cellStyle name="Normal 2 2 4 14 2" xfId="8759" xr:uid="{6E95594E-0165-4B4D-ADF3-14A3EE4DDC8E}"/>
    <cellStyle name="Normal 2 2 4 14 2 2" xfId="19139" xr:uid="{2422C39E-40B6-44E7-8B83-F4CBD35700F8}"/>
    <cellStyle name="Normal 2 2 4 14 3" xfId="11592" xr:uid="{BC9F1DA9-C5F5-42AD-BD86-0A771A3DF603}"/>
    <cellStyle name="Normal 2 2 4 14 3 2" xfId="21972" xr:uid="{4D8611E8-F2C4-448E-BE12-76FC605A333A}"/>
    <cellStyle name="Normal 2 2 4 14 4" xfId="27370" xr:uid="{FE9CCE05-EF0F-418B-AE5C-0376211A82BB}"/>
    <cellStyle name="Normal 2 2 4 14 5" xfId="16306" xr:uid="{10BBC8C1-DA61-4642-8926-FA9976CAA80E}"/>
    <cellStyle name="Normal 2 2 4 15" xfId="5076" xr:uid="{3F321B4F-E47A-4304-B738-AE2327016E19}"/>
    <cellStyle name="Normal 2 2 4 15 2" xfId="14373" xr:uid="{AE14D018-34CD-4C44-BCC8-1E57CECF4998}"/>
    <cellStyle name="Normal 2 2 4 16" xfId="6826" xr:uid="{1BB3EEC8-AF94-4899-A302-68D57360357C}"/>
    <cellStyle name="Normal 2 2 4 16 2" xfId="17206" xr:uid="{A687550A-8C82-42DC-9A95-3E243EE3767B}"/>
    <cellStyle name="Normal 2 2 4 17" xfId="9659" xr:uid="{C6FCDE00-F4C5-44DE-844A-7083A1A96C98}"/>
    <cellStyle name="Normal 2 2 4 17 2" xfId="20039" xr:uid="{B61EA2A4-DD29-4E0D-90E6-932E4981EC6A}"/>
    <cellStyle name="Normal 2 2 4 18" xfId="23385" xr:uid="{E36E8115-6050-4A3E-9EF7-52F5E1BB4ED5}"/>
    <cellStyle name="Normal 2 2 4 19" xfId="12399" xr:uid="{7149CC92-E14B-4B1D-A89B-503FF7AF0A7B}"/>
    <cellStyle name="Normal 2 2 4 2" xfId="725" xr:uid="{00000000-0005-0000-0000-000081040000}"/>
    <cellStyle name="Normal 2 2 4 2 10" xfId="5079" xr:uid="{082F0210-4C72-422F-80F9-ACC646677EA2}"/>
    <cellStyle name="Normal 2 2 4 2 10 2" xfId="14376" xr:uid="{94822CAF-2092-49A9-B8CD-410DA0A1A116}"/>
    <cellStyle name="Normal 2 2 4 2 11" xfId="6829" xr:uid="{242FD371-17D0-477D-B9D8-109C3D143C7C}"/>
    <cellStyle name="Normal 2 2 4 2 11 2" xfId="17209" xr:uid="{065C0B98-270C-4FA0-BFD9-19E1970F6214}"/>
    <cellStyle name="Normal 2 2 4 2 12" xfId="9662" xr:uid="{9EC68AC5-DB34-4CC7-9026-D9E313DA6B00}"/>
    <cellStyle name="Normal 2 2 4 2 12 2" xfId="20042" xr:uid="{9D0222BA-8F09-45F6-B777-449CA78646CA}"/>
    <cellStyle name="Normal 2 2 4 2 13" xfId="24969" xr:uid="{0C738B10-8E93-4856-BCB1-B19FD7867AA7}"/>
    <cellStyle name="Normal 2 2 4 2 14" xfId="12422" xr:uid="{384D961C-EC37-4EA2-A57F-262696283CE4}"/>
    <cellStyle name="Normal 2 2 4 2 2" xfId="726" xr:uid="{00000000-0005-0000-0000-000082040000}"/>
    <cellStyle name="Normal 2 2 4 2 2 10" xfId="6830" xr:uid="{BE5F802E-0A33-4C0C-B22F-904F96F5C12D}"/>
    <cellStyle name="Normal 2 2 4 2 2 10 2" xfId="17210" xr:uid="{0E0A262A-9010-4CD1-BFCB-467216AADD64}"/>
    <cellStyle name="Normal 2 2 4 2 2 11" xfId="9663" xr:uid="{ABFE3BC2-408D-4C96-99C4-97DE3C927B68}"/>
    <cellStyle name="Normal 2 2 4 2 2 11 2" xfId="20043" xr:uid="{7F457473-275E-44E9-8293-D49E2EC6900B}"/>
    <cellStyle name="Normal 2 2 4 2 2 12" xfId="23568" xr:uid="{714019CF-C46E-40AB-935E-1D4B4ECBD1B9}"/>
    <cellStyle name="Normal 2 2 4 2 2 13" xfId="12482" xr:uid="{18DB36CC-DB17-43E4-811E-FC915DA0DCCC}"/>
    <cellStyle name="Normal 2 2 4 2 2 2" xfId="727" xr:uid="{00000000-0005-0000-0000-000083040000}"/>
    <cellStyle name="Normal 2 2 4 2 2 2 10" xfId="13047" xr:uid="{B75C6799-77DF-49EF-B0AB-0CAF2F2B5AA6}"/>
    <cellStyle name="Normal 2 2 4 2 2 2 2" xfId="2722" xr:uid="{00000000-0005-0000-0000-0000B7030000}"/>
    <cellStyle name="Normal 2 2 4 2 2 2 2 2" xfId="3153" xr:uid="{00000000-0005-0000-0000-0000B8030000}"/>
    <cellStyle name="Normal 2 2 4 2 2 2 2 2 2" xfId="6211" xr:uid="{2699C163-FD31-4EAE-A8F7-B64A6502ECF7}"/>
    <cellStyle name="Normal 2 2 4 2 2 2 2 2 2 2" xfId="27310" xr:uid="{979CD163-8371-46E5-A003-E51E3D7A9388}"/>
    <cellStyle name="Normal 2 2 4 2 2 2 2 2 2 3" xfId="15780" xr:uid="{F6DCBA35-A6CE-45ED-8A34-3DB0D43A58A2}"/>
    <cellStyle name="Normal 2 2 4 2 2 2 2 2 3" xfId="8233" xr:uid="{F0D0C146-855C-4C83-8150-0B386D5B8ED4}"/>
    <cellStyle name="Normal 2 2 4 2 2 2 2 2 3 2" xfId="18613" xr:uid="{6399A8DE-701C-4DB0-91AB-D921947BE8E1}"/>
    <cellStyle name="Normal 2 2 4 2 2 2 2 2 4" xfId="11066" xr:uid="{1E9C24A1-9573-4B38-8468-E68552F1F4BA}"/>
    <cellStyle name="Normal 2 2 4 2 2 2 2 2 4 2" xfId="21446" xr:uid="{6EA31103-5C99-4B3E-AD13-B9D29EBA98AE}"/>
    <cellStyle name="Normal 2 2 4 2 2 2 2 2 5" xfId="25299" xr:uid="{2DD1FCC2-D5B0-44E4-80A1-FF322D89482A}"/>
    <cellStyle name="Normal 2 2 4 2 2 2 2 2 6" xfId="13688" xr:uid="{00D91A39-C71B-4EF1-940F-2B85EFA0B76C}"/>
    <cellStyle name="Normal 2 2 4 2 2 2 2 3" xfId="4289" xr:uid="{EB4C999B-FD68-43F3-85D7-E9F10D41EA3E}"/>
    <cellStyle name="Normal 2 2 4 2 2 2 2 3 2" xfId="9061" xr:uid="{D55F9012-33D5-4D08-A084-FDFFB9E1BD7C}"/>
    <cellStyle name="Normal 2 2 4 2 2 2 2 3 2 2" xfId="29104" xr:uid="{0037F71B-AF57-417B-B0C1-9187E1724F27}"/>
    <cellStyle name="Normal 2 2 4 2 2 2 2 3 2 3" xfId="19441" xr:uid="{35B5BCF0-9220-4EAF-8043-00F118D02DCA}"/>
    <cellStyle name="Normal 2 2 4 2 2 2 2 3 3" xfId="11894" xr:uid="{15FFEA8F-AD61-42BA-B4DF-77F494056622}"/>
    <cellStyle name="Normal 2 2 4 2 2 2 2 3 3 2" xfId="22274" xr:uid="{DDAA0DAD-3748-447D-859F-158EAAB2B3D1}"/>
    <cellStyle name="Normal 2 2 4 2 2 2 2 3 4" xfId="25557" xr:uid="{88F7A1A7-A134-4BD9-BEF1-7FA3B8A59D87}"/>
    <cellStyle name="Normal 2 2 4 2 2 2 2 3 5" xfId="16608" xr:uid="{EB03052E-F658-45EF-B3DB-852A4C7BB8AE}"/>
    <cellStyle name="Normal 2 2 4 2 2 2 2 4" xfId="5940" xr:uid="{CB7445F3-EDE3-4EE8-B6F9-3A408AAD304B}"/>
    <cellStyle name="Normal 2 2 4 2 2 2 2 4 2" xfId="26545" xr:uid="{88071224-704B-408D-9737-7F52197591E3}"/>
    <cellStyle name="Normal 2 2 4 2 2 2 2 4 3" xfId="15393" xr:uid="{78E75524-9F07-495E-8BF3-3BAF4F5DD576}"/>
    <cellStyle name="Normal 2 2 4 2 2 2 2 5" xfId="7846" xr:uid="{5D107997-4F67-464D-A286-B2B2A0262103}"/>
    <cellStyle name="Normal 2 2 4 2 2 2 2 5 2" xfId="18226" xr:uid="{AA40D164-9E2D-4A13-910B-3D371DE141C5}"/>
    <cellStyle name="Normal 2 2 4 2 2 2 2 6" xfId="10679" xr:uid="{18926BE6-A7E2-4432-B7DE-3E917506226E}"/>
    <cellStyle name="Normal 2 2 4 2 2 2 2 6 2" xfId="21059" xr:uid="{5DB5DD18-242B-488B-BD94-C1C85C86F788}"/>
    <cellStyle name="Normal 2 2 4 2 2 2 2 7" xfId="23628" xr:uid="{83E0FFC2-481C-45AE-8A7D-75DA91E86A48}"/>
    <cellStyle name="Normal 2 2 4 2 2 2 2 8" xfId="13151" xr:uid="{C5B5A001-DC74-4D19-AFCD-13258C952985}"/>
    <cellStyle name="Normal 2 2 4 2 2 2 3" xfId="3154" xr:uid="{00000000-0005-0000-0000-0000B9030000}"/>
    <cellStyle name="Normal 2 2 4 2 2 2 3 2" xfId="4453" xr:uid="{4A97CEB2-5003-4355-8B57-CF23B36F416D}"/>
    <cellStyle name="Normal 2 2 4 2 2 2 3 2 2" xfId="9225" xr:uid="{F5720346-86C9-4C63-BA2E-BAE188667089}"/>
    <cellStyle name="Normal 2 2 4 2 2 2 3 2 2 2" xfId="19605" xr:uid="{9305AE05-2DFF-4B0F-A9D4-8809704FA2E9}"/>
    <cellStyle name="Normal 2 2 4 2 2 2 3 2 3" xfId="12058" xr:uid="{ECFF396C-25C3-49B8-AA48-4D7D1EBC0BDB}"/>
    <cellStyle name="Normal 2 2 4 2 2 2 3 2 3 2" xfId="22438" xr:uid="{2BC92043-679A-4766-9259-2405F2EA928F}"/>
    <cellStyle name="Normal 2 2 4 2 2 2 3 2 4" xfId="26058" xr:uid="{ED0E0944-5CEF-4C9C-AA0F-E258430D90A9}"/>
    <cellStyle name="Normal 2 2 4 2 2 2 3 2 5" xfId="16772" xr:uid="{55BE370F-B348-471C-8745-E120F97BE2A0}"/>
    <cellStyle name="Normal 2 2 4 2 2 2 3 3" xfId="6212" xr:uid="{CF2B2C7D-8D4A-4128-AE44-E970B94FCAE1}"/>
    <cellStyle name="Normal 2 2 4 2 2 2 3 3 2" xfId="15781" xr:uid="{B75D01FD-8740-465A-8152-A77BC1D4819D}"/>
    <cellStyle name="Normal 2 2 4 2 2 2 3 4" xfId="8234" xr:uid="{CEBD421D-9A20-422F-AC86-CA9DEA90F093}"/>
    <cellStyle name="Normal 2 2 4 2 2 2 3 4 2" xfId="18614" xr:uid="{1B2C86E2-3FE6-4F5C-BA72-F9B27B3FBC4B}"/>
    <cellStyle name="Normal 2 2 4 2 2 2 3 5" xfId="11067" xr:uid="{505C8031-27A6-4614-A3C4-177C0D99977D}"/>
    <cellStyle name="Normal 2 2 4 2 2 2 3 5 2" xfId="21447" xr:uid="{4C04D953-6EF7-4BBC-BA46-8EFDD1D1EA4D}"/>
    <cellStyle name="Normal 2 2 4 2 2 2 3 6" xfId="24288" xr:uid="{171037B2-2BB0-4C29-BBCE-68189D2748E9}"/>
    <cellStyle name="Normal 2 2 4 2 2 2 3 7" xfId="13689" xr:uid="{271CF764-F5C9-47CB-857B-A73B69E6962C}"/>
    <cellStyle name="Normal 2 2 4 2 2 2 4" xfId="3152" xr:uid="{00000000-0005-0000-0000-0000BA030000}"/>
    <cellStyle name="Normal 2 2 4 2 2 2 4 2" xfId="6210" xr:uid="{E91A0431-FCC1-463D-BD9C-F55AA905BE01}"/>
    <cellStyle name="Normal 2 2 4 2 2 2 4 2 2" xfId="27582" xr:uid="{7798AA59-ECF7-4EA6-AE66-36AF8239076A}"/>
    <cellStyle name="Normal 2 2 4 2 2 2 4 2 3" xfId="15779" xr:uid="{3D255CEF-B0D7-4594-8D79-B28B7B704CE7}"/>
    <cellStyle name="Normal 2 2 4 2 2 2 4 3" xfId="8232" xr:uid="{0CD3A607-C712-4534-B9B7-8F82DE39D3A1}"/>
    <cellStyle name="Normal 2 2 4 2 2 2 4 3 2" xfId="18612" xr:uid="{847B1C1E-5B45-4EA7-9A71-E2F0ED75139E}"/>
    <cellStyle name="Normal 2 2 4 2 2 2 4 4" xfId="11065" xr:uid="{314174BA-CE9E-4BBB-86B5-4BE1B74BFD55}"/>
    <cellStyle name="Normal 2 2 4 2 2 2 4 4 2" xfId="21445" xr:uid="{BF5AEE3C-78FF-46DD-B096-C3648047178D}"/>
    <cellStyle name="Normal 2 2 4 2 2 2 4 5" xfId="24463" xr:uid="{CE55173A-4A4F-4D6C-9EB6-0BBA474A68A0}"/>
    <cellStyle name="Normal 2 2 4 2 2 2 4 6" xfId="13687" xr:uid="{BBE612DB-E7AA-4BE9-B15F-44A38468F16D}"/>
    <cellStyle name="Normal 2 2 4 2 2 2 5" xfId="4246" xr:uid="{A5837D72-58FA-4ACE-83A8-4C32A870CADD}"/>
    <cellStyle name="Normal 2 2 4 2 2 2 5 2" xfId="9018" xr:uid="{3911FCCB-8233-454F-8863-A3272D932E7B}"/>
    <cellStyle name="Normal 2 2 4 2 2 2 5 2 2" xfId="29089" xr:uid="{559997CF-28FA-4C70-AEF7-995D956D328F}"/>
    <cellStyle name="Normal 2 2 4 2 2 2 5 2 3" xfId="19398" xr:uid="{6AA6EA60-8522-44FD-82C6-A119F68309F5}"/>
    <cellStyle name="Normal 2 2 4 2 2 2 5 3" xfId="11851" xr:uid="{E81DFAA3-3FDC-4207-982E-6BBCB881398F}"/>
    <cellStyle name="Normal 2 2 4 2 2 2 5 3 2" xfId="22231" xr:uid="{F4A4E475-A61A-492B-AD1A-F651E84955C9}"/>
    <cellStyle name="Normal 2 2 4 2 2 2 5 4" xfId="23356" xr:uid="{4A63525E-46BF-4176-BD63-81BE8045E9C6}"/>
    <cellStyle name="Normal 2 2 4 2 2 2 5 5" xfId="16565" xr:uid="{B6518A45-8C55-4D40-819C-2C376C91C8EE}"/>
    <cellStyle name="Normal 2 2 4 2 2 2 6" xfId="5081" xr:uid="{47FC8CF6-B486-4972-BA38-F5EDBBDDAC10}"/>
    <cellStyle name="Normal 2 2 4 2 2 2 6 2" xfId="28157" xr:uid="{9FFF3425-5AF2-4761-BE08-7EC4173D3F76}"/>
    <cellStyle name="Normal 2 2 4 2 2 2 6 3" xfId="14378" xr:uid="{335F4B5E-37F6-4AD8-9623-4B17805DE4A7}"/>
    <cellStyle name="Normal 2 2 4 2 2 2 7" xfId="6831" xr:uid="{EBF1790C-9A9E-4FDA-99F8-75F26B66D02D}"/>
    <cellStyle name="Normal 2 2 4 2 2 2 7 2" xfId="17211" xr:uid="{2C60DF07-AFD6-4899-B1D4-DE65F15B1770}"/>
    <cellStyle name="Normal 2 2 4 2 2 2 8" xfId="9664" xr:uid="{C51E09DB-C633-47B9-8D83-AA8B5E1C1EF6}"/>
    <cellStyle name="Normal 2 2 4 2 2 2 8 2" xfId="20044" xr:uid="{B55AE1A0-B807-4104-AD5F-DF983DAA81AF}"/>
    <cellStyle name="Normal 2 2 4 2 2 2 9" xfId="23563" xr:uid="{2519DEBA-4290-4708-B313-1F513235CCFB}"/>
    <cellStyle name="Normal 2 2 4 2 2 3" xfId="2721" xr:uid="{00000000-0005-0000-0000-0000BB030000}"/>
    <cellStyle name="Normal 2 2 4 2 2 3 2" xfId="3155" xr:uid="{00000000-0005-0000-0000-0000BC030000}"/>
    <cellStyle name="Normal 2 2 4 2 2 3 2 2" xfId="6213" xr:uid="{E71CCDBE-A511-45EC-9137-4294D00A3932}"/>
    <cellStyle name="Normal 2 2 4 2 2 3 2 2 2" xfId="25955" xr:uid="{622D5F88-FF21-4BA9-ADB2-3C2824DEFF04}"/>
    <cellStyle name="Normal 2 2 4 2 2 3 2 2 3" xfId="15782" xr:uid="{7866CC56-376B-4590-9306-7811498CB6B8}"/>
    <cellStyle name="Normal 2 2 4 2 2 3 2 3" xfId="8235" xr:uid="{07E27873-EAB3-4DFE-8C19-8F30AA3B3052}"/>
    <cellStyle name="Normal 2 2 4 2 2 3 2 3 2" xfId="18615" xr:uid="{AF9E421E-67EC-4F27-9E84-047FCB4FE572}"/>
    <cellStyle name="Normal 2 2 4 2 2 3 2 4" xfId="11068" xr:uid="{023DF42C-3068-40E6-BBA8-6E262468578C}"/>
    <cellStyle name="Normal 2 2 4 2 2 3 2 4 2" xfId="21448" xr:uid="{7174D068-6883-470E-A0A5-DA37122A2777}"/>
    <cellStyle name="Normal 2 2 4 2 2 3 2 5" xfId="23927" xr:uid="{2562E55E-8274-403D-B64C-DC58F9E1C9E8}"/>
    <cellStyle name="Normal 2 2 4 2 2 3 2 6" xfId="13690" xr:uid="{B836E300-9378-4951-82EB-4DDBB1393F70}"/>
    <cellStyle name="Normal 2 2 4 2 2 3 3" xfId="4288" xr:uid="{532B6416-E1AF-42E2-83CC-09B1192EA672}"/>
    <cellStyle name="Normal 2 2 4 2 2 3 3 2" xfId="9060" xr:uid="{EC143838-7391-4B15-9DD0-BA807430AB81}"/>
    <cellStyle name="Normal 2 2 4 2 2 3 3 2 2" xfId="29103" xr:uid="{7F65475A-E3E1-406B-890B-AEFDBE121E83}"/>
    <cellStyle name="Normal 2 2 4 2 2 3 3 2 3" xfId="19440" xr:uid="{0F5C69B9-7445-41F9-930F-53777E6EAC14}"/>
    <cellStyle name="Normal 2 2 4 2 2 3 3 3" xfId="11893" xr:uid="{468137D7-7E07-42F8-910E-692041FBE6F2}"/>
    <cellStyle name="Normal 2 2 4 2 2 3 3 3 2" xfId="22273" xr:uid="{33261F64-5DDC-4BB0-9A2A-BD3F4E05BDBB}"/>
    <cellStyle name="Normal 2 2 4 2 2 3 3 4" xfId="23532" xr:uid="{AC9474BA-6BE0-4E77-90A2-7F6257FC8D5C}"/>
    <cellStyle name="Normal 2 2 4 2 2 3 3 5" xfId="16607" xr:uid="{DE13A975-C627-4FF1-B28C-7DEB8A7E81CB}"/>
    <cellStyle name="Normal 2 2 4 2 2 3 4" xfId="5939" xr:uid="{F1175C17-8A92-44F1-B138-AC745586A597}"/>
    <cellStyle name="Normal 2 2 4 2 2 3 4 2" xfId="28185" xr:uid="{5AEBB01A-7D83-4CAE-99D5-D5C0545F0400}"/>
    <cellStyle name="Normal 2 2 4 2 2 3 4 3" xfId="15392" xr:uid="{F668E040-A025-46A1-8A8E-AA168A3620CF}"/>
    <cellStyle name="Normal 2 2 4 2 2 3 5" xfId="7845" xr:uid="{5A74DDD8-F7C1-4489-B7BF-C018EF908A51}"/>
    <cellStyle name="Normal 2 2 4 2 2 3 5 2" xfId="18225" xr:uid="{D5AE22DE-B013-4403-96C7-3EBF811005EA}"/>
    <cellStyle name="Normal 2 2 4 2 2 3 6" xfId="10678" xr:uid="{5F3C90A9-0021-45AF-A681-54A1EC48DD82}"/>
    <cellStyle name="Normal 2 2 4 2 2 3 6 2" xfId="21058" xr:uid="{1B7B70CA-7443-44A0-8740-97A89863AA0C}"/>
    <cellStyle name="Normal 2 2 4 2 2 3 7" xfId="23377" xr:uid="{254CF21A-F962-4C43-844D-B0F1B8A8A487}"/>
    <cellStyle name="Normal 2 2 4 2 2 3 8" xfId="13150" xr:uid="{90D1D134-855A-4F6D-BAE2-F2146545F8C0}"/>
    <cellStyle name="Normal 2 2 4 2 2 4" xfId="3156" xr:uid="{00000000-0005-0000-0000-0000BD030000}"/>
    <cellStyle name="Normal 2 2 4 2 2 4 2" xfId="4454" xr:uid="{D31ECB7F-F17E-42F8-B936-3BE6C6095BEC}"/>
    <cellStyle name="Normal 2 2 4 2 2 4 2 2" xfId="9226" xr:uid="{EB4AD320-1ECF-4D1E-9848-5956DEAE50ED}"/>
    <cellStyle name="Normal 2 2 4 2 2 4 2 2 2" xfId="19606" xr:uid="{57484C8E-A8FE-4895-934A-C9451297BB0C}"/>
    <cellStyle name="Normal 2 2 4 2 2 4 2 3" xfId="12059" xr:uid="{15235E2B-8571-4A74-A144-F9D9E0AA927E}"/>
    <cellStyle name="Normal 2 2 4 2 2 4 2 3 2" xfId="22439" xr:uid="{5C86E97E-7370-44AF-86BD-20021B9D7D69}"/>
    <cellStyle name="Normal 2 2 4 2 2 4 2 4" xfId="25897" xr:uid="{854538DB-A2EA-425F-AFD9-5652C6107723}"/>
    <cellStyle name="Normal 2 2 4 2 2 4 2 5" xfId="16773" xr:uid="{CF930C04-3313-4181-A114-8330FD14F551}"/>
    <cellStyle name="Normal 2 2 4 2 2 4 3" xfId="6214" xr:uid="{CD40CAC9-9E42-4AC8-85F3-B5103FCCDD0D}"/>
    <cellStyle name="Normal 2 2 4 2 2 4 3 2" xfId="15783" xr:uid="{8780E0F3-6CDD-4337-BAE4-EB9EB4BE57C6}"/>
    <cellStyle name="Normal 2 2 4 2 2 4 4" xfId="8236" xr:uid="{F075D409-C758-4478-B09B-E66243D7D14C}"/>
    <cellStyle name="Normal 2 2 4 2 2 4 4 2" xfId="18616" xr:uid="{12B53BBF-199C-4CAD-96D3-C0B66EAD64E8}"/>
    <cellStyle name="Normal 2 2 4 2 2 4 5" xfId="11069" xr:uid="{5A0534AB-A9DA-46E2-B0AE-4C734142AB01}"/>
    <cellStyle name="Normal 2 2 4 2 2 4 5 2" xfId="21449" xr:uid="{E11B5D29-5E1D-482A-80F9-DD81AAE2A100}"/>
    <cellStyle name="Normal 2 2 4 2 2 4 6" xfId="22836" xr:uid="{F355649C-0759-4C44-A8E7-F4F596869D20}"/>
    <cellStyle name="Normal 2 2 4 2 2 4 7" xfId="13691" xr:uid="{DBA412D2-DB80-4C7A-BC79-A8E74C2F9856}"/>
    <cellStyle name="Normal 2 2 4 2 2 5" xfId="3151" xr:uid="{00000000-0005-0000-0000-0000BE030000}"/>
    <cellStyle name="Normal 2 2 4 2 2 5 2" xfId="6209" xr:uid="{618D1D94-107E-44CF-AA1E-6A06B104CAE9}"/>
    <cellStyle name="Normal 2 2 4 2 2 5 2 2" xfId="26461" xr:uid="{A029499B-D5E3-44F3-8A69-9F2DCF13D404}"/>
    <cellStyle name="Normal 2 2 4 2 2 5 2 3" xfId="15778" xr:uid="{6F6DB294-D076-489F-BC5F-91BDF121C51B}"/>
    <cellStyle name="Normal 2 2 4 2 2 5 3" xfId="8231" xr:uid="{ACE1619D-C6AC-4A41-959F-78832DFE1FFD}"/>
    <cellStyle name="Normal 2 2 4 2 2 5 3 2" xfId="18611" xr:uid="{E47AD77C-F5DF-4D81-B6BE-C15CCB65D6D6}"/>
    <cellStyle name="Normal 2 2 4 2 2 5 4" xfId="11064" xr:uid="{0FA6119F-1A0C-487E-82A8-BDBD6597F767}"/>
    <cellStyle name="Normal 2 2 4 2 2 5 4 2" xfId="21444" xr:uid="{3E9CFA26-34F8-41EF-BF82-4D42604E8B93}"/>
    <cellStyle name="Normal 2 2 4 2 2 5 5" xfId="23451" xr:uid="{12EE21C7-E8D0-43FF-8A01-E77B1BB12DFE}"/>
    <cellStyle name="Normal 2 2 4 2 2 5 6" xfId="13686" xr:uid="{6EAC6775-9A55-4C60-A018-12D794A91A63}"/>
    <cellStyle name="Normal 2 2 4 2 2 6" xfId="2556" xr:uid="{00000000-0005-0000-0000-0000BF030000}"/>
    <cellStyle name="Normal 2 2 4 2 2 6 2" xfId="5826" xr:uid="{F2196EFF-4174-4140-908D-57A5DEF88B4E}"/>
    <cellStyle name="Normal 2 2 4 2 2 6 2 2" xfId="27747" xr:uid="{5FCDB675-1C76-42FB-920F-6D13460C5D38}"/>
    <cellStyle name="Normal 2 2 4 2 2 6 2 3" xfId="15228" xr:uid="{B4005584-B072-4CB9-84C6-79406B33ECF4}"/>
    <cellStyle name="Normal 2 2 4 2 2 6 3" xfId="7681" xr:uid="{BE402371-848C-4CE7-9765-6C156D82E772}"/>
    <cellStyle name="Normal 2 2 4 2 2 6 3 2" xfId="18061" xr:uid="{9F3895C7-4D6D-47E6-B687-46076222C947}"/>
    <cellStyle name="Normal 2 2 4 2 2 6 4" xfId="10514" xr:uid="{7AE1DE80-25B3-4C00-97DF-DBD27601E652}"/>
    <cellStyle name="Normal 2 2 4 2 2 6 4 2" xfId="20894" xr:uid="{8721C51B-DFE3-4D00-B8EC-56FC3E931C64}"/>
    <cellStyle name="Normal 2 2 4 2 2 6 5" xfId="25580" xr:uid="{FEE6F374-2430-40BD-B012-CC0B8883E86E}"/>
    <cellStyle name="Normal 2 2 4 2 2 6 6" xfId="12944" xr:uid="{B721A15B-6509-477A-A1E0-530863601813}"/>
    <cellStyle name="Normal 2 2 4 2 2 7" xfId="2250" xr:uid="{00000000-0005-0000-0000-0000B5030000}"/>
    <cellStyle name="Normal 2 2 4 2 2 7 2" xfId="7377" xr:uid="{7322D2C7-5B3C-4E9C-94C9-09023A49B850}"/>
    <cellStyle name="Normal 2 2 4 2 2 7 2 2" xfId="17757" xr:uid="{CEAE7E0A-B11D-4CA8-BE3C-D1FD62F72706}"/>
    <cellStyle name="Normal 2 2 4 2 2 7 3" xfId="10210" xr:uid="{4DC9D3FD-899D-439E-9756-E8909AD65FD1}"/>
    <cellStyle name="Normal 2 2 4 2 2 7 3 2" xfId="20590" xr:uid="{720FB1B8-01B7-4754-AD97-FAF561815584}"/>
    <cellStyle name="Normal 2 2 4 2 2 7 4" xfId="22961" xr:uid="{3D743B37-7539-46DD-89B6-0C47060567BC}"/>
    <cellStyle name="Normal 2 2 4 2 2 7 5" xfId="14924" xr:uid="{47E46C3A-2B1A-4572-BFD4-D629EC5B57FE}"/>
    <cellStyle name="Normal 2 2 4 2 2 8" xfId="3801" xr:uid="{6A30176C-DD0C-4612-B71D-4A3D00BA024F}"/>
    <cellStyle name="Normal 2 2 4 2 2 8 2" xfId="8637" xr:uid="{4056E821-8729-4119-BA4D-378C7358BEC6}"/>
    <cellStyle name="Normal 2 2 4 2 2 8 2 2" xfId="19017" xr:uid="{9637E5B6-D8FE-4263-B9A5-367EB34CF628}"/>
    <cellStyle name="Normal 2 2 4 2 2 8 3" xfId="11470" xr:uid="{5818410A-B52B-47AC-A336-512452EFCCB4}"/>
    <cellStyle name="Normal 2 2 4 2 2 8 3 2" xfId="21850" xr:uid="{D76487B1-A11A-4A1F-9C3C-E8DB63A10ED6}"/>
    <cellStyle name="Normal 2 2 4 2 2 8 4" xfId="16184" xr:uid="{9BE97DD1-8084-482A-BECD-99F93C470751}"/>
    <cellStyle name="Normal 2 2 4 2 2 9" xfId="5080" xr:uid="{1236D320-5B06-4478-AAF3-4B2E5BE0E489}"/>
    <cellStyle name="Normal 2 2 4 2 2 9 2" xfId="14377" xr:uid="{8DBF017B-9133-4929-8C04-9A8AA0829C93}"/>
    <cellStyle name="Normal 2 2 4 2 3" xfId="728" xr:uid="{00000000-0005-0000-0000-000084040000}"/>
    <cellStyle name="Normal 2 2 4 2 3 10" xfId="9665" xr:uid="{137A06F2-9AAE-40E7-AE22-97F5F1BE99E1}"/>
    <cellStyle name="Normal 2 2 4 2 3 10 2" xfId="20045" xr:uid="{025ED9FD-5072-439D-9430-47E4292AD7C9}"/>
    <cellStyle name="Normal 2 2 4 2 3 11" xfId="23041" xr:uid="{235C0F80-384A-419B-9486-8C753C5A3951}"/>
    <cellStyle name="Normal 2 2 4 2 3 12" xfId="12555" xr:uid="{28B82401-46F6-4C42-B730-CD28F76A03E8}"/>
    <cellStyle name="Normal 2 2 4 2 3 2" xfId="2723" xr:uid="{00000000-0005-0000-0000-0000C1030000}"/>
    <cellStyle name="Normal 2 2 4 2 3 2 2" xfId="3158" xr:uid="{00000000-0005-0000-0000-0000C2030000}"/>
    <cellStyle name="Normal 2 2 4 2 3 2 2 2" xfId="6216" xr:uid="{66D33B85-2A81-416A-AD46-3B9315192992}"/>
    <cellStyle name="Normal 2 2 4 2 3 2 2 2 2" xfId="27855" xr:uid="{5E967662-6A04-49F4-879A-7449CBCEE179}"/>
    <cellStyle name="Normal 2 2 4 2 3 2 2 2 3" xfId="15785" xr:uid="{C8D5E1CE-4F41-4562-A8EF-D042F4D4BC44}"/>
    <cellStyle name="Normal 2 2 4 2 3 2 2 3" xfId="8238" xr:uid="{AB7EDDB6-A68C-452D-9EB7-082C7E72F8C3}"/>
    <cellStyle name="Normal 2 2 4 2 3 2 2 3 2" xfId="18618" xr:uid="{C40C6339-F8E8-4409-8B71-362FA6BA542A}"/>
    <cellStyle name="Normal 2 2 4 2 3 2 2 4" xfId="11071" xr:uid="{D7010550-EAA3-458B-9CDD-2BE9418C860F}"/>
    <cellStyle name="Normal 2 2 4 2 3 2 2 4 2" xfId="21451" xr:uid="{C71421EA-067D-41C4-B02B-C20DD3DCA8A1}"/>
    <cellStyle name="Normal 2 2 4 2 3 2 2 5" xfId="23766" xr:uid="{ABC7261B-63A8-4DA9-9D02-BAAAA1BD8FFD}"/>
    <cellStyle name="Normal 2 2 4 2 3 2 2 6" xfId="13693" xr:uid="{A73CA4DE-74D7-4551-81AD-B5E01A232169}"/>
    <cellStyle name="Normal 2 2 4 2 3 2 3" xfId="4290" xr:uid="{BD3BFC28-8A02-4D45-BB9E-50A4D3B84292}"/>
    <cellStyle name="Normal 2 2 4 2 3 2 3 2" xfId="9062" xr:uid="{CD90A5CA-7C3C-4B16-9B47-4B8052078D1C}"/>
    <cellStyle name="Normal 2 2 4 2 3 2 3 2 2" xfId="29105" xr:uid="{30107FE3-C4A2-41B7-A790-77D344D282FC}"/>
    <cellStyle name="Normal 2 2 4 2 3 2 3 2 3" xfId="19442" xr:uid="{427E193C-89AF-4104-A9DD-86A5CE8C51A8}"/>
    <cellStyle name="Normal 2 2 4 2 3 2 3 3" xfId="11895" xr:uid="{0DDEC6CD-D410-4905-9F0A-2B8F9BFB81E3}"/>
    <cellStyle name="Normal 2 2 4 2 3 2 3 3 2" xfId="22275" xr:uid="{F678408C-20CD-4456-A14D-365F845CF170}"/>
    <cellStyle name="Normal 2 2 4 2 3 2 3 4" xfId="24573" xr:uid="{A6A98DBF-49BB-4916-8A98-E19DC87ABACC}"/>
    <cellStyle name="Normal 2 2 4 2 3 2 3 5" xfId="16609" xr:uid="{5917F770-B013-4C4C-A0FD-558297F36532}"/>
    <cellStyle name="Normal 2 2 4 2 3 2 4" xfId="5941" xr:uid="{1C5B2A3E-FF54-48BD-8D3B-9A7F4AACF0C8}"/>
    <cellStyle name="Normal 2 2 4 2 3 2 4 2" xfId="28136" xr:uid="{7131533B-38BF-4DFE-9DB1-42DCA1AC2C3E}"/>
    <cellStyle name="Normal 2 2 4 2 3 2 4 3" xfId="15394" xr:uid="{89A5315B-242A-4C32-8140-3E3AD5692490}"/>
    <cellStyle name="Normal 2 2 4 2 3 2 5" xfId="7847" xr:uid="{F0B5BE23-5203-4072-A38A-0F1423B4EA2D}"/>
    <cellStyle name="Normal 2 2 4 2 3 2 5 2" xfId="18227" xr:uid="{3FF81DB4-D6A0-44B5-8826-DCB93F432D0C}"/>
    <cellStyle name="Normal 2 2 4 2 3 2 6" xfId="10680" xr:uid="{7228B68C-7F2C-4A9A-988D-45760A04CA25}"/>
    <cellStyle name="Normal 2 2 4 2 3 2 6 2" xfId="21060" xr:uid="{D46540AE-7316-4109-942F-AA2BBDB038FA}"/>
    <cellStyle name="Normal 2 2 4 2 3 2 7" xfId="23137" xr:uid="{5E9C447A-02A9-4E08-BDA6-6FEA1E041AA6}"/>
    <cellStyle name="Normal 2 2 4 2 3 2 8" xfId="13152" xr:uid="{54E1DE7E-B85C-4CED-BFC6-3289733923E4}"/>
    <cellStyle name="Normal 2 2 4 2 3 3" xfId="3159" xr:uid="{00000000-0005-0000-0000-0000C3030000}"/>
    <cellStyle name="Normal 2 2 4 2 3 3 2" xfId="4455" xr:uid="{5248CC53-CC7A-4521-91BA-5DE56FF28C9D}"/>
    <cellStyle name="Normal 2 2 4 2 3 3 2 2" xfId="9227" xr:uid="{495C9C38-0F1A-46C6-8AE7-A932D2D2165C}"/>
    <cellStyle name="Normal 2 2 4 2 3 3 2 2 2" xfId="29218" xr:uid="{59CF6D59-8891-4798-9E6C-1166DE93EA9D}"/>
    <cellStyle name="Normal 2 2 4 2 3 3 2 2 3" xfId="19607" xr:uid="{E6BFEC40-DF17-4C6F-BC0E-C81B751B73AF}"/>
    <cellStyle name="Normal 2 2 4 2 3 3 2 3" xfId="12060" xr:uid="{D36FA740-A532-4B07-8BB1-EA8595F86055}"/>
    <cellStyle name="Normal 2 2 4 2 3 3 2 3 2" xfId="22440" xr:uid="{00C91EF7-A65D-407E-976E-DAFED77B341E}"/>
    <cellStyle name="Normal 2 2 4 2 3 3 2 4" xfId="23195" xr:uid="{57DED316-0EEB-4F17-B299-A1D8ED799983}"/>
    <cellStyle name="Normal 2 2 4 2 3 3 2 5" xfId="16774" xr:uid="{6E1C6F5C-2A6C-4229-A54C-806C33C3FCEA}"/>
    <cellStyle name="Normal 2 2 4 2 3 3 3" xfId="6217" xr:uid="{AFFD9ADB-3225-48AD-BBED-70A8BCBF3ADB}"/>
    <cellStyle name="Normal 2 2 4 2 3 3 3 2" xfId="27881" xr:uid="{238C539D-D95E-4BF8-ABE6-C387C7BC20C2}"/>
    <cellStyle name="Normal 2 2 4 2 3 3 3 3" xfId="15786" xr:uid="{76975D4A-7E3C-4564-AA51-F00EDB647832}"/>
    <cellStyle name="Normal 2 2 4 2 3 3 4" xfId="8239" xr:uid="{EA813DCE-C5A7-40A8-8D2E-4D8CC5A07749}"/>
    <cellStyle name="Normal 2 2 4 2 3 3 4 2" xfId="18619" xr:uid="{739FB499-24ED-426E-93BE-AEA94F51E9A4}"/>
    <cellStyle name="Normal 2 2 4 2 3 3 5" xfId="11072" xr:uid="{AC742C09-C1E1-4DE8-9459-618BD82FF5FD}"/>
    <cellStyle name="Normal 2 2 4 2 3 3 5 2" xfId="21452" xr:uid="{720EDA05-FA92-472F-8C79-AA2F3C789D28}"/>
    <cellStyle name="Normal 2 2 4 2 3 3 6" xfId="25552" xr:uid="{AFD675E3-2BBF-4944-A20C-869E3EC374A7}"/>
    <cellStyle name="Normal 2 2 4 2 3 3 7" xfId="13694" xr:uid="{B4F7B5C4-69E9-48FD-92CF-48DBC77932FF}"/>
    <cellStyle name="Normal 2 2 4 2 3 4" xfId="3157" xr:uid="{00000000-0005-0000-0000-0000C4030000}"/>
    <cellStyle name="Normal 2 2 4 2 3 4 2" xfId="6215" xr:uid="{68A4C56B-52D9-48AA-ACA8-17EE6BC59CDD}"/>
    <cellStyle name="Normal 2 2 4 2 3 4 2 2" xfId="28024" xr:uid="{381603AB-51F4-4558-BF47-113DE99AE6E9}"/>
    <cellStyle name="Normal 2 2 4 2 3 4 2 3" xfId="15784" xr:uid="{E1BDD14A-692C-4F04-BE73-518FE4FA805C}"/>
    <cellStyle name="Normal 2 2 4 2 3 4 3" xfId="8237" xr:uid="{3A17D46A-29E8-4E76-8E19-EF54ACD4B71C}"/>
    <cellStyle name="Normal 2 2 4 2 3 4 3 2" xfId="18617" xr:uid="{C05099B4-AEE6-4492-A998-3E509271EBC2}"/>
    <cellStyle name="Normal 2 2 4 2 3 4 4" xfId="11070" xr:uid="{2C6AF62C-0AFA-4C56-8B81-6CD5554000E7}"/>
    <cellStyle name="Normal 2 2 4 2 3 4 4 2" xfId="21450" xr:uid="{46ECBCB4-4140-48FB-B3BB-76BB4596D026}"/>
    <cellStyle name="Normal 2 2 4 2 3 4 5" xfId="25355" xr:uid="{41420271-C229-4F12-A8C3-C45E90D69C07}"/>
    <cellStyle name="Normal 2 2 4 2 3 4 6" xfId="13692" xr:uid="{5817FFAA-34D2-4D74-BC0B-898F7709E16F}"/>
    <cellStyle name="Normal 2 2 4 2 3 5" xfId="2599" xr:uid="{00000000-0005-0000-0000-0000C5030000}"/>
    <cellStyle name="Normal 2 2 4 2 3 5 2" xfId="5864" xr:uid="{8A4BEA37-8FD8-4397-8FA6-1776F135E90E}"/>
    <cellStyle name="Normal 2 2 4 2 3 5 2 2" xfId="26605" xr:uid="{2B0A737C-5946-46D8-86A1-CE639C6376D8}"/>
    <cellStyle name="Normal 2 2 4 2 3 5 2 3" xfId="15271" xr:uid="{7714C8BD-4C09-49E4-A675-4A2A3A7EBE2F}"/>
    <cellStyle name="Normal 2 2 4 2 3 5 3" xfId="7724" xr:uid="{83312644-C190-4DE2-A05A-D2CB02D84EED}"/>
    <cellStyle name="Normal 2 2 4 2 3 5 3 2" xfId="18104" xr:uid="{E3E3A4D0-5FC6-442F-8EF7-1801A6DD01FC}"/>
    <cellStyle name="Normal 2 2 4 2 3 5 4" xfId="10557" xr:uid="{85A274E6-AB1F-421D-855F-FF5BC5D9A45A}"/>
    <cellStyle name="Normal 2 2 4 2 3 5 4 2" xfId="20937" xr:uid="{0C36F9B6-1F8A-40FD-8CA3-3E459FA87A3E}"/>
    <cellStyle name="Normal 2 2 4 2 3 5 5" xfId="23387" xr:uid="{93DA55E4-4537-4916-907E-0392790EAEF6}"/>
    <cellStyle name="Normal 2 2 4 2 3 5 6" xfId="12987" xr:uid="{3F549D23-DCC2-4F1B-ABBC-AC856BB18B35}"/>
    <cellStyle name="Normal 2 2 4 2 3 6" xfId="2321" xr:uid="{00000000-0005-0000-0000-0000C0030000}"/>
    <cellStyle name="Normal 2 2 4 2 3 6 2" xfId="7448" xr:uid="{9976F5AD-B946-4435-AF60-3F82B981EB91}"/>
    <cellStyle name="Normal 2 2 4 2 3 6 2 2" xfId="17828" xr:uid="{4E4FFECD-97F5-470F-A1F7-7D7112862757}"/>
    <cellStyle name="Normal 2 2 4 2 3 6 3" xfId="10281" xr:uid="{1CDBB532-7859-4A0D-BE5C-33FAED3D78BC}"/>
    <cellStyle name="Normal 2 2 4 2 3 6 3 2" xfId="20661" xr:uid="{9C4A01FD-2C23-458A-9657-67354914F195}"/>
    <cellStyle name="Normal 2 2 4 2 3 6 4" xfId="23664" xr:uid="{EC7BBC41-7451-484B-907E-BC4354195EF3}"/>
    <cellStyle name="Normal 2 2 4 2 3 6 5" xfId="14995" xr:uid="{66E40264-68CC-4F11-9621-02ACE31AE67B}"/>
    <cellStyle name="Normal 2 2 4 2 3 7" xfId="3840" xr:uid="{23EA705F-20C4-43AA-891D-3014BAC31BE4}"/>
    <cellStyle name="Normal 2 2 4 2 3 7 2" xfId="8673" xr:uid="{CF216A4A-E3FC-4ECD-A076-6EC7214B2585}"/>
    <cellStyle name="Normal 2 2 4 2 3 7 2 2" xfId="19053" xr:uid="{361070C4-EC75-4E4E-A83D-2952936E361E}"/>
    <cellStyle name="Normal 2 2 4 2 3 7 3" xfId="11506" xr:uid="{D9D67743-BBE3-4E16-A716-8FD7CE5A3935}"/>
    <cellStyle name="Normal 2 2 4 2 3 7 3 2" xfId="21886" xr:uid="{5F7EE2D8-B053-409E-95A2-9E1F6D1C462B}"/>
    <cellStyle name="Normal 2 2 4 2 3 7 4" xfId="16220" xr:uid="{988D23EC-7AE1-4359-B886-63B78F6D9286}"/>
    <cellStyle name="Normal 2 2 4 2 3 8" xfId="5082" xr:uid="{0B217810-9819-4D72-9703-40033B207891}"/>
    <cellStyle name="Normal 2 2 4 2 3 8 2" xfId="14379" xr:uid="{F6CE234F-EEC7-4AC8-BDD8-8BCB9B71EFE2}"/>
    <cellStyle name="Normal 2 2 4 2 3 9" xfId="6832" xr:uid="{CF338C0A-9C5A-40B4-803E-7787754A9871}"/>
    <cellStyle name="Normal 2 2 4 2 3 9 2" xfId="17212" xr:uid="{F700A31A-79C3-457A-A22E-BAFCB9786A30}"/>
    <cellStyle name="Normal 2 2 4 2 4" xfId="729" xr:uid="{00000000-0005-0000-0000-000085040000}"/>
    <cellStyle name="Normal 2 2 4 2 4 2" xfId="3160" xr:uid="{00000000-0005-0000-0000-0000C7030000}"/>
    <cellStyle name="Normal 2 2 4 2 4 2 2" xfId="6218" xr:uid="{80E48B82-3C34-40D3-9788-1D0DC13EFE6C}"/>
    <cellStyle name="Normal 2 2 4 2 4 2 2 2" xfId="27684" xr:uid="{1ACFCBBA-A51F-4249-9BD9-04D756965607}"/>
    <cellStyle name="Normal 2 2 4 2 4 2 2 3" xfId="15787" xr:uid="{81BA7999-FD7D-4CBD-B441-EC403C2A8945}"/>
    <cellStyle name="Normal 2 2 4 2 4 2 3" xfId="8240" xr:uid="{1BCB77AB-A035-4619-912F-68B8A65D1029}"/>
    <cellStyle name="Normal 2 2 4 2 4 2 3 2" xfId="18620" xr:uid="{2382335A-E3B0-40B3-A2FD-A29A63008124}"/>
    <cellStyle name="Normal 2 2 4 2 4 2 4" xfId="11073" xr:uid="{5F1C3224-08D4-435B-854B-F040467BF595}"/>
    <cellStyle name="Normal 2 2 4 2 4 2 4 2" xfId="21453" xr:uid="{AD30834A-3033-43EA-9F97-1EBB7381F8AE}"/>
    <cellStyle name="Normal 2 2 4 2 4 2 5" xfId="23002" xr:uid="{BE504945-8FD7-4F3D-B0E7-ADE7D69CD6EE}"/>
    <cellStyle name="Normal 2 2 4 2 4 2 6" xfId="13695" xr:uid="{F97A643D-40DB-431D-9772-81B29E66EFDA}"/>
    <cellStyle name="Normal 2 2 4 2 4 3" xfId="2720" xr:uid="{00000000-0005-0000-0000-0000C8030000}"/>
    <cellStyle name="Normal 2 2 4 2 4 3 2" xfId="5938" xr:uid="{6A8F2C84-EAC0-4E94-8D03-05CD3BC2E25D}"/>
    <cellStyle name="Normal 2 2 4 2 4 3 2 2" xfId="28707" xr:uid="{773E2714-BAA3-46A3-A053-B0C03B71BF19}"/>
    <cellStyle name="Normal 2 2 4 2 4 3 2 3" xfId="15391" xr:uid="{92EFF602-C511-45B1-9C01-DFB5E725DB28}"/>
    <cellStyle name="Normal 2 2 4 2 4 3 3" xfId="7844" xr:uid="{5FDAFDE8-4BFF-4804-AC58-584CFB114ED7}"/>
    <cellStyle name="Normal 2 2 4 2 4 3 3 2" xfId="18224" xr:uid="{689C8253-79CB-448D-98D3-AF66C2344D49}"/>
    <cellStyle name="Normal 2 2 4 2 4 3 4" xfId="10677" xr:uid="{18CF8772-8474-4A17-9CC2-CC41FFF96740}"/>
    <cellStyle name="Normal 2 2 4 2 4 3 4 2" xfId="21057" xr:uid="{79C2AF01-6A9A-4064-916D-A4A44190100B}"/>
    <cellStyle name="Normal 2 2 4 2 4 3 5" xfId="23240" xr:uid="{5031D9C5-652F-405D-9401-4F4ABD2E7DED}"/>
    <cellStyle name="Normal 2 2 4 2 4 3 6" xfId="13149" xr:uid="{3DCC7B6D-7B4F-4493-AAF2-5426EBE62873}"/>
    <cellStyle name="Normal 2 2 4 2 4 4" xfId="4157" xr:uid="{F97839D7-2F29-47B5-9650-9F95C736EDCE}"/>
    <cellStyle name="Normal 2 2 4 2 4 4 2" xfId="8929" xr:uid="{AFC92C82-B247-40B9-B5C4-000C1625DEC4}"/>
    <cellStyle name="Normal 2 2 4 2 4 4 2 2" xfId="19309" xr:uid="{11AB5E93-4EC5-4318-BEA2-8C1CD6B827EE}"/>
    <cellStyle name="Normal 2 2 4 2 4 4 3" xfId="11762" xr:uid="{DE6D08B3-D675-4A4A-9318-0CB51C55BD64}"/>
    <cellStyle name="Normal 2 2 4 2 4 4 3 2" xfId="22142" xr:uid="{55B23CBF-F06B-400C-B16E-7405E0D79965}"/>
    <cellStyle name="Normal 2 2 4 2 4 4 4" xfId="23937" xr:uid="{C28303E9-FE5B-41B5-8155-14EE36B0189E}"/>
    <cellStyle name="Normal 2 2 4 2 4 4 5" xfId="16476" xr:uid="{F38E235E-14B3-4379-A37E-2EA5BF4A5665}"/>
    <cellStyle name="Normal 2 2 4 2 4 5" xfId="5083" xr:uid="{A3A9E2AA-4F4D-465A-B580-3F74DCCEDF9C}"/>
    <cellStyle name="Normal 2 2 4 2 4 5 2" xfId="14380" xr:uid="{35F31F88-1FDD-459C-8290-8E093FA91295}"/>
    <cellStyle name="Normal 2 2 4 2 4 6" xfId="6833" xr:uid="{A7E96CBD-4BE6-4DB3-8A5F-607C9832827D}"/>
    <cellStyle name="Normal 2 2 4 2 4 6 2" xfId="17213" xr:uid="{47CC1DFF-70A8-4A45-B4CD-64C88620F661}"/>
    <cellStyle name="Normal 2 2 4 2 4 7" xfId="9666" xr:uid="{8C2793AA-1772-4408-B90E-B93D6CE30AD9}"/>
    <cellStyle name="Normal 2 2 4 2 4 7 2" xfId="20046" xr:uid="{D8D64D40-46D3-455B-8DC8-0F62A5372256}"/>
    <cellStyle name="Normal 2 2 4 2 4 8" xfId="25418" xr:uid="{09A46CB1-6C09-4A09-B6F6-4AA5BB78A2F2}"/>
    <cellStyle name="Normal 2 2 4 2 4 9" xfId="12713" xr:uid="{B0B5D202-6FFA-450B-BFB2-710CF2322D3C}"/>
    <cellStyle name="Normal 2 2 4 2 5" xfId="3161" xr:uid="{00000000-0005-0000-0000-0000C9030000}"/>
    <cellStyle name="Normal 2 2 4 2 5 2" xfId="4456" xr:uid="{6B641034-A6D4-477C-91CE-CECB14E4E9B0}"/>
    <cellStyle name="Normal 2 2 4 2 5 2 2" xfId="9228" xr:uid="{C88BDFF1-AD84-40D9-A63B-ED38DE18688B}"/>
    <cellStyle name="Normal 2 2 4 2 5 2 2 2" xfId="29219" xr:uid="{EFD13CD5-DA52-4A0A-9C16-F47348A3E03C}"/>
    <cellStyle name="Normal 2 2 4 2 5 2 2 3" xfId="19608" xr:uid="{A011B15C-1D8B-4917-8231-B758BEDC2B86}"/>
    <cellStyle name="Normal 2 2 4 2 5 2 3" xfId="12061" xr:uid="{C4E6AA50-CE78-4A94-9EA7-BD5DCB6D4CA9}"/>
    <cellStyle name="Normal 2 2 4 2 5 2 3 2" xfId="22441" xr:uid="{0DDA0262-690B-4EDE-AB00-49E8CA5E6D27}"/>
    <cellStyle name="Normal 2 2 4 2 5 2 4" xfId="24973" xr:uid="{7E25945D-41CB-4E5A-820E-5BAA229DBC97}"/>
    <cellStyle name="Normal 2 2 4 2 5 2 5" xfId="16775" xr:uid="{9A0B81B3-A948-4C12-ADFB-C3421C8B185C}"/>
    <cellStyle name="Normal 2 2 4 2 5 3" xfId="6219" xr:uid="{2F6E5A96-78D7-44C5-8D92-FCCC456F2684}"/>
    <cellStyle name="Normal 2 2 4 2 5 3 2" xfId="27354" xr:uid="{2D6D48EF-4F10-496B-AACA-4573B8589BBF}"/>
    <cellStyle name="Normal 2 2 4 2 5 3 3" xfId="15788" xr:uid="{86AD331C-9AB0-47A8-9A7A-C7486D49AB31}"/>
    <cellStyle name="Normal 2 2 4 2 5 4" xfId="8241" xr:uid="{5FCE930C-43B9-4DD9-825D-6CC12983D69F}"/>
    <cellStyle name="Normal 2 2 4 2 5 4 2" xfId="18621" xr:uid="{EB21A1C8-EB3C-49AA-AEEF-D47868D4CBE2}"/>
    <cellStyle name="Normal 2 2 4 2 5 5" xfId="11074" xr:uid="{B9F1B30D-3D24-42D5-9386-700A96C32E84}"/>
    <cellStyle name="Normal 2 2 4 2 5 5 2" xfId="21454" xr:uid="{4A0EA96A-E493-482C-B1B6-29177EC8A5F8}"/>
    <cellStyle name="Normal 2 2 4 2 5 6" xfId="24407" xr:uid="{D7B92CD4-E5ED-4ECE-8101-81AC5355AB1B}"/>
    <cellStyle name="Normal 2 2 4 2 5 7" xfId="13696" xr:uid="{C1337A35-F0AE-4195-88CB-6C0A47B6366C}"/>
    <cellStyle name="Normal 2 2 4 2 6" xfId="2898" xr:uid="{00000000-0005-0000-0000-0000CA030000}"/>
    <cellStyle name="Normal 2 2 4 2 6 2" xfId="6084" xr:uid="{EBE5517C-7808-4345-9A38-9B97D2A6E130}"/>
    <cellStyle name="Normal 2 2 4 2 6 2 2" xfId="27218" xr:uid="{717C1686-189F-4691-8E58-D1CBE5560D47}"/>
    <cellStyle name="Normal 2 2 4 2 6 2 3" xfId="15562" xr:uid="{0116A452-050C-46B3-8C7C-E99748F1BBC9}"/>
    <cellStyle name="Normal 2 2 4 2 6 3" xfId="8015" xr:uid="{DE012C2A-BD69-42B9-9D9B-D2DB0780C457}"/>
    <cellStyle name="Normal 2 2 4 2 6 3 2" xfId="18395" xr:uid="{92588661-0624-4D50-9828-761A157D2C29}"/>
    <cellStyle name="Normal 2 2 4 2 6 4" xfId="10848" xr:uid="{B3F965D0-CCBC-4392-964E-DF1BA2897A48}"/>
    <cellStyle name="Normal 2 2 4 2 6 4 2" xfId="21228" xr:uid="{EB95EE1A-66C9-44EE-8B7C-5F37544274F5}"/>
    <cellStyle name="Normal 2 2 4 2 6 5" xfId="24441" xr:uid="{560D1163-7E8A-40FB-997E-B3319AA422B3}"/>
    <cellStyle name="Normal 2 2 4 2 6 6" xfId="13411" xr:uid="{FF272E99-C8F8-4F05-B531-C8983C3D0D16}"/>
    <cellStyle name="Normal 2 2 4 2 7" xfId="2496" xr:uid="{00000000-0005-0000-0000-0000CB030000}"/>
    <cellStyle name="Normal 2 2 4 2 7 2" xfId="5779" xr:uid="{31309030-C44A-4DF6-A717-986C7DE4CB36}"/>
    <cellStyle name="Normal 2 2 4 2 7 2 2" xfId="25948" xr:uid="{33378617-B315-4FCA-B3E9-D33061B3F3C3}"/>
    <cellStyle name="Normal 2 2 4 2 7 2 3" xfId="15168" xr:uid="{B3326B84-62F2-4589-89AE-E1C741FC3BA2}"/>
    <cellStyle name="Normal 2 2 4 2 7 3" xfId="7621" xr:uid="{1419194F-CCE5-4A12-98E7-D2CF81EE53EF}"/>
    <cellStyle name="Normal 2 2 4 2 7 3 2" xfId="18001" xr:uid="{9656D95C-BB17-4E84-BA1F-034D72243BE1}"/>
    <cellStyle name="Normal 2 2 4 2 7 4" xfId="10454" xr:uid="{30E631D4-416A-455F-8A36-835A7E61AA0A}"/>
    <cellStyle name="Normal 2 2 4 2 7 4 2" xfId="20834" xr:uid="{E5F4A594-FA20-459E-8207-87DD2B6963ED}"/>
    <cellStyle name="Normal 2 2 4 2 7 5" xfId="24471" xr:uid="{2D345C72-3362-4EE5-AD33-91830D3EE00C}"/>
    <cellStyle name="Normal 2 2 4 2 7 6" xfId="12884" xr:uid="{D2242D32-BCD5-49B5-BD4D-6B412D8A36D1}"/>
    <cellStyle name="Normal 2 2 4 2 8" xfId="2190" xr:uid="{00000000-0005-0000-0000-0000B4030000}"/>
    <cellStyle name="Normal 2 2 4 2 8 2" xfId="7317" xr:uid="{360FC0EA-CF34-4040-B06B-83B5FB05D733}"/>
    <cellStyle name="Normal 2 2 4 2 8 2 2" xfId="17697" xr:uid="{73699C6E-C478-4F6B-AC38-229215922BFB}"/>
    <cellStyle name="Normal 2 2 4 2 8 3" xfId="10150" xr:uid="{44C70DFB-C5E9-4553-9F0F-622C6C402CB7}"/>
    <cellStyle name="Normal 2 2 4 2 8 3 2" xfId="20530" xr:uid="{55398FB5-6050-4E90-997B-8A9B9EFCAA27}"/>
    <cellStyle name="Normal 2 2 4 2 8 4" xfId="23006" xr:uid="{B66B3ADA-BFAF-45E3-B609-DABEFAC8AE24}"/>
    <cellStyle name="Normal 2 2 4 2 8 5" xfId="14864" xr:uid="{7B5D2042-9F94-4749-83CE-20242B6C78AA}"/>
    <cellStyle name="Normal 2 2 4 2 9" xfId="3928" xr:uid="{77B8B384-9D18-403A-B06F-12A51804B35C}"/>
    <cellStyle name="Normal 2 2 4 2 9 2" xfId="8760" xr:uid="{7755C901-2831-4F5A-B0A4-12186FA7A94A}"/>
    <cellStyle name="Normal 2 2 4 2 9 2 2" xfId="19140" xr:uid="{0FC10658-EF09-4DDA-992A-E98D96F8C54B}"/>
    <cellStyle name="Normal 2 2 4 2 9 3" xfId="11593" xr:uid="{D51FF9B7-F4D6-460B-9746-17D7FB36CD54}"/>
    <cellStyle name="Normal 2 2 4 2 9 3 2" xfId="21973" xr:uid="{0EE2E39E-C03E-4DE9-A76D-BA6523F548F1}"/>
    <cellStyle name="Normal 2 2 4 2 9 4" xfId="16307" xr:uid="{65EC3690-704E-47BD-A65D-BDEBD001C6C1}"/>
    <cellStyle name="Normal 2 2 4 3" xfId="730" xr:uid="{00000000-0005-0000-0000-000086040000}"/>
    <cellStyle name="Normal 2 2 4 3 10" xfId="5084" xr:uid="{3059EF97-232C-42F5-8B53-D6134C3313AA}"/>
    <cellStyle name="Normal 2 2 4 3 10 2" xfId="14381" xr:uid="{0AA44285-8348-4AEA-B139-0B4B710CF248}"/>
    <cellStyle name="Normal 2 2 4 3 11" xfId="6834" xr:uid="{A5F7D9AC-56F7-4DE8-8E78-E478BFFA8DE0}"/>
    <cellStyle name="Normal 2 2 4 3 11 2" xfId="17214" xr:uid="{ED8F7ACA-68F6-4A91-8D3B-A144DEAE3E6C}"/>
    <cellStyle name="Normal 2 2 4 3 12" xfId="9667" xr:uid="{3E967C1F-FC5E-4FFA-9158-E0CE5F932165}"/>
    <cellStyle name="Normal 2 2 4 3 12 2" xfId="20047" xr:uid="{71C901C3-1818-438E-A876-F2F1AAA5B5D5}"/>
    <cellStyle name="Normal 2 2 4 3 13" xfId="23261" xr:uid="{0686F330-0275-48BC-8744-E0DB747F821D}"/>
    <cellStyle name="Normal 2 2 4 3 14" xfId="12459" xr:uid="{10887C6C-5FAB-40D5-82E6-32A4C52AAFD2}"/>
    <cellStyle name="Normal 2 2 4 3 2" xfId="731" xr:uid="{00000000-0005-0000-0000-000087040000}"/>
    <cellStyle name="Normal 2 2 4 3 2 10" xfId="9668" xr:uid="{21E94FA6-12AC-4D04-852F-FC1D262DD70B}"/>
    <cellStyle name="Normal 2 2 4 3 2 10 2" xfId="20048" xr:uid="{FB4673F3-C970-4EDA-9105-0CBDA575E2D7}"/>
    <cellStyle name="Normal 2 2 4 3 2 11" xfId="25102" xr:uid="{E8DEBEDF-D8F1-4968-9CE0-0C098C4223E3}"/>
    <cellStyle name="Normal 2 2 4 3 2 12" xfId="12556" xr:uid="{916C9A0D-AFD0-49AF-B15E-B62E35C99B0A}"/>
    <cellStyle name="Normal 2 2 4 3 2 2" xfId="732" xr:uid="{00000000-0005-0000-0000-000088040000}"/>
    <cellStyle name="Normal 2 2 4 3 2 2 2" xfId="3163" xr:uid="{00000000-0005-0000-0000-0000CF030000}"/>
    <cellStyle name="Normal 2 2 4 3 2 2 2 2" xfId="6221" xr:uid="{26C0A590-91FA-45F9-A1D0-B827B251085C}"/>
    <cellStyle name="Normal 2 2 4 3 2 2 2 2 2" xfId="27919" xr:uid="{71FF5FC3-1A8D-4D83-8D2D-16C36B6F2A51}"/>
    <cellStyle name="Normal 2 2 4 3 2 2 2 2 3" xfId="26133" xr:uid="{2EC56C41-CD9A-40C7-8937-ADB7A313DE94}"/>
    <cellStyle name="Normal 2 2 4 3 2 2 2 2 4" xfId="15790" xr:uid="{6AB1EC09-C0CB-4409-AFEE-D27033E15864}"/>
    <cellStyle name="Normal 2 2 4 3 2 2 2 3" xfId="8243" xr:uid="{5D4BDDD8-1A86-4178-9196-CFA33212C2B7}"/>
    <cellStyle name="Normal 2 2 4 3 2 2 2 3 2" xfId="28874" xr:uid="{2F29D525-AAE6-4F18-9BED-6F63C9836854}"/>
    <cellStyle name="Normal 2 2 4 3 2 2 2 3 3" xfId="18623" xr:uid="{CA78F776-1862-4665-9DBB-ECE0D2A7B947}"/>
    <cellStyle name="Normal 2 2 4 3 2 2 2 4" xfId="11076" xr:uid="{3A9C77D3-6F36-47E7-A8B7-BA68FE6F2D21}"/>
    <cellStyle name="Normal 2 2 4 3 2 2 2 4 2" xfId="21456" xr:uid="{C628A8E1-27CF-4C5A-A9DA-61E218083264}"/>
    <cellStyle name="Normal 2 2 4 3 2 2 2 5" xfId="24081" xr:uid="{FCB705DE-50A7-4201-ABC1-427567871AAC}"/>
    <cellStyle name="Normal 2 2 4 3 2 2 2 6" xfId="13698" xr:uid="{02A6371B-FBDA-487C-A6D8-975E10908147}"/>
    <cellStyle name="Normal 2 2 4 3 2 2 3" xfId="4292" xr:uid="{07B1601E-3DBF-46BB-A7DD-195EEEFD7FD4}"/>
    <cellStyle name="Normal 2 2 4 3 2 2 3 2" xfId="9064" xr:uid="{B4CD8E1A-C4F3-41B5-AC9E-993474979B09}"/>
    <cellStyle name="Normal 2 2 4 3 2 2 3 2 2" xfId="29107" xr:uid="{A3F9DD3E-5183-4DC5-81BE-2027DB9938ED}"/>
    <cellStyle name="Normal 2 2 4 3 2 2 3 2 3" xfId="19444" xr:uid="{70809F72-09CB-4299-B6CD-9816DE603F43}"/>
    <cellStyle name="Normal 2 2 4 3 2 2 3 3" xfId="11897" xr:uid="{6E20FC59-DBAC-4007-ADEC-AEFDF951EBC9}"/>
    <cellStyle name="Normal 2 2 4 3 2 2 3 3 2" xfId="22277" xr:uid="{5E705BC8-1D4A-42C8-A708-7B83689B7053}"/>
    <cellStyle name="Normal 2 2 4 3 2 2 3 4" xfId="24211" xr:uid="{078D9B0D-52F5-423F-9549-99DB14E66069}"/>
    <cellStyle name="Normal 2 2 4 3 2 2 3 5" xfId="16611" xr:uid="{E42C96D1-F37F-4BD6-A47D-C7EAF8855C14}"/>
    <cellStyle name="Normal 2 2 4 3 2 2 4" xfId="5086" xr:uid="{3A477A92-907E-4C46-A096-06F2EB0A805D}"/>
    <cellStyle name="Normal 2 2 4 3 2 2 4 2" xfId="26034" xr:uid="{B14913F4-850F-4665-B7F3-26E7E7B342A5}"/>
    <cellStyle name="Normal 2 2 4 3 2 2 4 3" xfId="14383" xr:uid="{C0F55250-55D9-4CCC-9FBC-E1E474279F8C}"/>
    <cellStyle name="Normal 2 2 4 3 2 2 5" xfId="6836" xr:uid="{7FD871C6-3A32-474F-B802-222A10471E41}"/>
    <cellStyle name="Normal 2 2 4 3 2 2 5 2" xfId="17216" xr:uid="{3F6631FC-741E-4F25-8958-635B0FBD3528}"/>
    <cellStyle name="Normal 2 2 4 3 2 2 6" xfId="9669" xr:uid="{2AE24CB6-BC9C-457B-845A-8D006269537F}"/>
    <cellStyle name="Normal 2 2 4 3 2 2 6 2" xfId="20049" xr:uid="{15CCDE29-825B-47FF-BC5E-09ACEDA7BD60}"/>
    <cellStyle name="Normal 2 2 4 3 2 2 7" xfId="23932" xr:uid="{30C65FB4-58DF-4101-9415-A1C3411180C9}"/>
    <cellStyle name="Normal 2 2 4 3 2 2 8" xfId="13154" xr:uid="{3BD4FE24-3675-48D9-8C8D-3DA74E8F242A}"/>
    <cellStyle name="Normal 2 2 4 3 2 3" xfId="3164" xr:uid="{00000000-0005-0000-0000-0000D0030000}"/>
    <cellStyle name="Normal 2 2 4 3 2 3 2" xfId="4457" xr:uid="{6ECB643E-2057-4553-BD8F-AD024F4885D9}"/>
    <cellStyle name="Normal 2 2 4 3 2 3 2 2" xfId="9229" xr:uid="{C6B779D1-C9C9-4636-9F77-87A507038BD4}"/>
    <cellStyle name="Normal 2 2 4 3 2 3 2 2 2" xfId="29220" xr:uid="{0A5239C5-AA28-4786-9D59-A31E79F75B9B}"/>
    <cellStyle name="Normal 2 2 4 3 2 3 2 2 3" xfId="19609" xr:uid="{60571E30-4C62-4014-95CE-71B2BFD014CF}"/>
    <cellStyle name="Normal 2 2 4 3 2 3 2 3" xfId="12062" xr:uid="{F18DABCF-FD8C-4ED6-953F-84B87DD582E5}"/>
    <cellStyle name="Normal 2 2 4 3 2 3 2 3 2" xfId="22442" xr:uid="{08847699-7074-47A9-9945-C533DCEE5CE8}"/>
    <cellStyle name="Normal 2 2 4 3 2 3 2 4" xfId="25230" xr:uid="{936D4E5A-43D0-4F27-97DE-9C79FE9E276F}"/>
    <cellStyle name="Normal 2 2 4 3 2 3 2 5" xfId="16776" xr:uid="{9B509FC5-8E86-487F-9EE2-EFDB4623DC6F}"/>
    <cellStyle name="Normal 2 2 4 3 2 3 3" xfId="6222" xr:uid="{E9024C08-908A-402F-BF49-66143836B8BE}"/>
    <cellStyle name="Normal 2 2 4 3 2 3 3 2" xfId="28666" xr:uid="{BAEA2FF9-2083-431A-B9C8-6DF3E29FB3EA}"/>
    <cellStyle name="Normal 2 2 4 3 2 3 3 3" xfId="15791" xr:uid="{36C048B4-878F-420D-93AA-2CBD17EAFC20}"/>
    <cellStyle name="Normal 2 2 4 3 2 3 4" xfId="8244" xr:uid="{05B8AE77-5A94-4141-9021-064B6755F9FA}"/>
    <cellStyle name="Normal 2 2 4 3 2 3 4 2" xfId="18624" xr:uid="{C9A2A75F-CEF3-4DA5-8DA3-C2DFDC1C974C}"/>
    <cellStyle name="Normal 2 2 4 3 2 3 5" xfId="11077" xr:uid="{473B2FDE-74B4-4F4D-8BC1-D967B6573F60}"/>
    <cellStyle name="Normal 2 2 4 3 2 3 5 2" xfId="21457" xr:uid="{1F7EAFA3-0ACB-40E8-BBDD-8F323DBAB262}"/>
    <cellStyle name="Normal 2 2 4 3 2 3 6" xfId="23445" xr:uid="{D763C4D2-87C6-46B4-B78A-F133E50DE6EB}"/>
    <cellStyle name="Normal 2 2 4 3 2 3 7" xfId="13699" xr:uid="{FCE565A6-FF94-4CFE-B2D9-64C5F9FDD6F7}"/>
    <cellStyle name="Normal 2 2 4 3 2 4" xfId="3162" xr:uid="{00000000-0005-0000-0000-0000D1030000}"/>
    <cellStyle name="Normal 2 2 4 3 2 4 2" xfId="6220" xr:uid="{DDD380AD-F8A6-4E82-ABDB-A89D39D39C8A}"/>
    <cellStyle name="Normal 2 2 4 3 2 4 2 2" xfId="28523" xr:uid="{7BCE47EA-961D-45CB-B9BB-D5D815E0D30C}"/>
    <cellStyle name="Normal 2 2 4 3 2 4 2 3" xfId="15789" xr:uid="{4DD44714-6D4E-4029-AB9C-DD35E6BB20E8}"/>
    <cellStyle name="Normal 2 2 4 3 2 4 3" xfId="8242" xr:uid="{A2823BCA-1871-45A0-8C28-B3B038F07FFC}"/>
    <cellStyle name="Normal 2 2 4 3 2 4 3 2" xfId="18622" xr:uid="{E72ED07E-6DE5-4280-B557-A205A74D5352}"/>
    <cellStyle name="Normal 2 2 4 3 2 4 4" xfId="11075" xr:uid="{5C806EF6-2EF1-4031-A31C-D976D50AEC63}"/>
    <cellStyle name="Normal 2 2 4 3 2 4 4 2" xfId="21455" xr:uid="{31F5F408-FA18-44E7-BE38-79B696F04B1E}"/>
    <cellStyle name="Normal 2 2 4 3 2 4 5" xfId="23170" xr:uid="{215FB270-2EB6-4081-84EF-9B9CB09BD67D}"/>
    <cellStyle name="Normal 2 2 4 3 2 4 6" xfId="13697" xr:uid="{D216EE99-5BF9-44A0-8CE3-DF3BDD6A932E}"/>
    <cellStyle name="Normal 2 2 4 3 2 5" xfId="2533" xr:uid="{00000000-0005-0000-0000-0000D2030000}"/>
    <cellStyle name="Normal 2 2 4 3 2 5 2" xfId="5807" xr:uid="{ABA7F4F9-1855-49AC-8957-1FEA0DC3DB39}"/>
    <cellStyle name="Normal 2 2 4 3 2 5 2 2" xfId="26055" xr:uid="{226B60CD-1EE2-4CC0-9990-7A820F86F183}"/>
    <cellStyle name="Normal 2 2 4 3 2 5 2 3" xfId="15205" xr:uid="{7DB3FF16-ACC1-4DD9-A040-1F9A32834FEB}"/>
    <cellStyle name="Normal 2 2 4 3 2 5 3" xfId="7658" xr:uid="{36F3AEF2-E753-4C43-9BA9-54DAC791480F}"/>
    <cellStyle name="Normal 2 2 4 3 2 5 3 2" xfId="18038" xr:uid="{EF43BF01-89A1-4F33-8776-E57D1EA73B9D}"/>
    <cellStyle name="Normal 2 2 4 3 2 5 4" xfId="10491" xr:uid="{6641D8B0-3129-44AC-AF93-12FF2A7D8237}"/>
    <cellStyle name="Normal 2 2 4 3 2 5 4 2" xfId="20871" xr:uid="{DF1F54C4-01C1-4352-B717-6C4D25DB9831}"/>
    <cellStyle name="Normal 2 2 4 3 2 5 5" xfId="24189" xr:uid="{1EDD6420-E7E5-4A43-BDEA-F70068981CA2}"/>
    <cellStyle name="Normal 2 2 4 3 2 5 6" xfId="12921" xr:uid="{4173A2E7-EB72-49EC-BEA0-01AEA58AE056}"/>
    <cellStyle name="Normal 2 2 4 3 2 6" xfId="2322" xr:uid="{00000000-0005-0000-0000-0000CD030000}"/>
    <cellStyle name="Normal 2 2 4 3 2 6 2" xfId="7449" xr:uid="{EBC63B61-750D-47DC-9110-0E2E94C4DDE8}"/>
    <cellStyle name="Normal 2 2 4 3 2 6 2 2" xfId="17829" xr:uid="{60A00CEB-4AA0-4D5F-80AA-A7BD95F2B89C}"/>
    <cellStyle name="Normal 2 2 4 3 2 6 3" xfId="10282" xr:uid="{85809369-768D-4E58-B75D-2168E11307D9}"/>
    <cellStyle name="Normal 2 2 4 3 2 6 3 2" xfId="20662" xr:uid="{7E852C4D-A675-4788-8064-88E8ECC07D92}"/>
    <cellStyle name="Normal 2 2 4 3 2 6 4" xfId="24216" xr:uid="{21A06A83-CF38-4707-A922-B96C499715B5}"/>
    <cellStyle name="Normal 2 2 4 3 2 6 5" xfId="14996" xr:uid="{F334D071-8667-43E8-8B44-C2FC25DB8516}"/>
    <cellStyle name="Normal 2 2 4 3 2 7" xfId="3841" xr:uid="{69D28288-5F70-4C1A-912E-84318F7A6C44}"/>
    <cellStyle name="Normal 2 2 4 3 2 7 2" xfId="8674" xr:uid="{F72F5C99-3A99-48D9-9A4B-CC2AEA1465DE}"/>
    <cellStyle name="Normal 2 2 4 3 2 7 2 2" xfId="19054" xr:uid="{86FE62B0-B63C-4434-8AB8-6DFE92940595}"/>
    <cellStyle name="Normal 2 2 4 3 2 7 3" xfId="11507" xr:uid="{6011C382-14FA-4577-95CC-BF29326EA706}"/>
    <cellStyle name="Normal 2 2 4 3 2 7 3 2" xfId="21887" xr:uid="{E5EB3F4E-A042-4209-AFBC-A3D59D5E05A5}"/>
    <cellStyle name="Normal 2 2 4 3 2 7 4" xfId="16221" xr:uid="{EC9B803B-DB72-4E56-ABCF-8BA68EF9B496}"/>
    <cellStyle name="Normal 2 2 4 3 2 8" xfId="5085" xr:uid="{1E76D4DE-19AD-44C1-8278-CC2A700AC1A1}"/>
    <cellStyle name="Normal 2 2 4 3 2 8 2" xfId="14382" xr:uid="{9DD4F671-417E-4F42-B947-374FF1773813}"/>
    <cellStyle name="Normal 2 2 4 3 2 9" xfId="6835" xr:uid="{5FDD0368-EF99-43F3-B5FE-42391F0DB1E2}"/>
    <cellStyle name="Normal 2 2 4 3 2 9 2" xfId="17215" xr:uid="{A514DBD5-8E02-4554-AA8F-41A4D07D35F6}"/>
    <cellStyle name="Normal 2 2 4 3 3" xfId="733" xr:uid="{00000000-0005-0000-0000-000089040000}"/>
    <cellStyle name="Normal 2 2 4 3 3 10" xfId="22850" xr:uid="{CEC1A341-924B-422F-8F57-0FC5F69460C1}"/>
    <cellStyle name="Normal 2 2 4 3 3 11" xfId="12714" xr:uid="{821D4DDC-A1CE-48F9-A986-7F81534829F1}"/>
    <cellStyle name="Normal 2 2 4 3 3 2" xfId="2724" xr:uid="{00000000-0005-0000-0000-0000D4030000}"/>
    <cellStyle name="Normal 2 2 4 3 3 2 2" xfId="3166" xr:uid="{00000000-0005-0000-0000-0000D5030000}"/>
    <cellStyle name="Normal 2 2 4 3 3 2 2 2" xfId="6224" xr:uid="{283A9E77-7630-4E85-B3E3-382FA161C6A3}"/>
    <cellStyle name="Normal 2 2 4 3 3 2 2 2 2" xfId="27992" xr:uid="{50DC885E-21A8-4DF1-BE95-A351E47FAAAE}"/>
    <cellStyle name="Normal 2 2 4 3 3 2 2 2 3" xfId="15793" xr:uid="{7D2BD9E7-1380-4EEF-B550-3E5D22FB4D1A}"/>
    <cellStyle name="Normal 2 2 4 3 3 2 2 3" xfId="8246" xr:uid="{ACFA4F86-5619-49E0-BE79-C658653E8ED8}"/>
    <cellStyle name="Normal 2 2 4 3 3 2 2 3 2" xfId="18626" xr:uid="{171EB711-32D2-4306-8780-2AAE1FAC0DF7}"/>
    <cellStyle name="Normal 2 2 4 3 3 2 2 4" xfId="11079" xr:uid="{270972CF-11F5-4D55-8A19-0A683006258D}"/>
    <cellStyle name="Normal 2 2 4 3 3 2 2 4 2" xfId="21459" xr:uid="{2F457793-A942-4A5E-80D2-59400D3A6DA1}"/>
    <cellStyle name="Normal 2 2 4 3 3 2 2 5" xfId="24772" xr:uid="{3079E039-2E5E-47E5-B7DB-68754BE3B129}"/>
    <cellStyle name="Normal 2 2 4 3 3 2 2 6" xfId="13701" xr:uid="{D2C1D659-440D-4D93-A0F9-F37D81F65679}"/>
    <cellStyle name="Normal 2 2 4 3 3 2 3" xfId="4293" xr:uid="{191A8EF1-D13D-4414-A376-D351141EE398}"/>
    <cellStyle name="Normal 2 2 4 3 3 2 3 2" xfId="9065" xr:uid="{6DB2C5DE-ED2A-425C-BF46-83DAAF4958F7}"/>
    <cellStyle name="Normal 2 2 4 3 3 2 3 2 2" xfId="29108" xr:uid="{14F8D509-7648-489D-A2C1-DB7949934A4C}"/>
    <cellStyle name="Normal 2 2 4 3 3 2 3 2 3" xfId="19445" xr:uid="{0DA404BA-7113-452E-8E1F-995F73F6052B}"/>
    <cellStyle name="Normal 2 2 4 3 3 2 3 3" xfId="11898" xr:uid="{3079DFBF-0BA1-4C9C-9B1C-E8940662EB4F}"/>
    <cellStyle name="Normal 2 2 4 3 3 2 3 3 2" xfId="22278" xr:uid="{05F3A403-F906-4885-B14E-FE3B95731D51}"/>
    <cellStyle name="Normal 2 2 4 3 3 2 3 4" xfId="23403" xr:uid="{A48E663D-0C61-47F3-938C-93FDD88C7C7F}"/>
    <cellStyle name="Normal 2 2 4 3 3 2 3 5" xfId="16612" xr:uid="{76D81495-0662-4D09-AC35-D3BE53AB8C7E}"/>
    <cellStyle name="Normal 2 2 4 3 3 2 4" xfId="5942" xr:uid="{DD9D754C-CD03-4D8D-99F5-3776484004E2}"/>
    <cellStyle name="Normal 2 2 4 3 3 2 4 2" xfId="28032" xr:uid="{FE2E8B85-9DB5-48A5-84A3-EDCC66B0F52C}"/>
    <cellStyle name="Normal 2 2 4 3 3 2 4 3" xfId="15395" xr:uid="{006CE858-8570-4565-AC38-80D34CDD1B77}"/>
    <cellStyle name="Normal 2 2 4 3 3 2 5" xfId="7848" xr:uid="{9CA07D88-C91C-4916-8575-D646B4667FCC}"/>
    <cellStyle name="Normal 2 2 4 3 3 2 5 2" xfId="18228" xr:uid="{21F92027-9D25-4378-9D33-35634CB8166B}"/>
    <cellStyle name="Normal 2 2 4 3 3 2 6" xfId="10681" xr:uid="{5C66D779-9D41-4548-BFEF-07C570BC3BA8}"/>
    <cellStyle name="Normal 2 2 4 3 3 2 6 2" xfId="21061" xr:uid="{E15CF1AE-71E8-4D9B-A044-EE6DD83F58CC}"/>
    <cellStyle name="Normal 2 2 4 3 3 2 7" xfId="22840" xr:uid="{72C6AD08-1003-4FE9-976D-CFB249A8A42C}"/>
    <cellStyle name="Normal 2 2 4 3 3 2 8" xfId="13155" xr:uid="{F75B8599-18D7-4F1D-AE74-0C7B4E013C69}"/>
    <cellStyle name="Normal 2 2 4 3 3 3" xfId="3167" xr:uid="{00000000-0005-0000-0000-0000D6030000}"/>
    <cellStyle name="Normal 2 2 4 3 3 3 2" xfId="4458" xr:uid="{A3B66D1A-ABAB-4E21-BEC4-DEE2A14EAF2C}"/>
    <cellStyle name="Normal 2 2 4 3 3 3 2 2" xfId="9230" xr:uid="{FE138AC9-67BB-417E-8BD0-B6614706E5F3}"/>
    <cellStyle name="Normal 2 2 4 3 3 3 2 2 2" xfId="29221" xr:uid="{8AF273BF-B452-4F75-A237-9E2096E8BFE2}"/>
    <cellStyle name="Normal 2 2 4 3 3 3 2 2 3" xfId="19610" xr:uid="{331115A6-9939-4BD6-A159-B320B65B8266}"/>
    <cellStyle name="Normal 2 2 4 3 3 3 2 3" xfId="12063" xr:uid="{6E2E4BDD-099B-4693-A400-2D4A93C14353}"/>
    <cellStyle name="Normal 2 2 4 3 3 3 2 3 2" xfId="22443" xr:uid="{0DAF4A85-5470-4DB3-BC38-503C5C360503}"/>
    <cellStyle name="Normal 2 2 4 3 3 3 2 4" xfId="25797" xr:uid="{2A946675-A47E-4F59-B65E-4319D4DA4E8C}"/>
    <cellStyle name="Normal 2 2 4 3 3 3 2 5" xfId="16777" xr:uid="{EAFD58DF-5A4C-44DD-A876-798163A7FC31}"/>
    <cellStyle name="Normal 2 2 4 3 3 3 3" xfId="6225" xr:uid="{DE7F496F-0F4D-41B7-9F34-CC358E61B5F6}"/>
    <cellStyle name="Normal 2 2 4 3 3 3 3 2" xfId="28728" xr:uid="{C5DFB8F9-E611-4B43-91C9-0CE06620CFAC}"/>
    <cellStyle name="Normal 2 2 4 3 3 3 3 3" xfId="15794" xr:uid="{B7C6DBD8-325B-48E4-B648-5FA4E1C65FB1}"/>
    <cellStyle name="Normal 2 2 4 3 3 3 4" xfId="8247" xr:uid="{0B9B40C3-93CA-40D3-9465-97B46D9B4F09}"/>
    <cellStyle name="Normal 2 2 4 3 3 3 4 2" xfId="18627" xr:uid="{98E2589F-7DF8-4E91-9ED6-8316ED8072AA}"/>
    <cellStyle name="Normal 2 2 4 3 3 3 5" xfId="11080" xr:uid="{E4D218ED-BE0A-467A-BD31-7FAB60C1D2D9}"/>
    <cellStyle name="Normal 2 2 4 3 3 3 5 2" xfId="21460" xr:uid="{A40EF03E-A29D-42C7-9CBB-E1C1D1AF4BCA}"/>
    <cellStyle name="Normal 2 2 4 3 3 3 6" xfId="25492" xr:uid="{C59BF053-2A90-4F10-83E3-74DA0261C7A4}"/>
    <cellStyle name="Normal 2 2 4 3 3 3 7" xfId="13702" xr:uid="{16435DC8-AC74-4B76-BF49-7459A28D3542}"/>
    <cellStyle name="Normal 2 2 4 3 3 4" xfId="3165" xr:uid="{00000000-0005-0000-0000-0000D7030000}"/>
    <cellStyle name="Normal 2 2 4 3 3 4 2" xfId="6223" xr:uid="{D1BB231E-944E-4CD7-9320-0D3458026B6E}"/>
    <cellStyle name="Normal 2 2 4 3 3 4 2 2" xfId="28588" xr:uid="{9A57680E-5D61-4F34-A2B4-F3338BCBFC38}"/>
    <cellStyle name="Normal 2 2 4 3 3 4 2 3" xfId="15792" xr:uid="{6D13F63D-7DAD-476A-8C9C-F3576C8D746C}"/>
    <cellStyle name="Normal 2 2 4 3 3 4 3" xfId="8245" xr:uid="{6D920A5E-3220-4E74-9932-CCACE8C593F1}"/>
    <cellStyle name="Normal 2 2 4 3 3 4 3 2" xfId="18625" xr:uid="{A6AE1770-21CF-43EE-870E-D28640A55474}"/>
    <cellStyle name="Normal 2 2 4 3 3 4 4" xfId="11078" xr:uid="{8E6CA02C-A105-4C6B-9239-667DDF682A05}"/>
    <cellStyle name="Normal 2 2 4 3 3 4 4 2" xfId="21458" xr:uid="{C4A6AC0A-A935-4842-89AA-29282D55441C}"/>
    <cellStyle name="Normal 2 2 4 3 3 4 5" xfId="24046" xr:uid="{CD5376F9-06E6-4DA5-A04A-7F331A2D8C16}"/>
    <cellStyle name="Normal 2 2 4 3 3 4 6" xfId="13700" xr:uid="{260C9978-BE48-4395-8152-B9EBF5CDF420}"/>
    <cellStyle name="Normal 2 2 4 3 3 5" xfId="2635" xr:uid="{00000000-0005-0000-0000-0000D8030000}"/>
    <cellStyle name="Normal 2 2 4 3 3 5 2" xfId="5897" xr:uid="{62BB0CE7-C56D-499D-8000-CF4A2E9AB2A8}"/>
    <cellStyle name="Normal 2 2 4 3 3 5 2 2" xfId="26640" xr:uid="{8016F2D5-18E9-42FC-B1B3-1F0EE505FE60}"/>
    <cellStyle name="Normal 2 2 4 3 3 5 2 3" xfId="15307" xr:uid="{91C83F88-50C8-4F96-8471-6B29CE261260}"/>
    <cellStyle name="Normal 2 2 4 3 3 5 3" xfId="7760" xr:uid="{956AF1D3-332F-4758-9A6A-C84F119C9CF1}"/>
    <cellStyle name="Normal 2 2 4 3 3 5 3 2" xfId="18140" xr:uid="{2203E712-C440-49BB-A583-8188FADBEACF}"/>
    <cellStyle name="Normal 2 2 4 3 3 5 4" xfId="10593" xr:uid="{0DED0F32-A4AF-4497-AA27-66ED0B92261A}"/>
    <cellStyle name="Normal 2 2 4 3 3 5 4 2" xfId="20973" xr:uid="{38DB6BB6-B8C3-4AED-B2C2-12D996747E28}"/>
    <cellStyle name="Normal 2 2 4 3 3 5 5" xfId="23456" xr:uid="{7F77F9B4-6556-4DF9-87F8-804E4AA5F2C7}"/>
    <cellStyle name="Normal 2 2 4 3 3 5 6" xfId="13024" xr:uid="{4C4C2593-02AF-44F4-AE3C-9D78009787D3}"/>
    <cellStyle name="Normal 2 2 4 3 3 6" xfId="4158" xr:uid="{EBDB3A89-EBAD-4B1E-8181-2FF9550A4D1D}"/>
    <cellStyle name="Normal 2 2 4 3 3 6 2" xfId="8930" xr:uid="{9F1ADC49-7665-460F-8E15-004CC432AD29}"/>
    <cellStyle name="Normal 2 2 4 3 3 6 2 2" xfId="19310" xr:uid="{918BD120-0F49-4AAE-BD85-BDF44CF56A20}"/>
    <cellStyle name="Normal 2 2 4 3 3 6 3" xfId="11763" xr:uid="{DAA9725E-3634-43D0-8915-9B847C77881D}"/>
    <cellStyle name="Normal 2 2 4 3 3 6 3 2" xfId="22143" xr:uid="{61EE808C-906E-44FF-AF90-16BEFB93B86B}"/>
    <cellStyle name="Normal 2 2 4 3 3 6 4" xfId="23581" xr:uid="{D4DB859A-A753-4FF2-855A-E2B4FD3C926C}"/>
    <cellStyle name="Normal 2 2 4 3 3 6 5" xfId="16477" xr:uid="{69E73FD2-9FCF-4424-A9F5-91CF56A87E55}"/>
    <cellStyle name="Normal 2 2 4 3 3 7" xfId="5087" xr:uid="{5B35F721-CC05-4F6C-9E95-39FAFC246746}"/>
    <cellStyle name="Normal 2 2 4 3 3 7 2" xfId="14384" xr:uid="{8A5093C6-FEA8-4D14-8BBC-0D67C682D0B7}"/>
    <cellStyle name="Normal 2 2 4 3 3 8" xfId="6837" xr:uid="{D426F11E-EFF8-43D8-9175-D5D65ABAE0C9}"/>
    <cellStyle name="Normal 2 2 4 3 3 8 2" xfId="17217" xr:uid="{3F6B70EE-BA74-4290-B633-7DA248AF6262}"/>
    <cellStyle name="Normal 2 2 4 3 3 9" xfId="9670" xr:uid="{229FE26D-1023-4A4D-A1C7-4055EDE62281}"/>
    <cellStyle name="Normal 2 2 4 3 3 9 2" xfId="20050" xr:uid="{504CD759-BF66-4E2B-81BB-E4A7ACAF66AE}"/>
    <cellStyle name="Normal 2 2 4 3 4" xfId="734" xr:uid="{00000000-0005-0000-0000-00008A040000}"/>
    <cellStyle name="Normal 2 2 4 3 4 2" xfId="3168" xr:uid="{00000000-0005-0000-0000-0000DA030000}"/>
    <cellStyle name="Normal 2 2 4 3 4 2 2" xfId="6226" xr:uid="{F765A875-AD5D-4C75-89E3-B8DA94E1753C}"/>
    <cellStyle name="Normal 2 2 4 3 4 2 2 2" xfId="27652" xr:uid="{252BA372-D21C-4DDE-845C-77AD841EC16F}"/>
    <cellStyle name="Normal 2 2 4 3 4 2 2 3" xfId="15795" xr:uid="{C271E321-8DC5-4A7F-A305-A8B025AB3CFA}"/>
    <cellStyle name="Normal 2 2 4 3 4 2 3" xfId="8248" xr:uid="{F9E7A9E0-7922-4E92-B3B1-BCBF9E3E4303}"/>
    <cellStyle name="Normal 2 2 4 3 4 2 3 2" xfId="18628" xr:uid="{14EFE4A3-625C-4E93-9608-332A8C3FB2D8}"/>
    <cellStyle name="Normal 2 2 4 3 4 2 4" xfId="11081" xr:uid="{1772275B-840F-4255-B9C0-A38062491EBD}"/>
    <cellStyle name="Normal 2 2 4 3 4 2 4 2" xfId="21461" xr:uid="{75EB25FD-3545-4591-BFCE-C128F8B5B590}"/>
    <cellStyle name="Normal 2 2 4 3 4 2 5" xfId="25442" xr:uid="{0FDC8DA2-1FDB-42FF-A72C-C284E265754E}"/>
    <cellStyle name="Normal 2 2 4 3 4 2 6" xfId="13703" xr:uid="{F6DEB117-66E8-499B-B0B1-CCEB661EEE63}"/>
    <cellStyle name="Normal 2 2 4 3 4 3" xfId="4291" xr:uid="{8FE3214D-0C93-4573-8449-E1F34DDE5BD5}"/>
    <cellStyle name="Normal 2 2 4 3 4 3 2" xfId="9063" xr:uid="{0BD680EC-C15A-44A0-B8A1-9EC9551196AE}"/>
    <cellStyle name="Normal 2 2 4 3 4 3 2 2" xfId="29106" xr:uid="{01535E38-C64E-4233-98FB-B5D4783F9A11}"/>
    <cellStyle name="Normal 2 2 4 3 4 3 2 3" xfId="19443" xr:uid="{C66CE573-D87F-454F-954C-3B2403130A23}"/>
    <cellStyle name="Normal 2 2 4 3 4 3 3" xfId="11896" xr:uid="{0B621841-4F60-43DF-AEA9-E96B25EAD65C}"/>
    <cellStyle name="Normal 2 2 4 3 4 3 3 2" xfId="22276" xr:uid="{F722B16E-420E-433B-A2F1-B35E3F8D8419}"/>
    <cellStyle name="Normal 2 2 4 3 4 3 4" xfId="24055" xr:uid="{B7A6E8F8-963B-4542-AE20-F86B07C14093}"/>
    <cellStyle name="Normal 2 2 4 3 4 3 5" xfId="16610" xr:uid="{72FC3F5F-D786-4274-B916-7A1DE5DB92F0}"/>
    <cellStyle name="Normal 2 2 4 3 4 4" xfId="5088" xr:uid="{32400931-A755-4571-8CFB-4E7888B43E28}"/>
    <cellStyle name="Normal 2 2 4 3 4 4 2" xfId="25992" xr:uid="{ACBC17BC-C7E8-4069-96E2-D4C9843552E4}"/>
    <cellStyle name="Normal 2 2 4 3 4 4 3" xfId="14385" xr:uid="{E71C67FA-F036-4B07-BE10-90BE2A0DC57B}"/>
    <cellStyle name="Normal 2 2 4 3 4 5" xfId="6838" xr:uid="{743F0839-4154-49FB-9931-1B978FDCB5B8}"/>
    <cellStyle name="Normal 2 2 4 3 4 5 2" xfId="17218" xr:uid="{CC654FD3-7F6F-4CE3-AB06-365691A9C31D}"/>
    <cellStyle name="Normal 2 2 4 3 4 6" xfId="9671" xr:uid="{23F114A4-73CC-46AA-B1BA-3A9024C67ADE}"/>
    <cellStyle name="Normal 2 2 4 3 4 6 2" xfId="20051" xr:uid="{995F1059-4563-486E-8E48-36CEC19249FA}"/>
    <cellStyle name="Normal 2 2 4 3 4 7" xfId="22636" xr:uid="{D76B0BC6-086A-49B4-AEE8-35486397A193}"/>
    <cellStyle name="Normal 2 2 4 3 4 8" xfId="13153" xr:uid="{A44FE865-5114-4C35-AA07-460B5DC8D787}"/>
    <cellStyle name="Normal 2 2 4 3 5" xfId="3169" xr:uid="{00000000-0005-0000-0000-0000DB030000}"/>
    <cellStyle name="Normal 2 2 4 3 5 2" xfId="4459" xr:uid="{A7E8F2A0-1A9E-4351-95CD-840EC1E9532B}"/>
    <cellStyle name="Normal 2 2 4 3 5 2 2" xfId="9231" xr:uid="{18D99DF7-3BD0-4B50-BD75-630CF73A79CC}"/>
    <cellStyle name="Normal 2 2 4 3 5 2 2 2" xfId="29222" xr:uid="{E22BA9C0-9FD8-419E-B824-741B3992A7A8}"/>
    <cellStyle name="Normal 2 2 4 3 5 2 2 3" xfId="19611" xr:uid="{14632DB7-C0D0-4E92-84C5-DD4D7D85F85E}"/>
    <cellStyle name="Normal 2 2 4 3 5 2 3" xfId="12064" xr:uid="{46BB92DB-6717-432F-ABD5-4E0498B9D351}"/>
    <cellStyle name="Normal 2 2 4 3 5 2 3 2" xfId="22444" xr:uid="{0A983757-ACA6-413B-9634-1998C8620852}"/>
    <cellStyle name="Normal 2 2 4 3 5 2 4" xfId="24500" xr:uid="{9874B245-46F0-47C8-877E-A0913D95DC47}"/>
    <cellStyle name="Normal 2 2 4 3 5 2 5" xfId="16778" xr:uid="{D9942624-64F7-417B-914D-73D09C077FEA}"/>
    <cellStyle name="Normal 2 2 4 3 5 3" xfId="6227" xr:uid="{786F0283-56BA-4908-B9F1-768636A77512}"/>
    <cellStyle name="Normal 2 2 4 3 5 3 2" xfId="28709" xr:uid="{1A9481AB-DA64-4F93-AD07-123AD50A6859}"/>
    <cellStyle name="Normal 2 2 4 3 5 3 3" xfId="15796" xr:uid="{D1E980AD-606F-4342-86C9-8FEE9A6FACDD}"/>
    <cellStyle name="Normal 2 2 4 3 5 4" xfId="8249" xr:uid="{C90F7A24-9FBA-487D-AF08-BD1BF8141DA6}"/>
    <cellStyle name="Normal 2 2 4 3 5 4 2" xfId="18629" xr:uid="{772EEA65-F09B-4057-AA8F-66787CA6DE2B}"/>
    <cellStyle name="Normal 2 2 4 3 5 5" xfId="11082" xr:uid="{7777D272-64CE-4AF5-ACCE-67D91FE724FC}"/>
    <cellStyle name="Normal 2 2 4 3 5 5 2" xfId="21462" xr:uid="{68DE7F88-1841-45E8-AE14-E8F4270E1C02}"/>
    <cellStyle name="Normal 2 2 4 3 5 6" xfId="23246" xr:uid="{1A8E6B69-D674-41BB-8D4F-1D37C186CCAE}"/>
    <cellStyle name="Normal 2 2 4 3 5 7" xfId="13704" xr:uid="{C70487F3-D881-498F-AEFF-3A3A2A4CC828}"/>
    <cellStyle name="Normal 2 2 4 3 6" xfId="2899" xr:uid="{00000000-0005-0000-0000-0000DC030000}"/>
    <cellStyle name="Normal 2 2 4 3 6 2" xfId="6085" xr:uid="{721C9F81-308C-4576-9F13-26A23769E380}"/>
    <cellStyle name="Normal 2 2 4 3 6 2 2" xfId="26677" xr:uid="{6C3AFA53-08E6-4398-8B42-461EB10A00D7}"/>
    <cellStyle name="Normal 2 2 4 3 6 2 3" xfId="15563" xr:uid="{6EB646C2-8E39-45A2-A1BE-1D02DF27C226}"/>
    <cellStyle name="Normal 2 2 4 3 6 3" xfId="8016" xr:uid="{E62F5643-2379-4F03-A954-5FF9A89A6BD8}"/>
    <cellStyle name="Normal 2 2 4 3 6 3 2" xfId="18396" xr:uid="{A4B6F157-D342-440E-B036-7B2EAC7F9A40}"/>
    <cellStyle name="Normal 2 2 4 3 6 4" xfId="10849" xr:uid="{7399136D-4BB7-453E-A24C-41AB2F2B9B22}"/>
    <cellStyle name="Normal 2 2 4 3 6 4 2" xfId="21229" xr:uid="{F56AD850-DA58-4CAD-8B2B-3BC657B32D3B}"/>
    <cellStyle name="Normal 2 2 4 3 6 5" xfId="23973" xr:uid="{BAA059BC-4F05-4B08-BCBD-4C43B9653F5C}"/>
    <cellStyle name="Normal 2 2 4 3 6 6" xfId="13412" xr:uid="{0282C8A2-5254-48F9-A77A-D9F531691BCF}"/>
    <cellStyle name="Normal 2 2 4 3 7" xfId="2473" xr:uid="{00000000-0005-0000-0000-0000DD030000}"/>
    <cellStyle name="Normal 2 2 4 3 7 2" xfId="5761" xr:uid="{E9BE1DA1-DBA2-4014-8E90-C38580891186}"/>
    <cellStyle name="Normal 2 2 4 3 7 2 2" xfId="26692" xr:uid="{2F085963-6914-4139-93C2-DA39799FBB75}"/>
    <cellStyle name="Normal 2 2 4 3 7 2 3" xfId="15145" xr:uid="{9D9274B6-6C14-4F48-90BA-E8B9130846BB}"/>
    <cellStyle name="Normal 2 2 4 3 7 3" xfId="7598" xr:uid="{97A10F47-C951-4780-B3AC-EEC53232A638}"/>
    <cellStyle name="Normal 2 2 4 3 7 3 2" xfId="17978" xr:uid="{2F4E08D7-AEDE-4897-910E-BE435BD2055E}"/>
    <cellStyle name="Normal 2 2 4 3 7 4" xfId="10431" xr:uid="{90229D57-D9CB-45C4-8AA0-C4C1BA53C2D0}"/>
    <cellStyle name="Normal 2 2 4 3 7 4 2" xfId="20811" xr:uid="{8C9E56C3-8CD4-42F2-A2EE-76EF8AE49452}"/>
    <cellStyle name="Normal 2 2 4 3 7 5" xfId="24639" xr:uid="{7006987F-CAD0-4C27-B8F6-1490B33C32DC}"/>
    <cellStyle name="Normal 2 2 4 3 7 6" xfId="12861" xr:uid="{4BB0C8D0-896F-4E30-AEED-A30F35DB3449}"/>
    <cellStyle name="Normal 2 2 4 3 8" xfId="2227" xr:uid="{00000000-0005-0000-0000-0000CC030000}"/>
    <cellStyle name="Normal 2 2 4 3 8 2" xfId="7354" xr:uid="{3703A4EB-E5A2-4E60-9790-DAA32FC67703}"/>
    <cellStyle name="Normal 2 2 4 3 8 2 2" xfId="17734" xr:uid="{AFD9C0FC-9699-4AA0-BFC7-96EE8C9102E1}"/>
    <cellStyle name="Normal 2 2 4 3 8 3" xfId="10187" xr:uid="{391BB5C4-3327-4B7B-9CC3-9E49E9F77817}"/>
    <cellStyle name="Normal 2 2 4 3 8 3 2" xfId="20567" xr:uid="{C66D681E-6CE6-4C34-A08C-E125C0AFF35A}"/>
    <cellStyle name="Normal 2 2 4 3 8 4" xfId="22687" xr:uid="{3E1D6A12-F790-4E46-9D60-D48E9354A353}"/>
    <cellStyle name="Normal 2 2 4 3 8 5" xfId="14901" xr:uid="{432BE09B-3005-4858-B500-D103BC86683B}"/>
    <cellStyle name="Normal 2 2 4 3 9" xfId="3929" xr:uid="{919A12B1-4137-4860-A862-349BD11EA352}"/>
    <cellStyle name="Normal 2 2 4 3 9 2" xfId="8761" xr:uid="{1BFF0860-7DAD-475B-B81C-9B65EDD2C12C}"/>
    <cellStyle name="Normal 2 2 4 3 9 2 2" xfId="19141" xr:uid="{6AF730A1-901B-4D46-9712-27810397D962}"/>
    <cellStyle name="Normal 2 2 4 3 9 3" xfId="11594" xr:uid="{30C9F86E-86E8-428B-9D69-7DBCB6D0302A}"/>
    <cellStyle name="Normal 2 2 4 3 9 3 2" xfId="21974" xr:uid="{B51407AE-2834-4D48-8935-E425B1104D1C}"/>
    <cellStyle name="Normal 2 2 4 3 9 4" xfId="16308" xr:uid="{F4E5DDAE-A54A-4B36-9712-699A36CED190}"/>
    <cellStyle name="Normal 2 2 4 4" xfId="735" xr:uid="{00000000-0005-0000-0000-00008B040000}"/>
    <cellStyle name="Normal 2 2 4 4 10" xfId="6839" xr:uid="{28E152B5-AE39-489A-B309-331A96C0A255}"/>
    <cellStyle name="Normal 2 2 4 4 10 2" xfId="17219" xr:uid="{545D8353-8C47-48D3-B99A-6799A551D911}"/>
    <cellStyle name="Normal 2 2 4 4 11" xfId="9672" xr:uid="{375B2FCE-377B-45C3-AA64-AB54FCC926ED}"/>
    <cellStyle name="Normal 2 2 4 4 11 2" xfId="20052" xr:uid="{2833EED9-B22B-4674-B971-DA744A19D722}"/>
    <cellStyle name="Normal 2 2 4 4 12" xfId="24561" xr:uid="{25EF1B4A-AE7B-4986-BFCC-578FB69DF156}"/>
    <cellStyle name="Normal 2 2 4 4 13" xfId="12439" xr:uid="{8FD132CF-49B9-4D59-B19E-4F98B9EEF700}"/>
    <cellStyle name="Normal 2 2 4 4 2" xfId="736" xr:uid="{00000000-0005-0000-0000-00008C040000}"/>
    <cellStyle name="Normal 2 2 4 4 2 10" xfId="9673" xr:uid="{3BFC7526-DD24-4E69-9046-08DF5964D0A5}"/>
    <cellStyle name="Normal 2 2 4 4 2 10 2" xfId="20053" xr:uid="{C659AD71-50E7-4B96-A55A-6EAFD912C79B}"/>
    <cellStyle name="Normal 2 2 4 4 2 11" xfId="22977" xr:uid="{E6A87204-66AD-471C-B620-94F1D2F34A2C}"/>
    <cellStyle name="Normal 2 2 4 4 2 12" xfId="12557" xr:uid="{C066DA0B-B2D7-417F-91E9-ED7F4213738E}"/>
    <cellStyle name="Normal 2 2 4 4 2 2" xfId="737" xr:uid="{00000000-0005-0000-0000-00008D040000}"/>
    <cellStyle name="Normal 2 2 4 4 2 2 2" xfId="3171" xr:uid="{00000000-0005-0000-0000-0000E1030000}"/>
    <cellStyle name="Normal 2 2 4 4 2 2 2 2" xfId="6229" xr:uid="{28483858-44C1-4E3F-8A77-72DA8029C5FF}"/>
    <cellStyle name="Normal 2 2 4 4 2 2 2 2 2" xfId="26629" xr:uid="{F68FBF4F-FD62-45F7-BEB2-2162511B2A4A}"/>
    <cellStyle name="Normal 2 2 4 4 2 2 2 2 3" xfId="26842" xr:uid="{29F33F5A-D940-43A5-B931-C0B501CA0DFB}"/>
    <cellStyle name="Normal 2 2 4 4 2 2 2 2 4" xfId="15798" xr:uid="{A5AD9C89-0101-4674-9F23-FAD9E24D6C49}"/>
    <cellStyle name="Normal 2 2 4 4 2 2 2 3" xfId="8251" xr:uid="{EA17EB81-A2CD-4CFC-9A22-7861201794A2}"/>
    <cellStyle name="Normal 2 2 4 4 2 2 2 3 2" xfId="28875" xr:uid="{6A9856E1-AF8C-46F2-BDC0-2C18C8A0E367}"/>
    <cellStyle name="Normal 2 2 4 4 2 2 2 3 3" xfId="18631" xr:uid="{CB26F624-9167-4FB8-8C0A-A16311834941}"/>
    <cellStyle name="Normal 2 2 4 4 2 2 2 4" xfId="11084" xr:uid="{D5A6ADFE-07E2-4619-9C63-BE5376FD203F}"/>
    <cellStyle name="Normal 2 2 4 4 2 2 2 4 2" xfId="21464" xr:uid="{970BFC75-E9CB-4FA0-9E55-2B4CBB770332}"/>
    <cellStyle name="Normal 2 2 4 4 2 2 2 5" xfId="24197" xr:uid="{C7F805C5-CD1D-4343-97B2-CB2904B30195}"/>
    <cellStyle name="Normal 2 2 4 4 2 2 2 6" xfId="13706" xr:uid="{A5BA1D42-DFBB-45CE-BE54-1C46C308C69F}"/>
    <cellStyle name="Normal 2 2 4 4 2 2 3" xfId="4294" xr:uid="{B78048BC-5451-4B7A-817E-666FB94357DB}"/>
    <cellStyle name="Normal 2 2 4 4 2 2 3 2" xfId="9066" xr:uid="{6D823A29-95CE-49AD-8A19-4E3316CFECDD}"/>
    <cellStyle name="Normal 2 2 4 4 2 2 3 2 2" xfId="29109" xr:uid="{80E5DA21-8A94-4D4F-97C7-ED19F16C6CFA}"/>
    <cellStyle name="Normal 2 2 4 4 2 2 3 2 3" xfId="19446" xr:uid="{7BDF0715-D175-494C-89C1-DFD8CC93A86B}"/>
    <cellStyle name="Normal 2 2 4 4 2 2 3 3" xfId="11899" xr:uid="{D5290866-D956-4FC8-A108-398E0DC7BF46}"/>
    <cellStyle name="Normal 2 2 4 4 2 2 3 3 2" xfId="22279" xr:uid="{07DD412E-235B-4C27-8074-60D13736BCAE}"/>
    <cellStyle name="Normal 2 2 4 4 2 2 3 4" xfId="23557" xr:uid="{31DD1FEC-DA3E-4CE7-92F5-5A971C3426DB}"/>
    <cellStyle name="Normal 2 2 4 4 2 2 3 5" xfId="16613" xr:uid="{B3538216-F715-4E68-92E2-D0880EF9D01A}"/>
    <cellStyle name="Normal 2 2 4 4 2 2 4" xfId="5091" xr:uid="{A7E355CD-0E3F-483B-8272-C414E2582F77}"/>
    <cellStyle name="Normal 2 2 4 4 2 2 4 2" xfId="28347" xr:uid="{1F9C6DE4-285B-433E-ABC7-AB854B8CE204}"/>
    <cellStyle name="Normal 2 2 4 4 2 2 4 3" xfId="14388" xr:uid="{8F3ACA04-E0A2-4A7C-9BAF-CB8955CED3E7}"/>
    <cellStyle name="Normal 2 2 4 4 2 2 5" xfId="6841" xr:uid="{27A434D6-B15F-479D-8681-5FD22A29BD41}"/>
    <cellStyle name="Normal 2 2 4 4 2 2 5 2" xfId="17221" xr:uid="{7DACB67C-6280-4D98-AE9B-103BD5B2E4C6}"/>
    <cellStyle name="Normal 2 2 4 4 2 2 6" xfId="9674" xr:uid="{A63E5426-E54D-43DB-A7BC-9F51459C7F64}"/>
    <cellStyle name="Normal 2 2 4 4 2 2 6 2" xfId="20054" xr:uid="{7E576224-A64A-4141-A23B-26DE3D63FC1E}"/>
    <cellStyle name="Normal 2 2 4 4 2 2 7" xfId="24606" xr:uid="{6502A045-E6C0-4438-BBD3-91DDBCE38B90}"/>
    <cellStyle name="Normal 2 2 4 4 2 2 8" xfId="13157" xr:uid="{7D679ACC-1F21-451F-ADC2-8A62E12A3398}"/>
    <cellStyle name="Normal 2 2 4 4 2 3" xfId="3172" xr:uid="{00000000-0005-0000-0000-0000E2030000}"/>
    <cellStyle name="Normal 2 2 4 4 2 3 2" xfId="4460" xr:uid="{206E568B-39CE-49B8-A61D-88EAA7919F7B}"/>
    <cellStyle name="Normal 2 2 4 4 2 3 2 2" xfId="9232" xr:uid="{1A3D5F21-CB49-4A3A-A819-33CD3F4A69BE}"/>
    <cellStyle name="Normal 2 2 4 4 2 3 2 2 2" xfId="29223" xr:uid="{C5C5F167-7233-41BA-87B4-0D2E75CFCF78}"/>
    <cellStyle name="Normal 2 2 4 4 2 3 2 2 3" xfId="19612" xr:uid="{45C39F80-5D95-41FF-B5DC-CEAC240300DA}"/>
    <cellStyle name="Normal 2 2 4 4 2 3 2 3" xfId="12065" xr:uid="{CAC07F2A-261C-4026-8C42-16192BB18E61}"/>
    <cellStyle name="Normal 2 2 4 4 2 3 2 3 2" xfId="22445" xr:uid="{0D19F29F-C64F-4AB4-A9FA-5F1CB9F70B30}"/>
    <cellStyle name="Normal 2 2 4 4 2 3 2 4" xfId="25708" xr:uid="{CDD8DDAB-9853-4B47-9D8E-6575E6953A69}"/>
    <cellStyle name="Normal 2 2 4 4 2 3 2 5" xfId="16779" xr:uid="{D8059488-2B45-405D-BE6E-2374BE30BFD3}"/>
    <cellStyle name="Normal 2 2 4 4 2 3 3" xfId="6230" xr:uid="{08C8D671-59C1-428E-8055-31CC7FE6F58E}"/>
    <cellStyle name="Normal 2 2 4 4 2 3 3 2" xfId="28544" xr:uid="{69B8F7CE-7389-4D99-BB44-AA1DB0CA353B}"/>
    <cellStyle name="Normal 2 2 4 4 2 3 3 3" xfId="15799" xr:uid="{31E4AAF4-9475-4707-9055-F536DB87E085}"/>
    <cellStyle name="Normal 2 2 4 4 2 3 4" xfId="8252" xr:uid="{E2929E5E-5C0D-4279-A283-F6F09470487D}"/>
    <cellStyle name="Normal 2 2 4 4 2 3 4 2" xfId="18632" xr:uid="{72CAC696-7E23-4B15-A05B-BFFCC84A86BF}"/>
    <cellStyle name="Normal 2 2 4 4 2 3 5" xfId="11085" xr:uid="{E6A5E95A-552F-40B6-ADF3-CA7A9476BEF6}"/>
    <cellStyle name="Normal 2 2 4 4 2 3 5 2" xfId="21465" xr:uid="{3CBB2F69-656D-4544-B4C3-B125B898FB5A}"/>
    <cellStyle name="Normal 2 2 4 4 2 3 6" xfId="23324" xr:uid="{9D4E033E-345B-42B5-B5CB-51D18B8300A9}"/>
    <cellStyle name="Normal 2 2 4 4 2 3 7" xfId="13707" xr:uid="{F5BDEA87-72D8-49AF-A594-3A3AAA66B1AB}"/>
    <cellStyle name="Normal 2 2 4 4 2 4" xfId="3170" xr:uid="{00000000-0005-0000-0000-0000E3030000}"/>
    <cellStyle name="Normal 2 2 4 4 2 4 2" xfId="6228" xr:uid="{7A8CD3BE-398A-42F4-A00C-D6C2D1FC6424}"/>
    <cellStyle name="Normal 2 2 4 4 2 4 2 2" xfId="25981" xr:uid="{D3AEFA4E-ED85-4369-801C-35C170119C43}"/>
    <cellStyle name="Normal 2 2 4 4 2 4 2 3" xfId="15797" xr:uid="{8B3D8C03-4B28-4701-9BC0-E0492329EE37}"/>
    <cellStyle name="Normal 2 2 4 4 2 4 3" xfId="8250" xr:uid="{AB654E16-B54B-4650-90D7-33C4D165A2E9}"/>
    <cellStyle name="Normal 2 2 4 4 2 4 3 2" xfId="18630" xr:uid="{FB553D22-0586-41D1-9388-C2CFE5E3579F}"/>
    <cellStyle name="Normal 2 2 4 4 2 4 4" xfId="11083" xr:uid="{EBC68E25-6416-4CAF-9284-4652454ED3F0}"/>
    <cellStyle name="Normal 2 2 4 4 2 4 4 2" xfId="21463" xr:uid="{D2FA66C1-030A-474F-9AA7-D466EA909659}"/>
    <cellStyle name="Normal 2 2 4 4 2 4 5" xfId="25314" xr:uid="{FBF2EB05-6896-4ABA-8B70-A39F5D34AFF2}"/>
    <cellStyle name="Normal 2 2 4 4 2 4 6" xfId="13705" xr:uid="{A141E574-1CE7-4677-80BB-24E6647DC336}"/>
    <cellStyle name="Normal 2 2 4 4 2 5" xfId="2616" xr:uid="{00000000-0005-0000-0000-0000E4030000}"/>
    <cellStyle name="Normal 2 2 4 4 2 5 2" xfId="5878" xr:uid="{D5067EBC-2A76-4582-98EF-85BF08AF765B}"/>
    <cellStyle name="Normal 2 2 4 4 2 5 2 2" xfId="28435" xr:uid="{78BEE00F-E4A4-4E20-A307-8FA1AF518F42}"/>
    <cellStyle name="Normal 2 2 4 4 2 5 2 3" xfId="15288" xr:uid="{E64DD205-EBA4-4437-B2D1-7E44E853D800}"/>
    <cellStyle name="Normal 2 2 4 4 2 5 3" xfId="7741" xr:uid="{3A682AFA-68B6-4AFA-9A6D-47E07CDE9E29}"/>
    <cellStyle name="Normal 2 2 4 4 2 5 3 2" xfId="18121" xr:uid="{DA12A73C-0C85-4C00-BF7D-3AC985E434BE}"/>
    <cellStyle name="Normal 2 2 4 4 2 5 4" xfId="10574" xr:uid="{EB98CB3D-7C11-4696-A1B8-69BB39AE169F}"/>
    <cellStyle name="Normal 2 2 4 4 2 5 4 2" xfId="20954" xr:uid="{B9F55497-735C-4CA6-AB2E-7F06AE06D658}"/>
    <cellStyle name="Normal 2 2 4 4 2 5 5" xfId="22925" xr:uid="{FBF42E42-30A9-4E67-99A3-8762FB36C74C}"/>
    <cellStyle name="Normal 2 2 4 4 2 5 6" xfId="13004" xr:uid="{0FFE5BC1-EEF7-4CA9-99AE-BA56E8A0DB3C}"/>
    <cellStyle name="Normal 2 2 4 4 2 6" xfId="2323" xr:uid="{00000000-0005-0000-0000-0000DF030000}"/>
    <cellStyle name="Normal 2 2 4 4 2 6 2" xfId="7450" xr:uid="{4B0A431F-81C3-424A-A1B9-5117ACAEBDC8}"/>
    <cellStyle name="Normal 2 2 4 4 2 6 2 2" xfId="17830" xr:uid="{EFDE1C88-A96F-4916-9785-960F88FC2CBC}"/>
    <cellStyle name="Normal 2 2 4 4 2 6 3" xfId="10283" xr:uid="{7D74A021-2C68-4F3D-A581-08CB0E0A0611}"/>
    <cellStyle name="Normal 2 2 4 4 2 6 3 2" xfId="20663" xr:uid="{F7A794A6-9A2D-435D-B820-48BFFCEB7CE0}"/>
    <cellStyle name="Normal 2 2 4 4 2 6 4" xfId="23255" xr:uid="{9A66368B-EDE4-4098-AAA0-B4C9A195FC3E}"/>
    <cellStyle name="Normal 2 2 4 4 2 6 5" xfId="14997" xr:uid="{F2C71A4D-B904-43C0-9BE3-6AB71E559423}"/>
    <cellStyle name="Normal 2 2 4 4 2 7" xfId="3842" xr:uid="{947E7DE4-2AAA-4678-93E2-AD134211222F}"/>
    <cellStyle name="Normal 2 2 4 4 2 7 2" xfId="8675" xr:uid="{921DFA96-96AF-4640-8753-FDF66440E028}"/>
    <cellStyle name="Normal 2 2 4 4 2 7 2 2" xfId="19055" xr:uid="{A60E6FFB-625D-48EC-84F9-98E7D2FBDBCE}"/>
    <cellStyle name="Normal 2 2 4 4 2 7 3" xfId="11508" xr:uid="{306D5514-044E-4B24-9269-02C4A23F0CA7}"/>
    <cellStyle name="Normal 2 2 4 4 2 7 3 2" xfId="21888" xr:uid="{D358F6F4-2044-41F4-8D7C-2D7523119D31}"/>
    <cellStyle name="Normal 2 2 4 4 2 7 4" xfId="16222" xr:uid="{048821DA-2C2B-425F-A0C8-D1A6C2D0C089}"/>
    <cellStyle name="Normal 2 2 4 4 2 8" xfId="5090" xr:uid="{D0EDA893-E636-4BBD-A856-E9E961EA5291}"/>
    <cellStyle name="Normal 2 2 4 4 2 8 2" xfId="14387" xr:uid="{C1DB47FF-B6D8-4A8D-9198-86547AE6E118}"/>
    <cellStyle name="Normal 2 2 4 4 2 9" xfId="6840" xr:uid="{685711C8-C591-421C-B3CA-6A7FEE7F9503}"/>
    <cellStyle name="Normal 2 2 4 4 2 9 2" xfId="17220" xr:uid="{0FC4E765-EF25-4FCB-9B58-82CAA5A6E735}"/>
    <cellStyle name="Normal 2 2 4 4 3" xfId="738" xr:uid="{00000000-0005-0000-0000-00008E040000}"/>
    <cellStyle name="Normal 2 2 4 4 3 2" xfId="3173" xr:uid="{00000000-0005-0000-0000-0000E6030000}"/>
    <cellStyle name="Normal 2 2 4 4 3 2 2" xfId="6231" xr:uid="{AEC9A15C-3897-45C6-A6F6-566F78D89093}"/>
    <cellStyle name="Normal 2 2 4 4 3 2 2 2" xfId="22741" xr:uid="{6081BA4B-B5AC-4CC6-86A4-23ADDB668E10}"/>
    <cellStyle name="Normal 2 2 4 4 3 2 2 3" xfId="28526" xr:uid="{6F0C2A27-5F8A-46A2-8A97-B32FBBF4D23E}"/>
    <cellStyle name="Normal 2 2 4 4 3 2 2 4" xfId="15800" xr:uid="{5DC77F8C-E6CC-42D2-AD15-C46239C9D594}"/>
    <cellStyle name="Normal 2 2 4 4 3 2 3" xfId="8253" xr:uid="{76509527-AEFC-4E16-9C04-BC9A58BF4955}"/>
    <cellStyle name="Normal 2 2 4 4 3 2 3 2" xfId="28876" xr:uid="{703DB7FC-9B0D-4086-90F4-6A8EB493AF8D}"/>
    <cellStyle name="Normal 2 2 4 4 3 2 3 3" xfId="18633" xr:uid="{4F120A83-0BE0-4DD3-8F4D-E57898805FD9}"/>
    <cellStyle name="Normal 2 2 4 4 3 2 4" xfId="11086" xr:uid="{25EEAC75-C747-4A62-B492-2FEC2383350C}"/>
    <cellStyle name="Normal 2 2 4 4 3 2 4 2" xfId="21466" xr:uid="{98B0BAF0-C3C1-4180-948A-1FE152978A3A}"/>
    <cellStyle name="Normal 2 2 4 4 3 2 5" xfId="25380" xr:uid="{EAAEC73E-2C23-4EAA-A9FA-4A9B618A51FE}"/>
    <cellStyle name="Normal 2 2 4 4 3 2 6" xfId="13708" xr:uid="{D6198460-BA57-4E25-AFE3-6D78E63DA367}"/>
    <cellStyle name="Normal 2 2 4 4 3 3" xfId="2725" xr:uid="{00000000-0005-0000-0000-0000E7030000}"/>
    <cellStyle name="Normal 2 2 4 4 3 3 2" xfId="5943" xr:uid="{1D18FA06-C285-4FCE-840F-7726D08ADCD2}"/>
    <cellStyle name="Normal 2 2 4 4 3 3 2 2" xfId="26395" xr:uid="{94948FCC-21DF-42DA-85D0-CEB2759B487D}"/>
    <cellStyle name="Normal 2 2 4 4 3 3 2 3" xfId="15396" xr:uid="{CB4508A2-3CF1-4781-8474-19DB3C944215}"/>
    <cellStyle name="Normal 2 2 4 4 3 3 3" xfId="7849" xr:uid="{6F51C793-BD92-48F4-A945-480DC939EE0B}"/>
    <cellStyle name="Normal 2 2 4 4 3 3 3 2" xfId="18229" xr:uid="{28ED8F68-5017-45AB-BBB2-6724396EAE2B}"/>
    <cellStyle name="Normal 2 2 4 4 3 3 4" xfId="10682" xr:uid="{C1DBEED9-84A2-4584-B432-2CEA05179ADD}"/>
    <cellStyle name="Normal 2 2 4 4 3 3 4 2" xfId="21062" xr:uid="{5755DDD9-E6B6-4AF8-B733-F8A0ABFA8A56}"/>
    <cellStyle name="Normal 2 2 4 4 3 3 5" xfId="22713" xr:uid="{5480C5DC-370B-4D68-9340-99542CB2E27A}"/>
    <cellStyle name="Normal 2 2 4 4 3 3 6" xfId="13156" xr:uid="{E550B2BD-17F8-4B9E-99E9-C720BDB97E52}"/>
    <cellStyle name="Normal 2 2 4 4 3 4" xfId="4159" xr:uid="{29B70EA5-493F-4A4C-9AAB-F0745EE8E9C7}"/>
    <cellStyle name="Normal 2 2 4 4 3 4 2" xfId="8931" xr:uid="{D286C9A1-A09B-41DF-BD14-9BE972AF9677}"/>
    <cellStyle name="Normal 2 2 4 4 3 4 2 2" xfId="29028" xr:uid="{15C43BBA-81D1-46D9-B219-8D124E42713E}"/>
    <cellStyle name="Normal 2 2 4 4 3 4 2 3" xfId="19311" xr:uid="{74B98875-B4D2-4C85-9BB9-F5B64AEA1AE7}"/>
    <cellStyle name="Normal 2 2 4 4 3 4 3" xfId="11764" xr:uid="{0740932C-0657-4FC7-B42C-4FD43BF391C4}"/>
    <cellStyle name="Normal 2 2 4 4 3 4 3 2" xfId="22144" xr:uid="{40862A5D-22C5-4F91-A67F-625D5BF41BAB}"/>
    <cellStyle name="Normal 2 2 4 4 3 4 4" xfId="25285" xr:uid="{28EB06E8-35D9-41B7-A6ED-F6C5216ED081}"/>
    <cellStyle name="Normal 2 2 4 4 3 4 5" xfId="16478" xr:uid="{E6F72420-9E7F-4453-884B-C72A8488B5AE}"/>
    <cellStyle name="Normal 2 2 4 4 3 5" xfId="5092" xr:uid="{99BB098F-49B2-4E54-9FAD-ED4856CBD1C3}"/>
    <cellStyle name="Normal 2 2 4 4 3 5 2" xfId="26628" xr:uid="{342A50DA-C48E-47AB-B5E9-871F17FA607B}"/>
    <cellStyle name="Normal 2 2 4 4 3 5 3" xfId="14389" xr:uid="{4060603D-95A6-41B6-8D68-D0F790E76ABE}"/>
    <cellStyle name="Normal 2 2 4 4 3 6" xfId="6842" xr:uid="{A608F365-6CB5-4AB0-A40B-A32EF0CB4174}"/>
    <cellStyle name="Normal 2 2 4 4 3 6 2" xfId="17222" xr:uid="{B9833EDB-AB48-4EAA-A136-B57BDA372475}"/>
    <cellStyle name="Normal 2 2 4 4 3 7" xfId="9675" xr:uid="{70768092-000C-4A45-887B-BF38241F6CC5}"/>
    <cellStyle name="Normal 2 2 4 4 3 7 2" xfId="20055" xr:uid="{E51A2E36-A471-40DE-AD4A-FD5DACC39447}"/>
    <cellStyle name="Normal 2 2 4 4 3 8" xfId="24222" xr:uid="{97AFD24C-F5A5-4F00-A96B-8C0B6F5D2221}"/>
    <cellStyle name="Normal 2 2 4 4 3 9" xfId="12715" xr:uid="{90A98170-6759-44D3-B540-5133EB0A3B85}"/>
    <cellStyle name="Normal 2 2 4 4 4" xfId="739" xr:uid="{00000000-0005-0000-0000-00008F040000}"/>
    <cellStyle name="Normal 2 2 4 4 4 2" xfId="4461" xr:uid="{6F61A1E0-1820-47C0-8C47-577AD9F9DAA3}"/>
    <cellStyle name="Normal 2 2 4 4 4 2 2" xfId="9233" xr:uid="{A475B121-84BE-42D6-8C27-FE2A6C61BCED}"/>
    <cellStyle name="Normal 2 2 4 4 4 2 2 2" xfId="29224" xr:uid="{59D8F497-75E7-40C8-AF91-B75815CA8E29}"/>
    <cellStyle name="Normal 2 2 4 4 4 2 2 3" xfId="19613" xr:uid="{93627C9A-A0A8-4554-A245-32AB4D560D98}"/>
    <cellStyle name="Normal 2 2 4 4 4 2 3" xfId="12066" xr:uid="{56BFEA34-C594-4E40-A4DD-2B246337596B}"/>
    <cellStyle name="Normal 2 2 4 4 4 2 3 2" xfId="22446" xr:uid="{D7AAE023-1B66-4B7F-81B1-4A58E6793B0E}"/>
    <cellStyle name="Normal 2 2 4 4 4 2 4" xfId="23549" xr:uid="{33069559-9E77-4F89-B51A-34DF942CEC6A}"/>
    <cellStyle name="Normal 2 2 4 4 4 2 5" xfId="16780" xr:uid="{8F563E49-31CF-455A-AC24-7F91AAF4F63D}"/>
    <cellStyle name="Normal 2 2 4 4 4 3" xfId="5093" xr:uid="{BC1CB8FF-8F1B-4BA9-89E8-303B964FCFE1}"/>
    <cellStyle name="Normal 2 2 4 4 4 3 2" xfId="27346" xr:uid="{8891E6CB-1C64-47CC-BF55-882F285C3294}"/>
    <cellStyle name="Normal 2 2 4 4 4 3 3" xfId="14390" xr:uid="{DBE931C6-EF20-4F7B-9979-8672A3D304C5}"/>
    <cellStyle name="Normal 2 2 4 4 4 4" xfId="6843" xr:uid="{8ED7317D-AE72-42E4-B033-B26F442A5557}"/>
    <cellStyle name="Normal 2 2 4 4 4 4 2" xfId="17223" xr:uid="{EC7E73AB-B357-411A-A1A2-1AA9324CFAF6}"/>
    <cellStyle name="Normal 2 2 4 4 4 5" xfId="9676" xr:uid="{8C46AFBD-24F4-42A2-87E9-FE63B2E36246}"/>
    <cellStyle name="Normal 2 2 4 4 4 5 2" xfId="20056" xr:uid="{579A9DD2-1D03-428F-9B67-C7794496F86F}"/>
    <cellStyle name="Normal 2 2 4 4 4 6" xfId="23777" xr:uid="{1B0A001D-86C2-4545-920E-AA84E3F3E29E}"/>
    <cellStyle name="Normal 2 2 4 4 4 7" xfId="13709" xr:uid="{1BC04112-A3D0-415F-BFA2-2A66E4C563F2}"/>
    <cellStyle name="Normal 2 2 4 4 5" xfId="2900" xr:uid="{00000000-0005-0000-0000-0000E9030000}"/>
    <cellStyle name="Normal 2 2 4 4 5 2" xfId="6086" xr:uid="{0DE3E1DB-7D7E-48D0-8C45-8CE4F344C2D7}"/>
    <cellStyle name="Normal 2 2 4 4 5 2 2" xfId="24192" xr:uid="{96DA388D-9760-4F77-B463-9718C34830DD}"/>
    <cellStyle name="Normal 2 2 4 4 5 2 3" xfId="26081" xr:uid="{CA8D3603-B7B2-424A-9666-F2140B681E26}"/>
    <cellStyle name="Normal 2 2 4 4 5 2 4" xfId="15564" xr:uid="{91910D66-2E8E-4E05-ABB7-E81FEB359B34}"/>
    <cellStyle name="Normal 2 2 4 4 5 3" xfId="8017" xr:uid="{A502F691-3D0E-4563-87E2-CC79587729B7}"/>
    <cellStyle name="Normal 2 2 4 4 5 3 2" xfId="28592" xr:uid="{31974CD5-239E-45A9-ABE3-300A149574EA}"/>
    <cellStyle name="Normal 2 2 4 4 5 3 3" xfId="18397" xr:uid="{D5D7E922-CF7E-4602-BF0D-8428E385B66F}"/>
    <cellStyle name="Normal 2 2 4 4 5 4" xfId="10850" xr:uid="{22AD69CC-79E4-474F-8BA8-6928D1F6475C}"/>
    <cellStyle name="Normal 2 2 4 4 5 4 2" xfId="21230" xr:uid="{1DE5C62F-DDBE-4826-86D7-DE5A8EB1D5F3}"/>
    <cellStyle name="Normal 2 2 4 4 5 5" xfId="23198" xr:uid="{8EF9A2B9-BA47-4481-A01F-091A99849719}"/>
    <cellStyle name="Normal 2 2 4 4 5 6" xfId="13413" xr:uid="{F71E976F-F2E4-4870-8EC4-0698440CD54D}"/>
    <cellStyle name="Normal 2 2 4 4 6" xfId="2453" xr:uid="{00000000-0005-0000-0000-0000EA030000}"/>
    <cellStyle name="Normal 2 2 4 4 6 2" xfId="5745" xr:uid="{503F4DAD-0739-4D22-B301-05F69B020E1D}"/>
    <cellStyle name="Normal 2 2 4 4 6 2 2" xfId="27114" xr:uid="{BFE77B4D-3671-486C-BE5C-A397C96854F0}"/>
    <cellStyle name="Normal 2 2 4 4 6 2 3" xfId="15125" xr:uid="{45328C7B-52DA-487E-AA36-56D91EE4B36C}"/>
    <cellStyle name="Normal 2 2 4 4 6 3" xfId="7578" xr:uid="{BC637505-56DC-4566-8575-6501DB897D14}"/>
    <cellStyle name="Normal 2 2 4 4 6 3 2" xfId="17958" xr:uid="{ADF89247-8533-412A-987F-7361408CF1DC}"/>
    <cellStyle name="Normal 2 2 4 4 6 4" xfId="10411" xr:uid="{0F209FF0-DB3D-4705-B36C-8B8EA8D305DD}"/>
    <cellStyle name="Normal 2 2 4 4 6 4 2" xfId="20791" xr:uid="{55AE9076-243B-47F8-9ABF-68A36C6388D7}"/>
    <cellStyle name="Normal 2 2 4 4 6 5" xfId="23700" xr:uid="{8742C3B2-0416-4933-B98B-59B351F99F24}"/>
    <cellStyle name="Normal 2 2 4 4 6 6" xfId="12841" xr:uid="{4A6421B6-61C8-4996-A67A-A4F3D90FA67B}"/>
    <cellStyle name="Normal 2 2 4 4 7" xfId="2207" xr:uid="{00000000-0005-0000-0000-0000DE030000}"/>
    <cellStyle name="Normal 2 2 4 4 7 2" xfId="7334" xr:uid="{1A31971A-39F5-4EEA-94AD-C4849A017D9D}"/>
    <cellStyle name="Normal 2 2 4 4 7 2 2" xfId="17714" xr:uid="{8C7E7CA6-E30D-4C36-8BF4-F0A980FDE0A3}"/>
    <cellStyle name="Normal 2 2 4 4 7 3" xfId="10167" xr:uid="{A1DCAF1F-9C89-4E06-8EF8-FD3DFCB86A49}"/>
    <cellStyle name="Normal 2 2 4 4 7 3 2" xfId="20547" xr:uid="{A74C7EDB-A006-4F72-9768-DFAC23401C5D}"/>
    <cellStyle name="Normal 2 2 4 4 7 4" xfId="24286" xr:uid="{9DF97B59-32B7-41EC-B282-0F0F5F95B48F}"/>
    <cellStyle name="Normal 2 2 4 4 7 5" xfId="14881" xr:uid="{3A5D5290-DD44-4C7C-A76B-F57BA77A82DD}"/>
    <cellStyle name="Normal 2 2 4 4 8" xfId="3930" xr:uid="{962AD314-BF12-439C-AB49-0651A687A10E}"/>
    <cellStyle name="Normal 2 2 4 4 8 2" xfId="8762" xr:uid="{1DDDB41C-94D2-4D16-B145-A71EDBC318ED}"/>
    <cellStyle name="Normal 2 2 4 4 8 2 2" xfId="19142" xr:uid="{B9DF84F6-C140-40B7-8AC4-2AFD6A35CE40}"/>
    <cellStyle name="Normal 2 2 4 4 8 3" xfId="11595" xr:uid="{346BA0A1-AE22-4C9D-BDCA-F68E6E6D2258}"/>
    <cellStyle name="Normal 2 2 4 4 8 3 2" xfId="21975" xr:uid="{1F59A14C-F2DF-4B34-BFEE-2FA3B6A69306}"/>
    <cellStyle name="Normal 2 2 4 4 8 4" xfId="16309" xr:uid="{C9490936-9543-4F9B-AF22-D5AD73F04C32}"/>
    <cellStyle name="Normal 2 2 4 4 9" xfId="5089" xr:uid="{492C6885-DC44-4B48-8499-F1090CC0D711}"/>
    <cellStyle name="Normal 2 2 4 4 9 2" xfId="14386" xr:uid="{BE6675D0-FABD-4AB3-B1BD-5D214A7BDEDB}"/>
    <cellStyle name="Normal 2 2 4 5" xfId="740" xr:uid="{00000000-0005-0000-0000-000090040000}"/>
    <cellStyle name="Normal 2 2 4 5 10" xfId="9677" xr:uid="{7B97F55A-82F5-48A1-B2B1-D2BF92C5B64F}"/>
    <cellStyle name="Normal 2 2 4 5 10 2" xfId="20057" xr:uid="{F8D046E5-C5AA-4AD2-B070-1DC81C413E00}"/>
    <cellStyle name="Normal 2 2 4 5 11" xfId="23717" xr:uid="{0951A431-4C8C-4F89-9420-DA73C96B3141}"/>
    <cellStyle name="Normal 2 2 4 5 12" xfId="12558" xr:uid="{A3E7AC24-E3A9-43E8-9E59-4A513FD1FF03}"/>
    <cellStyle name="Normal 2 2 4 5 2" xfId="741" xr:uid="{00000000-0005-0000-0000-000091040000}"/>
    <cellStyle name="Normal 2 2 4 5 2 2" xfId="742" xr:uid="{00000000-0005-0000-0000-000092040000}"/>
    <cellStyle name="Normal 2 2 4 5 2 2 2" xfId="5096" xr:uid="{28570D24-0A6D-4749-B208-79CEBAAD5853}"/>
    <cellStyle name="Normal 2 2 4 5 2 2 2 2" xfId="22828" xr:uid="{3F0B452C-4939-41CA-93D5-5DD1126CB3F3}"/>
    <cellStyle name="Normal 2 2 4 5 2 2 2 3" xfId="27049" xr:uid="{40ECDCAF-293A-4154-9A21-1B16E386C4EF}"/>
    <cellStyle name="Normal 2 2 4 5 2 2 2 4" xfId="14393" xr:uid="{044275AE-12C9-498C-A003-DE8E34E87906}"/>
    <cellStyle name="Normal 2 2 4 5 2 2 3" xfId="6846" xr:uid="{5C17A478-D5DD-465B-8874-B8ED2426D041}"/>
    <cellStyle name="Normal 2 2 4 5 2 2 3 2" xfId="27588" xr:uid="{0D63F2D4-6085-471C-84A3-B300ED17C07C}"/>
    <cellStyle name="Normal 2 2 4 5 2 2 3 3" xfId="27221" xr:uid="{B0C46705-ED62-4E14-84D2-519B282BDCEB}"/>
    <cellStyle name="Normal 2 2 4 5 2 2 3 4" xfId="17226" xr:uid="{5459CE37-F0C5-45CB-96A5-25B619B06C47}"/>
    <cellStyle name="Normal 2 2 4 5 2 2 4" xfId="9679" xr:uid="{F042A46C-D0F9-41D4-B2A4-92CD80D95D32}"/>
    <cellStyle name="Normal 2 2 4 5 2 2 4 2" xfId="29391" xr:uid="{03658FA6-7EE1-4353-BE74-76B87C1AADA6}"/>
    <cellStyle name="Normal 2 2 4 5 2 2 4 3" xfId="20059" xr:uid="{AA542A39-720A-4635-9083-45EE6A0A5CC6}"/>
    <cellStyle name="Normal 2 2 4 5 2 2 5" xfId="24815" xr:uid="{7B2739E9-5973-4F5C-B8B6-6B73C0D1F165}"/>
    <cellStyle name="Normal 2 2 4 5 2 2 6" xfId="13710" xr:uid="{BB7E1BB1-AB4F-42E9-8D62-F17FCEEBCD35}"/>
    <cellStyle name="Normal 2 2 4 5 2 3" xfId="2726" xr:uid="{00000000-0005-0000-0000-0000EE030000}"/>
    <cellStyle name="Normal 2 2 4 5 2 3 2" xfId="5944" xr:uid="{F6D38D51-2623-49A2-8808-D5BB8AFFFF61}"/>
    <cellStyle name="Normal 2 2 4 5 2 3 2 2" xfId="27892" xr:uid="{C21BDB48-8823-42E7-92C5-9B8DB0D560C7}"/>
    <cellStyle name="Normal 2 2 4 5 2 3 2 3" xfId="15397" xr:uid="{D2D9347C-04B5-4346-BDEB-C692AA8CA9FE}"/>
    <cellStyle name="Normal 2 2 4 5 2 3 3" xfId="7850" xr:uid="{0E5FCDA9-E4F7-4688-9D9D-88255B9DD5EA}"/>
    <cellStyle name="Normal 2 2 4 5 2 3 3 2" xfId="18230" xr:uid="{592C8A09-FE5B-4460-B472-67C1E3085872}"/>
    <cellStyle name="Normal 2 2 4 5 2 3 4" xfId="10683" xr:uid="{0AD2B235-01AE-4C19-A4B6-DE626B8E454A}"/>
    <cellStyle name="Normal 2 2 4 5 2 3 4 2" xfId="21063" xr:uid="{C7884267-B29B-4974-A01D-909FDF74F5FF}"/>
    <cellStyle name="Normal 2 2 4 5 2 3 5" xfId="23435" xr:uid="{7FF78EF0-3EB3-4DE3-AF88-1356CDB6B359}"/>
    <cellStyle name="Normal 2 2 4 5 2 3 6" xfId="13158" xr:uid="{928D3D76-F08C-4966-BB9A-B6A8880D2C25}"/>
    <cellStyle name="Normal 2 2 4 5 2 4" xfId="4160" xr:uid="{B1CB9D71-BC6D-4295-8292-81C516C3D8E2}"/>
    <cellStyle name="Normal 2 2 4 5 2 4 2" xfId="8932" xr:uid="{24CA900A-4291-437F-8DED-6E64B2BD93DE}"/>
    <cellStyle name="Normal 2 2 4 5 2 4 2 2" xfId="29029" xr:uid="{8CBEBEA7-7A2E-4712-A5A6-92EFD5340060}"/>
    <cellStyle name="Normal 2 2 4 5 2 4 2 3" xfId="19312" xr:uid="{A48A11BB-1DD6-48D0-8C40-08BE5F1C595A}"/>
    <cellStyle name="Normal 2 2 4 5 2 4 3" xfId="11765" xr:uid="{11E6FCD9-830F-4F75-828E-70B88D2E995E}"/>
    <cellStyle name="Normal 2 2 4 5 2 4 3 2" xfId="22145" xr:uid="{18C0C716-41DF-4A62-A6BD-470B2DC2FC54}"/>
    <cellStyle name="Normal 2 2 4 5 2 4 4" xfId="23251" xr:uid="{A98E546F-C340-48AF-A43B-C807C1E05AE5}"/>
    <cellStyle name="Normal 2 2 4 5 2 4 5" xfId="16479" xr:uid="{831B71F9-BF95-4D3F-94C0-484719694836}"/>
    <cellStyle name="Normal 2 2 4 5 2 5" xfId="5095" xr:uid="{C3E2C19F-B5DD-4E01-9FC4-5993F6DA318B}"/>
    <cellStyle name="Normal 2 2 4 5 2 5 2" xfId="27951" xr:uid="{354E6BC2-73E2-4260-9F97-02018A60A75D}"/>
    <cellStyle name="Normal 2 2 4 5 2 5 3" xfId="14392" xr:uid="{3808A8A3-344F-438D-9BA1-44B18E74A88D}"/>
    <cellStyle name="Normal 2 2 4 5 2 6" xfId="6845" xr:uid="{073BA752-4158-4AD7-89AD-6E1F88147547}"/>
    <cellStyle name="Normal 2 2 4 5 2 6 2" xfId="17225" xr:uid="{C01ACFD6-2AA5-47C1-8013-9A69BB6E227F}"/>
    <cellStyle name="Normal 2 2 4 5 2 7" xfId="9678" xr:uid="{9BFC9367-57A4-4BCF-A13E-1EAB9A6C3750}"/>
    <cellStyle name="Normal 2 2 4 5 2 7 2" xfId="20058" xr:uid="{B015A7D0-F84B-4715-B46E-0B42B8A584F1}"/>
    <cellStyle name="Normal 2 2 4 5 2 8" xfId="23516" xr:uid="{582BBEEB-E589-4F88-A671-E0E3D0B20B5B}"/>
    <cellStyle name="Normal 2 2 4 5 2 9" xfId="12716" xr:uid="{23A72284-53DE-4592-B12C-9935660E9B4E}"/>
    <cellStyle name="Normal 2 2 4 5 3" xfId="743" xr:uid="{00000000-0005-0000-0000-000093040000}"/>
    <cellStyle name="Normal 2 2 4 5 3 2" xfId="4462" xr:uid="{543D7010-EC11-4C5C-8823-CA07FA97EBB6}"/>
    <cellStyle name="Normal 2 2 4 5 3 2 2" xfId="9234" xr:uid="{7946EBE5-C8A6-4AFC-8C75-BE85067E2889}"/>
    <cellStyle name="Normal 2 2 4 5 3 2 2 2" xfId="29225" xr:uid="{F16FFD0B-9C8F-427B-A9D0-CB334C7BBE3E}"/>
    <cellStyle name="Normal 2 2 4 5 3 2 2 3" xfId="19614" xr:uid="{34AB9D2E-E36C-4407-B65D-071BC5B859E2}"/>
    <cellStyle name="Normal 2 2 4 5 3 2 3" xfId="12067" xr:uid="{F638B181-2765-4D51-AF81-82FD5E72D1B3}"/>
    <cellStyle name="Normal 2 2 4 5 3 2 3 2" xfId="22447" xr:uid="{985CFABC-40AE-4CB2-A002-79B451F3F5B4}"/>
    <cellStyle name="Normal 2 2 4 5 3 2 4" xfId="25423" xr:uid="{36EB2C9D-BC28-4930-9B0C-930F3B5E4937}"/>
    <cellStyle name="Normal 2 2 4 5 3 2 5" xfId="16781" xr:uid="{378EFF27-069C-46B2-B917-7EE7243E536F}"/>
    <cellStyle name="Normal 2 2 4 5 3 3" xfId="5097" xr:uid="{5B0E600D-0395-4FA7-A923-CC03DBD41799}"/>
    <cellStyle name="Normal 2 2 4 5 3 3 2" xfId="24760" xr:uid="{7AFC624E-A7DB-4CFC-A0E7-45DF82D9EB1C}"/>
    <cellStyle name="Normal 2 2 4 5 3 3 3" xfId="26846" xr:uid="{04416A7C-E78A-4D80-A1F5-694BE8817E89}"/>
    <cellStyle name="Normal 2 2 4 5 3 3 4" xfId="14394" xr:uid="{78695938-377C-4D3D-89A4-72AE6A0619ED}"/>
    <cellStyle name="Normal 2 2 4 5 3 4" xfId="6847" xr:uid="{DBAE9308-A02F-41C9-9F77-0D2FBCB348CD}"/>
    <cellStyle name="Normal 2 2 4 5 3 4 2" xfId="25704" xr:uid="{02CD26FC-D72B-46A9-8F6F-D52FC0B4806E}"/>
    <cellStyle name="Normal 2 2 4 5 3 4 3" xfId="27987" xr:uid="{1CFA8BB8-A730-464D-86F9-BF569D84CD9B}"/>
    <cellStyle name="Normal 2 2 4 5 3 4 4" xfId="17227" xr:uid="{A3C3C419-C14C-4BC4-AB63-49466C8B3622}"/>
    <cellStyle name="Normal 2 2 4 5 3 5" xfId="9680" xr:uid="{1751C3CC-0E75-4446-BCE1-1D486883D5E6}"/>
    <cellStyle name="Normal 2 2 4 5 3 5 2" xfId="29392" xr:uid="{49D9377F-5AA3-4BEE-A998-76104D0D30A7}"/>
    <cellStyle name="Normal 2 2 4 5 3 5 3" xfId="20060" xr:uid="{B0E31A0F-1173-4255-BCF9-CC90A97B1F69}"/>
    <cellStyle name="Normal 2 2 4 5 3 6" xfId="23277" xr:uid="{2799481D-DDCC-406B-BD0B-987BBCF4D72E}"/>
    <cellStyle name="Normal 2 2 4 5 3 7" xfId="13711" xr:uid="{857D0E4E-899C-4861-BC16-BDE19717E27D}"/>
    <cellStyle name="Normal 2 2 4 5 4" xfId="744" xr:uid="{00000000-0005-0000-0000-000094040000}"/>
    <cellStyle name="Normal 2 2 4 5 4 2" xfId="5098" xr:uid="{7EB87CF0-2C76-4CBC-B6CB-9049E5B4F660}"/>
    <cellStyle name="Normal 2 2 4 5 4 2 2" xfId="25170" xr:uid="{8D1AEB1C-7266-473D-A268-862F58BB468B}"/>
    <cellStyle name="Normal 2 2 4 5 4 2 3" xfId="28703" xr:uid="{09FC95F5-B032-4D86-9861-23E1B2AAB4FE}"/>
    <cellStyle name="Normal 2 2 4 5 4 2 4" xfId="14395" xr:uid="{B85F9BC3-E33B-4029-A728-5A5C01794323}"/>
    <cellStyle name="Normal 2 2 4 5 4 3" xfId="6848" xr:uid="{3DBE0692-25D7-47D1-84E5-78018D02E7FB}"/>
    <cellStyle name="Normal 2 2 4 5 4 3 2" xfId="26915" xr:uid="{CDD2B155-591B-40A3-A0FB-D2C641F48F48}"/>
    <cellStyle name="Normal 2 2 4 5 4 3 3" xfId="17228" xr:uid="{CF9DB049-2E4F-4FB7-8079-18014F18DA3D}"/>
    <cellStyle name="Normal 2 2 4 5 4 4" xfId="9681" xr:uid="{9FB6C89D-5A91-4333-B754-32C018CC61CB}"/>
    <cellStyle name="Normal 2 2 4 5 4 4 2" xfId="20061" xr:uid="{A49A9189-74E2-42E8-AB4E-E0A6EA5B4F59}"/>
    <cellStyle name="Normal 2 2 4 5 4 5" xfId="25298" xr:uid="{3BEF782F-789F-43ED-B5D0-E737472780A8}"/>
    <cellStyle name="Normal 2 2 4 5 4 6" xfId="13414" xr:uid="{D770B22A-6255-463E-A8D4-F5BD124F57B7}"/>
    <cellStyle name="Normal 2 2 4 5 5" xfId="2513" xr:uid="{00000000-0005-0000-0000-0000F1030000}"/>
    <cellStyle name="Normal 2 2 4 5 5 2" xfId="5791" xr:uid="{61229B4B-7D35-441F-9C05-74043052A51A}"/>
    <cellStyle name="Normal 2 2 4 5 5 2 2" xfId="26902" xr:uid="{AB113FE4-F214-4508-B776-1E5A01F008CF}"/>
    <cellStyle name="Normal 2 2 4 5 5 2 3" xfId="15185" xr:uid="{C63419A0-6CF0-45AE-B6CA-A8578A0CB174}"/>
    <cellStyle name="Normal 2 2 4 5 5 3" xfId="7638" xr:uid="{E39053B9-93D2-44E9-A498-C40D0CF96456}"/>
    <cellStyle name="Normal 2 2 4 5 5 3 2" xfId="18018" xr:uid="{1ED545CA-255A-4438-8465-B120DDBB1034}"/>
    <cellStyle name="Normal 2 2 4 5 5 4" xfId="10471" xr:uid="{A8E0CB94-435A-412C-AF33-2EC7A9517F51}"/>
    <cellStyle name="Normal 2 2 4 5 5 4 2" xfId="20851" xr:uid="{9F14E22E-44B6-4D2B-A0FC-A873ECC1D32D}"/>
    <cellStyle name="Normal 2 2 4 5 5 5" xfId="22736" xr:uid="{494A08E6-C05E-47AB-B77E-5A9E143FB3F9}"/>
    <cellStyle name="Normal 2 2 4 5 5 6" xfId="12901" xr:uid="{6812ADF2-3DA3-4AB6-B7CB-FB1116E3258B}"/>
    <cellStyle name="Normal 2 2 4 5 6" xfId="2324" xr:uid="{00000000-0005-0000-0000-0000EB030000}"/>
    <cellStyle name="Normal 2 2 4 5 6 2" xfId="7451" xr:uid="{F41C4F13-5347-4957-9A27-118AF936526E}"/>
    <cellStyle name="Normal 2 2 4 5 6 2 2" xfId="28374" xr:uid="{273C0756-2776-4BA1-959B-4C4F49D88BF9}"/>
    <cellStyle name="Normal 2 2 4 5 6 2 3" xfId="17831" xr:uid="{90CB542C-D474-473F-A9E1-74BA300B9FCB}"/>
    <cellStyle name="Normal 2 2 4 5 6 3" xfId="10284" xr:uid="{E33EA191-46E5-476C-8E41-FE5C7F3751EE}"/>
    <cellStyle name="Normal 2 2 4 5 6 3 2" xfId="20664" xr:uid="{809E6F6C-1E7F-42AB-9E97-32FCE6D8504F}"/>
    <cellStyle name="Normal 2 2 4 5 6 4" xfId="24176" xr:uid="{CA1C02D9-C18B-435F-9838-57D8C1FCB386}"/>
    <cellStyle name="Normal 2 2 4 5 6 5" xfId="14998" xr:uid="{15C86A47-CAD9-4DF2-894C-75F8E206E539}"/>
    <cellStyle name="Normal 2 2 4 5 7" xfId="3931" xr:uid="{92C6F550-D67D-4D22-B4F4-71D3B594C79A}"/>
    <cellStyle name="Normal 2 2 4 5 7 2" xfId="8763" xr:uid="{F5E22FFD-B196-431C-BB9C-3E3F3A5ED9C4}"/>
    <cellStyle name="Normal 2 2 4 5 7 2 2" xfId="19143" xr:uid="{1A0B5E1F-9C62-46C2-AC7E-A68903DE8D29}"/>
    <cellStyle name="Normal 2 2 4 5 7 3" xfId="11596" xr:uid="{C8932BFE-8894-4946-9B20-BA1522CD46DA}"/>
    <cellStyle name="Normal 2 2 4 5 7 3 2" xfId="21976" xr:uid="{37AA7A53-86F3-43A6-85AE-B014BFE186E5}"/>
    <cellStyle name="Normal 2 2 4 5 7 4" xfId="28525" xr:uid="{51A23BEE-B27A-4184-A621-0A37B2EBE4D2}"/>
    <cellStyle name="Normal 2 2 4 5 7 5" xfId="16310" xr:uid="{19324787-BDE0-43D5-A9BC-938202896513}"/>
    <cellStyle name="Normal 2 2 4 5 8" xfId="5094" xr:uid="{E495AB42-427E-401E-938A-EA0A6B689707}"/>
    <cellStyle name="Normal 2 2 4 5 8 2" xfId="14391" xr:uid="{E71EFFA8-FE06-4932-8A74-650685A0237C}"/>
    <cellStyle name="Normal 2 2 4 5 9" xfId="6844" xr:uid="{EF6F5DF1-233C-43E7-8B22-AE589CEA1C77}"/>
    <cellStyle name="Normal 2 2 4 5 9 2" xfId="17224" xr:uid="{9665B699-C701-4FD8-A7AF-CFE727F32265}"/>
    <cellStyle name="Normal 2 2 4 6" xfId="745" xr:uid="{00000000-0005-0000-0000-000095040000}"/>
    <cellStyle name="Normal 2 2 4 6 10" xfId="9682" xr:uid="{408595D7-41CC-42B1-A421-11E52BBA95A2}"/>
    <cellStyle name="Normal 2 2 4 6 10 2" xfId="20062" xr:uid="{1F6FFD65-21B2-4ACC-BD36-251E90851B36}"/>
    <cellStyle name="Normal 2 2 4 6 11" xfId="24516" xr:uid="{CB15B39F-AAF7-4C08-91FD-C1E8B4B1E228}"/>
    <cellStyle name="Normal 2 2 4 6 12" xfId="12559" xr:uid="{84174D08-5A5E-4135-99CB-28BAF4EDF7AB}"/>
    <cellStyle name="Normal 2 2 4 6 2" xfId="746" xr:uid="{00000000-0005-0000-0000-000096040000}"/>
    <cellStyle name="Normal 2 2 4 6 2 2" xfId="747" xr:uid="{00000000-0005-0000-0000-000097040000}"/>
    <cellStyle name="Normal 2 2 4 6 2 2 2" xfId="5101" xr:uid="{65E64113-2928-481F-BA28-D79E0828D443}"/>
    <cellStyle name="Normal 2 2 4 6 2 2 2 2" xfId="24768" xr:uid="{E979248C-F30D-44A0-A701-C30CB53BFF2E}"/>
    <cellStyle name="Normal 2 2 4 6 2 2 2 3" xfId="27789" xr:uid="{1D847D1A-DDC9-458B-A302-6CBC445D8C64}"/>
    <cellStyle name="Normal 2 2 4 6 2 2 2 4" xfId="14398" xr:uid="{0D728C46-3C6A-4464-9C82-F07151C98568}"/>
    <cellStyle name="Normal 2 2 4 6 2 2 3" xfId="6851" xr:uid="{0B664914-040C-4665-956D-86BF111E755C}"/>
    <cellStyle name="Normal 2 2 4 6 2 2 3 2" xfId="27590" xr:uid="{6A89B77E-4289-4DA1-944E-CB57D2DAA56D}"/>
    <cellStyle name="Normal 2 2 4 6 2 2 3 3" xfId="26266" xr:uid="{EC9512CA-C58B-4D06-99AC-3C5FD4248845}"/>
    <cellStyle name="Normal 2 2 4 6 2 2 3 4" xfId="17231" xr:uid="{B2A6C6E6-82B8-4283-9B95-5C54C6FF9011}"/>
    <cellStyle name="Normal 2 2 4 6 2 2 4" xfId="9684" xr:uid="{ECF8B02D-BFC9-4E55-948F-51C97DFF27FF}"/>
    <cellStyle name="Normal 2 2 4 6 2 2 4 2" xfId="29393" xr:uid="{88881E2F-0548-4190-8AF6-A4882BDCE985}"/>
    <cellStyle name="Normal 2 2 4 6 2 2 4 3" xfId="20064" xr:uid="{B31E253D-8024-4A47-AFDB-25E18C2B9E79}"/>
    <cellStyle name="Normal 2 2 4 6 2 2 5" xfId="24901" xr:uid="{3B3188CC-9711-4848-B304-6AC79D714848}"/>
    <cellStyle name="Normal 2 2 4 6 2 2 6" xfId="13712" xr:uid="{19CF3CF2-897B-40BC-9648-B06F6E9BB3B7}"/>
    <cellStyle name="Normal 2 2 4 6 2 3" xfId="2727" xr:uid="{00000000-0005-0000-0000-0000F5030000}"/>
    <cellStyle name="Normal 2 2 4 6 2 3 2" xfId="5945" xr:uid="{097181E5-E9EF-4068-A7B0-C2E9A0CE2964}"/>
    <cellStyle name="Normal 2 2 4 6 2 3 2 2" xfId="25922" xr:uid="{33E1FBD7-6340-4522-A1AA-5C3BA1F6A282}"/>
    <cellStyle name="Normal 2 2 4 6 2 3 2 3" xfId="15398" xr:uid="{DBB5A473-A32C-402B-B3B4-21588613500B}"/>
    <cellStyle name="Normal 2 2 4 6 2 3 3" xfId="7851" xr:uid="{9C6DD874-62BE-43DA-90E7-F209C302BF99}"/>
    <cellStyle name="Normal 2 2 4 6 2 3 3 2" xfId="18231" xr:uid="{639DEB33-012B-46D6-8F0F-91E06600082D}"/>
    <cellStyle name="Normal 2 2 4 6 2 3 4" xfId="10684" xr:uid="{E1C6315D-D5CA-4D48-B7FC-14D7D3071883}"/>
    <cellStyle name="Normal 2 2 4 6 2 3 4 2" xfId="21064" xr:uid="{D5C3D8F6-159B-4B67-8E32-3A911C78227A}"/>
    <cellStyle name="Normal 2 2 4 6 2 3 5" xfId="23800" xr:uid="{FA297568-3CB1-411A-AC70-981E9323BBE1}"/>
    <cellStyle name="Normal 2 2 4 6 2 3 6" xfId="13159" xr:uid="{24E3AC71-5FC0-4017-AF6F-8D84BF9CF3A7}"/>
    <cellStyle name="Normal 2 2 4 6 2 4" xfId="4161" xr:uid="{03476FED-558C-4760-B4EB-47358C077E06}"/>
    <cellStyle name="Normal 2 2 4 6 2 4 2" xfId="8933" xr:uid="{6A46078A-F71C-4CA8-8D27-B8BA2ACF1924}"/>
    <cellStyle name="Normal 2 2 4 6 2 4 2 2" xfId="29030" xr:uid="{970C6B59-BE74-4C8C-AE0B-C6EBFC61C049}"/>
    <cellStyle name="Normal 2 2 4 6 2 4 2 3" xfId="19313" xr:uid="{402AEF9B-3CED-4965-897A-F23E5F30F708}"/>
    <cellStyle name="Normal 2 2 4 6 2 4 3" xfId="11766" xr:uid="{DDF0B2F5-943A-4FA8-AAE5-0E74BDEE1E97}"/>
    <cellStyle name="Normal 2 2 4 6 2 4 3 2" xfId="22146" xr:uid="{7496990B-87AF-4E35-B2B5-7886D0C741E7}"/>
    <cellStyle name="Normal 2 2 4 6 2 4 4" xfId="24041" xr:uid="{11263EB5-1908-4096-94F6-39CED5DCE089}"/>
    <cellStyle name="Normal 2 2 4 6 2 4 5" xfId="16480" xr:uid="{763711D8-4B1F-48E5-8D67-CFB6C4EF2B1A}"/>
    <cellStyle name="Normal 2 2 4 6 2 5" xfId="5100" xr:uid="{5B0DE48B-48A5-4772-851F-D348BCBE3BC1}"/>
    <cellStyle name="Normal 2 2 4 6 2 5 2" xfId="27308" xr:uid="{C233E342-3D47-450D-A863-7E068B132F55}"/>
    <cellStyle name="Normal 2 2 4 6 2 5 3" xfId="14397" xr:uid="{DE79CD2B-93A7-4E8F-A966-F54B37EC6E8A}"/>
    <cellStyle name="Normal 2 2 4 6 2 6" xfId="6850" xr:uid="{650B39C0-4DC4-488C-B526-156F8448FE1F}"/>
    <cellStyle name="Normal 2 2 4 6 2 6 2" xfId="17230" xr:uid="{9E3FA734-3C77-41FD-BC5E-8E9D32E8977C}"/>
    <cellStyle name="Normal 2 2 4 6 2 7" xfId="9683" xr:uid="{750A2031-CD1B-490F-8E57-185A083316C3}"/>
    <cellStyle name="Normal 2 2 4 6 2 7 2" xfId="20063" xr:uid="{5CA5386B-9504-433E-91B6-CD51CEFBCFA7}"/>
    <cellStyle name="Normal 2 2 4 6 2 8" xfId="25196" xr:uid="{D47530D6-7C98-4AEE-A645-55465B1523EE}"/>
    <cellStyle name="Normal 2 2 4 6 2 9" xfId="12717" xr:uid="{0C09109B-2439-474B-A7A8-61D74E5FE4F9}"/>
    <cellStyle name="Normal 2 2 4 6 3" xfId="748" xr:uid="{00000000-0005-0000-0000-000098040000}"/>
    <cellStyle name="Normal 2 2 4 6 3 2" xfId="4463" xr:uid="{7330F69A-9662-402D-84C8-CE37C86C70B6}"/>
    <cellStyle name="Normal 2 2 4 6 3 2 2" xfId="9235" xr:uid="{F66737E9-F7B4-415B-AAFF-680329B87C7D}"/>
    <cellStyle name="Normal 2 2 4 6 3 2 2 2" xfId="29226" xr:uid="{25CC22C7-AD63-407B-917E-350BC90BCFCC}"/>
    <cellStyle name="Normal 2 2 4 6 3 2 2 3" xfId="19615" xr:uid="{7D092387-7A31-4587-93AD-E53A488CE09F}"/>
    <cellStyle name="Normal 2 2 4 6 3 2 3" xfId="12068" xr:uid="{F25645DE-D19B-4823-A2C9-21182D451357}"/>
    <cellStyle name="Normal 2 2 4 6 3 2 3 2" xfId="22448" xr:uid="{DE7A291A-C6FA-49E4-A648-15B5868CA022}"/>
    <cellStyle name="Normal 2 2 4 6 3 2 4" xfId="25629" xr:uid="{961A35DF-A680-458F-BDFC-15EA7762F7C6}"/>
    <cellStyle name="Normal 2 2 4 6 3 2 5" xfId="16782" xr:uid="{45304DF5-304B-40CE-8DD6-527F6694A510}"/>
    <cellStyle name="Normal 2 2 4 6 3 3" xfId="5102" xr:uid="{E152507B-B35A-48CB-BE11-9449DAD2C94A}"/>
    <cellStyle name="Normal 2 2 4 6 3 3 2" xfId="26787" xr:uid="{6ACD856D-043C-4264-863E-20ED6A935079}"/>
    <cellStyle name="Normal 2 2 4 6 3 3 3" xfId="28606" xr:uid="{CA3D05CE-942F-439B-9CF4-61BD721E077E}"/>
    <cellStyle name="Normal 2 2 4 6 3 3 4" xfId="14399" xr:uid="{DA712E4B-0D62-4FAB-BC0F-DD6102EBE473}"/>
    <cellStyle name="Normal 2 2 4 6 3 4" xfId="6852" xr:uid="{96C93305-6539-4C43-96C2-490DD1F7C22A}"/>
    <cellStyle name="Normal 2 2 4 6 3 4 2" xfId="26750" xr:uid="{364AD7D8-C916-4CA7-AEF0-0AEA75DC43B4}"/>
    <cellStyle name="Normal 2 2 4 6 3 4 3" xfId="26456" xr:uid="{2092BBCB-E2F2-4FEF-9B78-6423CD5EF474}"/>
    <cellStyle name="Normal 2 2 4 6 3 4 4" xfId="17232" xr:uid="{CEB8FDED-9EE5-49A8-92B0-E51BA542DA1A}"/>
    <cellStyle name="Normal 2 2 4 6 3 5" xfId="9685" xr:uid="{B907490F-0F92-4428-AF5C-CC9B08CE2475}"/>
    <cellStyle name="Normal 2 2 4 6 3 5 2" xfId="29394" xr:uid="{467430A6-D7E5-446B-968E-BBF14BBD1DC5}"/>
    <cellStyle name="Normal 2 2 4 6 3 5 3" xfId="20065" xr:uid="{37F73F47-AB18-498A-819F-4C4909409898}"/>
    <cellStyle name="Normal 2 2 4 6 3 6" xfId="23948" xr:uid="{4ED4925B-2F87-4160-AB4C-8081076A4EFF}"/>
    <cellStyle name="Normal 2 2 4 6 3 7" xfId="13713" xr:uid="{5C44CE8F-0823-40A9-944C-F0638CEADC5A}"/>
    <cellStyle name="Normal 2 2 4 6 4" xfId="749" xr:uid="{00000000-0005-0000-0000-000099040000}"/>
    <cellStyle name="Normal 2 2 4 6 4 2" xfId="5103" xr:uid="{CB0DDAC2-3BDC-4EBC-826D-3D10D9F4216E}"/>
    <cellStyle name="Normal 2 2 4 6 4 2 2" xfId="23259" xr:uid="{A37EABCB-3C05-4388-B83B-6F7F0B1D503D}"/>
    <cellStyle name="Normal 2 2 4 6 4 2 3" xfId="27398" xr:uid="{706743A4-1EA8-4D2D-A03F-A7D92C4AF5D7}"/>
    <cellStyle name="Normal 2 2 4 6 4 2 4" xfId="14400" xr:uid="{0A8DEE1E-2232-4BB7-816A-E83C3A045AC9}"/>
    <cellStyle name="Normal 2 2 4 6 4 3" xfId="6853" xr:uid="{B5DFA1EF-242D-49FA-913E-D8FFA076E054}"/>
    <cellStyle name="Normal 2 2 4 6 4 3 2" xfId="27121" xr:uid="{A4D89A8C-4198-4AAB-9EEE-F4B4DE912F96}"/>
    <cellStyle name="Normal 2 2 4 6 4 3 3" xfId="17233" xr:uid="{0A98C1B7-B01A-4358-89A1-5B9E85B29CC6}"/>
    <cellStyle name="Normal 2 2 4 6 4 4" xfId="9686" xr:uid="{E5525FD3-D61F-4547-A6E1-6E33C8E543F0}"/>
    <cellStyle name="Normal 2 2 4 6 4 4 2" xfId="20066" xr:uid="{04AB415C-7312-4AD5-97CC-F7293E8F944B}"/>
    <cellStyle name="Normal 2 2 4 6 4 5" xfId="23322" xr:uid="{8246FBCD-0BAF-41D1-92FD-9938F93EC46A}"/>
    <cellStyle name="Normal 2 2 4 6 4 6" xfId="13415" xr:uid="{4CACB45E-42BB-480A-8E48-8F7400E53665}"/>
    <cellStyle name="Normal 2 2 4 6 5" xfId="2576" xr:uid="{00000000-0005-0000-0000-0000F8030000}"/>
    <cellStyle name="Normal 2 2 4 6 5 2" xfId="5841" xr:uid="{D55F8470-9350-4F88-81CE-34F8E67365BC}"/>
    <cellStyle name="Normal 2 2 4 6 5 2 2" xfId="27906" xr:uid="{CD0810B1-AF7E-4A50-89DB-B411BEB470A4}"/>
    <cellStyle name="Normal 2 2 4 6 5 2 3" xfId="15248" xr:uid="{6E0253C7-F98E-4082-8F5A-D233E96C0250}"/>
    <cellStyle name="Normal 2 2 4 6 5 3" xfId="7701" xr:uid="{A9121AD8-9572-486C-ABD9-3BE1DA4E1649}"/>
    <cellStyle name="Normal 2 2 4 6 5 3 2" xfId="18081" xr:uid="{171B1402-D0A5-4AE5-B492-E52ECE4AF0E1}"/>
    <cellStyle name="Normal 2 2 4 6 5 4" xfId="10534" xr:uid="{938E4951-2C90-4BBF-B998-927A9BEA4420}"/>
    <cellStyle name="Normal 2 2 4 6 5 4 2" xfId="20914" xr:uid="{AD8DB3CC-8555-4B5B-B0A9-45C6797B4CED}"/>
    <cellStyle name="Normal 2 2 4 6 5 5" xfId="25386" xr:uid="{AC43E61B-4C90-4F5B-82B0-896CBC252D0C}"/>
    <cellStyle name="Normal 2 2 4 6 5 6" xfId="12964" xr:uid="{CFBB2030-7CEA-4E30-8F61-C5FFD0B0D402}"/>
    <cellStyle name="Normal 2 2 4 6 6" xfId="2325" xr:uid="{00000000-0005-0000-0000-0000F2030000}"/>
    <cellStyle name="Normal 2 2 4 6 6 2" xfId="7452" xr:uid="{ABE5D2F9-96EB-45E4-A55C-169970B161FA}"/>
    <cellStyle name="Normal 2 2 4 6 6 2 2" xfId="28386" xr:uid="{9315E1BC-311A-4EF1-BCA4-B5609EB70199}"/>
    <cellStyle name="Normal 2 2 4 6 6 2 3" xfId="17832" xr:uid="{7B1AE74E-8CC0-4110-8D46-82545F55D897}"/>
    <cellStyle name="Normal 2 2 4 6 6 3" xfId="10285" xr:uid="{C18AD641-BFF8-49C0-91EB-9BD0A2E611B2}"/>
    <cellStyle name="Normal 2 2 4 6 6 3 2" xfId="20665" xr:uid="{9645759D-6B02-4C27-B4E3-7151ADFD3856}"/>
    <cellStyle name="Normal 2 2 4 6 6 4" xfId="23909" xr:uid="{726C56AC-C7AD-4BB8-94D0-7C28A14E31C1}"/>
    <cellStyle name="Normal 2 2 4 6 6 5" xfId="14999" xr:uid="{0576DE7E-BB35-4999-BF7F-F6F4FD5AD241}"/>
    <cellStyle name="Normal 2 2 4 6 7" xfId="3932" xr:uid="{0253A996-D2CD-4E24-B041-2E924C7EE5D0}"/>
    <cellStyle name="Normal 2 2 4 6 7 2" xfId="8764" xr:uid="{79901FCA-833D-4A54-A8C2-616BBA1A916D}"/>
    <cellStyle name="Normal 2 2 4 6 7 2 2" xfId="19144" xr:uid="{7A5BCC12-6465-4CF0-820E-1300D5C2642E}"/>
    <cellStyle name="Normal 2 2 4 6 7 3" xfId="11597" xr:uid="{B37C41D0-DA10-479B-896A-EAC3E6365F6A}"/>
    <cellStyle name="Normal 2 2 4 6 7 3 2" xfId="21977" xr:uid="{34BF8363-34E8-4710-919C-B5437A143794}"/>
    <cellStyle name="Normal 2 2 4 6 7 4" xfId="27569" xr:uid="{680FC575-4081-4D11-A822-875D2B12E9FE}"/>
    <cellStyle name="Normal 2 2 4 6 7 5" xfId="16311" xr:uid="{E949FF74-B171-4799-B296-50C791561D41}"/>
    <cellStyle name="Normal 2 2 4 6 8" xfId="5099" xr:uid="{936B60CE-480B-492E-B494-E803B02EA797}"/>
    <cellStyle name="Normal 2 2 4 6 8 2" xfId="14396" xr:uid="{9C8D84A7-D29E-4AF2-A394-686938E6A0F1}"/>
    <cellStyle name="Normal 2 2 4 6 9" xfId="6849" xr:uid="{BA243AF1-8DCD-4A81-B9F9-E559A354E78C}"/>
    <cellStyle name="Normal 2 2 4 6 9 2" xfId="17229" xr:uid="{8FB6BE78-4246-48EC-8844-40F41EE1961D}"/>
    <cellStyle name="Normal 2 2 4 7" xfId="750" xr:uid="{00000000-0005-0000-0000-00009A040000}"/>
    <cellStyle name="Normal 2 2 4 7 10" xfId="12560" xr:uid="{A84CC9C2-4F32-46FF-9BD2-C66250EB10AB}"/>
    <cellStyle name="Normal 2 2 4 7 2" xfId="751" xr:uid="{00000000-0005-0000-0000-00009B040000}"/>
    <cellStyle name="Normal 2 2 4 7 2 2" xfId="2901" xr:uid="{00000000-0005-0000-0000-0000FB030000}"/>
    <cellStyle name="Normal 2 2 4 7 2 2 2" xfId="6087" xr:uid="{D1672633-0CE3-4AB2-A8FB-213FF68619D0}"/>
    <cellStyle name="Normal 2 2 4 7 2 2 2 2" xfId="28557" xr:uid="{1C959889-FC8B-40DE-87FE-7ED0C4F8199F}"/>
    <cellStyle name="Normal 2 2 4 7 2 2 2 3" xfId="25908" xr:uid="{8F001275-F335-426A-9D11-0BBF99DBB86A}"/>
    <cellStyle name="Normal 2 2 4 7 2 2 2 4" xfId="15565" xr:uid="{11654B7D-CF22-487E-8E64-0975FA9828A7}"/>
    <cellStyle name="Normal 2 2 4 7 2 2 3" xfId="8018" xr:uid="{57DD36D5-239A-471A-9BDF-6CC9F7686FDD}"/>
    <cellStyle name="Normal 2 2 4 7 2 2 3 2" xfId="28022" xr:uid="{8BBA0471-8E5E-4401-9D22-993FEB5F0484}"/>
    <cellStyle name="Normal 2 2 4 7 2 2 3 3" xfId="18398" xr:uid="{3DD4EEF6-6F14-4ABE-A655-83DBE3966C3E}"/>
    <cellStyle name="Normal 2 2 4 7 2 2 4" xfId="10851" xr:uid="{99237510-E4FF-4E57-97D3-E22A69F1C28A}"/>
    <cellStyle name="Normal 2 2 4 7 2 2 4 2" xfId="21231" xr:uid="{A9BE7BEC-33A2-4079-9BCD-3155E9C924BF}"/>
    <cellStyle name="Normal 2 2 4 7 2 2 5" xfId="24190" xr:uid="{40880786-28E2-462C-9CA3-3461A9983DB4}"/>
    <cellStyle name="Normal 2 2 4 7 2 2 6" xfId="13416" xr:uid="{040DB001-46ED-4B9D-8CF8-263D3E06FB8D}"/>
    <cellStyle name="Normal 2 2 4 7 2 3" xfId="5105" xr:uid="{D98481B5-F162-4968-90DE-896C1D2C6025}"/>
    <cellStyle name="Normal 2 2 4 7 2 3 2" xfId="24034" xr:uid="{DF5802CA-525D-42F7-B9C3-76DCA748B93A}"/>
    <cellStyle name="Normal 2 2 4 7 2 3 3" xfId="27986" xr:uid="{5100A763-53F0-49D1-8206-EE3B8D33A67D}"/>
    <cellStyle name="Normal 2 2 4 7 2 3 4" xfId="14402" xr:uid="{3B12B2D5-3771-43FB-A972-AAB3FD3F98C8}"/>
    <cellStyle name="Normal 2 2 4 7 2 4" xfId="6855" xr:uid="{0549BF0E-63BE-483D-A9FB-AB3A68DEAA03}"/>
    <cellStyle name="Normal 2 2 4 7 2 4 2" xfId="27449" xr:uid="{AAD5E344-5403-489D-A80B-AF9E9410FA21}"/>
    <cellStyle name="Normal 2 2 4 7 2 4 3" xfId="27004" xr:uid="{EDE1D26F-F4E3-4F0A-BF3A-52D293CDBC9A}"/>
    <cellStyle name="Normal 2 2 4 7 2 4 4" xfId="17235" xr:uid="{FF016738-F27F-417C-9A78-EE27EFA00488}"/>
    <cellStyle name="Normal 2 2 4 7 2 5" xfId="9688" xr:uid="{32686D98-33B7-44AC-A821-CBA9D2EC8E01}"/>
    <cellStyle name="Normal 2 2 4 7 2 5 2" xfId="29395" xr:uid="{219DDE4D-DA0C-4DBC-9B95-FB5CABE03346}"/>
    <cellStyle name="Normal 2 2 4 7 2 5 3" xfId="20068" xr:uid="{8D6D179A-7B7C-4245-8DB9-466670454DA9}"/>
    <cellStyle name="Normal 2 2 4 7 2 6" xfId="24970" xr:uid="{993EE3C4-9623-472B-9DED-747B919991F0}"/>
    <cellStyle name="Normal 2 2 4 7 2 7" xfId="12718" xr:uid="{0ACD6325-E9C2-4870-A3E4-0E7A76B61CA1}"/>
    <cellStyle name="Normal 2 2 4 7 3" xfId="752" xr:uid="{00000000-0005-0000-0000-00009C040000}"/>
    <cellStyle name="Normal 2 2 4 7 3 2" xfId="5106" xr:uid="{6DFF040E-53E1-4A1F-8A2D-959BB37C925D}"/>
    <cellStyle name="Normal 2 2 4 7 3 2 2" xfId="26352" xr:uid="{84FE70B8-6F80-491C-810F-162E111B6F84}"/>
    <cellStyle name="Normal 2 2 4 7 3 2 3" xfId="27428" xr:uid="{8D815429-2118-436E-97A4-6696CCB56EBD}"/>
    <cellStyle name="Normal 2 2 4 7 3 2 4" xfId="14403" xr:uid="{46FAE356-2463-45C2-9F99-83C39A793B2C}"/>
    <cellStyle name="Normal 2 2 4 7 3 3" xfId="6856" xr:uid="{0104E5D0-EAD1-494C-8920-B169FB26914C}"/>
    <cellStyle name="Normal 2 2 4 7 3 3 2" xfId="28193" xr:uid="{3B2F3915-BA7C-4299-9E7C-AD048CB937BF}"/>
    <cellStyle name="Normal 2 2 4 7 3 3 3" xfId="27547" xr:uid="{84180369-05F0-4732-BF96-E7CD61F19DBF}"/>
    <cellStyle name="Normal 2 2 4 7 3 3 4" xfId="17236" xr:uid="{8C3EA7D5-E4C3-4EDA-B41A-C9B21AC8D6C7}"/>
    <cellStyle name="Normal 2 2 4 7 3 4" xfId="9689" xr:uid="{E81C82B7-49CF-418D-B5C5-654A059558DA}"/>
    <cellStyle name="Normal 2 2 4 7 3 4 2" xfId="29396" xr:uid="{E8F08881-EDF5-4928-807A-49C24B182F27}"/>
    <cellStyle name="Normal 2 2 4 7 3 4 3" xfId="20069" xr:uid="{4F83EB01-C14C-4467-B242-A37FE080BB95}"/>
    <cellStyle name="Normal 2 2 4 7 3 5" xfId="22737" xr:uid="{BC95FB77-84E7-4FB9-A22D-855689978816}"/>
    <cellStyle name="Normal 2 2 4 7 3 6" xfId="13160" xr:uid="{EE48FD3A-1578-401E-AB50-98362CF46FCB}"/>
    <cellStyle name="Normal 2 2 4 7 4" xfId="2326" xr:uid="{00000000-0005-0000-0000-0000F9030000}"/>
    <cellStyle name="Normal 2 2 4 7 4 2" xfId="7453" xr:uid="{8E9AB872-5246-43FE-8812-B115D7DEFFA9}"/>
    <cellStyle name="Normal 2 2 4 7 4 2 2" xfId="26379" xr:uid="{F2632576-B911-4F69-AB59-34812F4BAA8C}"/>
    <cellStyle name="Normal 2 2 4 7 4 2 3" xfId="17833" xr:uid="{A38E2EDF-F0E9-4CBD-874D-0A76FC2AD407}"/>
    <cellStyle name="Normal 2 2 4 7 4 3" xfId="10286" xr:uid="{D29B55B2-216A-4C7A-AEE1-F71C550B6FB5}"/>
    <cellStyle name="Normal 2 2 4 7 4 3 2" xfId="20666" xr:uid="{D21C6EAF-4364-4EAB-909B-E7E99C6B2204}"/>
    <cellStyle name="Normal 2 2 4 7 4 4" xfId="24484" xr:uid="{E4B9A227-3D1F-4501-A43D-61031628010D}"/>
    <cellStyle name="Normal 2 2 4 7 4 5" xfId="15000" xr:uid="{7FCD3262-D20A-4297-8866-420DDA1C7A3D}"/>
    <cellStyle name="Normal 2 2 4 7 5" xfId="3933" xr:uid="{6EC19484-4BD6-4EB8-AE32-A39D25AD16FE}"/>
    <cellStyle name="Normal 2 2 4 7 5 2" xfId="8765" xr:uid="{73754C41-612A-41E8-901E-AB6FE2BAD6E8}"/>
    <cellStyle name="Normal 2 2 4 7 5 2 2" xfId="28979" xr:uid="{5E864213-EB0E-43D1-8F38-0874B8514DC9}"/>
    <cellStyle name="Normal 2 2 4 7 5 2 3" xfId="19145" xr:uid="{0803944F-164E-4F60-86C8-BC780592A3B2}"/>
    <cellStyle name="Normal 2 2 4 7 5 3" xfId="11598" xr:uid="{4BF4557A-146A-4BA6-A272-B8239517D366}"/>
    <cellStyle name="Normal 2 2 4 7 5 3 2" xfId="21978" xr:uid="{D6CE5784-B309-46E9-A25F-6CC6D18AF4D3}"/>
    <cellStyle name="Normal 2 2 4 7 5 4" xfId="24986" xr:uid="{5C974657-1934-4805-A930-68EAF4AC1099}"/>
    <cellStyle name="Normal 2 2 4 7 5 5" xfId="16312" xr:uid="{CFD910A6-E944-44FE-8E2F-5EA777801BBF}"/>
    <cellStyle name="Normal 2 2 4 7 6" xfId="5104" xr:uid="{1932CE5B-C50B-4EFF-B7CB-A9E5A022477B}"/>
    <cellStyle name="Normal 2 2 4 7 6 2" xfId="25953" xr:uid="{CFF717FA-05AD-46D8-850B-8D2E58D40A8C}"/>
    <cellStyle name="Normal 2 2 4 7 6 3" xfId="26675" xr:uid="{E111098F-AFA7-4CCE-962C-37AF717C404E}"/>
    <cellStyle name="Normal 2 2 4 7 6 4" xfId="14401" xr:uid="{4822C81E-E503-4DF6-BFA4-3B9CB28E8070}"/>
    <cellStyle name="Normal 2 2 4 7 7" xfId="6854" xr:uid="{32ECFB42-B472-461E-8E4D-3BD3B487A936}"/>
    <cellStyle name="Normal 2 2 4 7 7 2" xfId="28249" xr:uid="{5AA28F78-518E-4557-8FBE-A496E111D902}"/>
    <cellStyle name="Normal 2 2 4 7 7 3" xfId="17234" xr:uid="{C6000307-F52C-4BEB-8329-8F3EDA3EC909}"/>
    <cellStyle name="Normal 2 2 4 7 8" xfId="9687" xr:uid="{97413759-2B48-47AD-8755-4FCAB4A43997}"/>
    <cellStyle name="Normal 2 2 4 7 8 2" xfId="20067" xr:uid="{0B0C9FF6-EA2E-49C2-9A07-C6CE92A892D8}"/>
    <cellStyle name="Normal 2 2 4 7 9" xfId="23330" xr:uid="{7DDB72A9-D38E-4403-BED6-3B8168EA25EF}"/>
    <cellStyle name="Normal 2 2 4 8" xfId="753" xr:uid="{00000000-0005-0000-0000-00009D040000}"/>
    <cellStyle name="Normal 2 2 4 8 10" xfId="12561" xr:uid="{32CA0D4E-5782-4605-83FA-ACC72F4C4BB5}"/>
    <cellStyle name="Normal 2 2 4 8 2" xfId="754" xr:uid="{00000000-0005-0000-0000-00009E040000}"/>
    <cellStyle name="Normal 2 2 4 8 2 2" xfId="2902" xr:uid="{00000000-0005-0000-0000-0000FF030000}"/>
    <cellStyle name="Normal 2 2 4 8 2 2 2" xfId="6088" xr:uid="{81B93BA7-0481-43DF-A36F-5CE48CEFE222}"/>
    <cellStyle name="Normal 2 2 4 8 2 2 2 2" xfId="28698" xr:uid="{92825357-97A2-4968-B35F-509D1BC4CA4A}"/>
    <cellStyle name="Normal 2 2 4 8 2 2 2 3" xfId="26406" xr:uid="{532AA994-CE39-44C3-B884-43433BD34ECF}"/>
    <cellStyle name="Normal 2 2 4 8 2 2 2 4" xfId="15566" xr:uid="{F62F46BC-FB1C-4F80-9C66-FB1016B78BB6}"/>
    <cellStyle name="Normal 2 2 4 8 2 2 3" xfId="8019" xr:uid="{C4477A8C-5ABF-4DE9-8D04-8E42E0273B2E}"/>
    <cellStyle name="Normal 2 2 4 8 2 2 3 2" xfId="27318" xr:uid="{5A2A4D99-7821-4384-B91B-B843AC2D5F05}"/>
    <cellStyle name="Normal 2 2 4 8 2 2 3 3" xfId="18399" xr:uid="{1AC00D83-D570-4BD7-A53C-D34C9487E60D}"/>
    <cellStyle name="Normal 2 2 4 8 2 2 4" xfId="10852" xr:uid="{69F8C10D-76FA-4BF2-806D-375BB6610C29}"/>
    <cellStyle name="Normal 2 2 4 8 2 2 4 2" xfId="21232" xr:uid="{4812ECD6-E7A3-4616-96F3-94220565C236}"/>
    <cellStyle name="Normal 2 2 4 8 2 2 5" xfId="23890" xr:uid="{D0A8F8A3-A91C-43D7-BE81-33053183A953}"/>
    <cellStyle name="Normal 2 2 4 8 2 2 6" xfId="13417" xr:uid="{AE453CB6-F32A-46A0-AF95-91789D4EACC5}"/>
    <cellStyle name="Normal 2 2 4 8 2 3" xfId="5108" xr:uid="{DB813F9E-A43F-4C2F-87C4-F8B6A7E453A0}"/>
    <cellStyle name="Normal 2 2 4 8 2 3 2" xfId="25413" xr:uid="{D93FA058-6584-4C89-85BD-BA2574BF9E41}"/>
    <cellStyle name="Normal 2 2 4 8 2 3 3" xfId="28725" xr:uid="{85FE7ED1-616F-433E-9200-FABB160D4E56}"/>
    <cellStyle name="Normal 2 2 4 8 2 3 4" xfId="14405" xr:uid="{9583504A-261F-452C-B37E-3EC77A52BE3A}"/>
    <cellStyle name="Normal 2 2 4 8 2 4" xfId="6858" xr:uid="{94890C13-01D7-42A6-8830-61704C453C5F}"/>
    <cellStyle name="Normal 2 2 4 8 2 4 2" xfId="27561" xr:uid="{718D7577-4391-44FA-92D4-A012F591A01E}"/>
    <cellStyle name="Normal 2 2 4 8 2 4 3" xfId="27911" xr:uid="{33DDC1B7-9348-4346-B1B0-344D7FE5F0FB}"/>
    <cellStyle name="Normal 2 2 4 8 2 4 4" xfId="17238" xr:uid="{6A192F55-26CB-42A8-BB47-F8AB6CE2A948}"/>
    <cellStyle name="Normal 2 2 4 8 2 5" xfId="9691" xr:uid="{162645F1-BB41-405B-B2CF-FF2F251B15CD}"/>
    <cellStyle name="Normal 2 2 4 8 2 5 2" xfId="29397" xr:uid="{4A2FDDC8-5FE2-4D91-BB6F-DD067E5803D9}"/>
    <cellStyle name="Normal 2 2 4 8 2 5 3" xfId="20071" xr:uid="{CAEC0F4D-14FE-4FD2-BFAD-BCA0517ECD87}"/>
    <cellStyle name="Normal 2 2 4 8 2 6" xfId="24470" xr:uid="{D161FA43-D894-4061-AB2A-055B1184F6CC}"/>
    <cellStyle name="Normal 2 2 4 8 2 7" xfId="12719" xr:uid="{FD9DC352-557C-433E-B437-1B8BFAAF289D}"/>
    <cellStyle name="Normal 2 2 4 8 3" xfId="755" xr:uid="{00000000-0005-0000-0000-00009F040000}"/>
    <cellStyle name="Normal 2 2 4 8 3 2" xfId="5109" xr:uid="{377D69C9-5980-4DCB-B509-CAA57B5EF02B}"/>
    <cellStyle name="Normal 2 2 4 8 3 2 2" xfId="26077" xr:uid="{95AB3D3C-9692-44B1-AF1E-6003C00932B8}"/>
    <cellStyle name="Normal 2 2 4 8 3 2 3" xfId="28146" xr:uid="{AD91A6B3-3953-4D80-A3E5-56B33553AFE7}"/>
    <cellStyle name="Normal 2 2 4 8 3 2 4" xfId="14406" xr:uid="{A64939D6-7287-473F-83B0-154E8AA00CB4}"/>
    <cellStyle name="Normal 2 2 4 8 3 3" xfId="6859" xr:uid="{C5819798-7282-4495-AAAC-B34BD4D1EC1A}"/>
    <cellStyle name="Normal 2 2 4 8 3 3 2" xfId="26200" xr:uid="{F5C1E2EA-1320-42F9-A928-DFA42DC4D993}"/>
    <cellStyle name="Normal 2 2 4 8 3 3 3" xfId="27050" xr:uid="{4CBDBB3E-B16F-4122-95DB-FB0230654273}"/>
    <cellStyle name="Normal 2 2 4 8 3 3 4" xfId="17239" xr:uid="{A9986669-67E2-4138-90B3-6B303C2C7A93}"/>
    <cellStyle name="Normal 2 2 4 8 3 4" xfId="9692" xr:uid="{89BF3469-FD50-4158-B4DE-22359512A4C9}"/>
    <cellStyle name="Normal 2 2 4 8 3 4 2" xfId="29398" xr:uid="{BC80927C-0D6B-4EBF-9C1D-CAF9BC19A970}"/>
    <cellStyle name="Normal 2 2 4 8 3 4 3" xfId="20072" xr:uid="{9A90E804-665D-4ABF-BC26-00F32193523D}"/>
    <cellStyle name="Normal 2 2 4 8 3 5" xfId="22752" xr:uid="{8E5F7FD4-D4A3-4B56-BA6F-D16D7596C1D6}"/>
    <cellStyle name="Normal 2 2 4 8 3 6" xfId="13161" xr:uid="{C96E85DF-4609-4107-9437-3CE665E8D6FB}"/>
    <cellStyle name="Normal 2 2 4 8 4" xfId="2327" xr:uid="{00000000-0005-0000-0000-0000FD030000}"/>
    <cellStyle name="Normal 2 2 4 8 4 2" xfId="7454" xr:uid="{CC01D233-5639-4770-B1B2-D7BEA0CB8A60}"/>
    <cellStyle name="Normal 2 2 4 8 4 2 2" xfId="28659" xr:uid="{9C509E5B-75A2-410B-8ACF-64CE025ECF08}"/>
    <cellStyle name="Normal 2 2 4 8 4 2 3" xfId="17834" xr:uid="{E9D564C4-3480-4820-869A-E019842F16F6}"/>
    <cellStyle name="Normal 2 2 4 8 4 3" xfId="10287" xr:uid="{FFF21E9B-8D36-4EEB-9BA8-897C39CC07D9}"/>
    <cellStyle name="Normal 2 2 4 8 4 3 2" xfId="20667" xr:uid="{3E92D07A-643F-4BF0-B8C9-2F88F38F9764}"/>
    <cellStyle name="Normal 2 2 4 8 4 4" xfId="22847" xr:uid="{CD8555F5-3FF8-4616-ABB3-C682723A45B7}"/>
    <cellStyle name="Normal 2 2 4 8 4 5" xfId="15001" xr:uid="{C3274E2A-2A7D-4E42-AB32-C9AB31EABB58}"/>
    <cellStyle name="Normal 2 2 4 8 5" xfId="3934" xr:uid="{7361772D-B82B-4655-AEBF-51CF7CC244A8}"/>
    <cellStyle name="Normal 2 2 4 8 5 2" xfId="8766" xr:uid="{1B34E587-146B-4D91-9943-0CE61867449D}"/>
    <cellStyle name="Normal 2 2 4 8 5 2 2" xfId="28980" xr:uid="{F700DE6E-3B5A-47B5-946D-75009DB66DEE}"/>
    <cellStyle name="Normal 2 2 4 8 5 2 3" xfId="19146" xr:uid="{6660985C-A164-46AD-9112-35152CED6F8B}"/>
    <cellStyle name="Normal 2 2 4 8 5 3" xfId="11599" xr:uid="{33878D3A-3CD1-4E46-BB49-6C4AF87F9BFA}"/>
    <cellStyle name="Normal 2 2 4 8 5 3 2" xfId="21979" xr:uid="{9B7005BD-4C6A-41F0-922D-4033D90161AE}"/>
    <cellStyle name="Normal 2 2 4 8 5 4" xfId="25698" xr:uid="{6F10DFCA-DA95-48F8-8245-4C0B4D79A6CC}"/>
    <cellStyle name="Normal 2 2 4 8 5 5" xfId="16313" xr:uid="{0648896E-AFE5-4D58-A04A-4BCBF2A07429}"/>
    <cellStyle name="Normal 2 2 4 8 6" xfId="5107" xr:uid="{B3B202DA-A825-4586-87CB-57A17D06604F}"/>
    <cellStyle name="Normal 2 2 4 8 6 2" xfId="27905" xr:uid="{CB558D48-4D54-4F06-9868-10E5E13B013B}"/>
    <cellStyle name="Normal 2 2 4 8 6 3" xfId="26334" xr:uid="{B8ED6CF3-EB6D-405D-8C03-E2FC62683F3B}"/>
    <cellStyle name="Normal 2 2 4 8 6 4" xfId="14404" xr:uid="{B7CF0047-6FBB-45CC-B3F0-FF59C62A227E}"/>
    <cellStyle name="Normal 2 2 4 8 7" xfId="6857" xr:uid="{6365EC70-1142-428C-B033-0EBE2A2CDFDD}"/>
    <cellStyle name="Normal 2 2 4 8 7 2" xfId="28355" xr:uid="{DB6B6716-5184-43BD-BF54-E77FEFAD1D61}"/>
    <cellStyle name="Normal 2 2 4 8 7 3" xfId="17237" xr:uid="{18307660-AD9E-4E68-9AE1-CE1582228D00}"/>
    <cellStyle name="Normal 2 2 4 8 8" xfId="9690" xr:uid="{D35338E7-E3BF-488C-9B96-0E426D4BB067}"/>
    <cellStyle name="Normal 2 2 4 8 8 2" xfId="20070" xr:uid="{E238607D-A999-410C-9B1F-8E45C7B8AB45}"/>
    <cellStyle name="Normal 2 2 4 8 9" xfId="22971" xr:uid="{470A2003-D823-4710-917B-A3E7D9677BC3}"/>
    <cellStyle name="Normal 2 2 4 9" xfId="756" xr:uid="{00000000-0005-0000-0000-0000A0040000}"/>
    <cellStyle name="Normal 2 2 4 9 10" xfId="12554" xr:uid="{E518C3B1-334A-48C5-97B6-33F18364A5D7}"/>
    <cellStyle name="Normal 2 2 4 9 2" xfId="3174" xr:uid="{00000000-0005-0000-0000-000002040000}"/>
    <cellStyle name="Normal 2 2 4 9 2 2" xfId="6232" xr:uid="{F11B47A3-29BA-4007-84ED-4D04D29243FF}"/>
    <cellStyle name="Normal 2 2 4 9 2 2 2" xfId="25471" xr:uid="{66CE10FF-534B-4058-AD42-86FF0E5150F5}"/>
    <cellStyle name="Normal 2 2 4 9 2 2 3" xfId="28553" xr:uid="{DBB1BED7-6F71-4177-A931-711059B9E7E8}"/>
    <cellStyle name="Normal 2 2 4 9 2 2 4" xfId="15801" xr:uid="{D42B7806-2D3F-478B-86CE-37D54FD41BB0}"/>
    <cellStyle name="Normal 2 2 4 9 2 3" xfId="8254" xr:uid="{DC7CC9B1-D11B-4AB3-BA19-2099136C6ABE}"/>
    <cellStyle name="Normal 2 2 4 9 2 3 2" xfId="25896" xr:uid="{0E6D1423-5BA7-497A-8427-0234468C11A4}"/>
    <cellStyle name="Normal 2 2 4 9 2 3 3" xfId="28877" xr:uid="{25103BBB-BA6D-4BC5-BCA9-573FB85F1229}"/>
    <cellStyle name="Normal 2 2 4 9 2 3 4" xfId="18634" xr:uid="{01BB0F42-6E7C-4EA8-843A-4DDBDEBD024A}"/>
    <cellStyle name="Normal 2 2 4 9 2 4" xfId="11087" xr:uid="{F8267ABE-FEC8-4907-861C-0E80C19C9250}"/>
    <cellStyle name="Normal 2 2 4 9 2 4 2" xfId="29477" xr:uid="{BFCF8B5F-2897-4238-9AA0-E4349DC440F1}"/>
    <cellStyle name="Normal 2 2 4 9 2 4 3" xfId="21467" xr:uid="{02DCB4AC-7C5C-4862-B4C6-2137C1902CAA}"/>
    <cellStyle name="Normal 2 2 4 9 2 5" xfId="22657" xr:uid="{297B4BD9-F56E-4583-A2FD-50AFFB11EFA4}"/>
    <cellStyle name="Normal 2 2 4 9 2 6" xfId="13714" xr:uid="{B3BA8438-2044-4664-9A77-ACFEBD73A3F1}"/>
    <cellStyle name="Normal 2 2 4 9 3" xfId="2719" xr:uid="{00000000-0005-0000-0000-000003040000}"/>
    <cellStyle name="Normal 2 2 4 9 3 2" xfId="5937" xr:uid="{DCDB52EA-7D99-46B2-B6AE-5B437DAEB77B}"/>
    <cellStyle name="Normal 2 2 4 9 3 2 2" xfId="28106" xr:uid="{18B84544-6330-406A-9B39-C37BAFA32D7D}"/>
    <cellStyle name="Normal 2 2 4 9 3 2 3" xfId="15390" xr:uid="{CF49331E-440E-4490-90AB-A18BEE1A3F78}"/>
    <cellStyle name="Normal 2 2 4 9 3 3" xfId="7843" xr:uid="{89E2FCC4-2FE5-4D3E-BC74-3FFCADC4B390}"/>
    <cellStyle name="Normal 2 2 4 9 3 3 2" xfId="18223" xr:uid="{0F3B74CA-F6A3-4C5E-9CB6-891631FCF951}"/>
    <cellStyle name="Normal 2 2 4 9 3 4" xfId="10676" xr:uid="{2240138A-8FBC-407C-ACF6-161590020600}"/>
    <cellStyle name="Normal 2 2 4 9 3 4 2" xfId="21056" xr:uid="{8ADC96C3-7F78-4A33-9374-D7B3B595A145}"/>
    <cellStyle name="Normal 2 2 4 9 3 5" xfId="25043" xr:uid="{30CE1CF7-3C44-4686-BDEA-A21661A9C3B7}"/>
    <cellStyle name="Normal 2 2 4 9 3 6" xfId="13148" xr:uid="{D78EDF1A-DC7E-48C9-AD0D-51AF5DA0C825}"/>
    <cellStyle name="Normal 2 2 4 9 4" xfId="2320" xr:uid="{00000000-0005-0000-0000-000001040000}"/>
    <cellStyle name="Normal 2 2 4 9 4 2" xfId="7447" xr:uid="{DD4C7D60-C1DB-4967-8A65-349B90B70183}"/>
    <cellStyle name="Normal 2 2 4 9 4 2 2" xfId="27681" xr:uid="{BF95B59C-2FB6-46F3-A249-F7A7EA766CAD}"/>
    <cellStyle name="Normal 2 2 4 9 4 2 3" xfId="17827" xr:uid="{EA3B48B4-99CB-47C7-BCA9-8CBD23268FE3}"/>
    <cellStyle name="Normal 2 2 4 9 4 3" xfId="10280" xr:uid="{1E96EA61-B737-40BF-BB3A-0DAEBF1F2C4D}"/>
    <cellStyle name="Normal 2 2 4 9 4 3 2" xfId="20660" xr:uid="{A6CD76C1-9D07-48C6-82E7-648741BFD668}"/>
    <cellStyle name="Normal 2 2 4 9 4 4" xfId="24887" xr:uid="{098D1425-3CDB-455F-A7CF-0202B9002F5C}"/>
    <cellStyle name="Normal 2 2 4 9 4 5" xfId="14994" xr:uid="{3FEC1276-0941-4814-BF81-AFC85F833821}"/>
    <cellStyle name="Normal 2 2 4 9 5" xfId="3839" xr:uid="{FFAC9B94-1C5B-429C-930C-E2E585B1E0C7}"/>
    <cellStyle name="Normal 2 2 4 9 5 2" xfId="8672" xr:uid="{56E4464B-8F43-4B7D-8495-D607D67A37A2}"/>
    <cellStyle name="Normal 2 2 4 9 5 2 2" xfId="19052" xr:uid="{80297E9C-B5A8-4096-90AD-E8825B091F10}"/>
    <cellStyle name="Normal 2 2 4 9 5 3" xfId="11505" xr:uid="{0FFD07DC-23BD-4249-B430-4FB1819A4BA3}"/>
    <cellStyle name="Normal 2 2 4 9 5 3 2" xfId="21885" xr:uid="{AC30304B-BE7E-4073-8F56-A5C3B71E510B}"/>
    <cellStyle name="Normal 2 2 4 9 5 4" xfId="28312" xr:uid="{0D037300-E5B8-434B-ADD3-5F09B3B49EBD}"/>
    <cellStyle name="Normal 2 2 4 9 5 5" xfId="16219" xr:uid="{B9BF5F2A-5EBB-44AF-A014-E34A439D5D92}"/>
    <cellStyle name="Normal 2 2 4 9 6" xfId="5110" xr:uid="{CDDD6C3D-CFBD-4AA7-A2A2-9913B4CEFDCC}"/>
    <cellStyle name="Normal 2 2 4 9 6 2" xfId="14407" xr:uid="{DAFBCF16-D0E3-424B-91D9-29AC84747C6C}"/>
    <cellStyle name="Normal 2 2 4 9 7" xfId="6860" xr:uid="{DBB49B0A-FB5F-4C51-80E3-08D7AEFC86E0}"/>
    <cellStyle name="Normal 2 2 4 9 7 2" xfId="17240" xr:uid="{38E01FB3-314A-4711-878B-E8567CF9DD09}"/>
    <cellStyle name="Normal 2 2 4 9 8" xfId="9693" xr:uid="{8F138781-26C2-47FC-828D-1FE9F015B37B}"/>
    <cellStyle name="Normal 2 2 4 9 8 2" xfId="20073" xr:uid="{A056445A-F138-42C2-995F-D975FAEFB282}"/>
    <cellStyle name="Normal 2 2 4 9 9" xfId="24854" xr:uid="{2E7C2F10-E7A5-4885-9DB5-EAF1D3CF4268}"/>
    <cellStyle name="Normal 2 2 5" xfId="757" xr:uid="{00000000-0005-0000-0000-0000A1040000}"/>
    <cellStyle name="Normal 2 2 5 10" xfId="5111" xr:uid="{CCECF284-14D1-41BD-A4F2-B21FA652AD07}"/>
    <cellStyle name="Normal 2 2 5 10 2" xfId="14408" xr:uid="{0D9E3353-2026-42E8-8E37-37AB3D376827}"/>
    <cellStyle name="Normal 2 2 5 11" xfId="6861" xr:uid="{AF9CC1EF-81A4-4414-BD8B-98D593304241}"/>
    <cellStyle name="Normal 2 2 5 11 2" xfId="17241" xr:uid="{50A895FB-7C5C-42AC-A530-6CE0651CEF88}"/>
    <cellStyle name="Normal 2 2 5 12" xfId="9694" xr:uid="{4C9D5DC4-3632-44D9-B759-AD41F0A1DFF4}"/>
    <cellStyle name="Normal 2 2 5 12 2" xfId="20074" xr:uid="{802EA5F1-5903-49D8-A4F3-894B0E83EE8B}"/>
    <cellStyle name="Normal 2 2 5 13" xfId="24581" xr:uid="{3168C4C5-4703-4372-BCB8-F31F4D4EF815}"/>
    <cellStyle name="Normal 2 2 5 14" xfId="12408" xr:uid="{B4FBA886-21B4-43EA-AFA5-F43F1DC89EB6}"/>
    <cellStyle name="Normal 2 2 5 2" xfId="758" xr:uid="{00000000-0005-0000-0000-0000A2040000}"/>
    <cellStyle name="Normal 2 2 5 2 10" xfId="6862" xr:uid="{8733B662-EA52-4ED5-90DB-9D2D09607590}"/>
    <cellStyle name="Normal 2 2 5 2 10 2" xfId="17242" xr:uid="{5EB252E4-C8A2-430F-8E14-70FF295AB9E8}"/>
    <cellStyle name="Normal 2 2 5 2 11" xfId="9695" xr:uid="{D3D6C01F-0E27-4EA5-89EB-B9E46088A3A1}"/>
    <cellStyle name="Normal 2 2 5 2 11 2" xfId="20075" xr:uid="{9066755D-AE40-4F1D-8E8D-D54DC228B706}"/>
    <cellStyle name="Normal 2 2 5 2 12" xfId="23681" xr:uid="{F921DEE3-B3C4-42BD-AD2F-47E9E6C51284}"/>
    <cellStyle name="Normal 2 2 5 2 13" xfId="12468" xr:uid="{7D13A686-8244-45D0-9961-3AED61D5F178}"/>
    <cellStyle name="Normal 2 2 5 2 2" xfId="759" xr:uid="{00000000-0005-0000-0000-0000A3040000}"/>
    <cellStyle name="Normal 2 2 5 2 2 10" xfId="9696" xr:uid="{4FA6C0C9-382C-43F6-9E7D-1507D2860F3A}"/>
    <cellStyle name="Normal 2 2 5 2 2 10 2" xfId="20076" xr:uid="{57A9011A-7790-414D-B768-B14EDCD469F7}"/>
    <cellStyle name="Normal 2 2 5 2 2 11" xfId="25289" xr:uid="{B3D9838B-C878-4BB8-8620-A2485B1D3ADD}"/>
    <cellStyle name="Normal 2 2 5 2 2 12" xfId="12563" xr:uid="{E62547C6-F14F-4E3B-968D-CBDC3AD4582E}"/>
    <cellStyle name="Normal 2 2 5 2 2 2" xfId="2730" xr:uid="{00000000-0005-0000-0000-000007040000}"/>
    <cellStyle name="Normal 2 2 5 2 2 2 2" xfId="3176" xr:uid="{00000000-0005-0000-0000-000008040000}"/>
    <cellStyle name="Normal 2 2 5 2 2 2 2 2" xfId="6234" xr:uid="{6C7EA008-DE5E-4CE5-8503-228F9FA94F3B}"/>
    <cellStyle name="Normal 2 2 5 2 2 2 2 2 2" xfId="26821" xr:uid="{E5236E6A-9039-4FE6-A4C3-ACE9611C49A7}"/>
    <cellStyle name="Normal 2 2 5 2 2 2 2 2 3" xfId="28686" xr:uid="{03302CF9-F315-4B2F-8E5C-4E48AD813A6C}"/>
    <cellStyle name="Normal 2 2 5 2 2 2 2 2 4" xfId="15803" xr:uid="{416905B0-8C34-4EAF-B2EE-83FB9633C06C}"/>
    <cellStyle name="Normal 2 2 5 2 2 2 2 3" xfId="8256" xr:uid="{E73053D0-DAB2-4621-8B69-8DD246C60620}"/>
    <cellStyle name="Normal 2 2 5 2 2 2 2 3 2" xfId="28878" xr:uid="{1ED4BFE3-FE82-4BDE-ACD6-1011F9A362EE}"/>
    <cellStyle name="Normal 2 2 5 2 2 2 2 3 3" xfId="18636" xr:uid="{EAC47606-B6CF-468A-A0B3-0B86DB72B3A4}"/>
    <cellStyle name="Normal 2 2 5 2 2 2 2 4" xfId="11089" xr:uid="{1B5921B0-042E-4BDB-A622-B64673E90D06}"/>
    <cellStyle name="Normal 2 2 5 2 2 2 2 4 2" xfId="21469" xr:uid="{BE9D713F-9234-4834-B38E-9DA48C0B1DD5}"/>
    <cellStyle name="Normal 2 2 5 2 2 2 2 5" xfId="24952" xr:uid="{DE9DE425-78CF-4FC1-AAED-4D4D739717D4}"/>
    <cellStyle name="Normal 2 2 5 2 2 2 2 6" xfId="13716" xr:uid="{473BE161-38AF-432F-8D97-A2AA2458A135}"/>
    <cellStyle name="Normal 2 2 5 2 2 2 3" xfId="4295" xr:uid="{B540126C-CBF3-438D-A163-D41348C34181}"/>
    <cellStyle name="Normal 2 2 5 2 2 2 3 2" xfId="9067" xr:uid="{097A9ECB-B1E7-4CAA-B99E-24633FBBF15E}"/>
    <cellStyle name="Normal 2 2 5 2 2 2 3 2 2" xfId="29110" xr:uid="{0E6D8B8B-E350-4037-A369-8C87D3BF7257}"/>
    <cellStyle name="Normal 2 2 5 2 2 2 3 2 3" xfId="19447" xr:uid="{09BAB93A-CF6E-4525-B161-0966E8B021AD}"/>
    <cellStyle name="Normal 2 2 5 2 2 2 3 3" xfId="11900" xr:uid="{722736AD-AB6E-4426-895F-29E7FBD1BDE2}"/>
    <cellStyle name="Normal 2 2 5 2 2 2 3 3 2" xfId="22280" xr:uid="{FAE00ADA-14AF-4963-8C68-F41B80685E82}"/>
    <cellStyle name="Normal 2 2 5 2 2 2 3 4" xfId="25486" xr:uid="{5EE46B0A-EC95-4442-9320-B0A68B5E9303}"/>
    <cellStyle name="Normal 2 2 5 2 2 2 3 5" xfId="16614" xr:uid="{8B60813B-16E3-44F0-9CE2-C44668E98EF0}"/>
    <cellStyle name="Normal 2 2 5 2 2 2 4" xfId="5948" xr:uid="{C3820229-FF72-433D-A0F7-E522322D9E73}"/>
    <cellStyle name="Normal 2 2 5 2 2 2 4 2" xfId="28214" xr:uid="{5C474A1A-0888-4F3F-9585-5D2B42AC5D88}"/>
    <cellStyle name="Normal 2 2 5 2 2 2 4 3" xfId="15401" xr:uid="{B27D4E90-C4DE-4AD3-905D-D5E865380096}"/>
    <cellStyle name="Normal 2 2 5 2 2 2 5" xfId="7854" xr:uid="{C7407326-E5BA-4D95-A4A5-F6DEF9D6133F}"/>
    <cellStyle name="Normal 2 2 5 2 2 2 5 2" xfId="18234" xr:uid="{C5529907-18E8-41F3-A2C9-7638948473D8}"/>
    <cellStyle name="Normal 2 2 5 2 2 2 6" xfId="10687" xr:uid="{238BFC77-4777-4A6A-9924-44C3C272C76A}"/>
    <cellStyle name="Normal 2 2 5 2 2 2 6 2" xfId="21067" xr:uid="{50CA46B1-4DF1-4410-A5D1-5FB3B1C07921}"/>
    <cellStyle name="Normal 2 2 5 2 2 2 7" xfId="23325" xr:uid="{FF8025E8-9FFF-439A-A830-11468EAB3B7A}"/>
    <cellStyle name="Normal 2 2 5 2 2 2 8" xfId="13164" xr:uid="{07BEF1A2-CBC1-4DD8-9A8D-F344C2B7F648}"/>
    <cellStyle name="Normal 2 2 5 2 2 3" xfId="3177" xr:uid="{00000000-0005-0000-0000-000009040000}"/>
    <cellStyle name="Normal 2 2 5 2 2 3 2" xfId="4464" xr:uid="{4CEFD531-6DC8-4933-A08C-FCC744DA5A7D}"/>
    <cellStyle name="Normal 2 2 5 2 2 3 2 2" xfId="9236" xr:uid="{D26C2B8C-A4B5-4B88-9F76-EDAFB6399D4B}"/>
    <cellStyle name="Normal 2 2 5 2 2 3 2 2 2" xfId="29227" xr:uid="{1699C1AA-992C-41F0-94E6-8A2847D9090B}"/>
    <cellStyle name="Normal 2 2 5 2 2 3 2 2 3" xfId="19616" xr:uid="{7A872625-E9BC-4B6B-A66A-768F15486530}"/>
    <cellStyle name="Normal 2 2 5 2 2 3 2 3" xfId="12069" xr:uid="{5B92F177-2D5A-4909-89B3-1C73C0386018}"/>
    <cellStyle name="Normal 2 2 5 2 2 3 2 3 2" xfId="22449" xr:uid="{B8DD0900-B2FD-4D9F-9C96-16C4454F04D0}"/>
    <cellStyle name="Normal 2 2 5 2 2 3 2 4" xfId="27759" xr:uid="{617BC2D3-3736-402C-A14E-BD8CBD267028}"/>
    <cellStyle name="Normal 2 2 5 2 2 3 2 5" xfId="16783" xr:uid="{730C0D24-B54F-46CD-A538-34245F353A95}"/>
    <cellStyle name="Normal 2 2 5 2 2 3 3" xfId="6235" xr:uid="{4AB8D882-A60E-4EB6-8AB6-7631DB8C0179}"/>
    <cellStyle name="Normal 2 2 5 2 2 3 3 2" xfId="27411" xr:uid="{980A3846-D16D-49B0-9460-EEEF04713EB5}"/>
    <cellStyle name="Normal 2 2 5 2 2 3 3 3" xfId="15804" xr:uid="{53818701-DBE8-4EBA-9F51-9F10AAAA5B50}"/>
    <cellStyle name="Normal 2 2 5 2 2 3 4" xfId="8257" xr:uid="{9FE62E0B-3EB9-4966-B5FF-89E32C42A46D}"/>
    <cellStyle name="Normal 2 2 5 2 2 3 4 2" xfId="18637" xr:uid="{8D0FD7B3-3FF0-4ABC-A03E-32CB9E2E3B29}"/>
    <cellStyle name="Normal 2 2 5 2 2 3 5" xfId="11090" xr:uid="{F5CF5724-7237-41E2-8A18-2E5F0F7CC5A2}"/>
    <cellStyle name="Normal 2 2 5 2 2 3 5 2" xfId="21470" xr:uid="{A6498B79-8411-461D-BCA2-11E829EA01DB}"/>
    <cellStyle name="Normal 2 2 5 2 2 3 6" xfId="25511" xr:uid="{5CE8895A-DF4B-402B-AFFE-D89B3D3DAB51}"/>
    <cellStyle name="Normal 2 2 5 2 2 3 7" xfId="13717" xr:uid="{FD766A7C-592C-47E0-BB04-00C6FFDE6298}"/>
    <cellStyle name="Normal 2 2 5 2 2 4" xfId="3175" xr:uid="{00000000-0005-0000-0000-00000A040000}"/>
    <cellStyle name="Normal 2 2 5 2 2 4 2" xfId="6233" xr:uid="{A7711E8B-4397-4BDF-AD2A-074ECE53391E}"/>
    <cellStyle name="Normal 2 2 5 2 2 4 2 2" xfId="28369" xr:uid="{29D270F5-A310-4F02-BDC3-4B9E04FD2489}"/>
    <cellStyle name="Normal 2 2 5 2 2 4 2 3" xfId="15802" xr:uid="{6E468B09-BEE9-40FD-A309-ADB821F82D1E}"/>
    <cellStyle name="Normal 2 2 5 2 2 4 3" xfId="8255" xr:uid="{251BCB6C-9C74-41F5-9B6B-3F6CAFBD93CF}"/>
    <cellStyle name="Normal 2 2 5 2 2 4 3 2" xfId="18635" xr:uid="{EF5D7492-E9DB-416E-A9DB-13FBFE58DFD6}"/>
    <cellStyle name="Normal 2 2 5 2 2 4 4" xfId="11088" xr:uid="{90EA8961-543F-4FB0-86DB-C3E86DA6626D}"/>
    <cellStyle name="Normal 2 2 5 2 2 4 4 2" xfId="21468" xr:uid="{9C0A8CDF-9C8B-41ED-A24F-4B4944E816AD}"/>
    <cellStyle name="Normal 2 2 5 2 2 4 5" xfId="25022" xr:uid="{4366B986-B845-4B6F-B510-64348E684793}"/>
    <cellStyle name="Normal 2 2 5 2 2 4 6" xfId="13715" xr:uid="{D3A59B73-7E2C-41A9-9415-9871974961BE}"/>
    <cellStyle name="Normal 2 2 5 2 2 5" xfId="2644" xr:uid="{00000000-0005-0000-0000-00000B040000}"/>
    <cellStyle name="Normal 2 2 5 2 2 5 2" xfId="5906" xr:uid="{8CFF2044-928E-480E-AD2D-F6E9AAAC0731}"/>
    <cellStyle name="Normal 2 2 5 2 2 5 2 2" xfId="28421" xr:uid="{1FD9D166-1B25-4F69-A805-625EE389A4BE}"/>
    <cellStyle name="Normal 2 2 5 2 2 5 2 3" xfId="15316" xr:uid="{18A76B74-A7D1-40B9-A7B0-E65FCB9E6200}"/>
    <cellStyle name="Normal 2 2 5 2 2 5 3" xfId="7769" xr:uid="{561B5177-5DB6-4A3B-825E-85C2A34917B5}"/>
    <cellStyle name="Normal 2 2 5 2 2 5 3 2" xfId="18149" xr:uid="{E1FBEE2C-F155-4914-BF20-642C45CD70E3}"/>
    <cellStyle name="Normal 2 2 5 2 2 5 4" xfId="10602" xr:uid="{F233F524-3D64-40B5-8F41-A03DCDCE408F}"/>
    <cellStyle name="Normal 2 2 5 2 2 5 4 2" xfId="20982" xr:uid="{31ACCF3E-F9A7-4066-89C7-55F5DE1A6DB4}"/>
    <cellStyle name="Normal 2 2 5 2 2 5 5" xfId="22783" xr:uid="{33145012-9A5C-4EC4-9195-06EAD766F625}"/>
    <cellStyle name="Normal 2 2 5 2 2 5 6" xfId="13033" xr:uid="{E4C07432-1FF4-4055-8D47-7BD5967CA77A}"/>
    <cellStyle name="Normal 2 2 5 2 2 6" xfId="2329" xr:uid="{00000000-0005-0000-0000-000006040000}"/>
    <cellStyle name="Normal 2 2 5 2 2 6 2" xfId="7456" xr:uid="{1D69DBE1-204C-4ECF-84F8-39E0D5C657C3}"/>
    <cellStyle name="Normal 2 2 5 2 2 6 2 2" xfId="17836" xr:uid="{B10D6174-85EF-4414-BBAB-3803E0FD227F}"/>
    <cellStyle name="Normal 2 2 5 2 2 6 3" xfId="10289" xr:uid="{A108CD46-B7BB-4A78-B200-90B98197F584}"/>
    <cellStyle name="Normal 2 2 5 2 2 6 3 2" xfId="20669" xr:uid="{3F335AC8-F248-40E3-B2E6-D5C7CB22C033}"/>
    <cellStyle name="Normal 2 2 5 2 2 6 4" xfId="24774" xr:uid="{ECEC4359-259E-46B9-9A69-007C76C810F6}"/>
    <cellStyle name="Normal 2 2 5 2 2 6 5" xfId="15003" xr:uid="{D26EB9C9-A5A5-477D-8DE0-CA9F13FAE740}"/>
    <cellStyle name="Normal 2 2 5 2 2 7" xfId="3844" xr:uid="{48B02B64-95AB-4344-A2CD-3FB4916A7BE5}"/>
    <cellStyle name="Normal 2 2 5 2 2 7 2" xfId="8677" xr:uid="{94182FF3-87BC-4970-866E-CF8CF44C640C}"/>
    <cellStyle name="Normal 2 2 5 2 2 7 2 2" xfId="19057" xr:uid="{3447AB07-9FBF-4ACC-9111-10A4D5F70B07}"/>
    <cellStyle name="Normal 2 2 5 2 2 7 3" xfId="11510" xr:uid="{09255C7F-7217-4B9F-835A-88A43471D589}"/>
    <cellStyle name="Normal 2 2 5 2 2 7 3 2" xfId="21890" xr:uid="{86631AE6-C195-44A2-8A24-1D1C23EBD51B}"/>
    <cellStyle name="Normal 2 2 5 2 2 7 4" xfId="16224" xr:uid="{49214307-4659-45B4-9EC9-267B3CE81593}"/>
    <cellStyle name="Normal 2 2 5 2 2 8" xfId="5113" xr:uid="{F208FDEE-D072-4013-8D23-5A573C8E96F9}"/>
    <cellStyle name="Normal 2 2 5 2 2 8 2" xfId="14410" xr:uid="{CE95EE3B-CB93-4FA1-937B-6ADAF05098A8}"/>
    <cellStyle name="Normal 2 2 5 2 2 9" xfId="6863" xr:uid="{7C961A93-00CF-4A06-9F89-0EF6C6954FC2}"/>
    <cellStyle name="Normal 2 2 5 2 2 9 2" xfId="17243" xr:uid="{061F0C92-2E17-4F32-9B76-AEC8DE8D16F6}"/>
    <cellStyle name="Normal 2 2 5 2 3" xfId="760" xr:uid="{00000000-0005-0000-0000-0000A4040000}"/>
    <cellStyle name="Normal 2 2 5 2 3 2" xfId="3178" xr:uid="{00000000-0005-0000-0000-00000D040000}"/>
    <cellStyle name="Normal 2 2 5 2 3 2 2" xfId="6236" xr:uid="{7671342D-DC81-4A3A-9A80-C9C93765E2A0}"/>
    <cellStyle name="Normal 2 2 5 2 3 2 2 2" xfId="28011" xr:uid="{836D8BCC-1643-4830-907A-7862E2C668B2}"/>
    <cellStyle name="Normal 2 2 5 2 3 2 2 3" xfId="26479" xr:uid="{F100F1D5-5B19-4463-88C4-B74EA0143188}"/>
    <cellStyle name="Normal 2 2 5 2 3 2 2 4" xfId="15805" xr:uid="{9A7420C0-E4AA-44DA-ADF1-7DE9403863C6}"/>
    <cellStyle name="Normal 2 2 5 2 3 2 3" xfId="8258" xr:uid="{62D90871-03EE-4C54-BC46-D5729DAE5598}"/>
    <cellStyle name="Normal 2 2 5 2 3 2 3 2" xfId="28879" xr:uid="{4DED0B6B-9FA7-428E-96F0-9B44709F3832}"/>
    <cellStyle name="Normal 2 2 5 2 3 2 3 3" xfId="18638" xr:uid="{8C043991-1422-48FE-8C4B-2DCA36E78D10}"/>
    <cellStyle name="Normal 2 2 5 2 3 2 4" xfId="11091" xr:uid="{7D7E4BE2-BBAA-4F30-B227-2DDFF530C835}"/>
    <cellStyle name="Normal 2 2 5 2 3 2 4 2" xfId="21471" xr:uid="{23A50764-7713-42B7-AEC4-7FBE9A4435EF}"/>
    <cellStyle name="Normal 2 2 5 2 3 2 5" xfId="24220" xr:uid="{E0AD114A-9F8E-40D5-A71A-77D28069D632}"/>
    <cellStyle name="Normal 2 2 5 2 3 2 6" xfId="13718" xr:uid="{E40BF5E5-F5FD-45EC-8EB9-E0C8C8215B51}"/>
    <cellStyle name="Normal 2 2 5 2 3 3" xfId="2729" xr:uid="{00000000-0005-0000-0000-00000E040000}"/>
    <cellStyle name="Normal 2 2 5 2 3 3 2" xfId="5947" xr:uid="{15D59BA5-CC2A-4E70-AD10-18DA53AE4161}"/>
    <cellStyle name="Normal 2 2 5 2 3 3 2 2" xfId="27792" xr:uid="{6C2AB6CC-99C9-4393-8A7D-2EDFD118096E}"/>
    <cellStyle name="Normal 2 2 5 2 3 3 2 3" xfId="15400" xr:uid="{045343DE-B0AD-4CB1-BF9A-5B9964515EE2}"/>
    <cellStyle name="Normal 2 2 5 2 3 3 3" xfId="7853" xr:uid="{772F91EC-9462-49A4-B389-FC5D9799408F}"/>
    <cellStyle name="Normal 2 2 5 2 3 3 3 2" xfId="18233" xr:uid="{0A418F78-E7EF-4788-BE47-6DD79556DB4F}"/>
    <cellStyle name="Normal 2 2 5 2 3 3 4" xfId="10686" xr:uid="{8E7377C0-6698-4826-BE3B-764718F6B425}"/>
    <cellStyle name="Normal 2 2 5 2 3 3 4 2" xfId="21066" xr:uid="{25B5D6BC-7AB1-4973-AC78-A67966B40E4C}"/>
    <cellStyle name="Normal 2 2 5 2 3 3 5" xfId="24652" xr:uid="{B06FAF1E-9418-4804-B577-50DC3162DCA1}"/>
    <cellStyle name="Normal 2 2 5 2 3 3 6" xfId="13163" xr:uid="{83653CA8-1C2D-40A3-92EC-1414155DCA11}"/>
    <cellStyle name="Normal 2 2 5 2 3 4" xfId="4163" xr:uid="{37F35E24-F25E-40F3-842E-05A5F5C821FF}"/>
    <cellStyle name="Normal 2 2 5 2 3 4 2" xfId="8935" xr:uid="{EE852AE6-BD3A-4388-979F-311F52C1B4F2}"/>
    <cellStyle name="Normal 2 2 5 2 3 4 2 2" xfId="29032" xr:uid="{09CF3D11-8BF7-4B74-86F0-175816DB2EB9}"/>
    <cellStyle name="Normal 2 2 5 2 3 4 2 3" xfId="19315" xr:uid="{61E1501E-80F9-43E8-90FB-EA5769F2F1A4}"/>
    <cellStyle name="Normal 2 2 5 2 3 4 3" xfId="11768" xr:uid="{645FA318-7E0B-4F97-B2B1-32A0D8564636}"/>
    <cellStyle name="Normal 2 2 5 2 3 4 3 2" xfId="22148" xr:uid="{01D11F82-CED9-4AE0-B555-D8C20066FC17}"/>
    <cellStyle name="Normal 2 2 5 2 3 4 4" xfId="23468" xr:uid="{0868E0E5-911A-40EB-80C8-8DFA30F6D1FE}"/>
    <cellStyle name="Normal 2 2 5 2 3 4 5" xfId="16482" xr:uid="{F8318EE4-F355-4469-A883-5CB5947B91E9}"/>
    <cellStyle name="Normal 2 2 5 2 3 5" xfId="5114" xr:uid="{0C8D7411-411D-41FE-AAD0-B2ED35D09B1B}"/>
    <cellStyle name="Normal 2 2 5 2 3 5 2" xfId="26314" xr:uid="{96BE5A80-2062-4778-88EA-486BBD1F3EA1}"/>
    <cellStyle name="Normal 2 2 5 2 3 5 3" xfId="14411" xr:uid="{2955E46F-4E4A-4AC8-8F0C-475FE29DF94B}"/>
    <cellStyle name="Normal 2 2 5 2 3 6" xfId="6864" xr:uid="{6BED6A0B-5C0A-47D5-93B7-CD5500CA60D4}"/>
    <cellStyle name="Normal 2 2 5 2 3 6 2" xfId="17244" xr:uid="{7DFF01D4-2C2B-4392-B67C-994F7FA3BE53}"/>
    <cellStyle name="Normal 2 2 5 2 3 7" xfId="9697" xr:uid="{52B0BC81-04F4-4B33-9979-ACDD4B8EB1D7}"/>
    <cellStyle name="Normal 2 2 5 2 3 7 2" xfId="20077" xr:uid="{804EB2CB-F995-411C-A8F4-63A50BC1B1A7}"/>
    <cellStyle name="Normal 2 2 5 2 3 8" xfId="24650" xr:uid="{70536A9A-7AC4-45C8-A6EB-22FA6F4C27D7}"/>
    <cellStyle name="Normal 2 2 5 2 3 9" xfId="12721" xr:uid="{41AC3D4C-B08B-4878-83C5-E040CF37AAA5}"/>
    <cellStyle name="Normal 2 2 5 2 4" xfId="3179" xr:uid="{00000000-0005-0000-0000-00000F040000}"/>
    <cellStyle name="Normal 2 2 5 2 4 2" xfId="4465" xr:uid="{C9E20F56-6F54-4390-8DD2-BD82F443448C}"/>
    <cellStyle name="Normal 2 2 5 2 4 2 2" xfId="9237" xr:uid="{035F2F7C-A2D9-4621-981B-9ED88B058A01}"/>
    <cellStyle name="Normal 2 2 5 2 4 2 2 2" xfId="29228" xr:uid="{107E6348-4C31-4C67-816C-E500DEB082EB}"/>
    <cellStyle name="Normal 2 2 5 2 4 2 2 3" xfId="19617" xr:uid="{5B0EC37C-C6A7-4038-B3E1-16AFA0F7A6D1}"/>
    <cellStyle name="Normal 2 2 5 2 4 2 3" xfId="12070" xr:uid="{AD1B2371-1AA9-485E-A275-3F371D70EB60}"/>
    <cellStyle name="Normal 2 2 5 2 4 2 3 2" xfId="22450" xr:uid="{D7A3B5AF-C478-480D-A941-A413733C6753}"/>
    <cellStyle name="Normal 2 2 5 2 4 2 4" xfId="23710" xr:uid="{DCADD72E-4C18-4FE0-BAF5-2D39FBD7A790}"/>
    <cellStyle name="Normal 2 2 5 2 4 2 5" xfId="16784" xr:uid="{2A9033E2-A0E7-4539-806B-2994D8C6B181}"/>
    <cellStyle name="Normal 2 2 5 2 4 3" xfId="6237" xr:uid="{B330333B-27B6-4FAC-8385-CEABC3B157EE}"/>
    <cellStyle name="Normal 2 2 5 2 4 3 2" xfId="26264" xr:uid="{0A0059EA-94E6-4777-9D1E-1CACCCD0996F}"/>
    <cellStyle name="Normal 2 2 5 2 4 3 3" xfId="15806" xr:uid="{31EC71FE-4301-4F53-9405-74A63B9BAF02}"/>
    <cellStyle name="Normal 2 2 5 2 4 4" xfId="8259" xr:uid="{BBE116D6-323F-4AE9-8026-4AC193136700}"/>
    <cellStyle name="Normal 2 2 5 2 4 4 2" xfId="18639" xr:uid="{466EF179-8029-4E30-A575-2104EAFAAAC3}"/>
    <cellStyle name="Normal 2 2 5 2 4 5" xfId="11092" xr:uid="{7C8729C1-B9B4-4171-A2BC-F29947856249}"/>
    <cellStyle name="Normal 2 2 5 2 4 5 2" xfId="21472" xr:uid="{08C40333-5364-4DF0-A9EC-B7A5FCF83B50}"/>
    <cellStyle name="Normal 2 2 5 2 4 6" xfId="24180" xr:uid="{095A202C-2D37-4AD8-A263-3823CC9E4FDD}"/>
    <cellStyle name="Normal 2 2 5 2 4 7" xfId="13719" xr:uid="{7496F5B8-7BE8-4F30-9C2E-499BF2B6BBA6}"/>
    <cellStyle name="Normal 2 2 5 2 5" xfId="2904" xr:uid="{00000000-0005-0000-0000-000010040000}"/>
    <cellStyle name="Normal 2 2 5 2 5 2" xfId="6090" xr:uid="{B6894EBA-D4F9-4999-BA38-F8BC05D7F206}"/>
    <cellStyle name="Normal 2 2 5 2 5 2 2" xfId="27396" xr:uid="{3A1071B8-28F1-4251-B58F-A26EEB6B85D3}"/>
    <cellStyle name="Normal 2 2 5 2 5 2 3" xfId="28217" xr:uid="{34441506-560F-4171-BBE8-0AAA5D1ECF18}"/>
    <cellStyle name="Normal 2 2 5 2 5 2 4" xfId="15568" xr:uid="{62CA858A-BF27-4401-A068-5C1DD0D56A8C}"/>
    <cellStyle name="Normal 2 2 5 2 5 3" xfId="8021" xr:uid="{ABFF5A1F-AC8A-428A-81E7-F5100C25AC5E}"/>
    <cellStyle name="Normal 2 2 5 2 5 3 2" xfId="28418" xr:uid="{A9A0004C-1657-41FC-B526-0C144352775B}"/>
    <cellStyle name="Normal 2 2 5 2 5 3 3" xfId="18401" xr:uid="{B329EB4B-4CDD-4478-A140-93E6FC79ED9F}"/>
    <cellStyle name="Normal 2 2 5 2 5 4" xfId="10854" xr:uid="{EF41FF9B-619E-4262-9FAF-BFEC7836058A}"/>
    <cellStyle name="Normal 2 2 5 2 5 4 2" xfId="21234" xr:uid="{5C53EB13-881F-4012-AE40-2DA4F90E8A9B}"/>
    <cellStyle name="Normal 2 2 5 2 5 5" xfId="24756" xr:uid="{379ECBB2-C11B-4E05-BDE5-CDA1A61439A1}"/>
    <cellStyle name="Normal 2 2 5 2 5 6" xfId="13419" xr:uid="{985B20EB-C0C9-4665-9390-A6FB4B0DC8AD}"/>
    <cellStyle name="Normal 2 2 5 2 6" xfId="2542" xr:uid="{00000000-0005-0000-0000-000011040000}"/>
    <cellStyle name="Normal 2 2 5 2 6 2" xfId="5814" xr:uid="{699F9465-D080-4D69-B966-84E27401E56F}"/>
    <cellStyle name="Normal 2 2 5 2 6 2 2" xfId="26551" xr:uid="{A901BF6F-3A14-42C0-AAC1-638CB8F0D37D}"/>
    <cellStyle name="Normal 2 2 5 2 6 2 3" xfId="15214" xr:uid="{314BD354-BDB8-4B7F-8791-EBEA355B449C}"/>
    <cellStyle name="Normal 2 2 5 2 6 3" xfId="7667" xr:uid="{4EFCA50F-A57C-4BF0-AACF-DE8B26A93024}"/>
    <cellStyle name="Normal 2 2 5 2 6 3 2" xfId="18047" xr:uid="{5A17AA12-2EF9-4B2D-AEDE-9D23EA99FFFD}"/>
    <cellStyle name="Normal 2 2 5 2 6 4" xfId="10500" xr:uid="{7779AA36-E2BC-4556-BF52-9CC53B73E024}"/>
    <cellStyle name="Normal 2 2 5 2 6 4 2" xfId="20880" xr:uid="{E017C883-8967-459B-8370-4FD549B51FE3}"/>
    <cellStyle name="Normal 2 2 5 2 6 5" xfId="25187" xr:uid="{C016EE01-47B7-412F-983D-3432A44E850B}"/>
    <cellStyle name="Normal 2 2 5 2 6 6" xfId="12930" xr:uid="{0C927CA1-CCF6-4AD3-AA05-0017B7A9ACF8}"/>
    <cellStyle name="Normal 2 2 5 2 7" xfId="2236" xr:uid="{00000000-0005-0000-0000-000005040000}"/>
    <cellStyle name="Normal 2 2 5 2 7 2" xfId="7363" xr:uid="{38332203-CE39-491F-B705-EE061949E435}"/>
    <cellStyle name="Normal 2 2 5 2 7 2 2" xfId="17743" xr:uid="{1625E781-7A70-4D28-BC6A-CAD3F0C52332}"/>
    <cellStyle name="Normal 2 2 5 2 7 3" xfId="10196" xr:uid="{0936674F-D607-490D-81FE-F219362C21AA}"/>
    <cellStyle name="Normal 2 2 5 2 7 3 2" xfId="20576" xr:uid="{F7AA5EC4-439C-43F9-80B1-416D193F93D2}"/>
    <cellStyle name="Normal 2 2 5 2 7 4" xfId="25575" xr:uid="{38EB2627-4D0F-4F55-9A6B-CA08DCC73ED4}"/>
    <cellStyle name="Normal 2 2 5 2 7 5" xfId="14910" xr:uid="{B3842ADD-C684-411A-9B67-0279154E1BE5}"/>
    <cellStyle name="Normal 2 2 5 2 8" xfId="3936" xr:uid="{5A51DEF3-B876-43F1-9829-BEC3A0C9779E}"/>
    <cellStyle name="Normal 2 2 5 2 8 2" xfId="8768" xr:uid="{45BD9648-31E1-435B-988C-7BC0F8E084B5}"/>
    <cellStyle name="Normal 2 2 5 2 8 2 2" xfId="19148" xr:uid="{43117BD3-7E0C-4CD9-B8BC-DAC89571DBE1}"/>
    <cellStyle name="Normal 2 2 5 2 8 3" xfId="11601" xr:uid="{E6F14F03-593A-4EE2-906F-5BC7FCFA8EB3}"/>
    <cellStyle name="Normal 2 2 5 2 8 3 2" xfId="21981" xr:uid="{AB3D4F39-0181-4332-B8AA-C4C721A4CF63}"/>
    <cellStyle name="Normal 2 2 5 2 8 4" xfId="16315" xr:uid="{90F3F3A7-1C62-4CFA-8DCD-1D77B804D306}"/>
    <cellStyle name="Normal 2 2 5 2 9" xfId="5112" xr:uid="{AD536F58-F2F5-4216-976C-1862C83261E7}"/>
    <cellStyle name="Normal 2 2 5 2 9 2" xfId="14409" xr:uid="{B6C4BCC5-2CA8-472F-B677-E81C10B28A1F}"/>
    <cellStyle name="Normal 2 2 5 3" xfId="761" xr:uid="{00000000-0005-0000-0000-0000A5040000}"/>
    <cellStyle name="Normal 2 2 5 3 10" xfId="9698" xr:uid="{7364066B-39EB-4205-8D30-52E2A4F8F68A}"/>
    <cellStyle name="Normal 2 2 5 3 10 2" xfId="20078" xr:uid="{071C8EA1-DF30-4A73-B218-94EED7F49BF3}"/>
    <cellStyle name="Normal 2 2 5 3 11" xfId="23342" xr:uid="{ADC48A0A-5EAD-425A-8A31-6ADDEFD672D0}"/>
    <cellStyle name="Normal 2 2 5 3 12" xfId="12562" xr:uid="{967E07C1-269E-4F03-A799-B5DDA3A1E6FE}"/>
    <cellStyle name="Normal 2 2 5 3 2" xfId="2731" xr:uid="{00000000-0005-0000-0000-000013040000}"/>
    <cellStyle name="Normal 2 2 5 3 2 2" xfId="3181" xr:uid="{00000000-0005-0000-0000-000014040000}"/>
    <cellStyle name="Normal 2 2 5 3 2 2 2" xfId="6239" xr:uid="{DB8B03FE-930A-4F15-84FC-735F30984B5F}"/>
    <cellStyle name="Normal 2 2 5 3 2 2 2 2" xfId="25924" xr:uid="{D3BEF0C3-AD65-4847-AC71-7A84C123640C}"/>
    <cellStyle name="Normal 2 2 5 3 2 2 2 3" xfId="27209" xr:uid="{15CF10F0-03CF-434D-8F32-B2134E64E2A2}"/>
    <cellStyle name="Normal 2 2 5 3 2 2 2 4" xfId="15808" xr:uid="{1A18B310-3CF7-44E8-99CD-46036AB80A47}"/>
    <cellStyle name="Normal 2 2 5 3 2 2 3" xfId="8261" xr:uid="{CD516AE2-16B3-44E9-A956-813B74203E9D}"/>
    <cellStyle name="Normal 2 2 5 3 2 2 3 2" xfId="28880" xr:uid="{8FE66765-C894-4BB7-97AA-31AF476783DC}"/>
    <cellStyle name="Normal 2 2 5 3 2 2 3 3" xfId="18641" xr:uid="{DE88CF14-BADD-4144-8754-66F492327E62}"/>
    <cellStyle name="Normal 2 2 5 3 2 2 4" xfId="11094" xr:uid="{D464F0E7-6051-450A-AB71-818208813C24}"/>
    <cellStyle name="Normal 2 2 5 3 2 2 4 2" xfId="21474" xr:uid="{C1B261EA-B1CD-4C88-B775-A81B9A5510EA}"/>
    <cellStyle name="Normal 2 2 5 3 2 2 5" xfId="22852" xr:uid="{15A51E91-E3F0-4BD5-8969-9FF147681057}"/>
    <cellStyle name="Normal 2 2 5 3 2 2 6" xfId="13721" xr:uid="{18CE4E08-502F-4119-A32A-1ECFF10F038B}"/>
    <cellStyle name="Normal 2 2 5 3 2 3" xfId="4296" xr:uid="{30081D75-D036-4F84-B039-199494EB6D8B}"/>
    <cellStyle name="Normal 2 2 5 3 2 3 2" xfId="9068" xr:uid="{1FBBC496-A930-42B3-B32E-489E9E59193B}"/>
    <cellStyle name="Normal 2 2 5 3 2 3 2 2" xfId="29111" xr:uid="{C42E494C-BB98-46ED-AA07-A34B89EC5FF3}"/>
    <cellStyle name="Normal 2 2 5 3 2 3 2 3" xfId="19448" xr:uid="{CA31F7C8-4F7E-4C79-9C83-E7162B8A083A}"/>
    <cellStyle name="Normal 2 2 5 3 2 3 3" xfId="11901" xr:uid="{37E3D474-187A-4129-8F64-8667AD58FC1A}"/>
    <cellStyle name="Normal 2 2 5 3 2 3 3 2" xfId="22281" xr:uid="{F1B6D957-B0FB-48B1-9B05-3F9D1B3777FB}"/>
    <cellStyle name="Normal 2 2 5 3 2 3 4" xfId="23659" xr:uid="{8A391D46-349F-43B1-904A-35F13F278832}"/>
    <cellStyle name="Normal 2 2 5 3 2 3 5" xfId="16615" xr:uid="{A04AA1EA-07D4-4F15-9369-C5E371E72847}"/>
    <cellStyle name="Normal 2 2 5 3 2 4" xfId="5949" xr:uid="{7E671051-7CA9-4436-B501-677FA828FABA}"/>
    <cellStyle name="Normal 2 2 5 3 2 4 2" xfId="26737" xr:uid="{C8492F1F-2400-4772-9838-13D7264B6017}"/>
    <cellStyle name="Normal 2 2 5 3 2 4 3" xfId="15402" xr:uid="{D5CFDB2D-2905-41F1-94D5-6792A993CDA8}"/>
    <cellStyle name="Normal 2 2 5 3 2 5" xfId="7855" xr:uid="{B9528EED-444F-48CF-BC18-E898022C2355}"/>
    <cellStyle name="Normal 2 2 5 3 2 5 2" xfId="18235" xr:uid="{9F20B949-05E0-47E7-81D1-F51539E959E7}"/>
    <cellStyle name="Normal 2 2 5 3 2 6" xfId="10688" xr:uid="{20C5FB41-F9F2-459E-8B5B-C1772DFD6307}"/>
    <cellStyle name="Normal 2 2 5 3 2 6 2" xfId="21068" xr:uid="{9C5859D7-9238-4A3F-9AAC-FEE4E12811D1}"/>
    <cellStyle name="Normal 2 2 5 3 2 7" xfId="24994" xr:uid="{8804360D-1740-4126-BA92-E232EB43B6B3}"/>
    <cellStyle name="Normal 2 2 5 3 2 8" xfId="13165" xr:uid="{9A60082A-A36E-4BBF-AC03-54C96FDD41FC}"/>
    <cellStyle name="Normal 2 2 5 3 3" xfId="3182" xr:uid="{00000000-0005-0000-0000-000015040000}"/>
    <cellStyle name="Normal 2 2 5 3 3 2" xfId="4466" xr:uid="{48360EDB-E31A-4E4C-9125-017600EDB684}"/>
    <cellStyle name="Normal 2 2 5 3 3 2 2" xfId="9238" xr:uid="{9C0C4736-A865-4F40-88B2-84236B470E38}"/>
    <cellStyle name="Normal 2 2 5 3 3 2 2 2" xfId="29229" xr:uid="{00D117A8-9AB0-4313-8331-9C81385CE407}"/>
    <cellStyle name="Normal 2 2 5 3 3 2 2 3" xfId="19618" xr:uid="{910AD68C-77C9-4230-AF2B-6E7B524EACAF}"/>
    <cellStyle name="Normal 2 2 5 3 3 2 3" xfId="12071" xr:uid="{C4328F12-4599-410E-8A77-D36F4B619AB8}"/>
    <cellStyle name="Normal 2 2 5 3 3 2 3 2" xfId="22451" xr:uid="{5235CF13-B17C-4812-BE0D-878DB742EAEE}"/>
    <cellStyle name="Normal 2 2 5 3 3 2 4" xfId="25639" xr:uid="{E472F8F3-6451-4567-99E5-8E594F17347F}"/>
    <cellStyle name="Normal 2 2 5 3 3 2 5" xfId="16785" xr:uid="{50E1624C-D7AB-499D-8F02-19B458F092E0}"/>
    <cellStyle name="Normal 2 2 5 3 3 3" xfId="6240" xr:uid="{B1E78442-0E9C-48A1-AD39-4A87BFDDEB23}"/>
    <cellStyle name="Normal 2 2 5 3 3 3 2" xfId="26046" xr:uid="{9D62ACC6-3D89-4B37-A4D6-BCB14B26C743}"/>
    <cellStyle name="Normal 2 2 5 3 3 3 3" xfId="15809" xr:uid="{A75462E0-4BF7-40B1-B1EA-6ABB72912050}"/>
    <cellStyle name="Normal 2 2 5 3 3 4" xfId="8262" xr:uid="{D894F6F5-39DF-407E-A6FA-8A59032844B1}"/>
    <cellStyle name="Normal 2 2 5 3 3 4 2" xfId="18642" xr:uid="{E1574776-3B4A-4525-BDF2-D34701C8483C}"/>
    <cellStyle name="Normal 2 2 5 3 3 5" xfId="11095" xr:uid="{A5940AD3-DD33-4FCB-95F3-8114BB2A6E13}"/>
    <cellStyle name="Normal 2 2 5 3 3 5 2" xfId="21475" xr:uid="{71838B3F-DCFB-4A51-B536-617B63F5D4A6}"/>
    <cellStyle name="Normal 2 2 5 3 3 6" xfId="22680" xr:uid="{9FE6C028-320A-4758-9989-784CF0F7E6EE}"/>
    <cellStyle name="Normal 2 2 5 3 3 7" xfId="13722" xr:uid="{56555126-E6DA-43E6-8C14-699C3DF768D7}"/>
    <cellStyle name="Normal 2 2 5 3 4" xfId="3180" xr:uid="{00000000-0005-0000-0000-000016040000}"/>
    <cellStyle name="Normal 2 2 5 3 4 2" xfId="6238" xr:uid="{8B5ABF74-57FE-4540-AA36-409E8F3C9144}"/>
    <cellStyle name="Normal 2 2 5 3 4 2 2" xfId="27414" xr:uid="{6052559B-A1CD-461B-A294-F2CB39611FE1}"/>
    <cellStyle name="Normal 2 2 5 3 4 2 3" xfId="15807" xr:uid="{CC3804E1-D2A0-426F-94A6-CB82AD0BC555}"/>
    <cellStyle name="Normal 2 2 5 3 4 3" xfId="8260" xr:uid="{7842EA77-8563-4802-ABC0-662519A88A62}"/>
    <cellStyle name="Normal 2 2 5 3 4 3 2" xfId="18640" xr:uid="{6F1577AA-AA59-4970-9A36-A04A3D7A9682}"/>
    <cellStyle name="Normal 2 2 5 3 4 4" xfId="11093" xr:uid="{D0D32A41-2D50-46A3-AAB5-2582E55B6B1C}"/>
    <cellStyle name="Normal 2 2 5 3 4 4 2" xfId="21473" xr:uid="{8F4D5BCC-6BC0-46E3-BC18-5168F1C8DC9F}"/>
    <cellStyle name="Normal 2 2 5 3 4 5" xfId="23064" xr:uid="{324B6F1E-E111-4D26-A32C-7A93DD29F9D0}"/>
    <cellStyle name="Normal 2 2 5 3 4 6" xfId="13720" xr:uid="{5FCE5877-5A3E-4E51-9459-FD4AE3BDF133}"/>
    <cellStyle name="Normal 2 2 5 3 5" xfId="2585" xr:uid="{00000000-0005-0000-0000-000017040000}"/>
    <cellStyle name="Normal 2 2 5 3 5 2" xfId="5850" xr:uid="{D68FD721-F74C-48E2-88D7-F5695118B0F5}"/>
    <cellStyle name="Normal 2 2 5 3 5 2 2" xfId="25887" xr:uid="{9FC1A68A-E832-41FF-AA80-E4C7B7827E46}"/>
    <cellStyle name="Normal 2 2 5 3 5 2 3" xfId="15257" xr:uid="{637E43A1-21B7-4C71-9C1D-C3534A45FB3A}"/>
    <cellStyle name="Normal 2 2 5 3 5 3" xfId="7710" xr:uid="{0F5B11BE-E2EF-43C9-AA70-9A4C9F809519}"/>
    <cellStyle name="Normal 2 2 5 3 5 3 2" xfId="18090" xr:uid="{6156AA97-D391-4421-A893-BD8A70C4EAEB}"/>
    <cellStyle name="Normal 2 2 5 3 5 4" xfId="10543" xr:uid="{B8B5B2DE-A2D8-4990-9E77-1E27173B78AD}"/>
    <cellStyle name="Normal 2 2 5 3 5 4 2" xfId="20923" xr:uid="{F98BE8BC-826A-459C-97C2-9A46A0929D43}"/>
    <cellStyle name="Normal 2 2 5 3 5 5" xfId="25339" xr:uid="{0B085AAA-4493-420A-8209-AB304D7B5653}"/>
    <cellStyle name="Normal 2 2 5 3 5 6" xfId="12973" xr:uid="{1990347C-B4F0-405F-9412-D0ADB4536A11}"/>
    <cellStyle name="Normal 2 2 5 3 6" xfId="2328" xr:uid="{00000000-0005-0000-0000-000012040000}"/>
    <cellStyle name="Normal 2 2 5 3 6 2" xfId="7455" xr:uid="{355A4282-D669-44C1-88B9-47C0ABA07E59}"/>
    <cellStyle name="Normal 2 2 5 3 6 2 2" xfId="17835" xr:uid="{5730EDBC-00E3-4467-8ED7-7FE48586581A}"/>
    <cellStyle name="Normal 2 2 5 3 6 3" xfId="10288" xr:uid="{4B95A07D-90D6-49F9-A0DB-986EA1DD1001}"/>
    <cellStyle name="Normal 2 2 5 3 6 3 2" xfId="20668" xr:uid="{D368E7D5-52BA-49BF-B3EF-63151CDA95B8}"/>
    <cellStyle name="Normal 2 2 5 3 6 4" xfId="24179" xr:uid="{0A7E2AAE-7538-4048-AC32-7D9E71F9699C}"/>
    <cellStyle name="Normal 2 2 5 3 6 5" xfId="15002" xr:uid="{C196E802-6982-4FEE-A6DE-C08935646518}"/>
    <cellStyle name="Normal 2 2 5 3 7" xfId="3843" xr:uid="{768E63F6-D0FB-427E-8CB9-301DD97546F9}"/>
    <cellStyle name="Normal 2 2 5 3 7 2" xfId="8676" xr:uid="{167A86E3-850C-4FB7-B244-9DC88C162A53}"/>
    <cellStyle name="Normal 2 2 5 3 7 2 2" xfId="19056" xr:uid="{A67BD2E5-D873-4902-9428-AA80E9E8B7EC}"/>
    <cellStyle name="Normal 2 2 5 3 7 3" xfId="11509" xr:uid="{AEDB1F02-3940-466E-9B01-770FF4DEA4CB}"/>
    <cellStyle name="Normal 2 2 5 3 7 3 2" xfId="21889" xr:uid="{54D42C56-CAB3-4AB6-93D6-A2A2C01B576C}"/>
    <cellStyle name="Normal 2 2 5 3 7 4" xfId="16223" xr:uid="{E1E88A3A-BE1A-4FB9-9BF2-494092A3B254}"/>
    <cellStyle name="Normal 2 2 5 3 8" xfId="5115" xr:uid="{30AF1C54-D2CC-4BBB-8766-0A393ABB8F1E}"/>
    <cellStyle name="Normal 2 2 5 3 8 2" xfId="14412" xr:uid="{92177246-C24D-451E-B088-5CFB429D4F22}"/>
    <cellStyle name="Normal 2 2 5 3 9" xfId="6865" xr:uid="{36AD9A76-892B-4B2F-95EB-E6ED3902772F}"/>
    <cellStyle name="Normal 2 2 5 3 9 2" xfId="17245" xr:uid="{48B43599-86E4-4CC4-A5A6-23AB3A005D75}"/>
    <cellStyle name="Normal 2 2 5 4" xfId="762" xr:uid="{00000000-0005-0000-0000-0000A6040000}"/>
    <cellStyle name="Normal 2 2 5 4 2" xfId="3183" xr:uid="{00000000-0005-0000-0000-000019040000}"/>
    <cellStyle name="Normal 2 2 5 4 2 2" xfId="6241" xr:uid="{1951603C-8860-4B43-9F11-FA631F269DCB}"/>
    <cellStyle name="Normal 2 2 5 4 2 2 2" xfId="24823" xr:uid="{730ECCB9-507B-49DD-9658-F3160CBE68C3}"/>
    <cellStyle name="Normal 2 2 5 4 2 2 3" xfId="27804" xr:uid="{2A7317C0-643E-4B65-9A97-C61A8E4A2474}"/>
    <cellStyle name="Normal 2 2 5 4 2 2 4" xfId="15810" xr:uid="{8C99B084-32E9-4F72-BBAE-3EA79CC8675A}"/>
    <cellStyle name="Normal 2 2 5 4 2 3" xfId="8263" xr:uid="{40F4AC1B-381C-40DE-A5E8-9EB8A2D02592}"/>
    <cellStyle name="Normal 2 2 5 4 2 3 2" xfId="28881" xr:uid="{584F1855-DA4E-4BAA-A86E-1BA7CA7C6D36}"/>
    <cellStyle name="Normal 2 2 5 4 2 3 3" xfId="18643" xr:uid="{EBA367CA-932D-4C99-92B1-278D334A4118}"/>
    <cellStyle name="Normal 2 2 5 4 2 4" xfId="11096" xr:uid="{8E68B3E8-45EE-4C41-A096-EF05DFC2B3E7}"/>
    <cellStyle name="Normal 2 2 5 4 2 4 2" xfId="21476" xr:uid="{FE16556B-F3C3-4906-8FDB-D4F60EC5402C}"/>
    <cellStyle name="Normal 2 2 5 4 2 5" xfId="23818" xr:uid="{3D58558D-803C-48F1-BDF8-9829FCD01334}"/>
    <cellStyle name="Normal 2 2 5 4 2 6" xfId="13723" xr:uid="{8EF7EF2B-CED1-4007-921C-297E3E70F6A4}"/>
    <cellStyle name="Normal 2 2 5 4 3" xfId="2728" xr:uid="{00000000-0005-0000-0000-00001A040000}"/>
    <cellStyle name="Normal 2 2 5 4 3 2" xfId="5946" xr:uid="{194E08B5-DDC3-4709-A771-073277BF9EB7}"/>
    <cellStyle name="Normal 2 2 5 4 3 2 2" xfId="25850" xr:uid="{BFA93C3E-B576-4D4B-8F77-BA345C374600}"/>
    <cellStyle name="Normal 2 2 5 4 3 2 3" xfId="15399" xr:uid="{6419E0F1-5E07-422F-A27A-2F6D3E62703E}"/>
    <cellStyle name="Normal 2 2 5 4 3 3" xfId="7852" xr:uid="{B02F34D0-F82F-4006-BE55-77B22080AA39}"/>
    <cellStyle name="Normal 2 2 5 4 3 3 2" xfId="18232" xr:uid="{AE538EAD-83E0-4905-9C2F-9D9D0B4A8B1A}"/>
    <cellStyle name="Normal 2 2 5 4 3 4" xfId="10685" xr:uid="{151237DE-A10E-4667-B110-49113A11C1F7}"/>
    <cellStyle name="Normal 2 2 5 4 3 4 2" xfId="21065" xr:uid="{A6D2CB03-5FCD-4ED8-A370-172DFFE921C3}"/>
    <cellStyle name="Normal 2 2 5 4 3 5" xfId="24051" xr:uid="{7A09FDC2-7262-4111-8465-3F92D0BCCB11}"/>
    <cellStyle name="Normal 2 2 5 4 3 6" xfId="13162" xr:uid="{0C71C1B2-E423-4854-A243-169C4D025D96}"/>
    <cellStyle name="Normal 2 2 5 4 4" xfId="4162" xr:uid="{77133353-D78F-4905-AB0C-35331A391DAE}"/>
    <cellStyle name="Normal 2 2 5 4 4 2" xfId="8934" xr:uid="{700A96BE-64B7-46B2-B34F-A7D01E8A7D5B}"/>
    <cellStyle name="Normal 2 2 5 4 4 2 2" xfId="29031" xr:uid="{41102D16-4D18-4AA7-AFAE-8D8CD5422523}"/>
    <cellStyle name="Normal 2 2 5 4 4 2 3" xfId="19314" xr:uid="{410448E5-A392-466B-BC94-70B7C721290F}"/>
    <cellStyle name="Normal 2 2 5 4 4 3" xfId="11767" xr:uid="{1BCC2FB2-0DDF-4976-BEC7-654235EAADF4}"/>
    <cellStyle name="Normal 2 2 5 4 4 3 2" xfId="22147" xr:uid="{5E9C6438-4F90-47FB-9C1D-9C1AB1F57212}"/>
    <cellStyle name="Normal 2 2 5 4 4 4" xfId="24296" xr:uid="{40F6B065-C3AD-47BD-A6D9-B439B3223AE3}"/>
    <cellStyle name="Normal 2 2 5 4 4 5" xfId="16481" xr:uid="{E90B7D13-EAC6-403B-9F55-E502846BCB6F}"/>
    <cellStyle name="Normal 2 2 5 4 5" xfId="5116" xr:uid="{AEC81067-9A7A-4124-98E2-43D87D46AE9F}"/>
    <cellStyle name="Normal 2 2 5 4 5 2" xfId="26567" xr:uid="{F238678A-0463-4B49-A10A-95980D151155}"/>
    <cellStyle name="Normal 2 2 5 4 5 3" xfId="14413" xr:uid="{5D2AC5DD-A604-416C-BC6E-4E7C1A4EC5F6}"/>
    <cellStyle name="Normal 2 2 5 4 6" xfId="6866" xr:uid="{886AA42F-5700-42A5-BCEC-FFD1618DB977}"/>
    <cellStyle name="Normal 2 2 5 4 6 2" xfId="17246" xr:uid="{49C11A60-C1B1-49EA-A045-52DF8345965B}"/>
    <cellStyle name="Normal 2 2 5 4 7" xfId="9699" xr:uid="{F319566E-35AB-4788-8D03-EF4C36780B1C}"/>
    <cellStyle name="Normal 2 2 5 4 7 2" xfId="20079" xr:uid="{3C8B4D5D-2598-40AF-9298-2D95E104DC58}"/>
    <cellStyle name="Normal 2 2 5 4 8" xfId="22866" xr:uid="{4B2F798E-48E6-4376-A3B5-403E93C6E944}"/>
    <cellStyle name="Normal 2 2 5 4 9" xfId="12720" xr:uid="{20C2B9F8-FAA2-4D18-BA7C-7E931A4EA708}"/>
    <cellStyle name="Normal 2 2 5 5" xfId="763" xr:uid="{00000000-0005-0000-0000-0000A7040000}"/>
    <cellStyle name="Normal 2 2 5 5 2" xfId="4467" xr:uid="{6EF105C5-F98E-47DB-8906-F1ED9D61A476}"/>
    <cellStyle name="Normal 2 2 5 5 2 2" xfId="9239" xr:uid="{A33EEAB3-632D-4D41-97EE-2557CA7BAEEA}"/>
    <cellStyle name="Normal 2 2 5 5 2 2 2" xfId="29230" xr:uid="{FA08C50A-BDB3-4FD3-988D-B5459F856DE8}"/>
    <cellStyle name="Normal 2 2 5 5 2 2 3" xfId="19619" xr:uid="{8F9AB79D-D5A4-4FA3-B6DB-2A7DC7A269D1}"/>
    <cellStyle name="Normal 2 2 5 5 2 3" xfId="12072" xr:uid="{687B8F02-F39D-4E3D-BD9A-2BE9832D13B2}"/>
    <cellStyle name="Normal 2 2 5 5 2 3 2" xfId="22452" xr:uid="{0AA9CD85-3DD1-4BB8-93C5-465249CD6FE7}"/>
    <cellStyle name="Normal 2 2 5 5 2 4" xfId="25658" xr:uid="{34A26308-FF30-49D3-A190-491D65A62777}"/>
    <cellStyle name="Normal 2 2 5 5 2 5" xfId="16786" xr:uid="{1B7185B3-42A4-4084-B389-8624BE7E45D8}"/>
    <cellStyle name="Normal 2 2 5 5 3" xfId="5117" xr:uid="{5586B6F1-6EB7-4B54-B794-696523042EF4}"/>
    <cellStyle name="Normal 2 2 5 5 3 2" xfId="27007" xr:uid="{69CF3FCA-36C7-46CB-BE6F-FC7C88B21E84}"/>
    <cellStyle name="Normal 2 2 5 5 3 3" xfId="14414" xr:uid="{E15399E6-B3FA-4164-8340-785A6301940F}"/>
    <cellStyle name="Normal 2 2 5 5 4" xfId="6867" xr:uid="{BCBDC9C9-7B71-4675-BD67-499DCD957E6B}"/>
    <cellStyle name="Normal 2 2 5 5 4 2" xfId="17247" xr:uid="{5EB6FF69-AA65-4918-A829-595B3426E334}"/>
    <cellStyle name="Normal 2 2 5 5 5" xfId="9700" xr:uid="{E5DAA30A-0FD0-441C-AD84-E2333F9131EE}"/>
    <cellStyle name="Normal 2 2 5 5 5 2" xfId="20080" xr:uid="{A48991DE-F369-4251-93C9-87B4E86CD9E0}"/>
    <cellStyle name="Normal 2 2 5 5 6" xfId="22922" xr:uid="{69AA6929-94EE-4741-AD22-8466135E8D83}"/>
    <cellStyle name="Normal 2 2 5 5 7" xfId="13724" xr:uid="{33796E81-926B-4F0C-9B80-EEC6EC1A3FF2}"/>
    <cellStyle name="Normal 2 2 5 6" xfId="2903" xr:uid="{00000000-0005-0000-0000-00001C040000}"/>
    <cellStyle name="Normal 2 2 5 6 2" xfId="6089" xr:uid="{5EBF24F2-A5F7-415E-8EC7-4EF7815E1FF6}"/>
    <cellStyle name="Normal 2 2 5 6 2 2" xfId="23893" xr:uid="{47724E20-B1D8-4FF8-9A44-2977CC2ED5ED}"/>
    <cellStyle name="Normal 2 2 5 6 2 3" xfId="27546" xr:uid="{936ED42E-6F05-4888-ADC8-F1C177BD493A}"/>
    <cellStyle name="Normal 2 2 5 6 2 4" xfId="15567" xr:uid="{62DEA000-66AC-4EB3-B753-EA729D248FB4}"/>
    <cellStyle name="Normal 2 2 5 6 3" xfId="8020" xr:uid="{E7E24CD5-241B-43B1-9373-D1BEA0AD1624}"/>
    <cellStyle name="Normal 2 2 5 6 3 2" xfId="26164" xr:uid="{4039BB8E-FF83-4E7A-85E1-B650C0CDDBCB}"/>
    <cellStyle name="Normal 2 2 5 6 3 3" xfId="18400" xr:uid="{6B3710D7-32C9-4D74-8EFD-A1B74B09B9DC}"/>
    <cellStyle name="Normal 2 2 5 6 4" xfId="10853" xr:uid="{3C5902C3-3749-417F-A46F-5727D6DE332E}"/>
    <cellStyle name="Normal 2 2 5 6 4 2" xfId="21233" xr:uid="{14C21B63-49BB-49D3-BD82-B5814AAFD628}"/>
    <cellStyle name="Normal 2 2 5 6 5" xfId="23125" xr:uid="{34687A96-B813-4212-AD0D-48688AADA035}"/>
    <cellStyle name="Normal 2 2 5 6 6" xfId="13418" xr:uid="{2753E1A2-47B8-40BE-98AF-F0541F5C54CA}"/>
    <cellStyle name="Normal 2 2 5 7" xfId="2482" xr:uid="{00000000-0005-0000-0000-00001D040000}"/>
    <cellStyle name="Normal 2 2 5 7 2" xfId="5768" xr:uid="{4A390432-8884-423E-B9B8-DF3CF691D005}"/>
    <cellStyle name="Normal 2 2 5 7 2 2" xfId="28051" xr:uid="{17E6F790-6F59-4460-BF00-3CC8B8C84973}"/>
    <cellStyle name="Normal 2 2 5 7 2 3" xfId="15154" xr:uid="{745D3E67-3388-4477-A046-426F2E8DC4A5}"/>
    <cellStyle name="Normal 2 2 5 7 3" xfId="7607" xr:uid="{0DE4E01E-561D-41AE-8E2F-82443E2BA269}"/>
    <cellStyle name="Normal 2 2 5 7 3 2" xfId="17987" xr:uid="{CD67BFA3-8443-427E-A786-7416E437B4C1}"/>
    <cellStyle name="Normal 2 2 5 7 4" xfId="10440" xr:uid="{2A472E99-D46F-4FEF-BCB4-06BC1102DFB8}"/>
    <cellStyle name="Normal 2 2 5 7 4 2" xfId="20820" xr:uid="{84EF04DB-5612-47F1-8449-AB9707B7515D}"/>
    <cellStyle name="Normal 2 2 5 7 5" xfId="24298" xr:uid="{58332B38-93AE-40A3-800E-DF25E10ADFE2}"/>
    <cellStyle name="Normal 2 2 5 7 6" xfId="12870" xr:uid="{B252D23F-8BE9-4572-AC13-4923320155E8}"/>
    <cellStyle name="Normal 2 2 5 8" xfId="2176" xr:uid="{00000000-0005-0000-0000-000004040000}"/>
    <cellStyle name="Normal 2 2 5 8 2" xfId="7303" xr:uid="{E95D3F49-3715-4CC7-A760-1E140DD01628}"/>
    <cellStyle name="Normal 2 2 5 8 2 2" xfId="17683" xr:uid="{3DCD14CB-512D-4F5B-AB36-25B9A2B1A262}"/>
    <cellStyle name="Normal 2 2 5 8 3" xfId="10136" xr:uid="{34BE5327-55F5-41C8-A25C-E16241875A20}"/>
    <cellStyle name="Normal 2 2 5 8 3 2" xfId="20516" xr:uid="{D18D9AEB-696E-40E6-8BB4-B1F1C23B2141}"/>
    <cellStyle name="Normal 2 2 5 8 4" xfId="24766" xr:uid="{DA8323EF-60AF-49BB-88C6-1245D70DB90C}"/>
    <cellStyle name="Normal 2 2 5 8 5" xfId="14850" xr:uid="{C731C4D0-E9A2-419F-AD92-A0D07C4414C0}"/>
    <cellStyle name="Normal 2 2 5 9" xfId="3935" xr:uid="{0CB43D55-C908-4083-90A9-FF89559DAF34}"/>
    <cellStyle name="Normal 2 2 5 9 2" xfId="8767" xr:uid="{9F9FAC5D-37F6-40AA-9967-869F0D927DD2}"/>
    <cellStyle name="Normal 2 2 5 9 2 2" xfId="19147" xr:uid="{5514B669-E767-4499-AE3E-0C65A0D899B3}"/>
    <cellStyle name="Normal 2 2 5 9 3" xfId="11600" xr:uid="{011153CF-D809-4F59-B9C6-B301772D3432}"/>
    <cellStyle name="Normal 2 2 5 9 3 2" xfId="21980" xr:uid="{9D4DC90F-B09C-4CAA-B5EF-B0F3321B0EB2}"/>
    <cellStyle name="Normal 2 2 5 9 4" xfId="16314" xr:uid="{88DA3762-90A6-4CF1-B16D-09030B2DDF34}"/>
    <cellStyle name="Normal 2 2 6" xfId="764" xr:uid="{00000000-0005-0000-0000-0000A8040000}"/>
    <cellStyle name="Normal 2 2 6 10" xfId="5118" xr:uid="{963C3611-457B-4569-9F08-D8E8B6B58342}"/>
    <cellStyle name="Normal 2 2 6 10 2" xfId="14415" xr:uid="{A46C3E5A-5793-40F1-80F7-CEA82D001334}"/>
    <cellStyle name="Normal 2 2 6 11" xfId="6868" xr:uid="{5FEA02F8-0573-4DF3-B8C8-ECF91A657C05}"/>
    <cellStyle name="Normal 2 2 6 11 2" xfId="17248" xr:uid="{D37E6582-3CA9-4B8C-94C3-9E8894BC760E}"/>
    <cellStyle name="Normal 2 2 6 12" xfId="9701" xr:uid="{19674DD6-4C3E-4791-A002-9C3FE93F77E3}"/>
    <cellStyle name="Normal 2 2 6 12 2" xfId="20081" xr:uid="{6958F3CF-F388-4709-895B-4FB571CA5106}"/>
    <cellStyle name="Normal 2 2 6 13" xfId="25253" xr:uid="{D795BB32-094F-4C86-BC01-958FFB9C5DA9}"/>
    <cellStyle name="Normal 2 2 6 14" xfId="12414" xr:uid="{44E83FAC-7AE5-4706-93FB-4C37F2A24648}"/>
    <cellStyle name="Normal 2 2 6 2" xfId="765" xr:uid="{00000000-0005-0000-0000-0000A9040000}"/>
    <cellStyle name="Normal 2 2 6 2 10" xfId="6869" xr:uid="{3D25EB71-E123-4DA6-8867-E93C8C63A2E3}"/>
    <cellStyle name="Normal 2 2 6 2 10 2" xfId="17249" xr:uid="{E1E7A34D-89B4-4BAB-B149-E73C0ADA2435}"/>
    <cellStyle name="Normal 2 2 6 2 11" xfId="9702" xr:uid="{E4D72A88-F242-45A2-AF03-6E6DE242E170}"/>
    <cellStyle name="Normal 2 2 6 2 11 2" xfId="20082" xr:uid="{51D6941F-2BF5-47B5-BBA8-EE83DA7B171E}"/>
    <cellStyle name="Normal 2 2 6 2 12" xfId="23918" xr:uid="{A8E6C921-55CD-4646-A6F9-922F714D4063}"/>
    <cellStyle name="Normal 2 2 6 2 13" xfId="12474" xr:uid="{9151C67F-479C-4177-953B-C2BE45EDB23B}"/>
    <cellStyle name="Normal 2 2 6 2 2" xfId="766" xr:uid="{00000000-0005-0000-0000-0000AA040000}"/>
    <cellStyle name="Normal 2 2 6 2 2 10" xfId="13039" xr:uid="{C6C09AA8-2003-487A-87BA-B7B0FAA2F8B5}"/>
    <cellStyle name="Normal 2 2 6 2 2 2" xfId="2734" xr:uid="{00000000-0005-0000-0000-000021040000}"/>
    <cellStyle name="Normal 2 2 6 2 2 2 2" xfId="3186" xr:uid="{00000000-0005-0000-0000-000022040000}"/>
    <cellStyle name="Normal 2 2 6 2 2 2 2 2" xfId="6244" xr:uid="{AD0C4932-6D7D-45FF-85DF-AAE8C9EA23D8}"/>
    <cellStyle name="Normal 2 2 6 2 2 2 2 2 2" xfId="27150" xr:uid="{50074F00-B7A6-44B7-B7EE-7797041DF54E}"/>
    <cellStyle name="Normal 2 2 6 2 2 2 2 2 3" xfId="15813" xr:uid="{21D05B74-0F66-4913-B9C8-FE2ACC83066F}"/>
    <cellStyle name="Normal 2 2 6 2 2 2 2 3" xfId="8266" xr:uid="{EC5842AE-3220-4106-A5C5-E92115EC7152}"/>
    <cellStyle name="Normal 2 2 6 2 2 2 2 3 2" xfId="18646" xr:uid="{9B71C1FF-CEE3-46D2-9EC3-B4FC49711316}"/>
    <cellStyle name="Normal 2 2 6 2 2 2 2 4" xfId="11099" xr:uid="{FD0D516E-94FA-4926-BBCE-687265CCF63B}"/>
    <cellStyle name="Normal 2 2 6 2 2 2 2 4 2" xfId="21479" xr:uid="{58EA81BF-3C1A-4F49-A09F-A50F221FC2AA}"/>
    <cellStyle name="Normal 2 2 6 2 2 2 2 5" xfId="24992" xr:uid="{4D3465FE-A1E3-41C6-AF78-D9DD9050CBDE}"/>
    <cellStyle name="Normal 2 2 6 2 2 2 2 6" xfId="13727" xr:uid="{6054E1E5-3A1C-41B9-9D4F-531A4D34C959}"/>
    <cellStyle name="Normal 2 2 6 2 2 2 3" xfId="4298" xr:uid="{70482B53-70A1-4B5D-99B7-DD017FD52066}"/>
    <cellStyle name="Normal 2 2 6 2 2 2 3 2" xfId="9070" xr:uid="{E39B3821-DC4A-4CD8-BA22-FE8CF90F1E9B}"/>
    <cellStyle name="Normal 2 2 6 2 2 2 3 2 2" xfId="29113" xr:uid="{B630E78A-E8CD-4621-92F0-AFAA140F60BC}"/>
    <cellStyle name="Normal 2 2 6 2 2 2 3 2 3" xfId="19450" xr:uid="{49C90A69-C5F7-42DA-8D66-FC010CF0F29A}"/>
    <cellStyle name="Normal 2 2 6 2 2 2 3 3" xfId="11903" xr:uid="{FC8C8A4E-DEB0-47FC-A467-D5BB486E720F}"/>
    <cellStyle name="Normal 2 2 6 2 2 2 3 3 2" xfId="22283" xr:uid="{BF976083-E227-4568-B232-D920E2A986BA}"/>
    <cellStyle name="Normal 2 2 6 2 2 2 3 4" xfId="23770" xr:uid="{5E91C338-38B0-4726-BB70-68BE97A3DB18}"/>
    <cellStyle name="Normal 2 2 6 2 2 2 3 5" xfId="16617" xr:uid="{C6E80A27-4F98-4B01-92FF-ECD8A3A9D98D}"/>
    <cellStyle name="Normal 2 2 6 2 2 2 4" xfId="5952" xr:uid="{3052317B-4ACE-4D92-9E73-CC7F606D84E5}"/>
    <cellStyle name="Normal 2 2 6 2 2 2 4 2" xfId="27965" xr:uid="{D293BB91-55CD-455D-84B2-910305AD7982}"/>
    <cellStyle name="Normal 2 2 6 2 2 2 4 3" xfId="15405" xr:uid="{357E2879-E375-48F2-B18C-786A8BE0AC87}"/>
    <cellStyle name="Normal 2 2 6 2 2 2 5" xfId="7858" xr:uid="{75ADF92F-1C62-4755-B9F4-BA8CED2C6F9A}"/>
    <cellStyle name="Normal 2 2 6 2 2 2 5 2" xfId="18238" xr:uid="{560DB7D1-9160-404C-A82B-C71C75325B94}"/>
    <cellStyle name="Normal 2 2 6 2 2 2 6" xfId="10691" xr:uid="{3BF80FF2-EE14-4358-9740-D031390778AD}"/>
    <cellStyle name="Normal 2 2 6 2 2 2 6 2" xfId="21071" xr:uid="{CC051CC2-70E2-41D5-8D15-E09A1984C4CE}"/>
    <cellStyle name="Normal 2 2 6 2 2 2 7" xfId="23229" xr:uid="{A3F8BC61-0040-46E9-9D9A-71B8E0B6FC3E}"/>
    <cellStyle name="Normal 2 2 6 2 2 2 8" xfId="13168" xr:uid="{36D1DFF4-3C3E-45FF-A1FB-B26D221FADE5}"/>
    <cellStyle name="Normal 2 2 6 2 2 3" xfId="3187" xr:uid="{00000000-0005-0000-0000-000023040000}"/>
    <cellStyle name="Normal 2 2 6 2 2 3 2" xfId="4468" xr:uid="{9F706EB4-3E25-430F-B16D-860B5C446E2D}"/>
    <cellStyle name="Normal 2 2 6 2 2 3 2 2" xfId="9240" xr:uid="{626BCD8E-F62B-431A-92C2-B3036586811D}"/>
    <cellStyle name="Normal 2 2 6 2 2 3 2 2 2" xfId="19620" xr:uid="{4440CC75-0F12-4B17-A8B4-2E4262CF94A2}"/>
    <cellStyle name="Normal 2 2 6 2 2 3 2 3" xfId="12073" xr:uid="{6976AB79-28D1-4313-9D9D-EE3228E88690}"/>
    <cellStyle name="Normal 2 2 6 2 2 3 2 3 2" xfId="22453" xr:uid="{AFF673AF-9A91-475F-A847-FDD2B73391C5}"/>
    <cellStyle name="Normal 2 2 6 2 2 3 2 4" xfId="28388" xr:uid="{34CCB7B2-EF32-494A-A790-0975D246D964}"/>
    <cellStyle name="Normal 2 2 6 2 2 3 2 5" xfId="16787" xr:uid="{06D884E1-120A-4C5C-99F1-B742502A02A6}"/>
    <cellStyle name="Normal 2 2 6 2 2 3 3" xfId="6245" xr:uid="{588A55D6-FA85-40D2-BD6B-4D546EA36041}"/>
    <cellStyle name="Normal 2 2 6 2 2 3 3 2" xfId="15814" xr:uid="{DFA3218D-5260-4ABA-8FB3-9E54709A2A73}"/>
    <cellStyle name="Normal 2 2 6 2 2 3 4" xfId="8267" xr:uid="{7B04C46E-C949-4AAC-8114-16C9A0D5B1C2}"/>
    <cellStyle name="Normal 2 2 6 2 2 3 4 2" xfId="18647" xr:uid="{2BEABE8C-5B00-44AF-BC19-87A336C6C6F7}"/>
    <cellStyle name="Normal 2 2 6 2 2 3 5" xfId="11100" xr:uid="{634EC4EC-2AB5-4E9C-AFA6-557EAA7DB02E}"/>
    <cellStyle name="Normal 2 2 6 2 2 3 5 2" xfId="21480" xr:uid="{0F266ECA-43DD-4F95-BF92-0A9529C912E7}"/>
    <cellStyle name="Normal 2 2 6 2 2 3 6" xfId="24170" xr:uid="{F9F51225-FAF4-4573-9B50-F709384D7D8A}"/>
    <cellStyle name="Normal 2 2 6 2 2 3 7" xfId="13728" xr:uid="{77C1E2BD-82DE-453E-821D-CF20ABE192B7}"/>
    <cellStyle name="Normal 2 2 6 2 2 4" xfId="3185" xr:uid="{00000000-0005-0000-0000-000024040000}"/>
    <cellStyle name="Normal 2 2 6 2 2 4 2" xfId="6243" xr:uid="{2A8E5E90-9539-4B84-AD45-32A9701D3B66}"/>
    <cellStyle name="Normal 2 2 6 2 2 4 2 2" xfId="27301" xr:uid="{C9885A2D-4594-47B4-813F-010CB33AF84D}"/>
    <cellStyle name="Normal 2 2 6 2 2 4 2 3" xfId="15812" xr:uid="{CAFF16BF-785D-47CA-A25D-D4873D53C3D1}"/>
    <cellStyle name="Normal 2 2 6 2 2 4 3" xfId="8265" xr:uid="{CB5E47CD-F8C8-4093-B0AB-98AAE247F142}"/>
    <cellStyle name="Normal 2 2 6 2 2 4 3 2" xfId="18645" xr:uid="{D5E581C6-8383-438A-88CD-98AA4648A428}"/>
    <cellStyle name="Normal 2 2 6 2 2 4 4" xfId="11098" xr:uid="{04BE5186-75EA-4DD8-9595-CCB6BBA4325B}"/>
    <cellStyle name="Normal 2 2 6 2 2 4 4 2" xfId="21478" xr:uid="{1EDBFEEC-CF17-428D-A193-EEFD8FDBF989}"/>
    <cellStyle name="Normal 2 2 6 2 2 4 5" xfId="22656" xr:uid="{89EEE988-C7B4-44E2-B02C-0B26E4142BCE}"/>
    <cellStyle name="Normal 2 2 6 2 2 4 6" xfId="13726" xr:uid="{E33E1944-7C5B-43EA-A3F5-149F469C4A34}"/>
    <cellStyle name="Normal 2 2 6 2 2 5" xfId="4240" xr:uid="{C987F1B0-2E5B-42A7-A1CE-2CCB722445F0}"/>
    <cellStyle name="Normal 2 2 6 2 2 5 2" xfId="9012" xr:uid="{F1558F9D-14DE-4FD8-9F11-E719FFE7CEC9}"/>
    <cellStyle name="Normal 2 2 6 2 2 5 2 2" xfId="29083" xr:uid="{901F85F1-8FE2-4259-8CF1-6486B2548664}"/>
    <cellStyle name="Normal 2 2 6 2 2 5 2 3" xfId="19392" xr:uid="{1A6E6247-957C-4A52-9D3D-5ECE6DF29868}"/>
    <cellStyle name="Normal 2 2 6 2 2 5 3" xfId="11845" xr:uid="{24DB62B2-CCAF-42DD-A7C3-53BFACCEA2A6}"/>
    <cellStyle name="Normal 2 2 6 2 2 5 3 2" xfId="22225" xr:uid="{CFE1E20C-CAF7-4F2B-8993-86C72C759AE2}"/>
    <cellStyle name="Normal 2 2 6 2 2 5 4" xfId="22968" xr:uid="{F402148D-9F30-4898-9769-13A6AF983969}"/>
    <cellStyle name="Normal 2 2 6 2 2 5 5" xfId="16559" xr:uid="{9069D65B-E891-473A-93CF-206B85BD6F29}"/>
    <cellStyle name="Normal 2 2 6 2 2 6" xfId="5120" xr:uid="{2AB213AF-C036-44A2-AD92-ABE31F4DA537}"/>
    <cellStyle name="Normal 2 2 6 2 2 6 2" xfId="28674" xr:uid="{CA60F94B-B0F4-4238-BC1D-2BAB1101304D}"/>
    <cellStyle name="Normal 2 2 6 2 2 6 3" xfId="14417" xr:uid="{38FFA62B-DF00-4F78-B291-AF7FDEA7AFA5}"/>
    <cellStyle name="Normal 2 2 6 2 2 7" xfId="6870" xr:uid="{A845BEFA-03CC-4BB1-9EEF-DA2A2589E9AF}"/>
    <cellStyle name="Normal 2 2 6 2 2 7 2" xfId="17250" xr:uid="{82EB7736-7837-4160-8848-C257F564622C}"/>
    <cellStyle name="Normal 2 2 6 2 2 8" xfId="9703" xr:uid="{0139A402-3057-4F0C-A432-25E4414F7185}"/>
    <cellStyle name="Normal 2 2 6 2 2 8 2" xfId="20083" xr:uid="{499B1975-E5B7-4FFE-921C-B0F6B80AAF86}"/>
    <cellStyle name="Normal 2 2 6 2 2 9" xfId="23061" xr:uid="{00BA739F-A1B6-45AE-B77E-887C9215CE59}"/>
    <cellStyle name="Normal 2 2 6 2 3" xfId="2733" xr:uid="{00000000-0005-0000-0000-000025040000}"/>
    <cellStyle name="Normal 2 2 6 2 3 2" xfId="3188" xr:uid="{00000000-0005-0000-0000-000026040000}"/>
    <cellStyle name="Normal 2 2 6 2 3 2 2" xfId="6246" xr:uid="{6F054504-44BD-42C9-AA22-3BACA7580360}"/>
    <cellStyle name="Normal 2 2 6 2 3 2 2 2" xfId="27044" xr:uid="{B09CE0B7-9764-4C38-A97E-326DCABF4D55}"/>
    <cellStyle name="Normal 2 2 6 2 3 2 2 3" xfId="15815" xr:uid="{8E04F228-6530-4F9F-8C15-F0254E2E4C5B}"/>
    <cellStyle name="Normal 2 2 6 2 3 2 3" xfId="8268" xr:uid="{958EE414-6373-4CF0-BE5F-00C92EC1F8AE}"/>
    <cellStyle name="Normal 2 2 6 2 3 2 3 2" xfId="18648" xr:uid="{2197D954-3104-4564-940C-6D59F2A9951B}"/>
    <cellStyle name="Normal 2 2 6 2 3 2 4" xfId="11101" xr:uid="{2D6C8B97-62B4-4DA8-B626-48719476F097}"/>
    <cellStyle name="Normal 2 2 6 2 3 2 4 2" xfId="21481" xr:uid="{0F40F97C-771B-4BE9-B3DA-F94A78A64F4D}"/>
    <cellStyle name="Normal 2 2 6 2 3 2 5" xfId="24073" xr:uid="{2ADE2F64-E9FA-4AC1-A03B-726B30D3571D}"/>
    <cellStyle name="Normal 2 2 6 2 3 2 6" xfId="13729" xr:uid="{42E91BD0-98A8-4495-8410-CE6A9CCE515B}"/>
    <cellStyle name="Normal 2 2 6 2 3 3" xfId="4297" xr:uid="{971A6F7A-AFB2-436A-B1B4-F113D718A7CF}"/>
    <cellStyle name="Normal 2 2 6 2 3 3 2" xfId="9069" xr:uid="{664D73D2-B22A-4951-A932-61284E659329}"/>
    <cellStyle name="Normal 2 2 6 2 3 3 2 2" xfId="29112" xr:uid="{2EC97DC1-4E87-49EB-BA04-9DA8D87362C3}"/>
    <cellStyle name="Normal 2 2 6 2 3 3 2 3" xfId="19449" xr:uid="{F62BBE02-DD83-406E-8C47-EB15CFE84F51}"/>
    <cellStyle name="Normal 2 2 6 2 3 3 3" xfId="11902" xr:uid="{B4FD6724-96A8-4636-A3CF-3C2DB3575377}"/>
    <cellStyle name="Normal 2 2 6 2 3 3 3 2" xfId="22282" xr:uid="{C9F376C1-F2A5-4B82-B967-60AB0472EEBC}"/>
    <cellStyle name="Normal 2 2 6 2 3 3 4" xfId="25397" xr:uid="{C156F1EE-186D-4F4C-B11D-8B8C506CE98A}"/>
    <cellStyle name="Normal 2 2 6 2 3 3 5" xfId="16616" xr:uid="{0F5FF7D2-38FE-4AB6-A99B-644E84413363}"/>
    <cellStyle name="Normal 2 2 6 2 3 4" xfId="5951" xr:uid="{AC2A7418-B225-47BA-A828-664C24550EAE}"/>
    <cellStyle name="Normal 2 2 6 2 3 4 2" xfId="28502" xr:uid="{B7A50A0D-E2FE-433F-B8D8-BFA030882AE8}"/>
    <cellStyle name="Normal 2 2 6 2 3 4 3" xfId="15404" xr:uid="{715501F0-E530-4AC1-94F3-5862C988D81A}"/>
    <cellStyle name="Normal 2 2 6 2 3 5" xfId="7857" xr:uid="{B7136852-1C74-4FB9-9486-4B100A271B7C}"/>
    <cellStyle name="Normal 2 2 6 2 3 5 2" xfId="18237" xr:uid="{BCC193CB-6993-412F-8996-9DE28E9B55B3}"/>
    <cellStyle name="Normal 2 2 6 2 3 6" xfId="10690" xr:uid="{E319272E-D7B6-47E6-9583-74C368EB9E3C}"/>
    <cellStyle name="Normal 2 2 6 2 3 6 2" xfId="21070" xr:uid="{60857185-132A-4FC6-BB37-40FA88651047}"/>
    <cellStyle name="Normal 2 2 6 2 3 7" xfId="24194" xr:uid="{10413727-889B-4E73-82C4-8EF0C680A434}"/>
    <cellStyle name="Normal 2 2 6 2 3 8" xfId="13167" xr:uid="{AD3103CD-2764-44EF-A605-330EB883A61C}"/>
    <cellStyle name="Normal 2 2 6 2 4" xfId="3189" xr:uid="{00000000-0005-0000-0000-000027040000}"/>
    <cellStyle name="Normal 2 2 6 2 4 2" xfId="4469" xr:uid="{0FE318DA-088C-485A-9A1B-148B7C2FE78A}"/>
    <cellStyle name="Normal 2 2 6 2 4 2 2" xfId="9241" xr:uid="{1048AA4A-927C-4161-B8BB-3B6E9A954A52}"/>
    <cellStyle name="Normal 2 2 6 2 4 2 2 2" xfId="19621" xr:uid="{B32F671F-47F0-485A-AD34-1D9C1F20B811}"/>
    <cellStyle name="Normal 2 2 6 2 4 2 3" xfId="12074" xr:uid="{3D4A563A-E48D-426B-B3CF-A2C49C71920E}"/>
    <cellStyle name="Normal 2 2 6 2 4 2 3 2" xfId="22454" xr:uid="{FACF2DD8-440B-42CC-8206-6CB96D9402EF}"/>
    <cellStyle name="Normal 2 2 6 2 4 2 4" xfId="26099" xr:uid="{12BA8A78-EF3A-4DDE-A8F1-C8052A647E4C}"/>
    <cellStyle name="Normal 2 2 6 2 4 2 5" xfId="16788" xr:uid="{0D39DC32-5A39-4618-97E4-409303F50F70}"/>
    <cellStyle name="Normal 2 2 6 2 4 3" xfId="6247" xr:uid="{711A1386-EB02-4D5C-A20F-D17AE5B53DD3}"/>
    <cellStyle name="Normal 2 2 6 2 4 3 2" xfId="15816" xr:uid="{1C57A535-5B59-4BC1-BD8C-FB0C0791E824}"/>
    <cellStyle name="Normal 2 2 6 2 4 4" xfId="8269" xr:uid="{C032CA74-9A89-4596-905A-E92BDA9AA145}"/>
    <cellStyle name="Normal 2 2 6 2 4 4 2" xfId="18649" xr:uid="{6A0B5E13-E75A-4ABD-A2F5-0CF3D9E12D20}"/>
    <cellStyle name="Normal 2 2 6 2 4 5" xfId="11102" xr:uid="{AE521645-6376-4B68-9A18-6D97632553A1}"/>
    <cellStyle name="Normal 2 2 6 2 4 5 2" xfId="21482" xr:uid="{69CC3F87-EA81-43EF-A06E-E7DDC96303E6}"/>
    <cellStyle name="Normal 2 2 6 2 4 6" xfId="24587" xr:uid="{FF1DE5FA-250B-4680-A117-DD1976C4FB09}"/>
    <cellStyle name="Normal 2 2 6 2 4 7" xfId="13730" xr:uid="{6EDAE71B-7F2C-473D-8893-EC43F0AADD36}"/>
    <cellStyle name="Normal 2 2 6 2 5" xfId="3184" xr:uid="{00000000-0005-0000-0000-000028040000}"/>
    <cellStyle name="Normal 2 2 6 2 5 2" xfId="6242" xr:uid="{0A6AF36F-1FBE-4672-9497-A7A631B308EF}"/>
    <cellStyle name="Normal 2 2 6 2 5 2 2" xfId="28740" xr:uid="{5B69F3EA-6B7C-4570-96D6-F27E5C980BFA}"/>
    <cellStyle name="Normal 2 2 6 2 5 2 3" xfId="15811" xr:uid="{76BEACCF-5F5B-43F0-A5B2-36DD6C9A2D9E}"/>
    <cellStyle name="Normal 2 2 6 2 5 3" xfId="8264" xr:uid="{4773665C-A056-459D-95BA-07D0BBFBC73C}"/>
    <cellStyle name="Normal 2 2 6 2 5 3 2" xfId="18644" xr:uid="{62DA566B-022B-451E-8489-F37EF95BA9A5}"/>
    <cellStyle name="Normal 2 2 6 2 5 4" xfId="11097" xr:uid="{B74255FD-0D92-4281-B1B5-831CF4D94442}"/>
    <cellStyle name="Normal 2 2 6 2 5 4 2" xfId="21477" xr:uid="{A43FA36F-DA4D-490C-8866-7682DC51D2EF}"/>
    <cellStyle name="Normal 2 2 6 2 5 5" xfId="23157" xr:uid="{B356D2F5-AA29-4BBE-B9FC-DF53537515CA}"/>
    <cellStyle name="Normal 2 2 6 2 5 6" xfId="13725" xr:uid="{5F8A1828-3379-4FFE-B5D9-A6997C5EE36D}"/>
    <cellStyle name="Normal 2 2 6 2 6" xfId="2548" xr:uid="{00000000-0005-0000-0000-000029040000}"/>
    <cellStyle name="Normal 2 2 6 2 6 2" xfId="5820" xr:uid="{DD46955B-644F-4075-A62A-01E728825C72}"/>
    <cellStyle name="Normal 2 2 6 2 6 2 2" xfId="25836" xr:uid="{5E225070-8700-47AE-BB40-F61DFAA2BB7A}"/>
    <cellStyle name="Normal 2 2 6 2 6 2 3" xfId="15220" xr:uid="{8A69E008-98E6-4611-A97E-CA5A9C690D18}"/>
    <cellStyle name="Normal 2 2 6 2 6 3" xfId="7673" xr:uid="{B7E0288A-09BC-41C8-AB8F-012493240ADF}"/>
    <cellStyle name="Normal 2 2 6 2 6 3 2" xfId="18053" xr:uid="{95348DC5-EF32-4E6B-8E46-E8DE78003BA3}"/>
    <cellStyle name="Normal 2 2 6 2 6 4" xfId="10506" xr:uid="{FCB519E4-A7D2-4946-B317-76A86C0422BC}"/>
    <cellStyle name="Normal 2 2 6 2 6 4 2" xfId="20886" xr:uid="{5A289437-DBA2-47F5-9B82-C36081E33F26}"/>
    <cellStyle name="Normal 2 2 6 2 6 5" xfId="23899" xr:uid="{E133F193-E3D0-4080-B01F-FB88A4225A0F}"/>
    <cellStyle name="Normal 2 2 6 2 6 6" xfId="12936" xr:uid="{E970EBAC-FD52-4F8B-B9ED-263F3F3A9451}"/>
    <cellStyle name="Normal 2 2 6 2 7" xfId="2242" xr:uid="{00000000-0005-0000-0000-00001F040000}"/>
    <cellStyle name="Normal 2 2 6 2 7 2" xfId="7369" xr:uid="{E3315053-3F06-4B6B-8A15-8F56FD09B6D3}"/>
    <cellStyle name="Normal 2 2 6 2 7 2 2" xfId="17749" xr:uid="{59CE3CB4-48FF-436F-AB9F-5BDBA10A3A4A}"/>
    <cellStyle name="Normal 2 2 6 2 7 3" xfId="10202" xr:uid="{E237DC12-6969-46B9-BEB8-59BF47688AC7}"/>
    <cellStyle name="Normal 2 2 6 2 7 3 2" xfId="20582" xr:uid="{2AC17149-8D77-4C66-9B64-E74F2D180A93}"/>
    <cellStyle name="Normal 2 2 6 2 7 4" xfId="22832" xr:uid="{2180F4CE-54F4-4334-B8BC-350373340C0E}"/>
    <cellStyle name="Normal 2 2 6 2 7 5" xfId="14916" xr:uid="{6C7199FC-4A5B-4644-B73C-9FD92807338A}"/>
    <cellStyle name="Normal 2 2 6 2 8" xfId="3795" xr:uid="{3DC452E1-1CA4-495A-BBE7-BA28DD8D8CA8}"/>
    <cellStyle name="Normal 2 2 6 2 8 2" xfId="8631" xr:uid="{2359EFA7-1177-40B1-A540-89631581AC54}"/>
    <cellStyle name="Normal 2 2 6 2 8 2 2" xfId="19011" xr:uid="{97C046AA-3D85-4DA4-95CF-1E9F0374DAB0}"/>
    <cellStyle name="Normal 2 2 6 2 8 3" xfId="11464" xr:uid="{8D1E2DDE-0A46-49A1-97D1-BE99B96D3287}"/>
    <cellStyle name="Normal 2 2 6 2 8 3 2" xfId="21844" xr:uid="{87787337-F20C-4DAF-989E-CB84C0CCECAE}"/>
    <cellStyle name="Normal 2 2 6 2 8 4" xfId="16178" xr:uid="{956371C3-846B-4513-8438-90381C4675D2}"/>
    <cellStyle name="Normal 2 2 6 2 9" xfId="5119" xr:uid="{5C4ACD4B-02FD-4CEF-A3D2-4E04A9F0C611}"/>
    <cellStyle name="Normal 2 2 6 2 9 2" xfId="14416" xr:uid="{260E15F7-FF2D-46CF-8555-BA8822FC5CA2}"/>
    <cellStyle name="Normal 2 2 6 3" xfId="767" xr:uid="{00000000-0005-0000-0000-0000AB040000}"/>
    <cellStyle name="Normal 2 2 6 3 10" xfId="9704" xr:uid="{4C3E2F2B-56B2-4CF4-96E5-96EDB012DA49}"/>
    <cellStyle name="Normal 2 2 6 3 10 2" xfId="20084" xr:uid="{DC4C3F4A-9533-46A9-9E89-A4555E3086C2}"/>
    <cellStyle name="Normal 2 2 6 3 11" xfId="24856" xr:uid="{E3A76C8A-2F6D-4F8D-A4BA-E63D7B8AF419}"/>
    <cellStyle name="Normal 2 2 6 3 12" xfId="12564" xr:uid="{5FB5965A-D485-4ACE-BAD5-9CC525EDB1AF}"/>
    <cellStyle name="Normal 2 2 6 3 2" xfId="2735" xr:uid="{00000000-0005-0000-0000-00002B040000}"/>
    <cellStyle name="Normal 2 2 6 3 2 2" xfId="3191" xr:uid="{00000000-0005-0000-0000-00002C040000}"/>
    <cellStyle name="Normal 2 2 6 3 2 2 2" xfId="6249" xr:uid="{E44AA17E-05A2-47E2-8395-59B103ABE9B4}"/>
    <cellStyle name="Normal 2 2 6 3 2 2 2 2" xfId="27123" xr:uid="{B3EE830C-9737-40AC-B774-DC1C1CDA2AC3}"/>
    <cellStyle name="Normal 2 2 6 3 2 2 2 3" xfId="15818" xr:uid="{D41E5751-026D-427F-8873-2102B9A0E2DA}"/>
    <cellStyle name="Normal 2 2 6 3 2 2 3" xfId="8271" xr:uid="{4F15D839-68EC-4AFB-B95C-AD303D81C0F5}"/>
    <cellStyle name="Normal 2 2 6 3 2 2 3 2" xfId="18651" xr:uid="{0941D33B-37E7-4FB9-8BDD-31ECB15DD03C}"/>
    <cellStyle name="Normal 2 2 6 3 2 2 4" xfId="11104" xr:uid="{AA5D45D2-B615-4681-905D-0A0D4F4CF0A8}"/>
    <cellStyle name="Normal 2 2 6 3 2 2 4 2" xfId="21484" xr:uid="{45B34AA5-B78E-46EE-8B6C-B69CC14AE78D}"/>
    <cellStyle name="Normal 2 2 6 3 2 2 5" xfId="25435" xr:uid="{DB672273-560C-4F9C-A8CF-761B73D83566}"/>
    <cellStyle name="Normal 2 2 6 3 2 2 6" xfId="13732" xr:uid="{668FCC29-7C50-4312-9C41-BAC872544AC2}"/>
    <cellStyle name="Normal 2 2 6 3 2 3" xfId="4299" xr:uid="{AF36B563-FC36-4796-A3A6-E1993E821E9D}"/>
    <cellStyle name="Normal 2 2 6 3 2 3 2" xfId="9071" xr:uid="{F175B39D-0BCE-4077-B094-FBA606ACB714}"/>
    <cellStyle name="Normal 2 2 6 3 2 3 2 2" xfId="29114" xr:uid="{7ACC3B77-734A-4C91-A47F-8FFBABF3EF56}"/>
    <cellStyle name="Normal 2 2 6 3 2 3 2 3" xfId="19451" xr:uid="{90426A97-6901-4D73-ACFF-6E4D5F24FB00}"/>
    <cellStyle name="Normal 2 2 6 3 2 3 3" xfId="11904" xr:uid="{E90BF0AC-1250-4A66-9DE8-9F93A865D89A}"/>
    <cellStyle name="Normal 2 2 6 3 2 3 3 2" xfId="22284" xr:uid="{A409580F-2461-4D9C-BA00-8347009ECB9C}"/>
    <cellStyle name="Normal 2 2 6 3 2 3 4" xfId="23063" xr:uid="{2FD785B8-6281-4902-A97E-AF9F93D90BCC}"/>
    <cellStyle name="Normal 2 2 6 3 2 3 5" xfId="16618" xr:uid="{94FE5296-6D54-4088-A379-492CD391DFE4}"/>
    <cellStyle name="Normal 2 2 6 3 2 4" xfId="5953" xr:uid="{E3D1BA83-E110-4070-ABE3-31455F14EECF}"/>
    <cellStyle name="Normal 2 2 6 3 2 4 2" xfId="28715" xr:uid="{C9B51B7B-BA27-4989-9B77-BFB6FEEC3C11}"/>
    <cellStyle name="Normal 2 2 6 3 2 4 3" xfId="15406" xr:uid="{20CA3628-CCFE-4F2B-844E-8FBCEFF9B7DA}"/>
    <cellStyle name="Normal 2 2 6 3 2 5" xfId="7859" xr:uid="{8509A51E-F4D4-43AF-8124-F96AF6EAB54C}"/>
    <cellStyle name="Normal 2 2 6 3 2 5 2" xfId="18239" xr:uid="{58C2555D-2438-45B4-9B64-3CAF8320319B}"/>
    <cellStyle name="Normal 2 2 6 3 2 6" xfId="10692" xr:uid="{35248E13-1CF6-4D3F-A839-08077937F647}"/>
    <cellStyle name="Normal 2 2 6 3 2 6 2" xfId="21072" xr:uid="{83687619-3CB4-42C4-9E00-6EC79E49A7BF}"/>
    <cellStyle name="Normal 2 2 6 3 2 7" xfId="23506" xr:uid="{A01A4261-FC07-442C-8D9A-17FE25863308}"/>
    <cellStyle name="Normal 2 2 6 3 2 8" xfId="13169" xr:uid="{1EA23027-6384-4BE0-89B2-3EA296E8FFEE}"/>
    <cellStyle name="Normal 2 2 6 3 3" xfId="3192" xr:uid="{00000000-0005-0000-0000-00002D040000}"/>
    <cellStyle name="Normal 2 2 6 3 3 2" xfId="4470" xr:uid="{D03A52A9-8653-4C41-9A28-8E98E897D3ED}"/>
    <cellStyle name="Normal 2 2 6 3 3 2 2" xfId="9242" xr:uid="{20DDAF65-0E91-4C94-8A20-E9554F74EB6D}"/>
    <cellStyle name="Normal 2 2 6 3 3 2 2 2" xfId="29231" xr:uid="{6827C6F6-99D4-44ED-A2FB-5741B27C3E44}"/>
    <cellStyle name="Normal 2 2 6 3 3 2 2 3" xfId="19622" xr:uid="{044F6EE3-1478-4DF6-805A-DAC9A06E9FD7}"/>
    <cellStyle name="Normal 2 2 6 3 3 2 3" xfId="12075" xr:uid="{A80DECAF-5FF3-4A7E-97AD-DD68C5184EDE}"/>
    <cellStyle name="Normal 2 2 6 3 3 2 3 2" xfId="22455" xr:uid="{77B21F3D-69BA-4E03-BFD5-FF6767435652}"/>
    <cellStyle name="Normal 2 2 6 3 3 2 4" xfId="24360" xr:uid="{A627CFC4-18FF-4911-B5E0-F00CA2CA1BE1}"/>
    <cellStyle name="Normal 2 2 6 3 3 2 5" xfId="16789" xr:uid="{41E8D57E-0898-4600-8B45-5C361F73F80D}"/>
    <cellStyle name="Normal 2 2 6 3 3 3" xfId="6250" xr:uid="{D55A819E-7CBD-4C4C-87F6-1352BB2121FA}"/>
    <cellStyle name="Normal 2 2 6 3 3 3 2" xfId="28260" xr:uid="{F55449F2-2BBE-4515-BF06-BC399FBB39BE}"/>
    <cellStyle name="Normal 2 2 6 3 3 3 3" xfId="15819" xr:uid="{AB63E61B-DF1C-41AA-A088-D991A00C7282}"/>
    <cellStyle name="Normal 2 2 6 3 3 4" xfId="8272" xr:uid="{490ABBA9-728D-4597-A084-EF8D5F57061F}"/>
    <cellStyle name="Normal 2 2 6 3 3 4 2" xfId="18652" xr:uid="{9D3C7B97-38B1-4510-9996-047A2F781E5F}"/>
    <cellStyle name="Normal 2 2 6 3 3 5" xfId="11105" xr:uid="{9E3BF72C-580C-4D36-B16E-04B1671D9201}"/>
    <cellStyle name="Normal 2 2 6 3 3 5 2" xfId="21485" xr:uid="{48F4F805-4B92-4084-AFEF-8783EEF5369B}"/>
    <cellStyle name="Normal 2 2 6 3 3 6" xfId="23802" xr:uid="{279D83EF-BFFF-4CA7-B6C2-FA5BB1B9598E}"/>
    <cellStyle name="Normal 2 2 6 3 3 7" xfId="13733" xr:uid="{E82538C7-D5CF-4C2C-B896-96B5B1D6732F}"/>
    <cellStyle name="Normal 2 2 6 3 4" xfId="3190" xr:uid="{00000000-0005-0000-0000-00002E040000}"/>
    <cellStyle name="Normal 2 2 6 3 4 2" xfId="6248" xr:uid="{AB61BC95-E1D2-4C7F-9E27-637375B52DE8}"/>
    <cellStyle name="Normal 2 2 6 3 4 2 2" xfId="28729" xr:uid="{37F78F17-D5CE-43E3-80C0-38223208C2D4}"/>
    <cellStyle name="Normal 2 2 6 3 4 2 3" xfId="15817" xr:uid="{D3DFF2FF-54D9-4183-BB09-9EE6CDDCB508}"/>
    <cellStyle name="Normal 2 2 6 3 4 3" xfId="8270" xr:uid="{21262C5E-45DD-408B-AAE8-F32E1D09324A}"/>
    <cellStyle name="Normal 2 2 6 3 4 3 2" xfId="18650" xr:uid="{67090179-1D90-4D36-BA32-A0967397BC40}"/>
    <cellStyle name="Normal 2 2 6 3 4 4" xfId="11103" xr:uid="{CA746757-EAF7-45AB-9E4D-50A54017AE93}"/>
    <cellStyle name="Normal 2 2 6 3 4 4 2" xfId="21483" xr:uid="{49E2FBDE-AD09-44C4-B9E9-07E28E6BC8FD}"/>
    <cellStyle name="Normal 2 2 6 3 4 5" xfId="24355" xr:uid="{16052B0A-7BE2-4385-8D41-C9A5844DC355}"/>
    <cellStyle name="Normal 2 2 6 3 4 6" xfId="13731" xr:uid="{7DB53946-566B-4CAD-BF90-3B847D9555DD}"/>
    <cellStyle name="Normal 2 2 6 3 5" xfId="2591" xr:uid="{00000000-0005-0000-0000-00002F040000}"/>
    <cellStyle name="Normal 2 2 6 3 5 2" xfId="5856" xr:uid="{C883B5AF-18F5-4388-ABB4-D72C87122743}"/>
    <cellStyle name="Normal 2 2 6 3 5 2 2" xfId="26935" xr:uid="{5A40FB34-956B-4526-BCE3-9614D21C9E93}"/>
    <cellStyle name="Normal 2 2 6 3 5 2 3" xfId="15263" xr:uid="{E94B3B5B-1644-4E26-928B-15FF78687728}"/>
    <cellStyle name="Normal 2 2 6 3 5 3" xfId="7716" xr:uid="{E1C381A5-BA63-4B96-8942-177F60E6A9C6}"/>
    <cellStyle name="Normal 2 2 6 3 5 3 2" xfId="18096" xr:uid="{ABCB03D5-EC80-40AD-B995-D7EDB6E2CA7F}"/>
    <cellStyle name="Normal 2 2 6 3 5 4" xfId="10549" xr:uid="{C5BB12D6-85EA-467C-A043-96B8CCF861A7}"/>
    <cellStyle name="Normal 2 2 6 3 5 4 2" xfId="20929" xr:uid="{F794C766-F5A4-4669-BF82-894589530290}"/>
    <cellStyle name="Normal 2 2 6 3 5 5" xfId="23620" xr:uid="{42A9F908-E0A3-4303-88B6-2D24B095DFFE}"/>
    <cellStyle name="Normal 2 2 6 3 5 6" xfId="12979" xr:uid="{2880477B-ED04-43B6-A0F4-A0DD907F21D8}"/>
    <cellStyle name="Normal 2 2 6 3 6" xfId="2330" xr:uid="{00000000-0005-0000-0000-00002A040000}"/>
    <cellStyle name="Normal 2 2 6 3 6 2" xfId="7457" xr:uid="{B959A3A8-48A6-4881-A410-74E64567F69E}"/>
    <cellStyle name="Normal 2 2 6 3 6 2 2" xfId="17837" xr:uid="{D409532D-8BBE-435F-BEBD-A89EDF2C4362}"/>
    <cellStyle name="Normal 2 2 6 3 6 3" xfId="10290" xr:uid="{B3C768DC-DF0A-4FF1-8D0F-D49D5A9E1F17}"/>
    <cellStyle name="Normal 2 2 6 3 6 3 2" xfId="20670" xr:uid="{20424838-F57D-4E3F-934D-E62956DB1E35}"/>
    <cellStyle name="Normal 2 2 6 3 6 4" xfId="23148" xr:uid="{6C7DB46A-CB8E-4767-A221-43C87A93B7DF}"/>
    <cellStyle name="Normal 2 2 6 3 6 5" xfId="15004" xr:uid="{58137D8A-5F2E-412F-A65D-DD4557451A70}"/>
    <cellStyle name="Normal 2 2 6 3 7" xfId="3845" xr:uid="{712F6ECE-2FCF-40FF-BC3A-B8E57455C658}"/>
    <cellStyle name="Normal 2 2 6 3 7 2" xfId="8678" xr:uid="{8801AC38-17ED-48C4-B15A-5EC496CB1189}"/>
    <cellStyle name="Normal 2 2 6 3 7 2 2" xfId="19058" xr:uid="{01EAAE53-7179-4F99-8C05-CDBA10542186}"/>
    <cellStyle name="Normal 2 2 6 3 7 3" xfId="11511" xr:uid="{B40DA53C-3E90-4116-9976-35490BC4F598}"/>
    <cellStyle name="Normal 2 2 6 3 7 3 2" xfId="21891" xr:uid="{2F776532-C363-4EA1-BE90-F85AFF70E5B9}"/>
    <cellStyle name="Normal 2 2 6 3 7 4" xfId="16225" xr:uid="{7D736926-DE92-4BAD-BB26-D0719308E154}"/>
    <cellStyle name="Normal 2 2 6 3 8" xfId="5121" xr:uid="{0D41CC50-3C09-47D8-9D04-FF0749EBE539}"/>
    <cellStyle name="Normal 2 2 6 3 8 2" xfId="14418" xr:uid="{4C44EB3C-92B7-4DF4-94B3-CBB25821F1A6}"/>
    <cellStyle name="Normal 2 2 6 3 9" xfId="6871" xr:uid="{67EEB3CB-5943-4F2C-A717-EB1EB3467721}"/>
    <cellStyle name="Normal 2 2 6 3 9 2" xfId="17251" xr:uid="{B3C0259A-3C51-4FD8-AD74-DF0716C38BAD}"/>
    <cellStyle name="Normal 2 2 6 4" xfId="768" xr:uid="{00000000-0005-0000-0000-0000AC040000}"/>
    <cellStyle name="Normal 2 2 6 4 2" xfId="3193" xr:uid="{00000000-0005-0000-0000-000031040000}"/>
    <cellStyle name="Normal 2 2 6 4 2 2" xfId="6251" xr:uid="{CB439588-1D5F-4005-8532-AF188C452CFA}"/>
    <cellStyle name="Normal 2 2 6 4 2 2 2" xfId="26732" xr:uid="{A61F4418-B64B-495C-8A31-614827CC5054}"/>
    <cellStyle name="Normal 2 2 6 4 2 2 3" xfId="15820" xr:uid="{B27AE241-0DD4-43AF-8FE3-F64AA791483B}"/>
    <cellStyle name="Normal 2 2 6 4 2 3" xfId="8273" xr:uid="{38EFA85C-082D-4ECE-A0AC-E6CBB8D45E4E}"/>
    <cellStyle name="Normal 2 2 6 4 2 3 2" xfId="18653" xr:uid="{17081F4A-10E4-4BEB-A3DD-8714A69DC71B}"/>
    <cellStyle name="Normal 2 2 6 4 2 4" xfId="11106" xr:uid="{AB647E7E-1D38-436E-B315-9751ECB1C453}"/>
    <cellStyle name="Normal 2 2 6 4 2 4 2" xfId="21486" xr:uid="{96F0541B-B4A5-4A30-AA34-B3D1F76A4527}"/>
    <cellStyle name="Normal 2 2 6 4 2 5" xfId="22998" xr:uid="{19A55A42-EF4F-4980-94B4-D4D545CBB56D}"/>
    <cellStyle name="Normal 2 2 6 4 2 6" xfId="13734" xr:uid="{D9031275-8D50-4DD1-9158-5A6601AD56D2}"/>
    <cellStyle name="Normal 2 2 6 4 3" xfId="2732" xr:uid="{00000000-0005-0000-0000-000032040000}"/>
    <cellStyle name="Normal 2 2 6 4 3 2" xfId="5950" xr:uid="{11B2852D-EDF7-4948-8623-C6242D2A565C}"/>
    <cellStyle name="Normal 2 2 6 4 3 2 2" xfId="28521" xr:uid="{B8A26FFE-FD78-420C-9DA2-1CE49CD93A72}"/>
    <cellStyle name="Normal 2 2 6 4 3 2 3" xfId="15403" xr:uid="{C30637F1-3D60-4C29-B383-B0542E07093A}"/>
    <cellStyle name="Normal 2 2 6 4 3 3" xfId="7856" xr:uid="{F1F9433B-0784-4153-9E12-4A4B4BF106CD}"/>
    <cellStyle name="Normal 2 2 6 4 3 3 2" xfId="18236" xr:uid="{4173CB35-3A2E-47F1-AA16-7B0E91E0B47E}"/>
    <cellStyle name="Normal 2 2 6 4 3 4" xfId="10689" xr:uid="{DCB347E5-4172-4DB5-B7FF-960D1BEC6F5A}"/>
    <cellStyle name="Normal 2 2 6 4 3 4 2" xfId="21069" xr:uid="{7D6A8905-8AC6-472E-93F1-89521DC82887}"/>
    <cellStyle name="Normal 2 2 6 4 3 5" xfId="25427" xr:uid="{A3D8D863-91FE-4A5A-B3FF-AEAB0AD23AC7}"/>
    <cellStyle name="Normal 2 2 6 4 3 6" xfId="13166" xr:uid="{8F0C0AEF-395A-44BD-A2DE-C4B39BBA0447}"/>
    <cellStyle name="Normal 2 2 6 4 4" xfId="4164" xr:uid="{0955D02B-ABE6-43BB-A2F0-E7BD877C50A1}"/>
    <cellStyle name="Normal 2 2 6 4 4 2" xfId="8936" xr:uid="{0F7D7877-6C21-48D3-9F5B-B4BC947A6719}"/>
    <cellStyle name="Normal 2 2 6 4 4 2 2" xfId="19316" xr:uid="{90F97ABE-9CA5-4539-94EF-79C5B2370B11}"/>
    <cellStyle name="Normal 2 2 6 4 4 3" xfId="11769" xr:uid="{C6512C9C-1DCE-4B4F-8549-4756852FD341}"/>
    <cellStyle name="Normal 2 2 6 4 4 3 2" xfId="22149" xr:uid="{25AFC8E6-F1E4-4611-B59B-A4D8AD2EC480}"/>
    <cellStyle name="Normal 2 2 6 4 4 4" xfId="24134" xr:uid="{A11D0DC3-5B44-4E74-BA89-53B7C535938D}"/>
    <cellStyle name="Normal 2 2 6 4 4 5" xfId="16483" xr:uid="{67E362AA-8D03-493D-957E-C45DFBA2D8E0}"/>
    <cellStyle name="Normal 2 2 6 4 5" xfId="5122" xr:uid="{F054F7C7-62F7-4116-B376-3EC374D865E7}"/>
    <cellStyle name="Normal 2 2 6 4 5 2" xfId="14419" xr:uid="{1B9BB4CB-0A06-49DF-ABF3-0EDFCF0F66D2}"/>
    <cellStyle name="Normal 2 2 6 4 6" xfId="6872" xr:uid="{9D58F73D-007B-4442-B32E-FCA7DC647B7E}"/>
    <cellStyle name="Normal 2 2 6 4 6 2" xfId="17252" xr:uid="{2C27107F-B77C-49B4-9A60-9E75B92D05E4}"/>
    <cellStyle name="Normal 2 2 6 4 7" xfId="9705" xr:uid="{118CD2BE-CE2D-4E3F-9EC0-A270E7B58A2D}"/>
    <cellStyle name="Normal 2 2 6 4 7 2" xfId="20085" xr:uid="{515A166A-0811-46E5-BD81-5274C64ACC04}"/>
    <cellStyle name="Normal 2 2 6 4 8" xfId="25107" xr:uid="{662F58D9-B0B3-404D-B0BA-5EF31AF847BF}"/>
    <cellStyle name="Normal 2 2 6 4 9" xfId="12722" xr:uid="{579D2275-C61E-415B-8BC5-51251ECF05D9}"/>
    <cellStyle name="Normal 2 2 6 5" xfId="3194" xr:uid="{00000000-0005-0000-0000-000033040000}"/>
    <cellStyle name="Normal 2 2 6 5 2" xfId="4471" xr:uid="{CBD07B7A-1544-404E-99B7-7AD42747BAF4}"/>
    <cellStyle name="Normal 2 2 6 5 2 2" xfId="9243" xr:uid="{CA8839B8-562D-4FEB-B1E5-229693210434}"/>
    <cellStyle name="Normal 2 2 6 5 2 2 2" xfId="29232" xr:uid="{7008ECDD-72A8-4384-9DE2-80A96C4C0FE1}"/>
    <cellStyle name="Normal 2 2 6 5 2 2 3" xfId="19623" xr:uid="{E250A443-58A5-4F1E-8887-54B5054E386F}"/>
    <cellStyle name="Normal 2 2 6 5 2 3" xfId="12076" xr:uid="{A7439361-3315-47F8-8836-473F23E19C0C}"/>
    <cellStyle name="Normal 2 2 6 5 2 3 2" xfId="22456" xr:uid="{8DA188E4-7D8C-4664-B87F-A2AC6C5358B8}"/>
    <cellStyle name="Normal 2 2 6 5 2 4" xfId="24070" xr:uid="{646BF25D-7858-4818-8FFB-C90EE6BB55BE}"/>
    <cellStyle name="Normal 2 2 6 5 2 5" xfId="16790" xr:uid="{85F5C205-8DAA-44DB-87A6-464B58944ED8}"/>
    <cellStyle name="Normal 2 2 6 5 3" xfId="6252" xr:uid="{895B147F-601B-4065-8645-5AD015666B32}"/>
    <cellStyle name="Normal 2 2 6 5 3 2" xfId="27914" xr:uid="{C45325C8-0CFF-4DC3-A87E-160F529C2D2B}"/>
    <cellStyle name="Normal 2 2 6 5 3 3" xfId="15821" xr:uid="{E7C8CA88-9C26-485E-B413-3C25F41487E1}"/>
    <cellStyle name="Normal 2 2 6 5 4" xfId="8274" xr:uid="{63A4AD72-30FC-40F9-8FB2-C73EA5B302F1}"/>
    <cellStyle name="Normal 2 2 6 5 4 2" xfId="18654" xr:uid="{66B849C8-0EA1-4C13-AF88-FE7571754B86}"/>
    <cellStyle name="Normal 2 2 6 5 5" xfId="11107" xr:uid="{5986780A-0B59-44F2-8E1F-FECB6B30AD7D}"/>
    <cellStyle name="Normal 2 2 6 5 5 2" xfId="21487" xr:uid="{BA19BD5D-A4AF-42F1-B58E-71A2A59A390D}"/>
    <cellStyle name="Normal 2 2 6 5 6" xfId="25224" xr:uid="{CEC419A5-CA5A-4DBB-B3B6-4C8BF7921A29}"/>
    <cellStyle name="Normal 2 2 6 5 7" xfId="13735" xr:uid="{8447C74C-ED2E-40B8-B030-E3008A10DE80}"/>
    <cellStyle name="Normal 2 2 6 6" xfId="2905" xr:uid="{00000000-0005-0000-0000-000034040000}"/>
    <cellStyle name="Normal 2 2 6 6 2" xfId="6091" xr:uid="{16CCF25F-2BD3-4135-9602-703A2BCB5A3C}"/>
    <cellStyle name="Normal 2 2 6 6 2 2" xfId="27703" xr:uid="{E10C9B2E-92BC-4CE7-926E-3F7744D6AE09}"/>
    <cellStyle name="Normal 2 2 6 6 2 3" xfId="15569" xr:uid="{426A488E-3F6F-4736-ABBE-26DF1BF33C1D}"/>
    <cellStyle name="Normal 2 2 6 6 3" xfId="8022" xr:uid="{78D8298A-1551-45ED-92A9-35D92C38DAC8}"/>
    <cellStyle name="Normal 2 2 6 6 3 2" xfId="18402" xr:uid="{11096A96-338B-4C74-9D7E-5DD9EEFC39F6}"/>
    <cellStyle name="Normal 2 2 6 6 4" xfId="10855" xr:uid="{A64EA007-8B20-4236-A1E1-D7AD8F2E0402}"/>
    <cellStyle name="Normal 2 2 6 6 4 2" xfId="21235" xr:uid="{A568604F-B051-45B5-B2AE-184A6C336636}"/>
    <cellStyle name="Normal 2 2 6 6 5" xfId="25279" xr:uid="{43C848A0-2D16-45DD-9695-5240E1C8FA92}"/>
    <cellStyle name="Normal 2 2 6 6 6" xfId="13420" xr:uid="{A33F8664-23C1-415E-AF6C-867349EDD5A7}"/>
    <cellStyle name="Normal 2 2 6 7" xfId="2488" xr:uid="{00000000-0005-0000-0000-000035040000}"/>
    <cellStyle name="Normal 2 2 6 7 2" xfId="5773" xr:uid="{76CAC20D-489B-4B80-AD7E-D302E50A89E9}"/>
    <cellStyle name="Normal 2 2 6 7 2 2" xfId="26468" xr:uid="{D18F8181-AC54-42E7-B8E9-3673541D1599}"/>
    <cellStyle name="Normal 2 2 6 7 2 3" xfId="15160" xr:uid="{30643F72-C803-4F70-A78F-77234816673F}"/>
    <cellStyle name="Normal 2 2 6 7 3" xfId="7613" xr:uid="{EB608BF7-F122-4D70-BD0D-248C68CE590A}"/>
    <cellStyle name="Normal 2 2 6 7 3 2" xfId="17993" xr:uid="{9BC7CEE9-1CB8-4489-93FE-B18739EEFB5A}"/>
    <cellStyle name="Normal 2 2 6 7 4" xfId="10446" xr:uid="{F98CD522-C74E-4D1E-9884-1EBA819EBE4C}"/>
    <cellStyle name="Normal 2 2 6 7 4 2" xfId="20826" xr:uid="{1B78D906-7CBB-4C14-8AEE-11AAE0094DCB}"/>
    <cellStyle name="Normal 2 2 6 7 5" xfId="24943" xr:uid="{0BDC3D58-65E9-4A77-A03E-5C78897CB417}"/>
    <cellStyle name="Normal 2 2 6 7 6" xfId="12876" xr:uid="{A61C95EC-B2BA-4019-8830-F0EC110B5898}"/>
    <cellStyle name="Normal 2 2 6 8" xfId="2182" xr:uid="{00000000-0005-0000-0000-00001E040000}"/>
    <cellStyle name="Normal 2 2 6 8 2" xfId="7309" xr:uid="{6FC49187-1498-4000-B451-C8FB2596069A}"/>
    <cellStyle name="Normal 2 2 6 8 2 2" xfId="17689" xr:uid="{79745B4B-26CA-4AC5-AE20-0B3FB148D3D9}"/>
    <cellStyle name="Normal 2 2 6 8 3" xfId="10142" xr:uid="{C57AE7CB-C828-480E-A737-28460381E7A3}"/>
    <cellStyle name="Normal 2 2 6 8 3 2" xfId="20522" xr:uid="{E3DE3E9B-B822-4C8F-AD42-AEE9F96751B6}"/>
    <cellStyle name="Normal 2 2 6 8 4" xfId="24880" xr:uid="{C13717B4-B448-4C7A-AC0F-334D441DECE9}"/>
    <cellStyle name="Normal 2 2 6 8 5" xfId="14856" xr:uid="{B26FC4E8-4B10-4E19-A201-225B353C08D8}"/>
    <cellStyle name="Normal 2 2 6 9" xfId="3937" xr:uid="{4F71D83A-959D-475E-9D25-7D6B36415D87}"/>
    <cellStyle name="Normal 2 2 6 9 2" xfId="8769" xr:uid="{96233D5B-8A89-48F1-9A57-B9BB5A2D37F7}"/>
    <cellStyle name="Normal 2 2 6 9 2 2" xfId="19149" xr:uid="{C662E802-04A3-4507-9901-49DF157CDFAB}"/>
    <cellStyle name="Normal 2 2 6 9 3" xfId="11602" xr:uid="{37797751-1450-47F8-9DE4-6D15B02F0F8C}"/>
    <cellStyle name="Normal 2 2 6 9 3 2" xfId="21982" xr:uid="{A0CF1402-2736-4402-90DC-2EE07E6D4E1F}"/>
    <cellStyle name="Normal 2 2 6 9 4" xfId="16316" xr:uid="{D1D6B85D-8E12-4532-AB67-4098610E0955}"/>
    <cellStyle name="Normal 2 2 7" xfId="769" xr:uid="{00000000-0005-0000-0000-0000AD040000}"/>
    <cellStyle name="Normal 2 2 7 10" xfId="5123" xr:uid="{97DE0FAD-FD61-428C-B324-15458C6A0DE0}"/>
    <cellStyle name="Normal 2 2 7 10 2" xfId="14420" xr:uid="{5A552025-BB63-47C8-A716-65B49A2A9EB2}"/>
    <cellStyle name="Normal 2 2 7 11" xfId="6873" xr:uid="{1FBE5570-8EB9-4FA4-89F2-2A70BF75E24B}"/>
    <cellStyle name="Normal 2 2 7 11 2" xfId="17253" xr:uid="{8F1A0535-AADD-49A8-B8C7-E616384AD067}"/>
    <cellStyle name="Normal 2 2 7 12" xfId="9706" xr:uid="{32224345-8BBA-42D9-98F0-CE4FAE9AE546}"/>
    <cellStyle name="Normal 2 2 7 12 2" xfId="20086" xr:uid="{CD5807E9-F3EE-4241-B288-F1ADAD15438D}"/>
    <cellStyle name="Normal 2 2 7 13" xfId="23476" xr:uid="{415A84E5-3159-4712-8FD1-985112B084C9}"/>
    <cellStyle name="Normal 2 2 7 14" xfId="12448" xr:uid="{CCF5E73B-3EDA-4F88-A85B-AD221AFC95BD}"/>
    <cellStyle name="Normal 2 2 7 2" xfId="770" xr:uid="{00000000-0005-0000-0000-0000AE040000}"/>
    <cellStyle name="Normal 2 2 7 2 10" xfId="9707" xr:uid="{96B7BC76-69A9-41C1-9071-99C298FB4CFB}"/>
    <cellStyle name="Normal 2 2 7 2 10 2" xfId="20087" xr:uid="{94D6349B-CF0D-4CAC-BB03-F05F5F955F3C}"/>
    <cellStyle name="Normal 2 2 7 2 11" xfId="25197" xr:uid="{970A88EF-7558-4745-BAD3-842CFCCC2476}"/>
    <cellStyle name="Normal 2 2 7 2 12" xfId="12565" xr:uid="{14A48E73-5367-44A3-A89F-BE47A5943D14}"/>
    <cellStyle name="Normal 2 2 7 2 2" xfId="771" xr:uid="{00000000-0005-0000-0000-0000AF040000}"/>
    <cellStyle name="Normal 2 2 7 2 2 2" xfId="3196" xr:uid="{00000000-0005-0000-0000-000039040000}"/>
    <cellStyle name="Normal 2 2 7 2 2 2 2" xfId="6254" xr:uid="{8B11C461-0E06-45AB-BD28-47EC1E74397F}"/>
    <cellStyle name="Normal 2 2 7 2 2 2 2 2" xfId="27098" xr:uid="{A2CCF78B-5DD6-47A7-84C9-8DA8F0D392B4}"/>
    <cellStyle name="Normal 2 2 7 2 2 2 2 3" xfId="27665" xr:uid="{5120584F-076D-44DE-8E1C-FDF7DE413BEE}"/>
    <cellStyle name="Normal 2 2 7 2 2 2 2 4" xfId="15823" xr:uid="{88F2C3A9-307E-4134-B781-3A57D5248454}"/>
    <cellStyle name="Normal 2 2 7 2 2 2 3" xfId="8276" xr:uid="{7BE2E20E-F2EA-49A6-9ACC-66CECE11E9F9}"/>
    <cellStyle name="Normal 2 2 7 2 2 2 3 2" xfId="28882" xr:uid="{AEB2A2CB-9366-4AE7-8001-9CBCA404FA79}"/>
    <cellStyle name="Normal 2 2 7 2 2 2 3 3" xfId="18656" xr:uid="{73B34709-9830-4084-8A92-2F31CF5ACFC4}"/>
    <cellStyle name="Normal 2 2 7 2 2 2 4" xfId="11109" xr:uid="{F4CFA1E6-1823-474B-A36C-6B8D54B5BE31}"/>
    <cellStyle name="Normal 2 2 7 2 2 2 4 2" xfId="21489" xr:uid="{6046E642-0BB4-46AC-9CF4-488A10B6EBD7}"/>
    <cellStyle name="Normal 2 2 7 2 2 2 5" xfId="25173" xr:uid="{0C8150D5-790E-4464-88E3-73F177477228}"/>
    <cellStyle name="Normal 2 2 7 2 2 2 6" xfId="13737" xr:uid="{02216744-12C4-4C6E-A890-ECFFA8F6FE2F}"/>
    <cellStyle name="Normal 2 2 7 2 2 3" xfId="4301" xr:uid="{5BF1446D-7DBC-47F3-8E2E-3AC34E7B0E6E}"/>
    <cellStyle name="Normal 2 2 7 2 2 3 2" xfId="9073" xr:uid="{BE47E111-92AC-4C0C-8529-002B140A12F9}"/>
    <cellStyle name="Normal 2 2 7 2 2 3 2 2" xfId="29116" xr:uid="{43363453-912B-4F5E-851B-25802F134C88}"/>
    <cellStyle name="Normal 2 2 7 2 2 3 2 3" xfId="19453" xr:uid="{4D73426A-9A7A-4ACD-A503-0CEFB7FC3F61}"/>
    <cellStyle name="Normal 2 2 7 2 2 3 3" xfId="11906" xr:uid="{88B15B4F-B2C9-43F1-8EF5-28198862C72D}"/>
    <cellStyle name="Normal 2 2 7 2 2 3 3 2" xfId="22286" xr:uid="{6755AD40-28FB-4E7D-A94B-D136868330C0}"/>
    <cellStyle name="Normal 2 2 7 2 2 3 4" xfId="23312" xr:uid="{0D01CC80-EC2F-491C-8FB7-AC748902593B}"/>
    <cellStyle name="Normal 2 2 7 2 2 3 5" xfId="16620" xr:uid="{DAF76C26-DB75-47F7-8EBA-DF102241B8B3}"/>
    <cellStyle name="Normal 2 2 7 2 2 4" xfId="5125" xr:uid="{829582CC-8806-4FA3-A337-62363E98AB53}"/>
    <cellStyle name="Normal 2 2 7 2 2 4 2" xfId="25883" xr:uid="{A51740CD-DFD9-4F10-A675-5809E6580706}"/>
    <cellStyle name="Normal 2 2 7 2 2 4 3" xfId="14422" xr:uid="{22F09D4F-0AD0-4215-AD98-2BDBBCF02486}"/>
    <cellStyle name="Normal 2 2 7 2 2 5" xfId="6875" xr:uid="{29BDE919-A952-42B7-9861-EEE06193E0CD}"/>
    <cellStyle name="Normal 2 2 7 2 2 5 2" xfId="17255" xr:uid="{C8AB0511-E919-4E33-9EA1-139219EE4BA6}"/>
    <cellStyle name="Normal 2 2 7 2 2 6" xfId="9708" xr:uid="{4EA87817-1414-45A3-8CDC-010B98153A50}"/>
    <cellStyle name="Normal 2 2 7 2 2 6 2" xfId="20088" xr:uid="{140904F0-1D4A-4C7A-94F9-38C6FCBB4593}"/>
    <cellStyle name="Normal 2 2 7 2 2 7" xfId="23576" xr:uid="{75409168-E756-4EE6-92D5-D0BEB4372556}"/>
    <cellStyle name="Normal 2 2 7 2 2 8" xfId="13171" xr:uid="{8E17ED30-0202-45B1-AF39-E9ECBB348417}"/>
    <cellStyle name="Normal 2 2 7 2 3" xfId="3197" xr:uid="{00000000-0005-0000-0000-00003A040000}"/>
    <cellStyle name="Normal 2 2 7 2 3 2" xfId="4472" xr:uid="{D6D0C682-5969-4AC5-9296-5C9390C11DD7}"/>
    <cellStyle name="Normal 2 2 7 2 3 2 2" xfId="9244" xr:uid="{ED2845A6-9518-4346-9FDE-1F0839C90A5B}"/>
    <cellStyle name="Normal 2 2 7 2 3 2 2 2" xfId="29233" xr:uid="{045A4F97-EE36-42E4-AD16-B94B3C10FB01}"/>
    <cellStyle name="Normal 2 2 7 2 3 2 2 3" xfId="19624" xr:uid="{9FB96ECF-A0C4-42EF-8303-C99252B9D45F}"/>
    <cellStyle name="Normal 2 2 7 2 3 2 3" xfId="12077" xr:uid="{B344CE8A-4F10-4CDB-9883-E7ED2F225F10}"/>
    <cellStyle name="Normal 2 2 7 2 3 2 3 2" xfId="22457" xr:uid="{D9F654AB-3DCA-43C0-9942-68D3398C16E2}"/>
    <cellStyle name="Normal 2 2 7 2 3 2 4" xfId="23184" xr:uid="{9277E302-6DAB-407E-9C1D-A5D8F6A355C6}"/>
    <cellStyle name="Normal 2 2 7 2 3 2 5" xfId="16791" xr:uid="{71B25BC7-30E6-4D6A-AB81-F9522879AEA8}"/>
    <cellStyle name="Normal 2 2 7 2 3 3" xfId="6255" xr:uid="{CEDDA396-6283-461F-9196-E75D991EE142}"/>
    <cellStyle name="Normal 2 2 7 2 3 3 2" xfId="27033" xr:uid="{FAF40926-BBA6-40FB-A9B8-993BF85ACA13}"/>
    <cellStyle name="Normal 2 2 7 2 3 3 3" xfId="15824" xr:uid="{41B0010C-AC18-47D0-ABF8-05B957E3ACEA}"/>
    <cellStyle name="Normal 2 2 7 2 3 4" xfId="8277" xr:uid="{3A501C5D-B598-42DE-AA9C-2D0B185BE320}"/>
    <cellStyle name="Normal 2 2 7 2 3 4 2" xfId="18657" xr:uid="{98154A14-30EF-498C-BD93-16585A4C902D}"/>
    <cellStyle name="Normal 2 2 7 2 3 5" xfId="11110" xr:uid="{07C0A32C-C2F8-4C30-BA14-3A2352C2684B}"/>
    <cellStyle name="Normal 2 2 7 2 3 5 2" xfId="21490" xr:uid="{27D4A009-BAD5-4E39-9EB7-8502857800DF}"/>
    <cellStyle name="Normal 2 2 7 2 3 6" xfId="25136" xr:uid="{6DFABF6E-1F9B-4625-BDF1-C54002BA0E42}"/>
    <cellStyle name="Normal 2 2 7 2 3 7" xfId="13738" xr:uid="{44024F55-7CC3-4707-8DC4-26D77126A2E3}"/>
    <cellStyle name="Normal 2 2 7 2 4" xfId="3195" xr:uid="{00000000-0005-0000-0000-00003B040000}"/>
    <cellStyle name="Normal 2 2 7 2 4 2" xfId="6253" xr:uid="{A7A1CCB2-E3D0-43EA-8197-34A7C09AEF96}"/>
    <cellStyle name="Normal 2 2 7 2 4 2 2" xfId="27156" xr:uid="{3E2FF402-3FDD-43AC-8ABB-5AAA0B77C2CE}"/>
    <cellStyle name="Normal 2 2 7 2 4 2 3" xfId="15822" xr:uid="{1D5EA078-8212-4425-8345-5A255D9DAD6E}"/>
    <cellStyle name="Normal 2 2 7 2 4 3" xfId="8275" xr:uid="{C74BA113-14D3-4CB9-B20E-273E7EB6FD33}"/>
    <cellStyle name="Normal 2 2 7 2 4 3 2" xfId="18655" xr:uid="{E6C0D189-9183-442D-9D68-7E282810D9F1}"/>
    <cellStyle name="Normal 2 2 7 2 4 4" xfId="11108" xr:uid="{BA254123-1B17-4C76-85E0-9AB7220FD05C}"/>
    <cellStyle name="Normal 2 2 7 2 4 4 2" xfId="21488" xr:uid="{D47D7829-4F01-405F-9CD6-6DE623E2F170}"/>
    <cellStyle name="Normal 2 2 7 2 4 5" xfId="23442" xr:uid="{CF19129B-7CF2-4FAA-8889-965D44A5F84E}"/>
    <cellStyle name="Normal 2 2 7 2 4 6" xfId="13736" xr:uid="{A2FEC267-718D-44B3-A1DD-EB431AD8109B}"/>
    <cellStyle name="Normal 2 2 7 2 5" xfId="2522" xr:uid="{00000000-0005-0000-0000-00003C040000}"/>
    <cellStyle name="Normal 2 2 7 2 5 2" xfId="5799" xr:uid="{23A0BEF1-34F6-404A-814A-EEB3AB3D6CC9}"/>
    <cellStyle name="Normal 2 2 7 2 5 2 2" xfId="28746" xr:uid="{383549BB-5F0D-44D9-A695-FB8092A97676}"/>
    <cellStyle name="Normal 2 2 7 2 5 2 3" xfId="15194" xr:uid="{C9121AAE-BCE2-4E47-A76D-C5EFDF2C471C}"/>
    <cellStyle name="Normal 2 2 7 2 5 3" xfId="7647" xr:uid="{ADEA8325-5E94-48BA-B7EE-99860C3CA05E}"/>
    <cellStyle name="Normal 2 2 7 2 5 3 2" xfId="18027" xr:uid="{97FAF7B9-8F45-4792-B0F2-58B344511F34}"/>
    <cellStyle name="Normal 2 2 7 2 5 4" xfId="10480" xr:uid="{B1F3EEF4-88D2-4FD9-BBC4-8072DF524313}"/>
    <cellStyle name="Normal 2 2 7 2 5 4 2" xfId="20860" xr:uid="{F439DE09-43CA-43ED-A509-79F09AF9D346}"/>
    <cellStyle name="Normal 2 2 7 2 5 5" xfId="24866" xr:uid="{DFC9CDCE-CD34-4F68-AC8B-3E978F5E142E}"/>
    <cellStyle name="Normal 2 2 7 2 5 6" xfId="12910" xr:uid="{F0FAC557-219A-4CC5-87C5-59F8BD421481}"/>
    <cellStyle name="Normal 2 2 7 2 6" xfId="2331" xr:uid="{00000000-0005-0000-0000-000037040000}"/>
    <cellStyle name="Normal 2 2 7 2 6 2" xfId="7458" xr:uid="{AA518F21-B686-48E8-B898-EC04D5D2B410}"/>
    <cellStyle name="Normal 2 2 7 2 6 2 2" xfId="17838" xr:uid="{4F3935D6-4461-4126-B862-3FF94E3FD125}"/>
    <cellStyle name="Normal 2 2 7 2 6 3" xfId="10291" xr:uid="{11BC9346-AD29-4F36-90D3-7C872D157AFB}"/>
    <cellStyle name="Normal 2 2 7 2 6 3 2" xfId="20671" xr:uid="{9B00FE18-2CDF-413E-A2B7-1C59FA4D06DA}"/>
    <cellStyle name="Normal 2 2 7 2 6 4" xfId="23210" xr:uid="{A3C83875-F8A8-4E4D-9003-627B13C89284}"/>
    <cellStyle name="Normal 2 2 7 2 6 5" xfId="15005" xr:uid="{CA5708F2-7C54-4703-8E71-37C3A0A7BB5E}"/>
    <cellStyle name="Normal 2 2 7 2 7" xfId="3846" xr:uid="{D771F0E0-C0AC-4977-97D7-6CCA4D9AA339}"/>
    <cellStyle name="Normal 2 2 7 2 7 2" xfId="8679" xr:uid="{0C570D39-C3EB-435E-96B0-04A4C5B12501}"/>
    <cellStyle name="Normal 2 2 7 2 7 2 2" xfId="19059" xr:uid="{48824E7D-FEE0-4B8B-AE88-C8DEE2217EA4}"/>
    <cellStyle name="Normal 2 2 7 2 7 3" xfId="11512" xr:uid="{1299A268-0595-4B2F-A6DE-39BA0E2E8536}"/>
    <cellStyle name="Normal 2 2 7 2 7 3 2" xfId="21892" xr:uid="{887E6F02-517A-43A6-8954-2FC1E9DA644D}"/>
    <cellStyle name="Normal 2 2 7 2 7 4" xfId="16226" xr:uid="{94FED017-C12D-47E2-A831-420BF6B109B2}"/>
    <cellStyle name="Normal 2 2 7 2 8" xfId="5124" xr:uid="{ADAE79B2-4B97-4577-89B0-127316D79130}"/>
    <cellStyle name="Normal 2 2 7 2 8 2" xfId="14421" xr:uid="{CE00637D-9DCD-4172-9738-12F69E7ACD9A}"/>
    <cellStyle name="Normal 2 2 7 2 9" xfId="6874" xr:uid="{4FACCF4B-8810-4D34-B90E-8A139B2A6C5C}"/>
    <cellStyle name="Normal 2 2 7 2 9 2" xfId="17254" xr:uid="{FD74E31E-4DE3-469F-9005-4292C928A904}"/>
    <cellStyle name="Normal 2 2 7 3" xfId="772" xr:uid="{00000000-0005-0000-0000-0000B0040000}"/>
    <cellStyle name="Normal 2 2 7 3 10" xfId="23007" xr:uid="{F17254B3-5808-4371-AB5E-AFEDFD4B5483}"/>
    <cellStyle name="Normal 2 2 7 3 11" xfId="12723" xr:uid="{178C3338-824D-4C4A-8A4E-D25A680F0A44}"/>
    <cellStyle name="Normal 2 2 7 3 2" xfId="2736" xr:uid="{00000000-0005-0000-0000-00003E040000}"/>
    <cellStyle name="Normal 2 2 7 3 2 2" xfId="3199" xr:uid="{00000000-0005-0000-0000-00003F040000}"/>
    <cellStyle name="Normal 2 2 7 3 2 2 2" xfId="6257" xr:uid="{1A212D7B-5846-4C44-AAAC-EBFBC95895B4}"/>
    <cellStyle name="Normal 2 2 7 3 2 2 2 2" xfId="27549" xr:uid="{F3E218AA-116F-45C5-86B0-CAD0C1827EF6}"/>
    <cellStyle name="Normal 2 2 7 3 2 2 2 3" xfId="15826" xr:uid="{3C4B6901-F247-4586-BE1B-C5C9D4C80ACA}"/>
    <cellStyle name="Normal 2 2 7 3 2 2 3" xfId="8279" xr:uid="{CA3C5097-3312-4E1C-A313-E9DC851AE2C4}"/>
    <cellStyle name="Normal 2 2 7 3 2 2 3 2" xfId="18659" xr:uid="{4F701770-DC31-413F-9135-9FE178093DCF}"/>
    <cellStyle name="Normal 2 2 7 3 2 2 4" xfId="11112" xr:uid="{789F14F5-2087-4FE2-9F62-717D858521BC}"/>
    <cellStyle name="Normal 2 2 7 3 2 2 4 2" xfId="21492" xr:uid="{4904FFD4-0B5B-499F-A0DA-8C684E0A2E6D}"/>
    <cellStyle name="Normal 2 2 7 3 2 2 5" xfId="24139" xr:uid="{0E5E244E-A51D-4D1E-8426-6A6B11BCF3E7}"/>
    <cellStyle name="Normal 2 2 7 3 2 2 6" xfId="13740" xr:uid="{E87C28D9-8A87-48F5-93CB-BCB19802B7CE}"/>
    <cellStyle name="Normal 2 2 7 3 2 3" xfId="4302" xr:uid="{EAF366F8-D447-4075-81DF-515D051DD7C2}"/>
    <cellStyle name="Normal 2 2 7 3 2 3 2" xfId="9074" xr:uid="{556CF877-2043-4BA3-B28F-234F15C1AEEA}"/>
    <cellStyle name="Normal 2 2 7 3 2 3 2 2" xfId="29117" xr:uid="{021A0685-800E-4150-8DAD-FE739C4E024A}"/>
    <cellStyle name="Normal 2 2 7 3 2 3 2 3" xfId="19454" xr:uid="{DD452560-2B8B-49DC-826C-6448540E28C2}"/>
    <cellStyle name="Normal 2 2 7 3 2 3 3" xfId="11907" xr:uid="{E7745375-D0FA-4318-B53C-3CDB4467A48B}"/>
    <cellStyle name="Normal 2 2 7 3 2 3 3 2" xfId="22287" xr:uid="{9EA5C9C2-28B6-4309-AF57-177710D515A7}"/>
    <cellStyle name="Normal 2 2 7 3 2 3 4" xfId="23550" xr:uid="{6897237D-6A89-4CCD-9989-063E5488F7C7}"/>
    <cellStyle name="Normal 2 2 7 3 2 3 5" xfId="16621" xr:uid="{A0E2F83C-CEF0-46C9-B482-21FDD2B95E65}"/>
    <cellStyle name="Normal 2 2 7 3 2 4" xfId="5954" xr:uid="{DE040285-1C97-4EC5-981F-0884DD59A246}"/>
    <cellStyle name="Normal 2 2 7 3 2 4 2" xfId="27343" xr:uid="{C304F024-8373-44EF-8702-1365F2D427CD}"/>
    <cellStyle name="Normal 2 2 7 3 2 4 3" xfId="15407" xr:uid="{83F001C6-1E3E-4BEF-A578-6A98F78A5346}"/>
    <cellStyle name="Normal 2 2 7 3 2 5" xfId="7860" xr:uid="{2339EDD1-F2C1-42F8-A2DB-FAD34473DCFC}"/>
    <cellStyle name="Normal 2 2 7 3 2 5 2" xfId="18240" xr:uid="{C8AD0386-3040-46F1-B645-6655476B4E1C}"/>
    <cellStyle name="Normal 2 2 7 3 2 6" xfId="10693" xr:uid="{4E2A75C5-D6E1-4366-B646-1EA5470A1E7B}"/>
    <cellStyle name="Normal 2 2 7 3 2 6 2" xfId="21073" xr:uid="{9B0F25AF-5BD6-4B90-A454-D00D5EA39529}"/>
    <cellStyle name="Normal 2 2 7 3 2 7" xfId="25134" xr:uid="{E830B5F4-CEBC-4DFD-B7C5-8C2032ABC27D}"/>
    <cellStyle name="Normal 2 2 7 3 2 8" xfId="13172" xr:uid="{DAF114F1-DD70-4554-94B8-AEA3F3E71683}"/>
    <cellStyle name="Normal 2 2 7 3 3" xfId="3200" xr:uid="{00000000-0005-0000-0000-000040040000}"/>
    <cellStyle name="Normal 2 2 7 3 3 2" xfId="4473" xr:uid="{0428E46A-93CA-416A-8A3D-64F2AF294697}"/>
    <cellStyle name="Normal 2 2 7 3 3 2 2" xfId="9245" xr:uid="{7F6CBD5B-9D8F-4693-97C1-702733C70EEF}"/>
    <cellStyle name="Normal 2 2 7 3 3 2 2 2" xfId="29234" xr:uid="{4E15FF19-501D-4EF1-9C91-2E64E0E8506B}"/>
    <cellStyle name="Normal 2 2 7 3 3 2 2 3" xfId="19625" xr:uid="{73AA55D1-3CF8-4142-979A-740880D272DD}"/>
    <cellStyle name="Normal 2 2 7 3 3 2 3" xfId="12078" xr:uid="{DE2C7111-8310-472C-9C0D-BDF10E297E82}"/>
    <cellStyle name="Normal 2 2 7 3 3 2 3 2" xfId="22458" xr:uid="{27BD705E-F3E4-4F7C-996B-87B1BC251D6C}"/>
    <cellStyle name="Normal 2 2 7 3 3 2 4" xfId="24393" xr:uid="{58A0A0B9-BE64-483A-ABB4-854BC81CB446}"/>
    <cellStyle name="Normal 2 2 7 3 3 2 5" xfId="16792" xr:uid="{6C66086D-972D-42D1-8497-F58F520E4481}"/>
    <cellStyle name="Normal 2 2 7 3 3 3" xfId="6258" xr:uid="{D940372C-13D7-4285-9FDE-3B180C7240FF}"/>
    <cellStyle name="Normal 2 2 7 3 3 3 2" xfId="27757" xr:uid="{F28E13FF-310C-4A09-BC29-966A74D8A060}"/>
    <cellStyle name="Normal 2 2 7 3 3 3 3" xfId="15827" xr:uid="{7BCAF169-B59A-4731-AF05-776ADEDAE458}"/>
    <cellStyle name="Normal 2 2 7 3 3 4" xfId="8280" xr:uid="{C8B16FE4-4C61-4173-A19E-762D85240BFE}"/>
    <cellStyle name="Normal 2 2 7 3 3 4 2" xfId="18660" xr:uid="{347D0C6D-BD62-4E72-8C14-0AA1A467D708}"/>
    <cellStyle name="Normal 2 2 7 3 3 5" xfId="11113" xr:uid="{73022351-1C26-4939-AA38-289D77681BAD}"/>
    <cellStyle name="Normal 2 2 7 3 3 5 2" xfId="21493" xr:uid="{D838C5FD-0A15-4C6C-A084-82D9C901D236}"/>
    <cellStyle name="Normal 2 2 7 3 3 6" xfId="24001" xr:uid="{EDDCD52D-04C6-4A80-B038-2BF9C8415521}"/>
    <cellStyle name="Normal 2 2 7 3 3 7" xfId="13741" xr:uid="{7A73E4B7-EDEC-4FA0-8605-ADE538C01436}"/>
    <cellStyle name="Normal 2 2 7 3 4" xfId="3198" xr:uid="{00000000-0005-0000-0000-000041040000}"/>
    <cellStyle name="Normal 2 2 7 3 4 2" xfId="6256" xr:uid="{CF60C740-2E1F-4CDA-B4B6-BF87756449D4}"/>
    <cellStyle name="Normal 2 2 7 3 4 2 2" xfId="28393" xr:uid="{E8B8B9A0-5C61-4A77-A708-D915FD490F3B}"/>
    <cellStyle name="Normal 2 2 7 3 4 2 3" xfId="15825" xr:uid="{B7F0F487-D0C5-4F3F-9339-B478FB99E6AA}"/>
    <cellStyle name="Normal 2 2 7 3 4 3" xfId="8278" xr:uid="{2DBAAF1C-E8D3-4763-8820-5C030BFC6E29}"/>
    <cellStyle name="Normal 2 2 7 3 4 3 2" xfId="18658" xr:uid="{5AA4104F-80A6-4B4D-9D4D-25CF2EBC49CE}"/>
    <cellStyle name="Normal 2 2 7 3 4 4" xfId="11111" xr:uid="{A5022C64-CA5C-4256-9DC0-7C397D74943E}"/>
    <cellStyle name="Normal 2 2 7 3 4 4 2" xfId="21491" xr:uid="{6BDC3A3E-EE03-40BD-B52A-5ADF54128D69}"/>
    <cellStyle name="Normal 2 2 7 3 4 5" xfId="25563" xr:uid="{7B928967-CE5D-43D5-BB33-45736C0C119C}"/>
    <cellStyle name="Normal 2 2 7 3 4 6" xfId="13739" xr:uid="{394C640A-B5E2-4187-B7A5-490C8C461537}"/>
    <cellStyle name="Normal 2 2 7 3 5" xfId="2625" xr:uid="{00000000-0005-0000-0000-000042040000}"/>
    <cellStyle name="Normal 2 2 7 3 5 2" xfId="5887" xr:uid="{92CD74B9-44AB-49EB-BBE1-72D7E5630C7A}"/>
    <cellStyle name="Normal 2 2 7 3 5 2 2" xfId="26778" xr:uid="{0E0DCD71-F50E-424A-9F99-47DD45A2B674}"/>
    <cellStyle name="Normal 2 2 7 3 5 2 3" xfId="15297" xr:uid="{3F30FFEF-1A10-4243-A3EC-617D5088BDDA}"/>
    <cellStyle name="Normal 2 2 7 3 5 3" xfId="7750" xr:uid="{635E3C12-C886-44F6-9770-79ED6BFD1FC8}"/>
    <cellStyle name="Normal 2 2 7 3 5 3 2" xfId="18130" xr:uid="{F0ABDD48-8ABA-4593-94C5-CDB5D41E58DC}"/>
    <cellStyle name="Normal 2 2 7 3 5 4" xfId="10583" xr:uid="{17F5AA6E-126A-4164-9FEF-F05FAF4848F8}"/>
    <cellStyle name="Normal 2 2 7 3 5 4 2" xfId="20963" xr:uid="{199B1EF3-438D-427A-93F2-7478C7AA5889}"/>
    <cellStyle name="Normal 2 2 7 3 5 5" xfId="23745" xr:uid="{CC56BE07-5218-4782-8B3F-5BFD9E3B6494}"/>
    <cellStyle name="Normal 2 2 7 3 5 6" xfId="13013" xr:uid="{B4923DA2-90D7-4352-9E97-CED1C3F86706}"/>
    <cellStyle name="Normal 2 2 7 3 6" xfId="4165" xr:uid="{0EECCB69-E2A2-4D79-984C-AEA068311F16}"/>
    <cellStyle name="Normal 2 2 7 3 6 2" xfId="8937" xr:uid="{9C2642DB-2BEA-40C7-A32B-E7BCFF1109E9}"/>
    <cellStyle name="Normal 2 2 7 3 6 2 2" xfId="19317" xr:uid="{43F78813-33B4-4BF0-862C-D45B3E52C6CD}"/>
    <cellStyle name="Normal 2 2 7 3 6 3" xfId="11770" xr:uid="{7FB2A010-4F86-413B-A29B-80AFBA0C83FD}"/>
    <cellStyle name="Normal 2 2 7 3 6 3 2" xfId="22150" xr:uid="{33525C46-7CBE-4205-927F-564236BD8343}"/>
    <cellStyle name="Normal 2 2 7 3 6 4" xfId="23722" xr:uid="{9BC8BB49-D765-48C9-BE92-08F2EA7A9DBF}"/>
    <cellStyle name="Normal 2 2 7 3 6 5" xfId="16484" xr:uid="{82F6FC75-C16C-413E-B767-482378F3B21B}"/>
    <cellStyle name="Normal 2 2 7 3 7" xfId="5126" xr:uid="{5C452FFA-7910-4D62-A8A7-22BC1867080B}"/>
    <cellStyle name="Normal 2 2 7 3 7 2" xfId="14423" xr:uid="{71F07B88-DD81-4D19-B3F5-6CF54BC1094D}"/>
    <cellStyle name="Normal 2 2 7 3 8" xfId="6876" xr:uid="{90182203-014D-4FA0-B89A-F4D27942B154}"/>
    <cellStyle name="Normal 2 2 7 3 8 2" xfId="17256" xr:uid="{8238B354-BF9F-4916-9974-7AC3933B06CD}"/>
    <cellStyle name="Normal 2 2 7 3 9" xfId="9709" xr:uid="{B4C3058F-A649-4C9E-9CF8-5063027BD2D8}"/>
    <cellStyle name="Normal 2 2 7 3 9 2" xfId="20089" xr:uid="{4AFB8945-510C-491C-A8E1-1C9D343D4C3A}"/>
    <cellStyle name="Normal 2 2 7 4" xfId="773" xr:uid="{00000000-0005-0000-0000-0000B1040000}"/>
    <cellStyle name="Normal 2 2 7 4 2" xfId="3201" xr:uid="{00000000-0005-0000-0000-000044040000}"/>
    <cellStyle name="Normal 2 2 7 4 2 2" xfId="6259" xr:uid="{EA86242F-DE84-41B2-B4E2-49C3A6806F4C}"/>
    <cellStyle name="Normal 2 2 7 4 2 2 2" xfId="27955" xr:uid="{F130E72C-EF2A-4AE3-96A3-4BDBF9584015}"/>
    <cellStyle name="Normal 2 2 7 4 2 2 3" xfId="15828" xr:uid="{AB8DBCB1-FF55-4422-AE4F-23C7720312AB}"/>
    <cellStyle name="Normal 2 2 7 4 2 3" xfId="8281" xr:uid="{28C10E84-05C2-498D-82BA-F63707491383}"/>
    <cellStyle name="Normal 2 2 7 4 2 3 2" xfId="18661" xr:uid="{84627645-3648-4EA7-BD72-457DC4FED9D8}"/>
    <cellStyle name="Normal 2 2 7 4 2 4" xfId="11114" xr:uid="{D759EDC8-144E-4FCC-B7B5-6256B36E7E60}"/>
    <cellStyle name="Normal 2 2 7 4 2 4 2" xfId="21494" xr:uid="{F311C016-71CF-4462-93B6-AD713B647808}"/>
    <cellStyle name="Normal 2 2 7 4 2 5" xfId="24435" xr:uid="{16B3E47E-68E3-4CA5-A25D-F24AB1561C53}"/>
    <cellStyle name="Normal 2 2 7 4 2 6" xfId="13742" xr:uid="{F1B21C19-0682-443F-8D4E-BDB1C80126DC}"/>
    <cellStyle name="Normal 2 2 7 4 3" xfId="4300" xr:uid="{FB89EF37-5642-4DB4-9B87-78B865309E32}"/>
    <cellStyle name="Normal 2 2 7 4 3 2" xfId="9072" xr:uid="{58972D54-2C46-400B-B3FA-FDD33077E2A0}"/>
    <cellStyle name="Normal 2 2 7 4 3 2 2" xfId="29115" xr:uid="{3E47BE21-2C75-410C-A6C9-DD3FD87C6916}"/>
    <cellStyle name="Normal 2 2 7 4 3 2 3" xfId="19452" xr:uid="{8463DD5D-1757-4EA0-9D14-3534ED11B601}"/>
    <cellStyle name="Normal 2 2 7 4 3 3" xfId="11905" xr:uid="{099E216B-CFB5-4885-9F6B-81FA1976C52D}"/>
    <cellStyle name="Normal 2 2 7 4 3 3 2" xfId="22285" xr:uid="{FF8EC160-F987-4D10-98D0-422BEE8B6B95}"/>
    <cellStyle name="Normal 2 2 7 4 3 4" xfId="23425" xr:uid="{3AD3C7EB-4743-4B29-A5D0-0C459C1321C6}"/>
    <cellStyle name="Normal 2 2 7 4 3 5" xfId="16619" xr:uid="{4E8744E9-845E-436B-834F-356D56F91803}"/>
    <cellStyle name="Normal 2 2 7 4 4" xfId="5127" xr:uid="{BB82BBF1-892E-428D-B121-BE1B6A0F0770}"/>
    <cellStyle name="Normal 2 2 7 4 4 2" xfId="27315" xr:uid="{B6384FC8-584C-475B-A86A-E8E7D2A74AEB}"/>
    <cellStyle name="Normal 2 2 7 4 4 3" xfId="14424" xr:uid="{FA69E3F2-B838-4302-AE0D-B6EA475877A7}"/>
    <cellStyle name="Normal 2 2 7 4 5" xfId="6877" xr:uid="{DED2211D-BFE6-48E6-8FF2-55930132D76B}"/>
    <cellStyle name="Normal 2 2 7 4 5 2" xfId="17257" xr:uid="{470C8BE6-A3EE-4F87-A755-C79CAC7DCB94}"/>
    <cellStyle name="Normal 2 2 7 4 6" xfId="9710" xr:uid="{BCD325BF-24A9-435B-9AC8-82BF9A84298E}"/>
    <cellStyle name="Normal 2 2 7 4 6 2" xfId="20090" xr:uid="{5486DF0B-2ECE-43B1-AF13-431C9E6D04D1}"/>
    <cellStyle name="Normal 2 2 7 4 7" xfId="24458" xr:uid="{5D16B951-AF92-490D-9C68-F6E635E7BD61}"/>
    <cellStyle name="Normal 2 2 7 4 8" xfId="13170" xr:uid="{17041A68-1022-49C2-98E9-55807456AA15}"/>
    <cellStyle name="Normal 2 2 7 5" xfId="3202" xr:uid="{00000000-0005-0000-0000-000045040000}"/>
    <cellStyle name="Normal 2 2 7 5 2" xfId="4474" xr:uid="{F43CF885-6B3E-4233-B3EB-8EC307816EE0}"/>
    <cellStyle name="Normal 2 2 7 5 2 2" xfId="9246" xr:uid="{99C5D73E-8D59-42E6-9224-95D350907AA5}"/>
    <cellStyle name="Normal 2 2 7 5 2 2 2" xfId="29235" xr:uid="{D28169DF-F682-4D57-8E50-2BEBF72ADB7C}"/>
    <cellStyle name="Normal 2 2 7 5 2 2 3" xfId="19626" xr:uid="{911EB7F1-662E-467B-9B34-9D1B8475D22B}"/>
    <cellStyle name="Normal 2 2 7 5 2 3" xfId="12079" xr:uid="{36E12D49-82BF-46AF-871C-11FB898BFBEE}"/>
    <cellStyle name="Normal 2 2 7 5 2 3 2" xfId="22459" xr:uid="{C04B2735-E0AA-497B-8422-E367EF58C9F7}"/>
    <cellStyle name="Normal 2 2 7 5 2 4" xfId="25693" xr:uid="{2265BF51-5BC9-4777-B8E6-0889D80AE015}"/>
    <cellStyle name="Normal 2 2 7 5 2 5" xfId="16793" xr:uid="{36544D78-34B7-4DC8-990C-2DBB08710D08}"/>
    <cellStyle name="Normal 2 2 7 5 3" xfId="6260" xr:uid="{4D851889-4635-4508-8F66-E2721015AA19}"/>
    <cellStyle name="Normal 2 2 7 5 3 2" xfId="26239" xr:uid="{22637B2F-5841-439F-8B42-DC03C4B1CBE8}"/>
    <cellStyle name="Normal 2 2 7 5 3 3" xfId="15829" xr:uid="{6C442F8F-709D-41AD-83FC-99633E491AB7}"/>
    <cellStyle name="Normal 2 2 7 5 4" xfId="8282" xr:uid="{831A3850-70D5-4E84-A343-C00368EDD689}"/>
    <cellStyle name="Normal 2 2 7 5 4 2" xfId="18662" xr:uid="{C16F9157-9B3C-443E-9BDB-6FF37823E7B9}"/>
    <cellStyle name="Normal 2 2 7 5 5" xfId="11115" xr:uid="{5323322D-1828-4872-A0D0-B1C1DE137956}"/>
    <cellStyle name="Normal 2 2 7 5 5 2" xfId="21495" xr:uid="{7AFD68E4-4698-4CEB-AAD0-46CE8C566DB4}"/>
    <cellStyle name="Normal 2 2 7 5 6" xfId="24777" xr:uid="{19595CDC-3621-469D-8973-B52DF0990318}"/>
    <cellStyle name="Normal 2 2 7 5 7" xfId="13743" xr:uid="{8596851C-82E7-4787-9116-C2C662107F93}"/>
    <cellStyle name="Normal 2 2 7 6" xfId="2906" xr:uid="{00000000-0005-0000-0000-000046040000}"/>
    <cellStyle name="Normal 2 2 7 6 2" xfId="6092" xr:uid="{DA57989B-564A-4C1A-9D05-AE50DD18F86E}"/>
    <cellStyle name="Normal 2 2 7 6 2 2" xfId="27701" xr:uid="{F418126B-C980-4ECC-BE7C-18A8E2FADF60}"/>
    <cellStyle name="Normal 2 2 7 6 2 3" xfId="15570" xr:uid="{22B65360-BC90-4835-B939-315CDBC5A152}"/>
    <cellStyle name="Normal 2 2 7 6 3" xfId="8023" xr:uid="{CB3E4E3C-6CDC-4F35-9634-4C0B1E25404F}"/>
    <cellStyle name="Normal 2 2 7 6 3 2" xfId="18403" xr:uid="{2D552C60-2259-4C2D-A185-267CAB265DF4}"/>
    <cellStyle name="Normal 2 2 7 6 4" xfId="10856" xr:uid="{CF9A6020-EF53-46F0-9D9B-EC6F1A1DA70A}"/>
    <cellStyle name="Normal 2 2 7 6 4 2" xfId="21236" xr:uid="{FCBF4E9B-F8D3-4C41-B78E-2150FF51224B}"/>
    <cellStyle name="Normal 2 2 7 6 5" xfId="25340" xr:uid="{0441A294-413D-4AAF-BD16-AC300834E672}"/>
    <cellStyle name="Normal 2 2 7 6 6" xfId="13421" xr:uid="{F450886F-2E7C-48CC-A33D-E6A3B3C2BC1E}"/>
    <cellStyle name="Normal 2 2 7 7" xfId="2462" xr:uid="{00000000-0005-0000-0000-000047040000}"/>
    <cellStyle name="Normal 2 2 7 7 2" xfId="5753" xr:uid="{2E6284A3-7195-4AB7-A4FB-C092FA1EAF45}"/>
    <cellStyle name="Normal 2 2 7 7 2 2" xfId="26668" xr:uid="{15808563-0C2E-477A-AA67-BC75561D798B}"/>
    <cellStyle name="Normal 2 2 7 7 2 3" xfId="15134" xr:uid="{A4BAD895-AF33-4EF9-BD97-047C99E8F55E}"/>
    <cellStyle name="Normal 2 2 7 7 3" xfId="7587" xr:uid="{645F3ECB-47CB-43FD-93B1-D80F647453B9}"/>
    <cellStyle name="Normal 2 2 7 7 3 2" xfId="17967" xr:uid="{5276B6E8-F14B-47DA-9795-8A1D24063B5E}"/>
    <cellStyle name="Normal 2 2 7 7 4" xfId="10420" xr:uid="{32FB7C96-3693-4BBB-87D3-F468EA2058C6}"/>
    <cellStyle name="Normal 2 2 7 7 4 2" xfId="20800" xr:uid="{00B40404-8E65-48CD-AB16-729DDAF8B967}"/>
    <cellStyle name="Normal 2 2 7 7 5" xfId="22820" xr:uid="{F5302D9A-7717-43A3-9991-538FB9F931D8}"/>
    <cellStyle name="Normal 2 2 7 7 6" xfId="12850" xr:uid="{F4F92005-4B46-4882-86F0-AA33BE952BAB}"/>
    <cellStyle name="Normal 2 2 7 8" xfId="2216" xr:uid="{00000000-0005-0000-0000-000036040000}"/>
    <cellStyle name="Normal 2 2 7 8 2" xfId="7343" xr:uid="{119F46DF-C067-41EC-8126-38A40487FA8C}"/>
    <cellStyle name="Normal 2 2 7 8 2 2" xfId="17723" xr:uid="{ED305A55-2D9A-46DD-BA47-AF220451757E}"/>
    <cellStyle name="Normal 2 2 7 8 3" xfId="10176" xr:uid="{9D697A6F-542C-4ED6-AF67-5B61BA0FD18E}"/>
    <cellStyle name="Normal 2 2 7 8 3 2" xfId="20556" xr:uid="{9890D317-D2F7-49F4-9663-26A6115E9037}"/>
    <cellStyle name="Normal 2 2 7 8 4" xfId="23832" xr:uid="{DA775B2D-7C2D-4E4F-A457-253B653B3263}"/>
    <cellStyle name="Normal 2 2 7 8 5" xfId="14890" xr:uid="{6016B299-4532-427C-8DBF-F49EBF94FEEE}"/>
    <cellStyle name="Normal 2 2 7 9" xfId="3938" xr:uid="{730B2415-7D0E-4777-BD3F-FD5EA860EFA8}"/>
    <cellStyle name="Normal 2 2 7 9 2" xfId="8770" xr:uid="{DE422D28-9071-46E0-8C78-715B420E7E8C}"/>
    <cellStyle name="Normal 2 2 7 9 2 2" xfId="19150" xr:uid="{69C561B9-5447-412B-8367-27A315462274}"/>
    <cellStyle name="Normal 2 2 7 9 3" xfId="11603" xr:uid="{2B1B7C93-75A1-4EFE-A9FD-2E389EEAE17E}"/>
    <cellStyle name="Normal 2 2 7 9 3 2" xfId="21983" xr:uid="{647ECAF7-2087-4270-B0FC-26A8F245DCBA}"/>
    <cellStyle name="Normal 2 2 7 9 4" xfId="16317" xr:uid="{56E29E40-D477-49BB-A1DB-B1585FB89744}"/>
    <cellStyle name="Normal 2 2 8" xfId="774" xr:uid="{00000000-0005-0000-0000-0000B2040000}"/>
    <cellStyle name="Normal 2 2 8 10" xfId="6878" xr:uid="{628BD07A-D930-4CD2-A940-69AD564921B7}"/>
    <cellStyle name="Normal 2 2 8 10 2" xfId="17258" xr:uid="{D8B97DC8-7635-465A-856A-2FA87A0AFF44}"/>
    <cellStyle name="Normal 2 2 8 11" xfId="9711" xr:uid="{F14EE70F-160D-4DA3-A3D4-9BC7D49B5D6B}"/>
    <cellStyle name="Normal 2 2 8 11 2" xfId="20091" xr:uid="{67B869A9-2EAC-4101-B81E-0B6A04DB9C7A}"/>
    <cellStyle name="Normal 2 2 8 12" xfId="25320" xr:uid="{8BBC2563-7EB3-4F0B-B448-C24827850FBF}"/>
    <cellStyle name="Normal 2 2 8 13" xfId="12431" xr:uid="{F2398DB6-92A6-4E09-8CEA-7C4D685124A0}"/>
    <cellStyle name="Normal 2 2 8 2" xfId="775" xr:uid="{00000000-0005-0000-0000-0000B3040000}"/>
    <cellStyle name="Normal 2 2 8 2 10" xfId="9712" xr:uid="{2E8E1B31-05C3-4FE9-9EA3-A11E18571BCB}"/>
    <cellStyle name="Normal 2 2 8 2 10 2" xfId="20092" xr:uid="{65A4362D-0852-4578-B5E2-C59DB0DE1260}"/>
    <cellStyle name="Normal 2 2 8 2 11" xfId="22651" xr:uid="{EE2F466C-BF6B-4568-ACBB-F9CA7F522928}"/>
    <cellStyle name="Normal 2 2 8 2 12" xfId="12566" xr:uid="{32E0DBA3-74D1-4471-9210-559060BCEC89}"/>
    <cellStyle name="Normal 2 2 8 2 2" xfId="776" xr:uid="{00000000-0005-0000-0000-0000B4040000}"/>
    <cellStyle name="Normal 2 2 8 2 2 2" xfId="3204" xr:uid="{00000000-0005-0000-0000-00004B040000}"/>
    <cellStyle name="Normal 2 2 8 2 2 2 2" xfId="6262" xr:uid="{AD7F9C5A-5E3B-40DC-9854-FDA24E5AF8DB}"/>
    <cellStyle name="Normal 2 2 8 2 2 2 2 2" xfId="25878" xr:uid="{E730DD8D-3F10-49FC-A895-5577D56DF90B}"/>
    <cellStyle name="Normal 2 2 8 2 2 2 2 3" xfId="27616" xr:uid="{939AE3EF-EE41-49B2-BBEB-DDE8EBBE629B}"/>
    <cellStyle name="Normal 2 2 8 2 2 2 2 4" xfId="15831" xr:uid="{466C9F48-8078-4AB5-B0A3-09B931C02DB0}"/>
    <cellStyle name="Normal 2 2 8 2 2 2 3" xfId="8284" xr:uid="{01B25D7D-B9CB-4313-9A55-D93C96704B92}"/>
    <cellStyle name="Normal 2 2 8 2 2 2 3 2" xfId="28883" xr:uid="{ADA3744A-7B68-4CE9-B787-2C2419DFDC4A}"/>
    <cellStyle name="Normal 2 2 8 2 2 2 3 3" xfId="18664" xr:uid="{A25F16EE-717B-475B-A5B5-2AA233EEB4AE}"/>
    <cellStyle name="Normal 2 2 8 2 2 2 4" xfId="11117" xr:uid="{E96C8554-8CF2-4170-AA1D-C245115615EC}"/>
    <cellStyle name="Normal 2 2 8 2 2 2 4 2" xfId="21497" xr:uid="{563CFB1D-1936-44BB-BD04-BBB7C4F5B7B6}"/>
    <cellStyle name="Normal 2 2 8 2 2 2 5" xfId="24177" xr:uid="{C0032DE9-A102-4F49-B63C-0CC0E1C338C0}"/>
    <cellStyle name="Normal 2 2 8 2 2 2 6" xfId="13745" xr:uid="{53A835B4-D170-4264-B454-1536B8D45EE1}"/>
    <cellStyle name="Normal 2 2 8 2 2 3" xfId="4303" xr:uid="{1FFE8655-55F3-4269-83C8-334A040FEC77}"/>
    <cellStyle name="Normal 2 2 8 2 2 3 2" xfId="9075" xr:uid="{6AE2C6FE-F53C-447D-AC47-C1657D57F2A1}"/>
    <cellStyle name="Normal 2 2 8 2 2 3 2 2" xfId="29118" xr:uid="{E7C3450E-2F33-4EAF-BE7B-432C4B18638F}"/>
    <cellStyle name="Normal 2 2 8 2 2 3 2 3" xfId="19455" xr:uid="{AFF2C6CB-6ED1-4C43-B328-DCF262F4C661}"/>
    <cellStyle name="Normal 2 2 8 2 2 3 3" xfId="11908" xr:uid="{44D4E787-4053-4D74-9147-70403D1E4BE0}"/>
    <cellStyle name="Normal 2 2 8 2 2 3 3 2" xfId="22288" xr:uid="{71633322-84F1-43F9-A310-AA1C9C15F19D}"/>
    <cellStyle name="Normal 2 2 8 2 2 3 4" xfId="24902" xr:uid="{A33F61B1-B2E4-49D0-A3BA-19C1F03A202B}"/>
    <cellStyle name="Normal 2 2 8 2 2 3 5" xfId="16622" xr:uid="{53B62D12-7ADC-4437-99D4-4D8ADE7D2990}"/>
    <cellStyle name="Normal 2 2 8 2 2 4" xfId="5130" xr:uid="{EF44E616-FCEF-4B61-B126-F41F814B1672}"/>
    <cellStyle name="Normal 2 2 8 2 2 4 2" xfId="26241" xr:uid="{C764AC65-430F-4028-AAB3-796B0F36B950}"/>
    <cellStyle name="Normal 2 2 8 2 2 4 3" xfId="14427" xr:uid="{098E2349-6E86-4C89-BCF2-9C6B794781F3}"/>
    <cellStyle name="Normal 2 2 8 2 2 5" xfId="6880" xr:uid="{09AEA82C-8297-4AE8-829C-747CBFFFB293}"/>
    <cellStyle name="Normal 2 2 8 2 2 5 2" xfId="17260" xr:uid="{637648A9-C576-444E-B4B3-A55EBC3FB424}"/>
    <cellStyle name="Normal 2 2 8 2 2 6" xfId="9713" xr:uid="{D6A3D852-B06A-4D55-AEF5-09C7BBE20F04}"/>
    <cellStyle name="Normal 2 2 8 2 2 6 2" xfId="20093" xr:uid="{126B0F5F-33D7-4CFA-B3CB-3F540B22047E}"/>
    <cellStyle name="Normal 2 2 8 2 2 7" xfId="23535" xr:uid="{AC6CAC62-C341-4C3D-A142-6E1FA8DC2778}"/>
    <cellStyle name="Normal 2 2 8 2 2 8" xfId="13174" xr:uid="{89A8D227-72D1-4F88-9AB5-0EBC5A5B2745}"/>
    <cellStyle name="Normal 2 2 8 2 3" xfId="3205" xr:uid="{00000000-0005-0000-0000-00004C040000}"/>
    <cellStyle name="Normal 2 2 8 2 3 2" xfId="4475" xr:uid="{B79F63A2-A715-4B21-A3BE-9628464F7014}"/>
    <cellStyle name="Normal 2 2 8 2 3 2 2" xfId="9247" xr:uid="{6F952480-3FDB-414C-B6CA-44F4ED28A849}"/>
    <cellStyle name="Normal 2 2 8 2 3 2 2 2" xfId="29236" xr:uid="{B837C5AA-2511-403E-BF9C-3C00737E91DD}"/>
    <cellStyle name="Normal 2 2 8 2 3 2 2 3" xfId="19627" xr:uid="{4B56D94F-7580-45FB-AC07-B28A6D1E6754}"/>
    <cellStyle name="Normal 2 2 8 2 3 2 3" xfId="12080" xr:uid="{7EBB8DCB-5068-4C64-936B-792200931A9C}"/>
    <cellStyle name="Normal 2 2 8 2 3 2 3 2" xfId="22460" xr:uid="{3D3BD81C-C557-4D5D-A9A7-90DEC679FD60}"/>
    <cellStyle name="Normal 2 2 8 2 3 2 4" xfId="23837" xr:uid="{C1692201-4612-4F99-B5D7-7B62E1BBF460}"/>
    <cellStyle name="Normal 2 2 8 2 3 2 5" xfId="16794" xr:uid="{9E6B0EF0-1544-4F38-8798-56F7FADF95B7}"/>
    <cellStyle name="Normal 2 2 8 2 3 3" xfId="6263" xr:uid="{F103B7AA-0002-4F7D-B285-E2D5C6FB343A}"/>
    <cellStyle name="Normal 2 2 8 2 3 3 2" xfId="25939" xr:uid="{F2D9A890-7170-4A20-B246-CAF9D59A5391}"/>
    <cellStyle name="Normal 2 2 8 2 3 3 3" xfId="15832" xr:uid="{BF862549-28D1-4806-8608-B1D17D8BDCC7}"/>
    <cellStyle name="Normal 2 2 8 2 3 4" xfId="8285" xr:uid="{E5ACE763-E8C4-4486-B72A-9E4EA89C7A8D}"/>
    <cellStyle name="Normal 2 2 8 2 3 4 2" xfId="18665" xr:uid="{F07F7485-9F1A-47BA-B018-765D152C6523}"/>
    <cellStyle name="Normal 2 2 8 2 3 5" xfId="11118" xr:uid="{E8D85AC4-EA72-4E3C-BA1A-C7ADC1E0DD3C}"/>
    <cellStyle name="Normal 2 2 8 2 3 5 2" xfId="21498" xr:uid="{09C0A0EA-6124-4D58-945C-EBB99BB5FAC7}"/>
    <cellStyle name="Normal 2 2 8 2 3 6" xfId="24808" xr:uid="{C89F7E85-6CAF-4A73-B1CB-D0E28020C5ED}"/>
    <cellStyle name="Normal 2 2 8 2 3 7" xfId="13746" xr:uid="{E2CABDA1-9B3F-41E5-BED0-604309B159DF}"/>
    <cellStyle name="Normal 2 2 8 2 4" xfId="3203" xr:uid="{00000000-0005-0000-0000-00004D040000}"/>
    <cellStyle name="Normal 2 2 8 2 4 2" xfId="6261" xr:uid="{00BDF592-F8ED-4918-8803-E44F81D1262F}"/>
    <cellStyle name="Normal 2 2 8 2 4 2 2" xfId="25845" xr:uid="{DAE43E84-2D15-410B-AAC9-BEFD8622CCD5}"/>
    <cellStyle name="Normal 2 2 8 2 4 2 3" xfId="15830" xr:uid="{A867CFCC-A18F-4100-8B17-18C1AF35D78F}"/>
    <cellStyle name="Normal 2 2 8 2 4 3" xfId="8283" xr:uid="{B9C08851-865A-4B86-A777-1121A9A65835}"/>
    <cellStyle name="Normal 2 2 8 2 4 3 2" xfId="18663" xr:uid="{96E36747-C293-4AED-A379-63C7E2ED0EB0}"/>
    <cellStyle name="Normal 2 2 8 2 4 4" xfId="11116" xr:uid="{C12C189B-1E98-4A23-B57A-DBAEE45CEB38}"/>
    <cellStyle name="Normal 2 2 8 2 4 4 2" xfId="21496" xr:uid="{D35EE70B-DE62-448F-BC2A-483C0629E5A9}"/>
    <cellStyle name="Normal 2 2 8 2 4 5" xfId="23812" xr:uid="{BC432C4B-B5D4-45F1-A098-40E096DB7C08}"/>
    <cellStyle name="Normal 2 2 8 2 4 6" xfId="13744" xr:uid="{DCA3EA7E-3623-4E6F-9B7D-414E8CFE2DEB}"/>
    <cellStyle name="Normal 2 2 8 2 5" xfId="2608" xr:uid="{00000000-0005-0000-0000-00004E040000}"/>
    <cellStyle name="Normal 2 2 8 2 5 2" xfId="5872" xr:uid="{2158CB03-382E-4154-84CF-297635431937}"/>
    <cellStyle name="Normal 2 2 8 2 5 2 2" xfId="26864" xr:uid="{8D95AE1F-7280-46BC-910E-DCA5B1645248}"/>
    <cellStyle name="Normal 2 2 8 2 5 2 3" xfId="15280" xr:uid="{3939FE5E-D725-4F1D-9D71-725A3C5C4C3B}"/>
    <cellStyle name="Normal 2 2 8 2 5 3" xfId="7733" xr:uid="{F4FC430F-0F3A-4A14-9461-867A83D045E9}"/>
    <cellStyle name="Normal 2 2 8 2 5 3 2" xfId="18113" xr:uid="{94929340-B51F-48CD-AD23-3E649F9F02D2}"/>
    <cellStyle name="Normal 2 2 8 2 5 4" xfId="10566" xr:uid="{2D5F3208-AE2B-49D3-BBF3-28D50CE40CF4}"/>
    <cellStyle name="Normal 2 2 8 2 5 4 2" xfId="20946" xr:uid="{8E647BA0-58F9-44E3-8560-D7245A82E6F3}"/>
    <cellStyle name="Normal 2 2 8 2 5 5" xfId="22797" xr:uid="{AC31583B-A675-4131-AD03-A29CA722448A}"/>
    <cellStyle name="Normal 2 2 8 2 5 6" xfId="12996" xr:uid="{4C44059D-138B-42F6-A4E1-87AAD4C2938A}"/>
    <cellStyle name="Normal 2 2 8 2 6" xfId="2332" xr:uid="{00000000-0005-0000-0000-000049040000}"/>
    <cellStyle name="Normal 2 2 8 2 6 2" xfId="7459" xr:uid="{3AA901C1-0822-4B28-A516-503B037C2030}"/>
    <cellStyle name="Normal 2 2 8 2 6 2 2" xfId="17839" xr:uid="{F2220739-898B-4866-A055-C32C8E328486}"/>
    <cellStyle name="Normal 2 2 8 2 6 3" xfId="10292" xr:uid="{9D4856D8-5F64-40B9-A821-52A1A4F7F348}"/>
    <cellStyle name="Normal 2 2 8 2 6 3 2" xfId="20672" xr:uid="{3CD42492-4DA1-4141-8AC7-40E799C5F97D}"/>
    <cellStyle name="Normal 2 2 8 2 6 4" xfId="24021" xr:uid="{088F61CA-E37A-4075-BA0A-E940FF2C1253}"/>
    <cellStyle name="Normal 2 2 8 2 6 5" xfId="15006" xr:uid="{3F02CA74-B058-44D3-9E13-ECAE3FFA3E36}"/>
    <cellStyle name="Normal 2 2 8 2 7" xfId="3847" xr:uid="{6A49327A-3862-4542-9177-0AF47BCAA334}"/>
    <cellStyle name="Normal 2 2 8 2 7 2" xfId="8680" xr:uid="{BB11D339-3294-4E5E-93BC-363044C6AD61}"/>
    <cellStyle name="Normal 2 2 8 2 7 2 2" xfId="19060" xr:uid="{672ACB02-E131-4912-A65A-C985E34D56FB}"/>
    <cellStyle name="Normal 2 2 8 2 7 3" xfId="11513" xr:uid="{3433FEE8-69AE-4718-B7A5-DE65C3900C01}"/>
    <cellStyle name="Normal 2 2 8 2 7 3 2" xfId="21893" xr:uid="{688BBCCB-3380-47C5-B0BC-470EC18C4240}"/>
    <cellStyle name="Normal 2 2 8 2 7 4" xfId="16227" xr:uid="{AB074805-6BDA-41A1-B685-E4E896C027AC}"/>
    <cellStyle name="Normal 2 2 8 2 8" xfId="5129" xr:uid="{2EF62492-BFF2-4C41-ADBB-8135D3993D9D}"/>
    <cellStyle name="Normal 2 2 8 2 8 2" xfId="14426" xr:uid="{3544151C-8FE4-4BC6-A82E-019C0F7B9799}"/>
    <cellStyle name="Normal 2 2 8 2 9" xfId="6879" xr:uid="{5748C84E-41B0-4273-98C8-35E79BD84EF0}"/>
    <cellStyle name="Normal 2 2 8 2 9 2" xfId="17259" xr:uid="{14684CC9-A457-441B-B6A9-3F9C63964AC6}"/>
    <cellStyle name="Normal 2 2 8 3" xfId="777" xr:uid="{00000000-0005-0000-0000-0000B5040000}"/>
    <cellStyle name="Normal 2 2 8 3 2" xfId="3206" xr:uid="{00000000-0005-0000-0000-000050040000}"/>
    <cellStyle name="Normal 2 2 8 3 2 2" xfId="6264" xr:uid="{484994DE-EA3F-48CE-8C82-D9A34BD5D050}"/>
    <cellStyle name="Normal 2 2 8 3 2 2 2" xfId="25498" xr:uid="{9976E747-9C6D-4AA6-B81C-9C316A07E5F6}"/>
    <cellStyle name="Normal 2 2 8 3 2 2 3" xfId="26970" xr:uid="{F603F650-3DB7-4DA7-93A3-8D9FE2123AFF}"/>
    <cellStyle name="Normal 2 2 8 3 2 2 4" xfId="15833" xr:uid="{BFE0CFD8-BEAB-47DA-9195-84B09ED06AAE}"/>
    <cellStyle name="Normal 2 2 8 3 2 3" xfId="8286" xr:uid="{51A4D7D6-C0D2-43D5-85D4-EA446260D201}"/>
    <cellStyle name="Normal 2 2 8 3 2 3 2" xfId="28884" xr:uid="{4215C2A4-6596-45F2-BD61-68A9C65B0F2D}"/>
    <cellStyle name="Normal 2 2 8 3 2 3 3" xfId="18666" xr:uid="{A3A2E13C-311D-4FE2-A204-3EAFFDBE5612}"/>
    <cellStyle name="Normal 2 2 8 3 2 4" xfId="11119" xr:uid="{FFA795C0-AD39-4FE5-B0D8-5A19308E89B3}"/>
    <cellStyle name="Normal 2 2 8 3 2 4 2" xfId="21499" xr:uid="{F4A5942B-C24E-41C1-90FC-536AA55614DF}"/>
    <cellStyle name="Normal 2 2 8 3 2 5" xfId="24117" xr:uid="{E0E67E6E-E546-40B5-96DB-A817EB89A89D}"/>
    <cellStyle name="Normal 2 2 8 3 2 6" xfId="13747" xr:uid="{9D2CA8CC-2B5E-413C-ACCD-4099D1B875B7}"/>
    <cellStyle name="Normal 2 2 8 3 3" xfId="2737" xr:uid="{00000000-0005-0000-0000-000051040000}"/>
    <cellStyle name="Normal 2 2 8 3 3 2" xfId="5955" xr:uid="{630E4BC0-EF5B-4545-9D87-3B4644C75384}"/>
    <cellStyle name="Normal 2 2 8 3 3 2 2" xfId="28087" xr:uid="{3ED1D39F-0F11-4148-A98E-A4210E6D00B2}"/>
    <cellStyle name="Normal 2 2 8 3 3 2 3" xfId="15408" xr:uid="{3119C0F1-0AA0-4FE4-9F46-261DFD366530}"/>
    <cellStyle name="Normal 2 2 8 3 3 3" xfId="7861" xr:uid="{A467FD2F-47A1-4B7C-8683-284542929F18}"/>
    <cellStyle name="Normal 2 2 8 3 3 3 2" xfId="18241" xr:uid="{E44A229C-2533-411A-B532-D794FAC320EF}"/>
    <cellStyle name="Normal 2 2 8 3 3 4" xfId="10694" xr:uid="{63E92958-F63F-4843-AEE9-D7553DC9EA1E}"/>
    <cellStyle name="Normal 2 2 8 3 3 4 2" xfId="21074" xr:uid="{7F2A1A78-DFE7-441B-BBCE-B8B4C2514206}"/>
    <cellStyle name="Normal 2 2 8 3 3 5" xfId="22902" xr:uid="{2BEF5312-252E-4369-A6B3-169E222B0AFC}"/>
    <cellStyle name="Normal 2 2 8 3 3 6" xfId="13173" xr:uid="{2B192A59-C2D0-420D-A594-224E758F4C75}"/>
    <cellStyle name="Normal 2 2 8 3 4" xfId="4166" xr:uid="{5BEFE4C8-65F9-485E-B282-F87ACA3FCC55}"/>
    <cellStyle name="Normal 2 2 8 3 4 2" xfId="8938" xr:uid="{88DADD39-5568-426E-8F44-EA1914AAAE4C}"/>
    <cellStyle name="Normal 2 2 8 3 4 2 2" xfId="29033" xr:uid="{931954E9-0975-4F47-819C-F66340C1D0B8}"/>
    <cellStyle name="Normal 2 2 8 3 4 2 3" xfId="19318" xr:uid="{450B9D57-B6DD-4AE9-9E87-F372C2B4131E}"/>
    <cellStyle name="Normal 2 2 8 3 4 3" xfId="11771" xr:uid="{ACA7C7BB-0011-479E-9B26-D5F22ED0AB35}"/>
    <cellStyle name="Normal 2 2 8 3 4 3 2" xfId="22151" xr:uid="{E6618A83-CE86-4EB8-8D89-E3E1E39BD214}"/>
    <cellStyle name="Normal 2 2 8 3 4 4" xfId="25101" xr:uid="{97A2201C-2CB2-44A7-8D68-B368E0DE0280}"/>
    <cellStyle name="Normal 2 2 8 3 4 5" xfId="16485" xr:uid="{7A385FD1-0DF7-400E-B11A-8C7175A257A8}"/>
    <cellStyle name="Normal 2 2 8 3 5" xfId="5131" xr:uid="{DF114792-7895-4047-A09B-5C89DDFA98E8}"/>
    <cellStyle name="Normal 2 2 8 3 5 2" xfId="27900" xr:uid="{B9481CD4-049F-44F9-8FAD-4606DF390BA1}"/>
    <cellStyle name="Normal 2 2 8 3 5 3" xfId="14428" xr:uid="{4A0890B8-7A3F-4CBD-9460-A2FA5E09DC94}"/>
    <cellStyle name="Normal 2 2 8 3 6" xfId="6881" xr:uid="{006F0DA1-1F6A-4EB7-976E-B973796EA551}"/>
    <cellStyle name="Normal 2 2 8 3 6 2" xfId="17261" xr:uid="{B29809A2-92CE-42F6-AFC4-1DAEDBBB71C8}"/>
    <cellStyle name="Normal 2 2 8 3 7" xfId="9714" xr:uid="{523ADCC1-833D-4334-B19D-A371030594A8}"/>
    <cellStyle name="Normal 2 2 8 3 7 2" xfId="20094" xr:uid="{739A1ED2-858E-4703-9DBA-85B29C923FE6}"/>
    <cellStyle name="Normal 2 2 8 3 8" xfId="25341" xr:uid="{6817A934-B529-48A1-90A1-7FD175FC2BE1}"/>
    <cellStyle name="Normal 2 2 8 3 9" xfId="12724" xr:uid="{8FEAC656-B6C6-4CE5-9B2C-A216EF72EB2B}"/>
    <cellStyle name="Normal 2 2 8 4" xfId="778" xr:uid="{00000000-0005-0000-0000-0000B6040000}"/>
    <cellStyle name="Normal 2 2 8 4 2" xfId="4476" xr:uid="{23BDA9D2-ED53-4349-B69E-777DC5DF5162}"/>
    <cellStyle name="Normal 2 2 8 4 2 2" xfId="9248" xr:uid="{A430A709-9030-4D73-931E-6F1256FBFA5F}"/>
    <cellStyle name="Normal 2 2 8 4 2 2 2" xfId="29237" xr:uid="{FE0170C3-C567-4A19-90EC-BC3BF21B4053}"/>
    <cellStyle name="Normal 2 2 8 4 2 2 3" xfId="19628" xr:uid="{8A65A7C9-A81D-4D59-8579-1E0BE15BDC7F}"/>
    <cellStyle name="Normal 2 2 8 4 2 3" xfId="12081" xr:uid="{2C09DC46-EBCE-4EAD-9D05-A84B236A22BC}"/>
    <cellStyle name="Normal 2 2 8 4 2 3 2" xfId="22461" xr:uid="{BC6D3A13-4A3C-4C92-AD0E-D9041AFABFFD}"/>
    <cellStyle name="Normal 2 2 8 4 2 4" xfId="24009" xr:uid="{5BDC0F6B-7EC9-4C60-8E23-4C4B54326329}"/>
    <cellStyle name="Normal 2 2 8 4 2 5" xfId="16795" xr:uid="{DFCF66E1-A4F1-4112-81A5-CDB9EDB5CF76}"/>
    <cellStyle name="Normal 2 2 8 4 3" xfId="5132" xr:uid="{F3526898-48F3-4DF9-8404-73791E45C928}"/>
    <cellStyle name="Normal 2 2 8 4 3 2" xfId="27671" xr:uid="{EF851C49-3683-4A11-B429-91D97E1FFACD}"/>
    <cellStyle name="Normal 2 2 8 4 3 3" xfId="14429" xr:uid="{E4474A2B-0F25-46BF-A33D-99CF2CD4B427}"/>
    <cellStyle name="Normal 2 2 8 4 4" xfId="6882" xr:uid="{75BE2C8F-B81B-47B1-BDB3-D934D63BF284}"/>
    <cellStyle name="Normal 2 2 8 4 4 2" xfId="17262" xr:uid="{3FBF1AF6-C024-4907-9467-995093BCB152}"/>
    <cellStyle name="Normal 2 2 8 4 5" xfId="9715" xr:uid="{9CA60E50-95F0-457D-B2B2-90F19A50F42C}"/>
    <cellStyle name="Normal 2 2 8 4 5 2" xfId="20095" xr:uid="{B48ECCE5-EABA-47C4-9D81-1577B95F8B10}"/>
    <cellStyle name="Normal 2 2 8 4 6" xfId="25572" xr:uid="{C3C4FC47-04A1-486C-A819-560E0366EFFB}"/>
    <cellStyle name="Normal 2 2 8 4 7" xfId="13748" xr:uid="{214523F0-F79D-4E0E-AB98-B5BD239E6C92}"/>
    <cellStyle name="Normal 2 2 8 5" xfId="2907" xr:uid="{00000000-0005-0000-0000-000053040000}"/>
    <cellStyle name="Normal 2 2 8 5 2" xfId="6093" xr:uid="{952333CD-1997-451D-B5B4-0329D188E463}"/>
    <cellStyle name="Normal 2 2 8 5 2 2" xfId="25578" xr:uid="{9BCEEE65-749B-4CC7-B67C-E8F68C6566ED}"/>
    <cellStyle name="Normal 2 2 8 5 2 3" xfId="26449" xr:uid="{0798626E-CF20-4BC8-9D44-05437B812187}"/>
    <cellStyle name="Normal 2 2 8 5 2 4" xfId="15571" xr:uid="{18D8CE0C-EE8E-4AB8-9BCA-D61138A49C27}"/>
    <cellStyle name="Normal 2 2 8 5 3" xfId="8024" xr:uid="{4203C75B-DE85-46BC-86BC-235759C26623}"/>
    <cellStyle name="Normal 2 2 8 5 3 2" xfId="28286" xr:uid="{E662AAA6-F64B-4AC7-ABDC-FD3D8E15A290}"/>
    <cellStyle name="Normal 2 2 8 5 3 3" xfId="18404" xr:uid="{2FB01AE0-AB01-4030-A7AE-3E2E87BE285A}"/>
    <cellStyle name="Normal 2 2 8 5 4" xfId="10857" xr:uid="{5BB1F46D-F728-4577-802D-CD54DA757535}"/>
    <cellStyle name="Normal 2 2 8 5 4 2" xfId="21237" xr:uid="{384F825B-9BAD-4D46-95F0-B1EF9954096F}"/>
    <cellStyle name="Normal 2 2 8 5 5" xfId="24803" xr:uid="{F3F1FDEC-803E-48B4-B1BA-8CEF00F46516}"/>
    <cellStyle name="Normal 2 2 8 5 6" xfId="13422" xr:uid="{3BA5AAFB-C29D-4A8D-A6E7-757B717E2996}"/>
    <cellStyle name="Normal 2 2 8 6" xfId="2445" xr:uid="{00000000-0005-0000-0000-000054040000}"/>
    <cellStyle name="Normal 2 2 8 6 2" xfId="5739" xr:uid="{E9BCFC5C-B62C-4AF1-BF11-ABED759D9FD3}"/>
    <cellStyle name="Normal 2 2 8 6 2 2" xfId="27913" xr:uid="{0F7401AA-714A-4AD5-8BCE-9097A8986672}"/>
    <cellStyle name="Normal 2 2 8 6 2 3" xfId="15117" xr:uid="{F3005ED3-45F8-42C1-BA77-602BD6E137DB}"/>
    <cellStyle name="Normal 2 2 8 6 3" xfId="7570" xr:uid="{D5C48443-90AD-454C-B59E-E5B65C07939A}"/>
    <cellStyle name="Normal 2 2 8 6 3 2" xfId="17950" xr:uid="{BD90E231-7C68-4E37-843E-66F5CAB6AE18}"/>
    <cellStyle name="Normal 2 2 8 6 4" xfId="10403" xr:uid="{6EA69504-F204-479D-A39A-E6F34DF9241D}"/>
    <cellStyle name="Normal 2 2 8 6 4 2" xfId="20783" xr:uid="{A7F8F2AA-D002-4607-95BA-5E8299AA55D2}"/>
    <cellStyle name="Normal 2 2 8 6 5" xfId="25203" xr:uid="{D9E389A6-396A-4E3F-9DEA-7897E5272595}"/>
    <cellStyle name="Normal 2 2 8 6 6" xfId="12833" xr:uid="{FF9A46F1-35C8-42ED-A497-DE2EF276B3E4}"/>
    <cellStyle name="Normal 2 2 8 7" xfId="2199" xr:uid="{00000000-0005-0000-0000-000048040000}"/>
    <cellStyle name="Normal 2 2 8 7 2" xfId="7326" xr:uid="{D85EF949-3C70-47EF-B65A-4C5DBC4DD7B5}"/>
    <cellStyle name="Normal 2 2 8 7 2 2" xfId="17706" xr:uid="{75D37252-83E1-4A0D-A79C-E95D2B69B793}"/>
    <cellStyle name="Normal 2 2 8 7 3" xfId="10159" xr:uid="{F1735CAE-42FF-41C1-B3C3-126962AC2A07}"/>
    <cellStyle name="Normal 2 2 8 7 3 2" xfId="20539" xr:uid="{22960B3F-28FD-4363-971A-875522B02B42}"/>
    <cellStyle name="Normal 2 2 8 7 4" xfId="24599" xr:uid="{7B1E0F3F-CD25-4957-9A3B-FDE8916C9ABD}"/>
    <cellStyle name="Normal 2 2 8 7 5" xfId="14873" xr:uid="{A4A7B8B0-6650-46BF-B2CD-174DE0FD4DF1}"/>
    <cellStyle name="Normal 2 2 8 8" xfId="3939" xr:uid="{F0D2F1BA-6686-4BD2-8B00-9C5B4152FFF3}"/>
    <cellStyle name="Normal 2 2 8 8 2" xfId="8771" xr:uid="{E86560AA-205E-4CB0-83FA-BC5AE68807E1}"/>
    <cellStyle name="Normal 2 2 8 8 2 2" xfId="19151" xr:uid="{1BE94ADB-47AE-488A-963C-DC2CFC9A2D22}"/>
    <cellStyle name="Normal 2 2 8 8 3" xfId="11604" xr:uid="{0EE6E029-C429-4F97-9A60-6EA0B1E233F9}"/>
    <cellStyle name="Normal 2 2 8 8 3 2" xfId="21984" xr:uid="{3A61CA5C-FBEA-4117-8B05-A2BCEA84654F}"/>
    <cellStyle name="Normal 2 2 8 8 4" xfId="16318" xr:uid="{9B61399F-58E1-476A-8D09-F6DF2C240B97}"/>
    <cellStyle name="Normal 2 2 8 9" xfId="5128" xr:uid="{AFB99C95-C598-4EA2-9FB4-024508388830}"/>
    <cellStyle name="Normal 2 2 8 9 2" xfId="14425" xr:uid="{49926844-9CD6-4BD1-B4F1-0E389511F9FA}"/>
    <cellStyle name="Normal 2 2 9" xfId="779" xr:uid="{00000000-0005-0000-0000-0000B7040000}"/>
    <cellStyle name="Normal 2 2 9 10" xfId="6883" xr:uid="{9470EB72-2386-4B86-91E6-E05808CABDF5}"/>
    <cellStyle name="Normal 2 2 9 10 2" xfId="17263" xr:uid="{0406A4A9-3F21-4A6D-B4C2-EACED8BB6547}"/>
    <cellStyle name="Normal 2 2 9 11" xfId="9716" xr:uid="{061A5E10-5555-4F28-9AC9-94E834304F13}"/>
    <cellStyle name="Normal 2 2 9 11 2" xfId="20096" xr:uid="{A73D8FA9-A391-4E0A-9219-4562B915C3A6}"/>
    <cellStyle name="Normal 2 2 9 12" xfId="24269" xr:uid="{576E34F2-41CA-4EC4-9637-C7972AE06340}"/>
    <cellStyle name="Normal 2 2 9 13" xfId="12493" xr:uid="{BE251780-240B-47C4-856F-C93BB4A507BB}"/>
    <cellStyle name="Normal 2 2 9 2" xfId="780" xr:uid="{00000000-0005-0000-0000-0000B8040000}"/>
    <cellStyle name="Normal 2 2 9 2 10" xfId="9717" xr:uid="{9E681807-C68B-4FBE-99F0-064EE2656431}"/>
    <cellStyle name="Normal 2 2 9 2 10 2" xfId="20097" xr:uid="{95F5432A-DAC5-4D6B-8FC3-4F0600FFE167}"/>
    <cellStyle name="Normal 2 2 9 2 11" xfId="23806" xr:uid="{1D4A964E-C193-439C-B645-B41327DCAC5C}"/>
    <cellStyle name="Normal 2 2 9 2 12" xfId="12567" xr:uid="{5103DF43-BA24-449F-821F-DEA8A2E961E7}"/>
    <cellStyle name="Normal 2 2 9 2 2" xfId="781" xr:uid="{00000000-0005-0000-0000-0000B9040000}"/>
    <cellStyle name="Normal 2 2 9 2 2 2" xfId="3208" xr:uid="{00000000-0005-0000-0000-000058040000}"/>
    <cellStyle name="Normal 2 2 9 2 2 2 2" xfId="6266" xr:uid="{CF3152DB-770F-43EC-913C-9EB2F0E41063}"/>
    <cellStyle name="Normal 2 2 9 2 2 2 2 2" xfId="26404" xr:uid="{DF5D3DBE-5DE8-4296-A978-1DD56F3E6130}"/>
    <cellStyle name="Normal 2 2 9 2 2 2 2 3" xfId="27983" xr:uid="{82082B94-4B03-46CB-8C29-9DF3679ECD89}"/>
    <cellStyle name="Normal 2 2 9 2 2 2 2 4" xfId="15835" xr:uid="{C84AE5A3-2FF2-45BD-8FA8-B81035ADD3C3}"/>
    <cellStyle name="Normal 2 2 9 2 2 2 3" xfId="8288" xr:uid="{4E1BFC36-4777-4CFA-9000-5F493A9B9C32}"/>
    <cellStyle name="Normal 2 2 9 2 2 2 3 2" xfId="28885" xr:uid="{78D73DCD-3430-4D21-9750-4D4249182F9C}"/>
    <cellStyle name="Normal 2 2 9 2 2 2 3 3" xfId="18668" xr:uid="{AA1AC361-BE25-4307-81F7-8CFE1A04DE6D}"/>
    <cellStyle name="Normal 2 2 9 2 2 2 4" xfId="11121" xr:uid="{AEF4FE3B-C95F-42B9-8AD5-B6CBA088BC6C}"/>
    <cellStyle name="Normal 2 2 9 2 2 2 4 2" xfId="21501" xr:uid="{CDB27520-57CF-49F2-B491-C3AE991B0A83}"/>
    <cellStyle name="Normal 2 2 9 2 2 2 5" xfId="23839" xr:uid="{492BC03A-330C-4840-9954-8DC957DA99DF}"/>
    <cellStyle name="Normal 2 2 9 2 2 2 6" xfId="13750" xr:uid="{F8472CF7-1736-4327-BE85-EA0E191F5730}"/>
    <cellStyle name="Normal 2 2 9 2 2 3" xfId="4304" xr:uid="{9401B11B-BB1E-4CF5-AE56-1E44FA58A16C}"/>
    <cellStyle name="Normal 2 2 9 2 2 3 2" xfId="9076" xr:uid="{5C8F50C3-A43D-4C93-B8AF-61CEBCF4DB99}"/>
    <cellStyle name="Normal 2 2 9 2 2 3 2 2" xfId="29119" xr:uid="{C2DD29F2-66A8-4EC5-AB8A-16B99FA9B9ED}"/>
    <cellStyle name="Normal 2 2 9 2 2 3 2 3" xfId="19456" xr:uid="{79B7CCD1-7278-4A7A-8179-A8A045ADCAAB}"/>
    <cellStyle name="Normal 2 2 9 2 2 3 3" xfId="11909" xr:uid="{D0DF9D12-E17B-4F5A-BF29-D40A46057F9C}"/>
    <cellStyle name="Normal 2 2 9 2 2 3 3 2" xfId="22289" xr:uid="{CAA96B49-6C44-4F06-A5FE-8A23ADE9C980}"/>
    <cellStyle name="Normal 2 2 9 2 2 3 4" xfId="23634" xr:uid="{F3ABB695-C29C-4D78-A2D6-2DB57854EF8E}"/>
    <cellStyle name="Normal 2 2 9 2 2 3 5" xfId="16623" xr:uid="{E8E63A6F-3BAC-4660-B702-4D531F68A43E}"/>
    <cellStyle name="Normal 2 2 9 2 2 4" xfId="5135" xr:uid="{245F6AA6-DEC7-4A7D-84D7-8ABF8C2349C1}"/>
    <cellStyle name="Normal 2 2 9 2 2 4 2" xfId="27626" xr:uid="{FA3F526F-2E22-4801-B38D-2ED231AE2E20}"/>
    <cellStyle name="Normal 2 2 9 2 2 4 3" xfId="14432" xr:uid="{2F23C46D-A3CA-4D0F-800A-1226486D3253}"/>
    <cellStyle name="Normal 2 2 9 2 2 5" xfId="6885" xr:uid="{FD726A48-6A26-4D62-9404-44B64235AA13}"/>
    <cellStyle name="Normal 2 2 9 2 2 5 2" xfId="17265" xr:uid="{5368F018-9882-4B32-AE60-CE0BBB909D46}"/>
    <cellStyle name="Normal 2 2 9 2 2 6" xfId="9718" xr:uid="{076D8BDE-5640-4795-B9E1-DFFA6C399710}"/>
    <cellStyle name="Normal 2 2 9 2 2 6 2" xfId="20098" xr:uid="{1898430F-ED98-427B-A436-7A1B3FE55DCB}"/>
    <cellStyle name="Normal 2 2 9 2 2 7" xfId="24877" xr:uid="{ABAD304C-203D-480C-930A-2F320F0AE843}"/>
    <cellStyle name="Normal 2 2 9 2 2 8" xfId="13176" xr:uid="{47594634-4882-45D2-9BD7-3099E5F1DBEF}"/>
    <cellStyle name="Normal 2 2 9 2 3" xfId="3209" xr:uid="{00000000-0005-0000-0000-000059040000}"/>
    <cellStyle name="Normal 2 2 9 2 3 2" xfId="4477" xr:uid="{8313F3DA-C79F-47A8-BB2A-50CF42D7C8C4}"/>
    <cellStyle name="Normal 2 2 9 2 3 2 2" xfId="9249" xr:uid="{E80E53B4-F3BC-4E22-8BFF-E897CF71AE85}"/>
    <cellStyle name="Normal 2 2 9 2 3 2 2 2" xfId="29238" xr:uid="{A2775098-798B-4AF1-A49C-4B092072D779}"/>
    <cellStyle name="Normal 2 2 9 2 3 2 2 3" xfId="19629" xr:uid="{6284DB13-70E0-403F-91AB-03B380222EBE}"/>
    <cellStyle name="Normal 2 2 9 2 3 2 3" xfId="12082" xr:uid="{FBFDF926-98EA-4AB2-A005-7C70A517C4ED}"/>
    <cellStyle name="Normal 2 2 9 2 3 2 3 2" xfId="22462" xr:uid="{AA14FF73-9E8D-4075-8026-A6A75AC2FF57}"/>
    <cellStyle name="Normal 2 2 9 2 3 2 4" xfId="25608" xr:uid="{93448F87-B803-4E54-A303-8B16EC582DD4}"/>
    <cellStyle name="Normal 2 2 9 2 3 2 5" xfId="16796" xr:uid="{81148CBE-F74A-42AB-A8A2-C2F527673A7B}"/>
    <cellStyle name="Normal 2 2 9 2 3 3" xfId="6267" xr:uid="{CCF43E88-38B9-4FCB-8157-32E2C015215D}"/>
    <cellStyle name="Normal 2 2 9 2 3 3 2" xfId="28287" xr:uid="{AC69E698-AD42-41CF-A493-E1563D085FB5}"/>
    <cellStyle name="Normal 2 2 9 2 3 3 3" xfId="15836" xr:uid="{1E12F699-81BA-43F6-9706-99F09B5E50A5}"/>
    <cellStyle name="Normal 2 2 9 2 3 4" xfId="8289" xr:uid="{3FBBF1CE-6BB3-4F39-AA5A-E5404AB6B76F}"/>
    <cellStyle name="Normal 2 2 9 2 3 4 2" xfId="18669" xr:uid="{EDBE740C-B9E0-4BF7-9035-3A660E1C688E}"/>
    <cellStyle name="Normal 2 2 9 2 3 5" xfId="11122" xr:uid="{D763E040-5FB4-4BA3-B799-6E0881D4CF59}"/>
    <cellStyle name="Normal 2 2 9 2 3 5 2" xfId="21502" xr:uid="{F3FFCCF0-518B-4E63-AB60-2F210EB17F47}"/>
    <cellStyle name="Normal 2 2 9 2 3 6" xfId="25384" xr:uid="{D9145492-127B-4B29-9909-8A59F19CF7CC}"/>
    <cellStyle name="Normal 2 2 9 2 3 7" xfId="13751" xr:uid="{35DC49CF-F7A0-4AD2-8F17-4913E8F088D1}"/>
    <cellStyle name="Normal 2 2 9 2 4" xfId="3207" xr:uid="{00000000-0005-0000-0000-00005A040000}"/>
    <cellStyle name="Normal 2 2 9 2 4 2" xfId="6265" xr:uid="{B7B4F429-72CC-4B01-A5F8-0C529335D655}"/>
    <cellStyle name="Normal 2 2 9 2 4 2 2" xfId="26784" xr:uid="{93E16350-F3BF-4D34-89D7-B9D07719EDD8}"/>
    <cellStyle name="Normal 2 2 9 2 4 2 3" xfId="15834" xr:uid="{D9C9F4E9-2D24-44EB-8BF5-15AD6CFAD07C}"/>
    <cellStyle name="Normal 2 2 9 2 4 3" xfId="8287" xr:uid="{73AFDC4F-E0AB-47D1-B20B-42EEACB2E07F}"/>
    <cellStyle name="Normal 2 2 9 2 4 3 2" xfId="18667" xr:uid="{0C532E37-1A5A-4B9A-B1DB-D07EB8FE32FC}"/>
    <cellStyle name="Normal 2 2 9 2 4 4" xfId="11120" xr:uid="{0875B57E-E03B-40DF-BD59-83999B593E62}"/>
    <cellStyle name="Normal 2 2 9 2 4 4 2" xfId="21500" xr:uid="{D0B66FE5-F5AC-4D88-8ABE-A01FDD7357CE}"/>
    <cellStyle name="Normal 2 2 9 2 4 5" xfId="23670" xr:uid="{52BF81DB-1EBD-4F0A-8845-443421D17A5E}"/>
    <cellStyle name="Normal 2 2 9 2 4 6" xfId="13749" xr:uid="{C218FCF3-95CC-4C06-9930-9B7704114871}"/>
    <cellStyle name="Normal 2 2 9 2 5" xfId="2656" xr:uid="{00000000-0005-0000-0000-00005B040000}"/>
    <cellStyle name="Normal 2 2 9 2 5 2" xfId="5916" xr:uid="{066E98A4-22C7-47F3-8C73-5BDE60E6F5CC}"/>
    <cellStyle name="Normal 2 2 9 2 5 2 2" xfId="28737" xr:uid="{2E3A3116-6CEA-4E37-8B3C-9372A85B73FE}"/>
    <cellStyle name="Normal 2 2 9 2 5 2 3" xfId="15328" xr:uid="{41F1E94F-584B-401E-B971-FE84B3C2D3E5}"/>
    <cellStyle name="Normal 2 2 9 2 5 3" xfId="7781" xr:uid="{931D7A9D-DA69-409F-8D14-CCDF93E8054F}"/>
    <cellStyle name="Normal 2 2 9 2 5 3 2" xfId="18161" xr:uid="{B380321C-8933-4980-9F6A-632936970452}"/>
    <cellStyle name="Normal 2 2 9 2 5 4" xfId="10614" xr:uid="{1B722676-E96F-4773-9FA7-78CE58CC446D}"/>
    <cellStyle name="Normal 2 2 9 2 5 4 2" xfId="20994" xr:uid="{15F1E175-287D-4154-B9DD-670FCF6D7170}"/>
    <cellStyle name="Normal 2 2 9 2 5 5" xfId="25109" xr:uid="{8B2AB8DF-A85E-42E0-8C01-CFAA26ABAD33}"/>
    <cellStyle name="Normal 2 2 9 2 5 6" xfId="13058" xr:uid="{DECB8372-EBEB-47DE-B3E9-29BACCC4346E}"/>
    <cellStyle name="Normal 2 2 9 2 6" xfId="2333" xr:uid="{00000000-0005-0000-0000-000056040000}"/>
    <cellStyle name="Normal 2 2 9 2 6 2" xfId="7460" xr:uid="{095F9ACA-1967-40DC-B76C-2E3068C34CEB}"/>
    <cellStyle name="Normal 2 2 9 2 6 2 2" xfId="17840" xr:uid="{E3132ED5-29A5-48BD-B9B1-3AF52FF49E93}"/>
    <cellStyle name="Normal 2 2 9 2 6 3" xfId="10293" xr:uid="{87F02579-74E7-4385-9A4A-08874974ACC2}"/>
    <cellStyle name="Normal 2 2 9 2 6 3 2" xfId="20673" xr:uid="{CDC89989-730D-42AB-93F0-D15E3FC232FB}"/>
    <cellStyle name="Normal 2 2 9 2 6 4" xfId="25507" xr:uid="{5ACC0668-A923-448C-A5F6-663164FD47CA}"/>
    <cellStyle name="Normal 2 2 9 2 6 5" xfId="15007" xr:uid="{2180B468-4F25-4079-806A-377A4FC24D79}"/>
    <cellStyle name="Normal 2 2 9 2 7" xfId="3848" xr:uid="{0F918769-EAD0-4AAC-89D1-AFD5A0859225}"/>
    <cellStyle name="Normal 2 2 9 2 7 2" xfId="8681" xr:uid="{17702334-6F58-4D1D-8F76-392FB67189FE}"/>
    <cellStyle name="Normal 2 2 9 2 7 2 2" xfId="19061" xr:uid="{E83FBBA5-B865-4F29-AED3-4279815F43B1}"/>
    <cellStyle name="Normal 2 2 9 2 7 3" xfId="11514" xr:uid="{A06F4A4B-CFB1-4587-BC27-6B7C366A5C70}"/>
    <cellStyle name="Normal 2 2 9 2 7 3 2" xfId="21894" xr:uid="{4F8D077A-8920-4403-A492-65E04ABDEB8B}"/>
    <cellStyle name="Normal 2 2 9 2 7 4" xfId="16228" xr:uid="{915258C8-FFAE-4D71-A04E-FA609227AEAA}"/>
    <cellStyle name="Normal 2 2 9 2 8" xfId="5134" xr:uid="{CB51AE57-2149-4880-9609-D38187E012F9}"/>
    <cellStyle name="Normal 2 2 9 2 8 2" xfId="14431" xr:uid="{8A864F12-A3AA-4C15-83D8-8C9A59A52F33}"/>
    <cellStyle name="Normal 2 2 9 2 9" xfId="6884" xr:uid="{C467FDC2-4DB3-4A1D-9E21-AA019FB5FE93}"/>
    <cellStyle name="Normal 2 2 9 2 9 2" xfId="17264" xr:uid="{683B7DA7-1DCE-443A-B5D9-67FAD3561361}"/>
    <cellStyle name="Normal 2 2 9 3" xfId="782" xr:uid="{00000000-0005-0000-0000-0000BA040000}"/>
    <cellStyle name="Normal 2 2 9 3 2" xfId="3210" xr:uid="{00000000-0005-0000-0000-00005D040000}"/>
    <cellStyle name="Normal 2 2 9 3 2 2" xfId="6268" xr:uid="{2D39B0E6-DA01-474A-9F40-B5BCFAC53C15}"/>
    <cellStyle name="Normal 2 2 9 3 2 2 2" xfId="25385" xr:uid="{C4656239-B8BC-443D-853E-F056987458DC}"/>
    <cellStyle name="Normal 2 2 9 3 2 2 3" xfId="25860" xr:uid="{66097556-E49B-4F4C-8635-B96452D3A406}"/>
    <cellStyle name="Normal 2 2 9 3 2 2 4" xfId="15837" xr:uid="{5D12FDC6-4F4B-4742-80B9-35B01350A1F5}"/>
    <cellStyle name="Normal 2 2 9 3 2 3" xfId="8290" xr:uid="{C04C5994-F831-42BD-90BC-7748B06BE714}"/>
    <cellStyle name="Normal 2 2 9 3 2 3 2" xfId="28886" xr:uid="{B9B8D372-0877-44FD-830D-3BF7BDF9DD7F}"/>
    <cellStyle name="Normal 2 2 9 3 2 3 3" xfId="18670" xr:uid="{3DF00537-A76D-447F-855A-ED35DC09FE27}"/>
    <cellStyle name="Normal 2 2 9 3 2 4" xfId="11123" xr:uid="{71FCBC8A-BA68-40C6-AB05-C08B6BB06E3D}"/>
    <cellStyle name="Normal 2 2 9 3 2 4 2" xfId="21503" xr:uid="{07FAC4F6-9AA7-44B9-B5BC-E1D15A92E555}"/>
    <cellStyle name="Normal 2 2 9 3 2 5" xfId="24334" xr:uid="{D30AE943-4C2B-4A0A-B6D6-D40C34E2C1FC}"/>
    <cellStyle name="Normal 2 2 9 3 2 6" xfId="13752" xr:uid="{7F3501BC-CFB5-4D54-8025-838897D480A6}"/>
    <cellStyle name="Normal 2 2 9 3 3" xfId="2738" xr:uid="{00000000-0005-0000-0000-00005E040000}"/>
    <cellStyle name="Normal 2 2 9 3 3 2" xfId="5956" xr:uid="{CA157C0C-9946-47FB-8046-B4118CED5502}"/>
    <cellStyle name="Normal 2 2 9 3 3 2 2" xfId="27632" xr:uid="{0832856C-A4A1-46D5-A04B-C16C014805C7}"/>
    <cellStyle name="Normal 2 2 9 3 3 2 3" xfId="15409" xr:uid="{87F9BCF7-26E8-4CFE-AAE2-2AE359D46526}"/>
    <cellStyle name="Normal 2 2 9 3 3 3" xfId="7862" xr:uid="{6C8BC6E1-66F6-4088-9D06-12D6397B34CE}"/>
    <cellStyle name="Normal 2 2 9 3 3 3 2" xfId="18242" xr:uid="{C1AEDF79-5688-48D9-BB5F-4443F978B2D7}"/>
    <cellStyle name="Normal 2 2 9 3 3 4" xfId="10695" xr:uid="{1E554B85-7C58-4404-B8DA-DDFB13DA88CA}"/>
    <cellStyle name="Normal 2 2 9 3 3 4 2" xfId="21075" xr:uid="{398ED5F8-6BA0-4FA3-B54A-3D345AA9D874}"/>
    <cellStyle name="Normal 2 2 9 3 3 5" xfId="23533" xr:uid="{66FA9E7D-DB2A-42CB-9CC1-8544D5CCF801}"/>
    <cellStyle name="Normal 2 2 9 3 3 6" xfId="13175" xr:uid="{2F8F91B4-B11E-421A-A325-03EAD955C403}"/>
    <cellStyle name="Normal 2 2 9 3 4" xfId="4167" xr:uid="{FEB2FCC6-654F-434C-915F-516E367874F6}"/>
    <cellStyle name="Normal 2 2 9 3 4 2" xfId="8939" xr:uid="{A9821F10-8F72-4E8A-BDA2-3A2376E9360F}"/>
    <cellStyle name="Normal 2 2 9 3 4 2 2" xfId="29034" xr:uid="{1CB40375-5086-42D8-8885-66B42A40EFCF}"/>
    <cellStyle name="Normal 2 2 9 3 4 2 3" xfId="19319" xr:uid="{6D20E4E7-A0F4-465C-A2D5-52BB620504B2}"/>
    <cellStyle name="Normal 2 2 9 3 4 3" xfId="11772" xr:uid="{D87D4F8C-C2DF-4B10-BE47-9078CC604945}"/>
    <cellStyle name="Normal 2 2 9 3 4 3 2" xfId="22152" xr:uid="{11C94CFB-BF39-4075-9EA9-95DC12699D91}"/>
    <cellStyle name="Normal 2 2 9 3 4 4" xfId="24722" xr:uid="{0CAC1D0B-164D-4449-98BB-B0A088896CF1}"/>
    <cellStyle name="Normal 2 2 9 3 4 5" xfId="16486" xr:uid="{5EE6D20E-DD12-42B4-9D95-F43D84C6E645}"/>
    <cellStyle name="Normal 2 2 9 3 5" xfId="5136" xr:uid="{8F6503DE-4DD2-4276-8C13-F64470D91849}"/>
    <cellStyle name="Normal 2 2 9 3 5 2" xfId="27229" xr:uid="{1DB8C7D0-5465-403D-AA5E-C8B10D5727A7}"/>
    <cellStyle name="Normal 2 2 9 3 5 3" xfId="14433" xr:uid="{A5BEBA1A-0BAC-4895-BF49-67CD6C7D4BCE}"/>
    <cellStyle name="Normal 2 2 9 3 6" xfId="6886" xr:uid="{D51A0510-A5CA-4ACB-BD8C-0F4B9BC12523}"/>
    <cellStyle name="Normal 2 2 9 3 6 2" xfId="17266" xr:uid="{479A240C-41B7-436D-949C-CE5F0F19A676}"/>
    <cellStyle name="Normal 2 2 9 3 7" xfId="9719" xr:uid="{89CE7C24-6BF3-4902-ABB6-96B10B2FBB84}"/>
    <cellStyle name="Normal 2 2 9 3 7 2" xfId="20099" xr:uid="{11556F6B-9D61-475C-BEF8-37F48BB4F626}"/>
    <cellStyle name="Normal 2 2 9 3 8" xfId="22787" xr:uid="{9C66E7C5-1CD0-4DCF-A016-59965DFC2551}"/>
    <cellStyle name="Normal 2 2 9 3 9" xfId="12725" xr:uid="{FF18E998-1704-41C2-BBEA-6237A32D147E}"/>
    <cellStyle name="Normal 2 2 9 4" xfId="783" xr:uid="{00000000-0005-0000-0000-0000BB040000}"/>
    <cellStyle name="Normal 2 2 9 4 2" xfId="4478" xr:uid="{2362C482-E221-495B-A354-A7272537504C}"/>
    <cellStyle name="Normal 2 2 9 4 2 2" xfId="9250" xr:uid="{82B3185A-4D0E-48D1-B44F-6BC0DD3BAA10}"/>
    <cellStyle name="Normal 2 2 9 4 2 2 2" xfId="29239" xr:uid="{054C77C3-338F-4438-9C03-0948B3A815A7}"/>
    <cellStyle name="Normal 2 2 9 4 2 2 3" xfId="19630" xr:uid="{D973F2FA-31B8-4A99-9C9E-0B85E23657FB}"/>
    <cellStyle name="Normal 2 2 9 4 2 3" xfId="12083" xr:uid="{88842306-2D0F-47F7-A6B7-38FA18A8BE23}"/>
    <cellStyle name="Normal 2 2 9 4 2 3 2" xfId="22463" xr:uid="{617208F0-696B-428C-8DE5-F78444531BA4}"/>
    <cellStyle name="Normal 2 2 9 4 2 4" xfId="24534" xr:uid="{D0D79DD2-3E3D-4A7F-B862-6DF0B1F4B4DD}"/>
    <cellStyle name="Normal 2 2 9 4 2 5" xfId="16797" xr:uid="{DB8D4652-4D6D-4810-8B3D-5210F22E6A1C}"/>
    <cellStyle name="Normal 2 2 9 4 3" xfId="5137" xr:uid="{E9254D01-BFB0-402E-8D52-577A6300D105}"/>
    <cellStyle name="Normal 2 2 9 4 3 2" xfId="27866" xr:uid="{C90B883F-4BE4-4F2F-BC2A-CE93656741F3}"/>
    <cellStyle name="Normal 2 2 9 4 3 3" xfId="14434" xr:uid="{212F0685-2D21-4A1A-BFF9-C490BE9112DB}"/>
    <cellStyle name="Normal 2 2 9 4 4" xfId="6887" xr:uid="{D2E6984A-27CB-4F5F-926F-84B2AD048FF4}"/>
    <cellStyle name="Normal 2 2 9 4 4 2" xfId="17267" xr:uid="{9162E991-4889-41FF-BA25-F3773EA10E60}"/>
    <cellStyle name="Normal 2 2 9 4 5" xfId="9720" xr:uid="{7ADA9F6F-75BB-4559-B04B-0B2186D06BA4}"/>
    <cellStyle name="Normal 2 2 9 4 5 2" xfId="20100" xr:uid="{C6F61D03-9224-494C-9E9F-EA2D76108A8F}"/>
    <cellStyle name="Normal 2 2 9 4 6" xfId="23898" xr:uid="{6B65C735-A254-4FFA-81E7-3E81A6CB83CF}"/>
    <cellStyle name="Normal 2 2 9 4 7" xfId="13753" xr:uid="{CF41414D-EF66-49D0-89CA-717D1B7EFB5E}"/>
    <cellStyle name="Normal 2 2 9 5" xfId="2908" xr:uid="{00000000-0005-0000-0000-000060040000}"/>
    <cellStyle name="Normal 2 2 9 5 2" xfId="6094" xr:uid="{37308E7F-B354-4837-8AB8-6A00B87C44A8}"/>
    <cellStyle name="Normal 2 2 9 5 2 2" xfId="25632" xr:uid="{274D68A6-4AC9-4AE4-A5B5-F8EF1F0D5761}"/>
    <cellStyle name="Normal 2 2 9 5 2 3" xfId="26810" xr:uid="{0EF4F193-EFA2-4A8C-BE91-8711529663F0}"/>
    <cellStyle name="Normal 2 2 9 5 2 4" xfId="15572" xr:uid="{76171DE7-4B64-4499-B37F-8A00D8588858}"/>
    <cellStyle name="Normal 2 2 9 5 3" xfId="8025" xr:uid="{E5ABCE4A-2750-4DE7-8801-3C1797140E86}"/>
    <cellStyle name="Normal 2 2 9 5 3 2" xfId="26453" xr:uid="{B0CBD696-8FF6-45FA-BBB1-A52347B32FE1}"/>
    <cellStyle name="Normal 2 2 9 5 3 3" xfId="18405" xr:uid="{0B10E619-CD0B-4530-8AF2-0CFEF6F96613}"/>
    <cellStyle name="Normal 2 2 9 5 4" xfId="10858" xr:uid="{C4A97003-54B9-485F-9DC3-3A90E0E98911}"/>
    <cellStyle name="Normal 2 2 9 5 4 2" xfId="21238" xr:uid="{B2BD5171-07AB-4494-95AD-84D624E33E80}"/>
    <cellStyle name="Normal 2 2 9 5 5" xfId="24818" xr:uid="{351993E5-0C93-4305-A53D-BD7DF217C1D9}"/>
    <cellStyle name="Normal 2 2 9 5 6" xfId="13423" xr:uid="{90038945-AB67-4587-BCA3-8445C4049B75}"/>
    <cellStyle name="Normal 2 2 9 6" xfId="2505" xr:uid="{00000000-0005-0000-0000-000061040000}"/>
    <cellStyle name="Normal 2 2 9 6 2" xfId="5785" xr:uid="{99F00FA8-1C72-462C-986D-098929DDBBCD}"/>
    <cellStyle name="Normal 2 2 9 6 2 2" xfId="26276" xr:uid="{754D8D62-5814-4C0C-A531-1E296D13A397}"/>
    <cellStyle name="Normal 2 2 9 6 2 3" xfId="15177" xr:uid="{58736A76-0640-4F58-A9CC-0974276567D3}"/>
    <cellStyle name="Normal 2 2 9 6 3" xfId="7630" xr:uid="{66D056DA-CA68-4D77-A082-6CF8276E79B6}"/>
    <cellStyle name="Normal 2 2 9 6 3 2" xfId="18010" xr:uid="{C20690F7-80B9-4ED5-96CA-C224C49DD706}"/>
    <cellStyle name="Normal 2 2 9 6 4" xfId="10463" xr:uid="{5FA20005-EFBC-4345-AB55-D6B0B1C08945}"/>
    <cellStyle name="Normal 2 2 9 6 4 2" xfId="20843" xr:uid="{878CD430-7F17-4A9F-8EAB-2DBCEBCDB694}"/>
    <cellStyle name="Normal 2 2 9 6 5" xfId="23144" xr:uid="{23FE7488-E8F4-40A5-9259-94282E8DA33D}"/>
    <cellStyle name="Normal 2 2 9 6 6" xfId="12893" xr:uid="{FC830CD8-3471-4BDF-8C41-641F6B16E563}"/>
    <cellStyle name="Normal 2 2 9 7" xfId="2261" xr:uid="{00000000-0005-0000-0000-000055040000}"/>
    <cellStyle name="Normal 2 2 9 7 2" xfId="7388" xr:uid="{EE74E906-B95A-4AB1-9CE9-DBC558707711}"/>
    <cellStyle name="Normal 2 2 9 7 2 2" xfId="17768" xr:uid="{8269C437-07F7-4931-A0BD-24CABA577458}"/>
    <cellStyle name="Normal 2 2 9 7 3" xfId="10221" xr:uid="{BB514019-6FF5-4114-B8C4-6676DD5F8790}"/>
    <cellStyle name="Normal 2 2 9 7 3 2" xfId="20601" xr:uid="{A8F49CE9-37D1-4F8A-89E3-8039BE91ECDC}"/>
    <cellStyle name="Normal 2 2 9 7 4" xfId="22872" xr:uid="{D303FCCE-F40D-463A-A780-4CE811BD7827}"/>
    <cellStyle name="Normal 2 2 9 7 5" xfId="14935" xr:uid="{F86A18D8-C7DF-48AB-8EDA-F9A1BAF34F45}"/>
    <cellStyle name="Normal 2 2 9 8" xfId="3940" xr:uid="{96E0C2AE-9DCB-4C66-8281-C0A9CC7202B4}"/>
    <cellStyle name="Normal 2 2 9 8 2" xfId="8772" xr:uid="{6D375651-796F-482E-BEDF-D8B7B596C8E2}"/>
    <cellStyle name="Normal 2 2 9 8 2 2" xfId="19152" xr:uid="{256C7DC4-4D46-4D28-99C4-BD1827B0AC3E}"/>
    <cellStyle name="Normal 2 2 9 8 3" xfId="11605" xr:uid="{52340EEA-7A47-46AE-BFEA-789AAC2A9B97}"/>
    <cellStyle name="Normal 2 2 9 8 3 2" xfId="21985" xr:uid="{4ED2DC6C-96A3-4FDB-B281-60419CF414B7}"/>
    <cellStyle name="Normal 2 2 9 8 4" xfId="16319" xr:uid="{C4A7D629-C3DD-4EE4-8EEA-12322EF71CB7}"/>
    <cellStyle name="Normal 2 2 9 9" xfId="5133" xr:uid="{A06390DB-BBFA-486C-ADF2-9350D719BB3F}"/>
    <cellStyle name="Normal 2 2 9 9 2" xfId="14430" xr:uid="{2BA6E952-82D0-4EF4-B62B-56E2C51F8061}"/>
    <cellStyle name="Normal 2 20" xfId="25548" xr:uid="{8C07E1A6-A1CC-4080-84CB-6FD0AE66A6D9}"/>
    <cellStyle name="Normal 2 20 2" xfId="25746" xr:uid="{307D95C4-C3D3-4858-8958-4CE880C31BF9}"/>
    <cellStyle name="Normal 2 21" xfId="22712" xr:uid="{946996B7-D821-4E03-9730-38F8FCB07445}"/>
    <cellStyle name="Normal 2 22" xfId="23637" xr:uid="{A4E39459-462C-454A-A30C-B043BE56C80C}"/>
    <cellStyle name="Normal 2 23" xfId="12387" xr:uid="{E65DE861-3430-4CC0-B8E2-F1AE8E21C22C}"/>
    <cellStyle name="Normal 2 24" xfId="29564" xr:uid="{8B3042BB-E780-4116-ACB4-69BF5D526462}"/>
    <cellStyle name="Normal 2 3" xfId="784" xr:uid="{00000000-0005-0000-0000-0000BC040000}"/>
    <cellStyle name="Normal 2 3 2" xfId="29566" xr:uid="{F18019D2-0B1A-48F3-A5C5-3D5F4CA2DF1A}"/>
    <cellStyle name="Normal 2 3 2 2" xfId="29629" xr:uid="{656E65D2-23FD-4E43-B6BE-DB53AC61741A}"/>
    <cellStyle name="Normal 2 3 2 3" xfId="29595" xr:uid="{82C16487-6617-4685-AEC1-6C7043E9D731}"/>
    <cellStyle name="Normal 2 4" xfId="785" xr:uid="{00000000-0005-0000-0000-0000BD040000}"/>
    <cellStyle name="Normal 2 4 2" xfId="29568" xr:uid="{8285FB9B-A599-4592-A61F-F7A876DCE316}"/>
    <cellStyle name="Normal 2 4 3" xfId="29567" xr:uid="{11DD0961-B7F5-48F1-BEE3-E9918CE52AA0}"/>
    <cellStyle name="Normal 2 5" xfId="786" xr:uid="{00000000-0005-0000-0000-0000BE040000}"/>
    <cellStyle name="Normal 2 5 10" xfId="787" xr:uid="{00000000-0005-0000-0000-0000BF040000}"/>
    <cellStyle name="Normal 2 5 10 2" xfId="3211" xr:uid="{00000000-0005-0000-0000-000066040000}"/>
    <cellStyle name="Normal 2 5 10 2 2" xfId="6269" xr:uid="{BB570923-EB98-4E0A-A52E-B4A7D9FAB640}"/>
    <cellStyle name="Normal 2 5 10 2 2 2" xfId="28719" xr:uid="{5F5F8159-8F49-4161-AE72-F6F10E85D3B5}"/>
    <cellStyle name="Normal 2 5 10 2 2 3" xfId="15838" xr:uid="{4324C264-E210-4C34-B4F6-2998CC94C58C}"/>
    <cellStyle name="Normal 2 5 10 2 3" xfId="8291" xr:uid="{D24D90A7-DC6C-4EDA-9592-6191A6C11F6A}"/>
    <cellStyle name="Normal 2 5 10 2 3 2" xfId="18671" xr:uid="{EAC5383B-5809-41BD-8073-95280C01FF36}"/>
    <cellStyle name="Normal 2 5 10 2 4" xfId="11124" xr:uid="{C8439742-051E-4ABE-9CB3-AA49C50B305A}"/>
    <cellStyle name="Normal 2 5 10 2 4 2" xfId="21504" xr:uid="{C20AE42A-BAD0-41E5-B8AB-06260DFE89CD}"/>
    <cellStyle name="Normal 2 5 10 2 5" xfId="23831" xr:uid="{80B8D4F9-2934-4D7A-BC9A-BF723751EF12}"/>
    <cellStyle name="Normal 2 5 10 2 6" xfId="13754" xr:uid="{55EE152E-587A-4ED0-91D8-A91793FF282A}"/>
    <cellStyle name="Normal 2 5 10 3" xfId="4119" xr:uid="{DDB8ACD5-94B4-4458-86EE-644F5AE09792}"/>
    <cellStyle name="Normal 2 5 10 3 2" xfId="8891" xr:uid="{EF530358-A2BC-41AF-895D-3DE813854A26}"/>
    <cellStyle name="Normal 2 5 10 3 2 2" xfId="29005" xr:uid="{BAA8C525-3BA7-44D3-AFCB-1185746F267E}"/>
    <cellStyle name="Normal 2 5 10 3 2 3" xfId="19271" xr:uid="{04ACBD67-1562-4A9A-BCEC-7BA8F903CE24}"/>
    <cellStyle name="Normal 2 5 10 3 3" xfId="11724" xr:uid="{AFB8A9D2-2B05-4E6F-BF1B-033DE40C0E1D}"/>
    <cellStyle name="Normal 2 5 10 3 3 2" xfId="22104" xr:uid="{A5BA9508-4759-408B-A6BF-B9D8634B3BAD}"/>
    <cellStyle name="Normal 2 5 10 3 4" xfId="24191" xr:uid="{A9E07380-D1BA-4535-9303-56888FAC8040}"/>
    <cellStyle name="Normal 2 5 10 3 5" xfId="16438" xr:uid="{C1FDBDBD-D88E-44A0-87B5-4724356DA33F}"/>
    <cellStyle name="Normal 2 5 10 4" xfId="5139" xr:uid="{496D32EC-DDFF-4EDD-A308-A2AE93E9F8B1}"/>
    <cellStyle name="Normal 2 5 10 4 2" xfId="24079" xr:uid="{7ECB6E9A-F36D-494A-AB71-30687663ED72}"/>
    <cellStyle name="Normal 2 5 10 4 3" xfId="28014" xr:uid="{91CED4CF-F180-4B9C-83CD-484CBD483A1E}"/>
    <cellStyle name="Normal 2 5 10 4 4" xfId="14436" xr:uid="{37C093D4-CD1C-4EA5-92F8-E433DAF86FDD}"/>
    <cellStyle name="Normal 2 5 10 5" xfId="6889" xr:uid="{C63BBBE3-D939-40B3-9EF4-C31A308605D9}"/>
    <cellStyle name="Normal 2 5 10 5 2" xfId="26601" xr:uid="{93F8A69A-2E39-499E-BB48-B66C048A9AC1}"/>
    <cellStyle name="Normal 2 5 10 5 3" xfId="17269" xr:uid="{0AF9C638-D7BF-4047-AAB7-143EFC618AB0}"/>
    <cellStyle name="Normal 2 5 10 6" xfId="9722" xr:uid="{937EB46E-F31B-420F-AD2A-16F82EBE2377}"/>
    <cellStyle name="Normal 2 5 10 6 2" xfId="20102" xr:uid="{10C10AB9-61A9-4274-9022-41E9537602AB}"/>
    <cellStyle name="Normal 2 5 10 7" xfId="24247" xr:uid="{02D79B2E-D591-4F79-889B-EEEFA7048349}"/>
    <cellStyle name="Normal 2 5 10 8" xfId="12662" xr:uid="{C7BC99CF-0783-4E1F-BB67-EDD91842DE03}"/>
    <cellStyle name="Normal 2 5 11" xfId="788" xr:uid="{00000000-0005-0000-0000-0000C0040000}"/>
    <cellStyle name="Normal 2 5 11 2" xfId="5140" xr:uid="{F005D30F-FF67-45E9-A450-26698085BABC}"/>
    <cellStyle name="Normal 2 5 11 2 2" xfId="24819" xr:uid="{008FDD4D-49A9-4BAF-BBA3-0E6B47ABC6DA}"/>
    <cellStyle name="Normal 2 5 11 2 3" xfId="26798" xr:uid="{B705362F-4C68-48B1-8997-9814484B93F3}"/>
    <cellStyle name="Normal 2 5 11 2 4" xfId="14437" xr:uid="{7EE87423-A796-4F51-8DFD-52589EF113D6}"/>
    <cellStyle name="Normal 2 5 11 3" xfId="6890" xr:uid="{9342098C-48F1-4F2B-9DD6-F182EDB8FE95}"/>
    <cellStyle name="Normal 2 5 11 3 2" xfId="27000" xr:uid="{B3C9FD38-4A6F-4077-8BAB-0AD1D9A12233}"/>
    <cellStyle name="Normal 2 5 11 3 3" xfId="17270" xr:uid="{3279319A-C6BB-4F64-BC8B-351BF97426E6}"/>
    <cellStyle name="Normal 2 5 11 4" xfId="9723" xr:uid="{E53A3328-A7EF-467F-B730-4075A2473213}"/>
    <cellStyle name="Normal 2 5 11 4 2" xfId="20103" xr:uid="{FD5C7BF8-B5BD-4C7D-9F3B-7D99FCDC4075}"/>
    <cellStyle name="Normal 2 5 11 5" xfId="24245" xr:uid="{3788D9FA-66EB-47C5-9AEC-7332395FD6AF}"/>
    <cellStyle name="Normal 2 5 11 6" xfId="13360" xr:uid="{B01AB50D-938E-4718-A14C-7D42ECB88508}"/>
    <cellStyle name="Normal 2 5 12" xfId="2436" xr:uid="{00000000-0005-0000-0000-000068040000}"/>
    <cellStyle name="Normal 2 5 12 2" xfId="5731" xr:uid="{096EF621-B617-4627-98A1-6862B4F3B620}"/>
    <cellStyle name="Normal 2 5 12 2 2" xfId="26625" xr:uid="{DD4E1CB5-4B42-4295-A8A0-3B7AE1DAE113}"/>
    <cellStyle name="Normal 2 5 12 2 3" xfId="15108" xr:uid="{2C8232ED-F690-4082-926E-DB18085C5A02}"/>
    <cellStyle name="Normal 2 5 12 3" xfId="7561" xr:uid="{36C148BE-855D-4899-98EC-529E064364D5}"/>
    <cellStyle name="Normal 2 5 12 3 2" xfId="17941" xr:uid="{CEC03613-AB80-4C38-9B21-BDC899AC009A}"/>
    <cellStyle name="Normal 2 5 12 4" xfId="10394" xr:uid="{F0C15155-4B9D-4A0F-9507-2F92A24BFE07}"/>
    <cellStyle name="Normal 2 5 12 4 2" xfId="20774" xr:uid="{A49E76F3-A2AD-4C67-8430-BB24CD8F3F8C}"/>
    <cellStyle name="Normal 2 5 12 5" xfId="23767" xr:uid="{A1CE3D32-0046-48AD-B09B-D4083067B680}"/>
    <cellStyle name="Normal 2 5 12 6" xfId="12823" xr:uid="{86ACC9CC-F44C-4117-9AB4-6A9559F76DDC}"/>
    <cellStyle name="Normal 2 5 13" xfId="2163" xr:uid="{00000000-0005-0000-0000-000064040000}"/>
    <cellStyle name="Normal 2 5 13 2" xfId="7290" xr:uid="{ABEA086E-CEFA-489D-BD20-6B107CD1870B}"/>
    <cellStyle name="Normal 2 5 13 2 2" xfId="26579" xr:uid="{D260554D-4353-4EC1-B66F-311507496991}"/>
    <cellStyle name="Normal 2 5 13 2 3" xfId="17670" xr:uid="{8EBF220B-282E-41A7-AF41-C534F17701C9}"/>
    <cellStyle name="Normal 2 5 13 3" xfId="10123" xr:uid="{6A476768-D707-4ED5-BCB1-303E7DA4C769}"/>
    <cellStyle name="Normal 2 5 13 3 2" xfId="20503" xr:uid="{B3A61B77-C986-48B7-9343-6A8688595B2C}"/>
    <cellStyle name="Normal 2 5 13 4" xfId="22806" xr:uid="{6B0BA96D-35B7-49F7-830B-F9BFD253AA3E}"/>
    <cellStyle name="Normal 2 5 13 5" xfId="14837" xr:uid="{33123260-80D1-46FD-B871-43C333B6E120}"/>
    <cellStyle name="Normal 2 5 14" xfId="3943" xr:uid="{4DF58CCA-A726-4F51-8773-D10E59D234F1}"/>
    <cellStyle name="Normal 2 5 14 2" xfId="8775" xr:uid="{93949D46-D187-4026-9884-5EC9985C6C90}"/>
    <cellStyle name="Normal 2 5 14 2 2" xfId="19155" xr:uid="{AADD6B47-A051-4A52-B750-D6214780511B}"/>
    <cellStyle name="Normal 2 5 14 3" xfId="11608" xr:uid="{3030196D-AC29-4CC1-A4E3-429340782493}"/>
    <cellStyle name="Normal 2 5 14 3 2" xfId="21988" xr:uid="{B844FA76-9644-4BA7-AE11-FDA85DD4D7AB}"/>
    <cellStyle name="Normal 2 5 14 4" xfId="28133" xr:uid="{37A0DECA-5050-4AE6-BB44-4BBEC15BCA14}"/>
    <cellStyle name="Normal 2 5 14 5" xfId="16322" xr:uid="{9CBA3C09-DDE3-4A3A-B6FE-98AABDE829D0}"/>
    <cellStyle name="Normal 2 5 15" xfId="5138" xr:uid="{1552226D-8AD7-45BC-AC77-D1272FF83047}"/>
    <cellStyle name="Normal 2 5 15 2" xfId="14435" xr:uid="{8ABFF19D-954D-4F51-83EE-1B64AB4EC3AA}"/>
    <cellStyle name="Normal 2 5 16" xfId="6888" xr:uid="{E34B52DD-0D95-4E57-BBDB-84BDBA808D26}"/>
    <cellStyle name="Normal 2 5 16 2" xfId="17268" xr:uid="{FE68BB87-5ED9-416F-8B0B-1BBFB56CE6A4}"/>
    <cellStyle name="Normal 2 5 17" xfId="9721" xr:uid="{71B0E6CE-EC01-41D8-A4CF-0F31019EB11C}"/>
    <cellStyle name="Normal 2 5 17 2" xfId="20101" xr:uid="{A2897E3B-E47D-46A7-84AE-5CD93504EFEE}"/>
    <cellStyle name="Normal 2 5 18" xfId="24437" xr:uid="{282C5376-98C7-49DE-A520-F11DB1848102}"/>
    <cellStyle name="Normal 2 5 19" xfId="12395" xr:uid="{A5866C7D-4474-4E5B-A25F-02BFD262B28F}"/>
    <cellStyle name="Normal 2 5 2" xfId="789" xr:uid="{00000000-0005-0000-0000-0000C1040000}"/>
    <cellStyle name="Normal 2 5 2 10" xfId="5141" xr:uid="{5E4C7B78-933D-4945-8AEB-9937483272E2}"/>
    <cellStyle name="Normal 2 5 2 10 2" xfId="14438" xr:uid="{DFD9B2B3-2BCF-4C25-B678-8DFD6BBF2B8E}"/>
    <cellStyle name="Normal 2 5 2 11" xfId="6891" xr:uid="{D9368D94-A4FA-4857-9E07-D8B06B15D57E}"/>
    <cellStyle name="Normal 2 5 2 11 2" xfId="17271" xr:uid="{467655A8-F471-42A9-962E-68A05B36F8F6}"/>
    <cellStyle name="Normal 2 5 2 12" xfId="9724" xr:uid="{84496DC4-5C98-4F69-8436-A24D80912824}"/>
    <cellStyle name="Normal 2 5 2 12 2" xfId="20104" xr:uid="{D0C5DC80-66E8-42C1-AD5B-5C6E8F8A713F}"/>
    <cellStyle name="Normal 2 5 2 13" xfId="25179" xr:uid="{EC0F43C9-DBE0-4237-89D9-7AD8DC19F42E}"/>
    <cellStyle name="Normal 2 5 2 14" xfId="12421" xr:uid="{153135D3-00A7-45C2-8D52-0FCBDF0AC3C4}"/>
    <cellStyle name="Normal 2 5 2 2" xfId="790" xr:uid="{00000000-0005-0000-0000-0000C2040000}"/>
    <cellStyle name="Normal 2 5 2 2 10" xfId="6892" xr:uid="{E69D7650-486A-4491-800D-8F6D2504A896}"/>
    <cellStyle name="Normal 2 5 2 2 10 2" xfId="17272" xr:uid="{35F78DB7-03B7-43A3-895E-E46CB3E61D12}"/>
    <cellStyle name="Normal 2 5 2 2 11" xfId="9725" xr:uid="{A2374A83-C013-4CC2-A2DA-A768BC6DD1AF}"/>
    <cellStyle name="Normal 2 5 2 2 11 2" xfId="20105" xr:uid="{9CF102B4-BB9D-4FBF-A167-95DF46575A40}"/>
    <cellStyle name="Normal 2 5 2 2 12" xfId="23419" xr:uid="{AAF76358-571E-44F1-BBA4-5EEF5DABC461}"/>
    <cellStyle name="Normal 2 5 2 2 13" xfId="12481" xr:uid="{956D1D4A-D7F9-4B2D-BFE3-178543F91DF7}"/>
    <cellStyle name="Normal 2 5 2 2 2" xfId="791" xr:uid="{00000000-0005-0000-0000-0000C3040000}"/>
    <cellStyle name="Normal 2 5 2 2 2 10" xfId="13046" xr:uid="{C1BC4533-3E99-4779-BD5A-8281B4F68D49}"/>
    <cellStyle name="Normal 2 5 2 2 2 2" xfId="2742" xr:uid="{00000000-0005-0000-0000-00006C040000}"/>
    <cellStyle name="Normal 2 5 2 2 2 2 2" xfId="3214" xr:uid="{00000000-0005-0000-0000-00006D040000}"/>
    <cellStyle name="Normal 2 5 2 2 2 2 2 2" xfId="6272" xr:uid="{1F60F743-6634-4AA0-956C-50EA423C2DBB}"/>
    <cellStyle name="Normal 2 5 2 2 2 2 2 2 2" xfId="26708" xr:uid="{8E9EC44E-3D2B-402F-8E0F-730780C68AD0}"/>
    <cellStyle name="Normal 2 5 2 2 2 2 2 2 3" xfId="15841" xr:uid="{C7CCCB08-9E97-4003-A666-90BA8338079A}"/>
    <cellStyle name="Normal 2 5 2 2 2 2 2 3" xfId="8294" xr:uid="{746ED92A-4C36-47EA-B1E1-5D85EF50B979}"/>
    <cellStyle name="Normal 2 5 2 2 2 2 2 3 2" xfId="18674" xr:uid="{4F8F5E0A-42CF-4B14-8FC0-C80052C09717}"/>
    <cellStyle name="Normal 2 5 2 2 2 2 2 4" xfId="11127" xr:uid="{AB268A94-0A26-4D5B-9C10-AFABD460EAE7}"/>
    <cellStyle name="Normal 2 5 2 2 2 2 2 4 2" xfId="21507" xr:uid="{DD2C4C44-961D-43D9-96DD-698D8876E680}"/>
    <cellStyle name="Normal 2 5 2 2 2 2 2 5" xfId="24503" xr:uid="{B12373CE-A6D4-4B8B-8D2B-AE7DC049519C}"/>
    <cellStyle name="Normal 2 5 2 2 2 2 2 6" xfId="13757" xr:uid="{252D745E-372A-4110-9AA9-270F2D31A616}"/>
    <cellStyle name="Normal 2 5 2 2 2 2 3" xfId="4306" xr:uid="{8AEEB3DE-61B6-4FE7-AAE0-3DAE26A51726}"/>
    <cellStyle name="Normal 2 5 2 2 2 2 3 2" xfId="9078" xr:uid="{371B2CD9-BE12-46CB-B681-68BBCED36EC2}"/>
    <cellStyle name="Normal 2 5 2 2 2 2 3 2 2" xfId="29121" xr:uid="{B54BA6AD-664A-44A1-8BE5-620E3C67CD29}"/>
    <cellStyle name="Normal 2 5 2 2 2 2 3 2 3" xfId="19458" xr:uid="{08EA89A7-045C-4B3A-B081-E913B141AC40}"/>
    <cellStyle name="Normal 2 5 2 2 2 2 3 3" xfId="11911" xr:uid="{168DAC8F-2DA8-4EC2-B395-1396EA01EC77}"/>
    <cellStyle name="Normal 2 5 2 2 2 2 3 3 2" xfId="22291" xr:uid="{E1B7EF95-0888-4BAD-9712-ECB0A335DC93}"/>
    <cellStyle name="Normal 2 5 2 2 2 2 3 4" xfId="24851" xr:uid="{4D32A168-7AA7-4D6B-9397-C30D355B2B6A}"/>
    <cellStyle name="Normal 2 5 2 2 2 2 3 5" xfId="16625" xr:uid="{802E9D0C-24CF-4285-A4D4-FDCD9177C3AD}"/>
    <cellStyle name="Normal 2 5 2 2 2 2 4" xfId="5960" xr:uid="{3ED9C625-B21E-47E8-A34C-ADCFCCE51054}"/>
    <cellStyle name="Normal 2 5 2 2 2 2 4 2" xfId="26306" xr:uid="{39CA9F07-3D37-409F-9500-8112C39F74EA}"/>
    <cellStyle name="Normal 2 5 2 2 2 2 4 3" xfId="15413" xr:uid="{61405212-7891-41EA-896E-2CEFC2B3C91D}"/>
    <cellStyle name="Normal 2 5 2 2 2 2 5" xfId="7866" xr:uid="{6157CD86-5524-4E68-815E-14A2EDC57752}"/>
    <cellStyle name="Normal 2 5 2 2 2 2 5 2" xfId="18246" xr:uid="{5CF63585-ACE5-47AC-9BD4-224C128A839C}"/>
    <cellStyle name="Normal 2 5 2 2 2 2 6" xfId="10699" xr:uid="{83845B6A-E84F-4953-8868-036BFE90B244}"/>
    <cellStyle name="Normal 2 5 2 2 2 2 6 2" xfId="21079" xr:uid="{913A8362-ED8F-4942-9A55-8F5F9AF07E7C}"/>
    <cellStyle name="Normal 2 5 2 2 2 2 7" xfId="23020" xr:uid="{C96626A7-8A30-4A18-B351-B60F31361BBD}"/>
    <cellStyle name="Normal 2 5 2 2 2 2 8" xfId="13180" xr:uid="{891D6BE0-84F5-4991-A767-D7C48F75C934}"/>
    <cellStyle name="Normal 2 5 2 2 2 3" xfId="3215" xr:uid="{00000000-0005-0000-0000-00006E040000}"/>
    <cellStyle name="Normal 2 5 2 2 2 3 2" xfId="4479" xr:uid="{36BCBF59-3A2F-455A-91E4-3790C01DA354}"/>
    <cellStyle name="Normal 2 5 2 2 2 3 2 2" xfId="9251" xr:uid="{05652BB2-E29D-4C98-92EF-A8DDD59C9960}"/>
    <cellStyle name="Normal 2 5 2 2 2 3 2 2 2" xfId="19631" xr:uid="{E4DE5BF3-388A-4E0B-8922-811E7C8B7E95}"/>
    <cellStyle name="Normal 2 5 2 2 2 3 2 3" xfId="12084" xr:uid="{517B48F6-EBFD-4B47-85E1-E2002532C5F2}"/>
    <cellStyle name="Normal 2 5 2 2 2 3 2 3 2" xfId="22464" xr:uid="{A8B4C9C2-D85E-4D4E-BAEA-964415011FFD}"/>
    <cellStyle name="Normal 2 5 2 2 2 3 2 4" xfId="26011" xr:uid="{D767D733-1D9E-4A1B-B87C-48D72D4D16A6}"/>
    <cellStyle name="Normal 2 5 2 2 2 3 2 5" xfId="16798" xr:uid="{EDF6B23B-6D74-4B2F-8CF0-895567AF8D24}"/>
    <cellStyle name="Normal 2 5 2 2 2 3 3" xfId="6273" xr:uid="{E237BBFF-353E-4FF3-8F34-88D0CAFA6419}"/>
    <cellStyle name="Normal 2 5 2 2 2 3 3 2" xfId="15842" xr:uid="{21A2DB3F-C021-4DDF-9BCB-322B912BB2E6}"/>
    <cellStyle name="Normal 2 5 2 2 2 3 4" xfId="8295" xr:uid="{60218A56-EF6F-447B-A2DF-9964297231C1}"/>
    <cellStyle name="Normal 2 5 2 2 2 3 4 2" xfId="18675" xr:uid="{C8D3D6F3-F699-4739-8303-77921F1C33D5}"/>
    <cellStyle name="Normal 2 5 2 2 2 3 5" xfId="11128" xr:uid="{655DEBB3-451A-4310-A5ED-34F38583CCC7}"/>
    <cellStyle name="Normal 2 5 2 2 2 3 5 2" xfId="21508" xr:uid="{F09793CA-A50B-4AF8-B1E7-ECE6235C50DC}"/>
    <cellStyle name="Normal 2 5 2 2 2 3 6" xfId="23360" xr:uid="{6724D974-014A-4C1D-AFCF-15F0DAD3861B}"/>
    <cellStyle name="Normal 2 5 2 2 2 3 7" xfId="13758" xr:uid="{4550D860-A979-4584-9235-6FF3536883AB}"/>
    <cellStyle name="Normal 2 5 2 2 2 4" xfId="3213" xr:uid="{00000000-0005-0000-0000-00006F040000}"/>
    <cellStyle name="Normal 2 5 2 2 2 4 2" xfId="6271" xr:uid="{470586E9-20A5-4102-89F8-91C21CAF62B6}"/>
    <cellStyle name="Normal 2 5 2 2 2 4 2 2" xfId="27179" xr:uid="{76524590-BE25-4E90-9A12-CB4BABFB9FDE}"/>
    <cellStyle name="Normal 2 5 2 2 2 4 2 3" xfId="15840" xr:uid="{8468030D-1416-4FFD-A057-2D3BCFCE884E}"/>
    <cellStyle name="Normal 2 5 2 2 2 4 3" xfId="8293" xr:uid="{F94E1009-82AC-49F2-AFAA-D945FD059FB2}"/>
    <cellStyle name="Normal 2 5 2 2 2 4 3 2" xfId="18673" xr:uid="{3F375015-1CDB-494B-8980-F58059EB35D9}"/>
    <cellStyle name="Normal 2 5 2 2 2 4 4" xfId="11126" xr:uid="{DF4D42A6-4084-41D5-A4D8-2102E2D2B083}"/>
    <cellStyle name="Normal 2 5 2 2 2 4 4 2" xfId="21506" xr:uid="{100E25DA-9780-489B-ADB2-713629F41DAA}"/>
    <cellStyle name="Normal 2 5 2 2 2 4 5" xfId="22639" xr:uid="{ADDD103C-D91C-4D25-88C7-6C864115B982}"/>
    <cellStyle name="Normal 2 5 2 2 2 4 6" xfId="13756" xr:uid="{350B0D98-801D-41B9-B424-5D26F2704B71}"/>
    <cellStyle name="Normal 2 5 2 2 2 5" xfId="4245" xr:uid="{24E76430-8ACA-48F3-A78E-3C87E028080F}"/>
    <cellStyle name="Normal 2 5 2 2 2 5 2" xfId="9017" xr:uid="{940CCF05-FE4F-4221-95B5-FA400D2BE188}"/>
    <cellStyle name="Normal 2 5 2 2 2 5 2 2" xfId="29088" xr:uid="{CDE0CC06-AAAA-42B8-B54E-067A69769F33}"/>
    <cellStyle name="Normal 2 5 2 2 2 5 2 3" xfId="19397" xr:uid="{253F5665-A4C5-4FE6-B6BE-53C551428927}"/>
    <cellStyle name="Normal 2 5 2 2 2 5 3" xfId="11850" xr:uid="{90708FCE-840E-4C45-B1B5-79CF51B9DDDB}"/>
    <cellStyle name="Normal 2 5 2 2 2 5 3 2" xfId="22230" xr:uid="{65618ED9-2AE4-4168-8702-94242206482D}"/>
    <cellStyle name="Normal 2 5 2 2 2 5 4" xfId="23982" xr:uid="{F6874D78-530B-4FE8-8B44-AEA6932DCEEC}"/>
    <cellStyle name="Normal 2 5 2 2 2 5 5" xfId="16564" xr:uid="{565854D8-ADCC-4305-A1F4-C99591DB82BE}"/>
    <cellStyle name="Normal 2 5 2 2 2 6" xfId="5143" xr:uid="{26435337-A12E-4D95-98AB-E38E11DD752F}"/>
    <cellStyle name="Normal 2 5 2 2 2 6 2" xfId="28535" xr:uid="{03DCE3D8-53D6-433C-BE8F-3D8C50817AEB}"/>
    <cellStyle name="Normal 2 5 2 2 2 6 3" xfId="14440" xr:uid="{A6C71034-89B3-4B5C-8BE5-FF08CBE5277C}"/>
    <cellStyle name="Normal 2 5 2 2 2 7" xfId="6893" xr:uid="{0081EC98-3400-4E64-8DF1-938C9FDCD02D}"/>
    <cellStyle name="Normal 2 5 2 2 2 7 2" xfId="17273" xr:uid="{184AC13C-C047-4BF2-8489-DBA2F11BDC8E}"/>
    <cellStyle name="Normal 2 5 2 2 2 8" xfId="9726" xr:uid="{971CDE65-C117-4A08-A4DD-0AEC1378C835}"/>
    <cellStyle name="Normal 2 5 2 2 2 8 2" xfId="20106" xr:uid="{8CE5B0D4-4A3C-4CE9-A4A8-E0C5802DF3A5}"/>
    <cellStyle name="Normal 2 5 2 2 2 9" xfId="24178" xr:uid="{6618C867-3FA3-4D7B-8484-4741A6B6C9E4}"/>
    <cellStyle name="Normal 2 5 2 2 3" xfId="2741" xr:uid="{00000000-0005-0000-0000-000070040000}"/>
    <cellStyle name="Normal 2 5 2 2 3 2" xfId="3216" xr:uid="{00000000-0005-0000-0000-000071040000}"/>
    <cellStyle name="Normal 2 5 2 2 3 2 2" xfId="6274" xr:uid="{125526E2-1B68-4366-BC25-A88A855F197A}"/>
    <cellStyle name="Normal 2 5 2 2 3 2 2 2" xfId="27593" xr:uid="{49ACA487-4871-4BF4-8D6D-5E0878753C3F}"/>
    <cellStyle name="Normal 2 5 2 2 3 2 2 3" xfId="15843" xr:uid="{8760EBA9-5B3C-4871-B38E-FC4EAAB0B506}"/>
    <cellStyle name="Normal 2 5 2 2 3 2 3" xfId="8296" xr:uid="{047E0A3A-8119-44DD-A32E-978D1B8D470F}"/>
    <cellStyle name="Normal 2 5 2 2 3 2 3 2" xfId="18676" xr:uid="{91E8223E-5F4F-41A2-803B-12B570AE548B}"/>
    <cellStyle name="Normal 2 5 2 2 3 2 4" xfId="11129" xr:uid="{43966DBD-200E-4B8C-A4BF-B542AB3D9707}"/>
    <cellStyle name="Normal 2 5 2 2 3 2 4 2" xfId="21509" xr:uid="{12D8F5BF-15E9-42A9-AC8B-C14F93168DC3}"/>
    <cellStyle name="Normal 2 5 2 2 3 2 5" xfId="24621" xr:uid="{B6F4CE5C-2D10-44C3-87D3-1932D40F6231}"/>
    <cellStyle name="Normal 2 5 2 2 3 2 6" xfId="13759" xr:uid="{92FB54DC-6098-4D02-88D5-5E332F9EAF16}"/>
    <cellStyle name="Normal 2 5 2 2 3 3" xfId="4305" xr:uid="{213B3692-4C25-444C-BC01-9EEB2F1609AF}"/>
    <cellStyle name="Normal 2 5 2 2 3 3 2" xfId="9077" xr:uid="{23094562-15D6-4390-AC48-D99AC64F353F}"/>
    <cellStyle name="Normal 2 5 2 2 3 3 2 2" xfId="29120" xr:uid="{EAB57E5F-E699-4426-97B4-F4B7AE02A5C0}"/>
    <cellStyle name="Normal 2 5 2 2 3 3 2 3" xfId="19457" xr:uid="{868E6816-C0A7-4736-A4D9-D52FAAF98090}"/>
    <cellStyle name="Normal 2 5 2 2 3 3 3" xfId="11910" xr:uid="{208E8303-B51A-44B0-96FD-EBC47C97D28D}"/>
    <cellStyle name="Normal 2 5 2 2 3 3 3 2" xfId="22290" xr:uid="{ED6983D7-23B0-4DAB-9AFD-FBB55D688585}"/>
    <cellStyle name="Normal 2 5 2 2 3 3 4" xfId="24729" xr:uid="{144698A1-D602-4E2E-B2EB-596434FEF72C}"/>
    <cellStyle name="Normal 2 5 2 2 3 3 5" xfId="16624" xr:uid="{60893DA7-920E-432B-891E-C2AE7500FA73}"/>
    <cellStyle name="Normal 2 5 2 2 3 4" xfId="5959" xr:uid="{75E5890C-162B-446D-A6FF-7D7721D6D836}"/>
    <cellStyle name="Normal 2 5 2 2 3 4 2" xfId="25974" xr:uid="{0ACF9DCA-7666-484E-8883-6240D354069D}"/>
    <cellStyle name="Normal 2 5 2 2 3 4 3" xfId="15412" xr:uid="{E172702E-BDB1-4702-805E-4C1DCD1E5B32}"/>
    <cellStyle name="Normal 2 5 2 2 3 5" xfId="7865" xr:uid="{59A39C3A-389D-4DC2-92A0-02FC3B1FACB9}"/>
    <cellStyle name="Normal 2 5 2 2 3 5 2" xfId="18245" xr:uid="{113B81A0-4493-40B8-B212-0F69AC7550CE}"/>
    <cellStyle name="Normal 2 5 2 2 3 6" xfId="10698" xr:uid="{CF69B6F2-A989-48D6-A94B-0F7F4FD56EEE}"/>
    <cellStyle name="Normal 2 5 2 2 3 6 2" xfId="21078" xr:uid="{04A13D38-2234-4FD6-A2E3-F47286B10896}"/>
    <cellStyle name="Normal 2 5 2 2 3 7" xfId="23428" xr:uid="{70D0F8FF-967E-4511-B73D-49D36332934C}"/>
    <cellStyle name="Normal 2 5 2 2 3 8" xfId="13179" xr:uid="{8BDD633D-383C-4C98-9FC4-D321D6096FD2}"/>
    <cellStyle name="Normal 2 5 2 2 4" xfId="3217" xr:uid="{00000000-0005-0000-0000-000072040000}"/>
    <cellStyle name="Normal 2 5 2 2 4 2" xfId="4480" xr:uid="{3EB82FC1-B88A-40CB-8B41-892CF297600A}"/>
    <cellStyle name="Normal 2 5 2 2 4 2 2" xfId="9252" xr:uid="{AB393766-45FE-45E7-BEF7-E9C212E00415}"/>
    <cellStyle name="Normal 2 5 2 2 4 2 2 2" xfId="19632" xr:uid="{BDA5DE4C-A95E-47CB-8948-710A1806735B}"/>
    <cellStyle name="Normal 2 5 2 2 4 2 3" xfId="12085" xr:uid="{DE447C13-A5D0-4F50-926A-902D4B88F635}"/>
    <cellStyle name="Normal 2 5 2 2 4 2 3 2" xfId="22465" xr:uid="{C5128C15-52BF-4F32-BC14-73A902848545}"/>
    <cellStyle name="Normal 2 5 2 2 4 2 4" xfId="28301" xr:uid="{2BA84938-6D8B-4040-AC54-C200C5C16352}"/>
    <cellStyle name="Normal 2 5 2 2 4 2 5" xfId="16799" xr:uid="{4C17F181-C7EB-4246-B7FC-CFE4D8522DA3}"/>
    <cellStyle name="Normal 2 5 2 2 4 3" xfId="6275" xr:uid="{EBB1EE02-B42A-4E77-9B49-56D6E1FFFD4A}"/>
    <cellStyle name="Normal 2 5 2 2 4 3 2" xfId="15844" xr:uid="{850C2CBF-1712-4014-AF4B-81076ADA536E}"/>
    <cellStyle name="Normal 2 5 2 2 4 4" xfId="8297" xr:uid="{6E442549-9C68-43C3-9129-3B07F8B63376}"/>
    <cellStyle name="Normal 2 5 2 2 4 4 2" xfId="18677" xr:uid="{FEF55DD3-F186-4D2B-B89E-C73001FE7C5C}"/>
    <cellStyle name="Normal 2 5 2 2 4 5" xfId="11130" xr:uid="{3D4A8E3A-1147-4AB3-A43F-0856D74B5CD1}"/>
    <cellStyle name="Normal 2 5 2 2 4 5 2" xfId="21510" xr:uid="{A18CBA86-4193-4CE8-9494-FED6AB3ACEC4}"/>
    <cellStyle name="Normal 2 5 2 2 4 6" xfId="23804" xr:uid="{959BCB16-D8FF-4A2A-A7F6-1C42B383E0CB}"/>
    <cellStyle name="Normal 2 5 2 2 4 7" xfId="13760" xr:uid="{7FAA0FFF-905D-497A-8213-602202E02055}"/>
    <cellStyle name="Normal 2 5 2 2 5" xfId="3212" xr:uid="{00000000-0005-0000-0000-000073040000}"/>
    <cellStyle name="Normal 2 5 2 2 5 2" xfId="6270" xr:uid="{CD3B0AF8-2B88-4A79-A2DF-ABCE5E0EDF79}"/>
    <cellStyle name="Normal 2 5 2 2 5 2 2" xfId="27727" xr:uid="{5CB61858-C772-4C6A-B056-BF3189513D4D}"/>
    <cellStyle name="Normal 2 5 2 2 5 2 3" xfId="15839" xr:uid="{B1D79E71-55B0-4E3E-AFC9-50DB82A5E064}"/>
    <cellStyle name="Normal 2 5 2 2 5 3" xfId="8292" xr:uid="{A1986F02-78EF-49CB-8E39-1D7BB6EF8FE8}"/>
    <cellStyle name="Normal 2 5 2 2 5 3 2" xfId="18672" xr:uid="{E44D3349-AD8D-45AA-BA28-1E05F2043120}"/>
    <cellStyle name="Normal 2 5 2 2 5 4" xfId="11125" xr:uid="{A8B78940-A714-426F-95C6-F0F043E29AC7}"/>
    <cellStyle name="Normal 2 5 2 2 5 4 2" xfId="21505" xr:uid="{86A6F4A0-F698-4A00-A6C5-6641AC7BF20B}"/>
    <cellStyle name="Normal 2 5 2 2 5 5" xfId="24387" xr:uid="{4370B9C9-0A32-4408-A69F-24FE67FD33B1}"/>
    <cellStyle name="Normal 2 5 2 2 5 6" xfId="13755" xr:uid="{09B18C7C-625F-4F81-ADA0-84FD4BC75D0F}"/>
    <cellStyle name="Normal 2 5 2 2 6" xfId="2555" xr:uid="{00000000-0005-0000-0000-000074040000}"/>
    <cellStyle name="Normal 2 5 2 2 6 2" xfId="5825" xr:uid="{25A596B2-4983-4347-A690-43278B245CAC}"/>
    <cellStyle name="Normal 2 5 2 2 6 2 2" xfId="26562" xr:uid="{62A1FF07-A161-4AE6-9F6E-F3187B39ECEB}"/>
    <cellStyle name="Normal 2 5 2 2 6 2 3" xfId="15227" xr:uid="{5AB1F873-DCAA-4A9B-A682-F072D1FBC357}"/>
    <cellStyle name="Normal 2 5 2 2 6 3" xfId="7680" xr:uid="{0C0A9924-252A-42B0-BDDB-B5B69979F60C}"/>
    <cellStyle name="Normal 2 5 2 2 6 3 2" xfId="18060" xr:uid="{4DEFEA25-FE43-4D42-B1D0-51871E26E8EE}"/>
    <cellStyle name="Normal 2 5 2 2 6 4" xfId="10513" xr:uid="{933DF63A-C0DA-42F5-9816-F6E0F41558BF}"/>
    <cellStyle name="Normal 2 5 2 2 6 4 2" xfId="20893" xr:uid="{CD6C6E08-BA17-46EB-A495-C8ABABCD869E}"/>
    <cellStyle name="Normal 2 5 2 2 6 5" xfId="25031" xr:uid="{CAAD7571-4374-416C-A844-BBCDB30C7FAB}"/>
    <cellStyle name="Normal 2 5 2 2 6 6" xfId="12943" xr:uid="{BBE309FD-EDBF-4189-9F47-0F781820EC80}"/>
    <cellStyle name="Normal 2 5 2 2 7" xfId="2249" xr:uid="{00000000-0005-0000-0000-00006A040000}"/>
    <cellStyle name="Normal 2 5 2 2 7 2" xfId="7376" xr:uid="{8A0E426F-BD96-4854-BEE8-A381F0565431}"/>
    <cellStyle name="Normal 2 5 2 2 7 2 2" xfId="17756" xr:uid="{B33549B6-782C-45F9-8468-B96DDBD252ED}"/>
    <cellStyle name="Normal 2 5 2 2 7 3" xfId="10209" xr:uid="{9AAA16DB-2AD0-41E4-9AC8-EDB0BEB32C1F}"/>
    <cellStyle name="Normal 2 5 2 2 7 3 2" xfId="20589" xr:uid="{0627A3F8-427A-4A94-9241-143F14860458}"/>
    <cellStyle name="Normal 2 5 2 2 7 4" xfId="24582" xr:uid="{A184C3C5-F122-4C8E-AE7F-C541056A2995}"/>
    <cellStyle name="Normal 2 5 2 2 7 5" xfId="14923" xr:uid="{0492BAAF-A54E-4C53-A4CA-4A01C8374CC0}"/>
    <cellStyle name="Normal 2 5 2 2 8" xfId="3800" xr:uid="{F1877237-F3C3-480A-ACD6-54826A0E1805}"/>
    <cellStyle name="Normal 2 5 2 2 8 2" xfId="8636" xr:uid="{2291FA23-0A45-4B74-AAB2-583D1F5686DC}"/>
    <cellStyle name="Normal 2 5 2 2 8 2 2" xfId="19016" xr:uid="{A8C312C2-B2FF-4B22-9CE0-79791545C391}"/>
    <cellStyle name="Normal 2 5 2 2 8 3" xfId="11469" xr:uid="{DD4AA20B-8344-40EE-9939-7303F5E74F63}"/>
    <cellStyle name="Normal 2 5 2 2 8 3 2" xfId="21849" xr:uid="{193E3053-7BCB-4425-BC74-747EBCFF0BA6}"/>
    <cellStyle name="Normal 2 5 2 2 8 4" xfId="16183" xr:uid="{6EC87BB2-6594-44FF-B50E-BE165A843D5D}"/>
    <cellStyle name="Normal 2 5 2 2 9" xfId="5142" xr:uid="{FB36C901-C53D-4572-AAD4-AB23456790AB}"/>
    <cellStyle name="Normal 2 5 2 2 9 2" xfId="14439" xr:uid="{E0015A66-797F-4955-8A28-2011ECF45AD4}"/>
    <cellStyle name="Normal 2 5 2 3" xfId="792" xr:uid="{00000000-0005-0000-0000-0000C4040000}"/>
    <cellStyle name="Normal 2 5 2 3 10" xfId="9727" xr:uid="{029CE8BE-530F-475F-B07C-84FE1BD224D5}"/>
    <cellStyle name="Normal 2 5 2 3 10 2" xfId="20107" xr:uid="{227FDDB4-E945-4D7A-BFF9-673972C1A5A9}"/>
    <cellStyle name="Normal 2 5 2 3 11" xfId="24546" xr:uid="{E6EB4C6D-1B7C-4F2F-B0C3-F253D26CADD3}"/>
    <cellStyle name="Normal 2 5 2 3 12" xfId="12568" xr:uid="{FF76ED38-27B7-4009-A348-DED8E4FB6127}"/>
    <cellStyle name="Normal 2 5 2 3 2" xfId="2743" xr:uid="{00000000-0005-0000-0000-000076040000}"/>
    <cellStyle name="Normal 2 5 2 3 2 2" xfId="3219" xr:uid="{00000000-0005-0000-0000-000077040000}"/>
    <cellStyle name="Normal 2 5 2 3 2 2 2" xfId="6277" xr:uid="{87CA24AF-D326-41B1-BEB9-59A590033D7E}"/>
    <cellStyle name="Normal 2 5 2 3 2 2 2 2" xfId="26205" xr:uid="{13E15B1F-064C-4F1B-91DF-FDF8E941E0D8}"/>
    <cellStyle name="Normal 2 5 2 3 2 2 2 3" xfId="15846" xr:uid="{64CEC759-3E76-4255-BC35-68C1295D1A0D}"/>
    <cellStyle name="Normal 2 5 2 3 2 2 3" xfId="8299" xr:uid="{03B17314-33D4-4388-9F60-24F21A186C59}"/>
    <cellStyle name="Normal 2 5 2 3 2 2 3 2" xfId="18679" xr:uid="{5DB78E24-E019-4E71-8168-DC9A186C787E}"/>
    <cellStyle name="Normal 2 5 2 3 2 2 4" xfId="11132" xr:uid="{E7ABD13E-3F12-4E24-B708-1200CD919B5F}"/>
    <cellStyle name="Normal 2 5 2 3 2 2 4 2" xfId="21512" xr:uid="{EEF3DD65-6706-4152-A265-BA17749A068F}"/>
    <cellStyle name="Normal 2 5 2 3 2 2 5" xfId="24696" xr:uid="{848B1284-2455-4E63-8167-5F5BA0C50206}"/>
    <cellStyle name="Normal 2 5 2 3 2 2 6" xfId="13762" xr:uid="{FCD49A74-9347-4B00-B486-417D3D52E51A}"/>
    <cellStyle name="Normal 2 5 2 3 2 3" xfId="4307" xr:uid="{6411A7A5-5528-460F-89C7-299F9D1D5DAE}"/>
    <cellStyle name="Normal 2 5 2 3 2 3 2" xfId="9079" xr:uid="{18C614DB-215D-4A52-84F3-5E7CA58266A0}"/>
    <cellStyle name="Normal 2 5 2 3 2 3 2 2" xfId="29122" xr:uid="{7008841A-4354-4CE8-A78F-780DBC269B6A}"/>
    <cellStyle name="Normal 2 5 2 3 2 3 2 3" xfId="19459" xr:uid="{D37BDD27-B1E6-4871-8D8E-EE91AF61354E}"/>
    <cellStyle name="Normal 2 5 2 3 2 3 3" xfId="11912" xr:uid="{B840EF34-CC77-4681-97DA-172CBEC7162C}"/>
    <cellStyle name="Normal 2 5 2 3 2 3 3 2" xfId="22292" xr:uid="{6A72AABD-A8E1-4579-94D9-04D1508FCACA}"/>
    <cellStyle name="Normal 2 5 2 3 2 3 4" xfId="23323" xr:uid="{2C8C9217-83D7-42C9-A865-3FAB0F5B2521}"/>
    <cellStyle name="Normal 2 5 2 3 2 3 5" xfId="16626" xr:uid="{A878821D-7906-4FB0-BA82-3ECB642E23DA}"/>
    <cellStyle name="Normal 2 5 2 3 2 4" xfId="5961" xr:uid="{619B855B-733C-4135-AB31-940705AAA4BF}"/>
    <cellStyle name="Normal 2 5 2 3 2 4 2" xfId="26119" xr:uid="{CF1DDBE3-66A3-4A01-9B52-F15062DA060B}"/>
    <cellStyle name="Normal 2 5 2 3 2 4 3" xfId="15414" xr:uid="{92D48D94-1FE4-4232-853C-3A9176E88E41}"/>
    <cellStyle name="Normal 2 5 2 3 2 5" xfId="7867" xr:uid="{0F181675-17DB-4479-B20F-2450E7A23DE6}"/>
    <cellStyle name="Normal 2 5 2 3 2 5 2" xfId="18247" xr:uid="{CA0FF2B9-D524-4D77-BE3B-A1E3CA1E0A0B}"/>
    <cellStyle name="Normal 2 5 2 3 2 6" xfId="10700" xr:uid="{4123705F-7123-4EE3-A80A-6D8FCBE220CE}"/>
    <cellStyle name="Normal 2 5 2 3 2 6 2" xfId="21080" xr:uid="{EAC315FB-8969-47CD-8A28-D499AE1C02EA}"/>
    <cellStyle name="Normal 2 5 2 3 2 7" xfId="24806" xr:uid="{F0EA81D9-27CC-4047-8D40-89DAD5375548}"/>
    <cellStyle name="Normal 2 5 2 3 2 8" xfId="13181" xr:uid="{A6418468-8EC1-43B4-874F-6E1A6DE320F6}"/>
    <cellStyle name="Normal 2 5 2 3 3" xfId="3220" xr:uid="{00000000-0005-0000-0000-000078040000}"/>
    <cellStyle name="Normal 2 5 2 3 3 2" xfId="4481" xr:uid="{62550687-04CF-4DF5-89D5-F3C096152E91}"/>
    <cellStyle name="Normal 2 5 2 3 3 2 2" xfId="9253" xr:uid="{0DAAE6DE-98AA-4447-819B-9C901F645DC1}"/>
    <cellStyle name="Normal 2 5 2 3 3 2 2 2" xfId="29240" xr:uid="{1DDAA92C-45AD-4E21-B5A5-CBA7672AD962}"/>
    <cellStyle name="Normal 2 5 2 3 3 2 2 3" xfId="19633" xr:uid="{FA9809E8-4B7C-449B-97A2-E23E9066EA44}"/>
    <cellStyle name="Normal 2 5 2 3 3 2 3" xfId="12086" xr:uid="{7E6706F1-F3BC-4DE4-90C5-51754EF84A57}"/>
    <cellStyle name="Normal 2 5 2 3 3 2 3 2" xfId="22466" xr:uid="{B92C20CE-F04A-4C5F-8544-08FD1770A160}"/>
    <cellStyle name="Normal 2 5 2 3 3 2 4" xfId="24706" xr:uid="{F0CFE77C-8623-498D-A86F-1C84D94D2F02}"/>
    <cellStyle name="Normal 2 5 2 3 3 2 5" xfId="16800" xr:uid="{ED0D3814-8FBA-4ABE-BD44-FD369CE42E2D}"/>
    <cellStyle name="Normal 2 5 2 3 3 3" xfId="6278" xr:uid="{6B7E8AD6-2ED0-4DB0-B6B6-797418E549AD}"/>
    <cellStyle name="Normal 2 5 2 3 3 3 2" xfId="28668" xr:uid="{DBC7CC91-5ADA-4C37-BA92-BF3AFA28B1FF}"/>
    <cellStyle name="Normal 2 5 2 3 3 3 3" xfId="15847" xr:uid="{8AE53C57-9A0C-4A0E-B4B0-F8C4FDD3B24D}"/>
    <cellStyle name="Normal 2 5 2 3 3 4" xfId="8300" xr:uid="{A3E91B29-6F1C-4ACC-AFD8-E3F2F21FEC5F}"/>
    <cellStyle name="Normal 2 5 2 3 3 4 2" xfId="18680" xr:uid="{E8DC0184-69C1-46E8-B586-E9F1CCA48110}"/>
    <cellStyle name="Normal 2 5 2 3 3 5" xfId="11133" xr:uid="{BF792310-982E-4318-98E5-1DFAC5C18B15}"/>
    <cellStyle name="Normal 2 5 2 3 3 5 2" xfId="21513" xr:uid="{45E06DBE-6498-4D8D-9C18-15558C7DB73F}"/>
    <cellStyle name="Normal 2 5 2 3 3 6" xfId="24936" xr:uid="{71E6EFDE-88BC-4B59-8E98-465D5341ED21}"/>
    <cellStyle name="Normal 2 5 2 3 3 7" xfId="13763" xr:uid="{7A2E540D-36B5-476B-90B8-515E969C10D9}"/>
    <cellStyle name="Normal 2 5 2 3 4" xfId="3218" xr:uid="{00000000-0005-0000-0000-000079040000}"/>
    <cellStyle name="Normal 2 5 2 3 4 2" xfId="6276" xr:uid="{9AAF25EE-FB8E-4722-82FC-D8F8B86D1661}"/>
    <cellStyle name="Normal 2 5 2 3 4 2 2" xfId="27290" xr:uid="{30F52BE9-DC6B-4032-A086-8E83F0B26220}"/>
    <cellStyle name="Normal 2 5 2 3 4 2 3" xfId="15845" xr:uid="{41516B1E-32CC-4272-847E-3A420034FA18}"/>
    <cellStyle name="Normal 2 5 2 3 4 3" xfId="8298" xr:uid="{4C81EEC8-3539-4F8E-B7FA-09DA0A7684BA}"/>
    <cellStyle name="Normal 2 5 2 3 4 3 2" xfId="18678" xr:uid="{3D33B353-D445-4CDE-B1F8-FE5AF0ED8CFA}"/>
    <cellStyle name="Normal 2 5 2 3 4 4" xfId="11131" xr:uid="{DAD61EDE-170A-4B5A-BEE4-82688638A0E9}"/>
    <cellStyle name="Normal 2 5 2 3 4 4 2" xfId="21511" xr:uid="{E6D2FBAD-F889-4A7A-953F-88B854FD442B}"/>
    <cellStyle name="Normal 2 5 2 3 4 5" xfId="23580" xr:uid="{AC5BA273-55EE-4E9A-AEF3-E9321A648D82}"/>
    <cellStyle name="Normal 2 5 2 3 4 6" xfId="13761" xr:uid="{7A3046DE-830A-4E76-ADD2-33CBAD418714}"/>
    <cellStyle name="Normal 2 5 2 3 5" xfId="2598" xr:uid="{00000000-0005-0000-0000-00007A040000}"/>
    <cellStyle name="Normal 2 5 2 3 5 2" xfId="5863" xr:uid="{57F4218A-0856-4695-B7CD-070ED5C7857D}"/>
    <cellStyle name="Normal 2 5 2 3 5 2 2" xfId="25910" xr:uid="{C2C21EBE-0259-4024-8AB9-64DC316A0BE1}"/>
    <cellStyle name="Normal 2 5 2 3 5 2 3" xfId="15270" xr:uid="{82E013B2-446F-42DB-8AE4-05D8119EB650}"/>
    <cellStyle name="Normal 2 5 2 3 5 3" xfId="7723" xr:uid="{60E5F2DD-5A67-4A14-BCF3-1029110793D4}"/>
    <cellStyle name="Normal 2 5 2 3 5 3 2" xfId="18103" xr:uid="{903F867D-C52C-4F72-AAE6-EC9E6248ECF2}"/>
    <cellStyle name="Normal 2 5 2 3 5 4" xfId="10556" xr:uid="{C4AAA262-6DB3-4CCB-88CE-972140C6D5E1}"/>
    <cellStyle name="Normal 2 5 2 3 5 4 2" xfId="20936" xr:uid="{747C35FC-6408-44BA-9957-13386A0328E7}"/>
    <cellStyle name="Normal 2 5 2 3 5 5" xfId="23294" xr:uid="{9009F6E4-3888-457E-994B-1EF68210CA9B}"/>
    <cellStyle name="Normal 2 5 2 3 5 6" xfId="12986" xr:uid="{29E050E5-D4CF-4AAC-AD4D-658A6E1C7B05}"/>
    <cellStyle name="Normal 2 5 2 3 6" xfId="2334" xr:uid="{00000000-0005-0000-0000-000075040000}"/>
    <cellStyle name="Normal 2 5 2 3 6 2" xfId="7461" xr:uid="{1B6EE378-8B9C-47A7-8630-A6509BBE6949}"/>
    <cellStyle name="Normal 2 5 2 3 6 2 2" xfId="17841" xr:uid="{301CDB61-47D3-4DAF-9842-7871A055B12C}"/>
    <cellStyle name="Normal 2 5 2 3 6 3" xfId="10294" xr:uid="{01A84E7F-9D18-4484-A545-BCD477F02EDF}"/>
    <cellStyle name="Normal 2 5 2 3 6 3 2" xfId="20674" xr:uid="{6B9433DB-F847-48D5-9CA9-CD8CC6E91926}"/>
    <cellStyle name="Normal 2 5 2 3 6 4" xfId="23235" xr:uid="{5616085E-D1E4-475B-A134-244E040A0C3D}"/>
    <cellStyle name="Normal 2 5 2 3 6 5" xfId="15008" xr:uid="{2D52D98F-3300-4312-9DD2-A94489204E4A}"/>
    <cellStyle name="Normal 2 5 2 3 7" xfId="3849" xr:uid="{A0F0B495-44E9-4D87-8427-3065703ED31C}"/>
    <cellStyle name="Normal 2 5 2 3 7 2" xfId="8682" xr:uid="{5D0464CC-7BC2-46E4-9041-1B0CCFD048BC}"/>
    <cellStyle name="Normal 2 5 2 3 7 2 2" xfId="19062" xr:uid="{361A3BFB-7FB5-4E28-8E2A-327D80847DC1}"/>
    <cellStyle name="Normal 2 5 2 3 7 3" xfId="11515" xr:uid="{A0D666EA-7758-4A4D-B4CB-2775BEE55150}"/>
    <cellStyle name="Normal 2 5 2 3 7 3 2" xfId="21895" xr:uid="{B56248C6-390B-4CE6-98BE-BB02274D79ED}"/>
    <cellStyle name="Normal 2 5 2 3 7 4" xfId="16229" xr:uid="{014D6D88-15A7-412F-A1C0-B935C19E723F}"/>
    <cellStyle name="Normal 2 5 2 3 8" xfId="5144" xr:uid="{C637A8BE-D4E8-4CE6-9D9E-F7288871D17B}"/>
    <cellStyle name="Normal 2 5 2 3 8 2" xfId="14441" xr:uid="{1D8CC06A-14D7-4DFC-A85B-FB987D7EE3D5}"/>
    <cellStyle name="Normal 2 5 2 3 9" xfId="6894" xr:uid="{07C53E2F-55E7-4BCB-8812-7540EAE03A26}"/>
    <cellStyle name="Normal 2 5 2 3 9 2" xfId="17274" xr:uid="{38593FD1-BB1E-45AE-9E3B-057816A29D8E}"/>
    <cellStyle name="Normal 2 5 2 4" xfId="793" xr:uid="{00000000-0005-0000-0000-0000C5040000}"/>
    <cellStyle name="Normal 2 5 2 4 2" xfId="3221" xr:uid="{00000000-0005-0000-0000-00007C040000}"/>
    <cellStyle name="Normal 2 5 2 4 2 2" xfId="6279" xr:uid="{EEE2FE17-6B4C-4262-AD6A-9E5C22B87798}"/>
    <cellStyle name="Normal 2 5 2 4 2 2 2" xfId="27249" xr:uid="{07931A6B-F462-4D91-A266-D5022F75A9A7}"/>
    <cellStyle name="Normal 2 5 2 4 2 2 3" xfId="15848" xr:uid="{924739E1-A68B-41D2-A43F-1E9BB4A11579}"/>
    <cellStyle name="Normal 2 5 2 4 2 3" xfId="8301" xr:uid="{EB08D9D3-BE2B-4CEF-A0C6-C5955D24C885}"/>
    <cellStyle name="Normal 2 5 2 4 2 3 2" xfId="18681" xr:uid="{7719174E-AC06-4249-9BD7-55832E3EEC96}"/>
    <cellStyle name="Normal 2 5 2 4 2 4" xfId="11134" xr:uid="{EA91745C-2588-4CA4-82DF-04F4FFA8A36F}"/>
    <cellStyle name="Normal 2 5 2 4 2 4 2" xfId="21514" xr:uid="{78D5C279-A6F1-47C0-8CD0-C11C1DCE2BBF}"/>
    <cellStyle name="Normal 2 5 2 4 2 5" xfId="23370" xr:uid="{B1BAF2F6-6D8A-49A9-8A3A-39B752EAD3B7}"/>
    <cellStyle name="Normal 2 5 2 4 2 6" xfId="13764" xr:uid="{B34DFB72-EFBC-4647-BE4D-D840EECFE28B}"/>
    <cellStyle name="Normal 2 5 2 4 3" xfId="2740" xr:uid="{00000000-0005-0000-0000-00007D040000}"/>
    <cellStyle name="Normal 2 5 2 4 3 2" xfId="5958" xr:uid="{53D474A8-250B-4A0F-8833-5E811D83AD08}"/>
    <cellStyle name="Normal 2 5 2 4 3 2 2" xfId="26914" xr:uid="{4340A015-65D2-4715-B542-0AC3E1D1E874}"/>
    <cellStyle name="Normal 2 5 2 4 3 2 3" xfId="15411" xr:uid="{276446FA-B627-4DF3-976C-DD125ACCEF3A}"/>
    <cellStyle name="Normal 2 5 2 4 3 3" xfId="7864" xr:uid="{6BE22A1D-E582-4B42-AE90-314B96AA8A12}"/>
    <cellStyle name="Normal 2 5 2 4 3 3 2" xfId="18244" xr:uid="{3A9A18D3-B09B-4626-B506-04C2417F3A37}"/>
    <cellStyle name="Normal 2 5 2 4 3 4" xfId="10697" xr:uid="{7A96F4B5-A1CB-4D78-A0F0-587B367F80E0}"/>
    <cellStyle name="Normal 2 5 2 4 3 4 2" xfId="21077" xr:uid="{A4DCC127-A254-4CAB-A7B5-E42B9749139B}"/>
    <cellStyle name="Normal 2 5 2 4 3 5" xfId="23633" xr:uid="{3A0FDDF7-4CE5-4B2A-9275-84693E3FB79F}"/>
    <cellStyle name="Normal 2 5 2 4 3 6" xfId="13178" xr:uid="{4E10FE9B-F5DC-4BAC-804A-1B5E1352899A}"/>
    <cellStyle name="Normal 2 5 2 4 4" xfId="4168" xr:uid="{7D1ECE65-F0EB-4D6B-9500-CD08F41C9471}"/>
    <cellStyle name="Normal 2 5 2 4 4 2" xfId="8940" xr:uid="{2191E214-9052-48F1-9E96-A5E7810872BE}"/>
    <cellStyle name="Normal 2 5 2 4 4 2 2" xfId="19320" xr:uid="{F696EB39-AB37-4F5B-A1AE-CA4687B12113}"/>
    <cellStyle name="Normal 2 5 2 4 4 3" xfId="11773" xr:uid="{23EE8783-8212-4F57-8ECA-907796240104}"/>
    <cellStyle name="Normal 2 5 2 4 4 3 2" xfId="22153" xr:uid="{44BC714E-3EDF-4140-9297-8A37DBC943B9}"/>
    <cellStyle name="Normal 2 5 2 4 4 4" xfId="24948" xr:uid="{62D22C87-835B-403A-BC26-3CE93B532349}"/>
    <cellStyle name="Normal 2 5 2 4 4 5" xfId="16487" xr:uid="{E25BE7C9-BBB6-4D0A-B4EA-AB9EE862FB7D}"/>
    <cellStyle name="Normal 2 5 2 4 5" xfId="5145" xr:uid="{3C165FBA-6E04-463F-B297-973456C4E0A4}"/>
    <cellStyle name="Normal 2 5 2 4 5 2" xfId="14442" xr:uid="{4A1F2327-41D2-4272-8C23-A4BBA842D591}"/>
    <cellStyle name="Normal 2 5 2 4 6" xfId="6895" xr:uid="{32EC5D67-A489-4F87-BD0D-F04465B790FF}"/>
    <cellStyle name="Normal 2 5 2 4 6 2" xfId="17275" xr:uid="{79068C78-A9CE-4467-B711-613DF7980DC2}"/>
    <cellStyle name="Normal 2 5 2 4 7" xfId="9728" xr:uid="{05D479F6-8F2C-4987-B2C3-DA60C8369E04}"/>
    <cellStyle name="Normal 2 5 2 4 7 2" xfId="20108" xr:uid="{A8ECB67A-08CF-4B7A-A91A-162C5E733165}"/>
    <cellStyle name="Normal 2 5 2 4 8" xfId="24389" xr:uid="{F7A1A015-43C1-4E8B-A582-B9A54135F709}"/>
    <cellStyle name="Normal 2 5 2 4 9" xfId="12726" xr:uid="{3ED7CF03-90FB-4FFF-BC10-D1A1704AED85}"/>
    <cellStyle name="Normal 2 5 2 5" xfId="3222" xr:uid="{00000000-0005-0000-0000-00007E040000}"/>
    <cellStyle name="Normal 2 5 2 5 2" xfId="4482" xr:uid="{2CAEE3DB-359D-4F75-9894-D842204D562F}"/>
    <cellStyle name="Normal 2 5 2 5 2 2" xfId="9254" xr:uid="{07B8D04F-B436-468D-9D97-42EB2CDFEF8F}"/>
    <cellStyle name="Normal 2 5 2 5 2 2 2" xfId="29241" xr:uid="{AF5E4DEC-AED1-4352-9943-A57F31C0AA81}"/>
    <cellStyle name="Normal 2 5 2 5 2 2 3" xfId="19634" xr:uid="{4670DBA2-7760-4C78-9338-A289E30EBC5D}"/>
    <cellStyle name="Normal 2 5 2 5 2 3" xfId="12087" xr:uid="{787B96BF-C9E5-4EEA-9822-B7E04675F556}"/>
    <cellStyle name="Normal 2 5 2 5 2 3 2" xfId="22467" xr:uid="{D2107782-31B3-4BE5-B217-4EA741ED8E28}"/>
    <cellStyle name="Normal 2 5 2 5 2 4" xfId="25396" xr:uid="{F5C46202-F9BB-4824-8BE1-70E7454FDCDF}"/>
    <cellStyle name="Normal 2 5 2 5 2 5" xfId="16801" xr:uid="{89E11442-5DB0-4A0D-A1CA-DA7D312BC72D}"/>
    <cellStyle name="Normal 2 5 2 5 3" xfId="6280" xr:uid="{C22E0A54-0B0C-4FE3-A4DA-E7022E5BAE84}"/>
    <cellStyle name="Normal 2 5 2 5 3 2" xfId="26021" xr:uid="{83A952E5-3095-48EF-9E3B-9223594174E6}"/>
    <cellStyle name="Normal 2 5 2 5 3 3" xfId="15849" xr:uid="{9C3CFDC7-32E2-4113-A882-B18D0017921F}"/>
    <cellStyle name="Normal 2 5 2 5 4" xfId="8302" xr:uid="{2B5EC5B1-C9A6-49E7-BD0B-28F511F0FFFB}"/>
    <cellStyle name="Normal 2 5 2 5 4 2" xfId="18682" xr:uid="{65C2A20F-DFD8-4188-8956-A9FE2E941A8F}"/>
    <cellStyle name="Normal 2 5 2 5 5" xfId="11135" xr:uid="{AAEA1FD6-DC9D-4654-A0BA-EABC1796A96C}"/>
    <cellStyle name="Normal 2 5 2 5 5 2" xfId="21515" xr:uid="{7628DB45-4251-4BB8-AD09-352D02079EE8}"/>
    <cellStyle name="Normal 2 5 2 5 6" xfId="24712" xr:uid="{6F1D76E4-752F-4FFD-A731-1018C2BBD8E2}"/>
    <cellStyle name="Normal 2 5 2 5 7" xfId="13765" xr:uid="{653BB0C4-0C1C-4302-847F-B5E6308AF81B}"/>
    <cellStyle name="Normal 2 5 2 6" xfId="2909" xr:uid="{00000000-0005-0000-0000-00007F040000}"/>
    <cellStyle name="Normal 2 5 2 6 2" xfId="6095" xr:uid="{EF4B9E71-D2F2-4C8B-972D-177687E96515}"/>
    <cellStyle name="Normal 2 5 2 6 2 2" xfId="28196" xr:uid="{6A69E23C-421A-42A8-8575-D382A19C7F04}"/>
    <cellStyle name="Normal 2 5 2 6 2 3" xfId="15573" xr:uid="{859D1AE7-FB27-4187-B74D-CA98BB8D3202}"/>
    <cellStyle name="Normal 2 5 2 6 3" xfId="8026" xr:uid="{7579173E-DC72-4874-A64B-3673CCDE9864}"/>
    <cellStyle name="Normal 2 5 2 6 3 2" xfId="18406" xr:uid="{A2396188-FDDA-4696-B50E-EB2B6277FC67}"/>
    <cellStyle name="Normal 2 5 2 6 4" xfId="10859" xr:uid="{7B742B51-E818-4C84-9D60-F461B34C1576}"/>
    <cellStyle name="Normal 2 5 2 6 4 2" xfId="21239" xr:uid="{D4838F46-E9C8-47DA-AFE6-6C25E5582D21}"/>
    <cellStyle name="Normal 2 5 2 6 5" xfId="22699" xr:uid="{35487D1D-41C9-45EC-8536-378C0F4EEFB4}"/>
    <cellStyle name="Normal 2 5 2 6 6" xfId="13424" xr:uid="{91921D68-67D7-4B68-94FD-1F4FA3148177}"/>
    <cellStyle name="Normal 2 5 2 7" xfId="2495" xr:uid="{00000000-0005-0000-0000-000080040000}"/>
    <cellStyle name="Normal 2 5 2 7 2" xfId="5778" xr:uid="{99C2BA53-1365-4EB4-AB06-F7F7498A9696}"/>
    <cellStyle name="Normal 2 5 2 7 2 2" xfId="26062" xr:uid="{3C304D84-09DF-4795-9F57-2880C2D1D8FA}"/>
    <cellStyle name="Normal 2 5 2 7 2 3" xfId="15167" xr:uid="{919C06B2-919F-49E0-A5F5-3D16976D0918}"/>
    <cellStyle name="Normal 2 5 2 7 3" xfId="7620" xr:uid="{EE146622-CF2C-47FA-B51E-37A16AAF08E8}"/>
    <cellStyle name="Normal 2 5 2 7 3 2" xfId="18000" xr:uid="{4750487A-B7D3-4B35-8742-0AB55BA36BFA}"/>
    <cellStyle name="Normal 2 5 2 7 4" xfId="10453" xr:uid="{666CCBBF-6F67-4FD1-8753-3BBEBC1E9EC4}"/>
    <cellStyle name="Normal 2 5 2 7 4 2" xfId="20833" xr:uid="{DC00A23E-136E-459B-B5FD-DB187E2FE1F8}"/>
    <cellStyle name="Normal 2 5 2 7 5" xfId="25036" xr:uid="{A0702F01-6B20-415F-98D1-8AB87128CE06}"/>
    <cellStyle name="Normal 2 5 2 7 6" xfId="12883" xr:uid="{43C74731-0EAF-437F-B70C-459112110876}"/>
    <cellStyle name="Normal 2 5 2 8" xfId="2189" xr:uid="{00000000-0005-0000-0000-000069040000}"/>
    <cellStyle name="Normal 2 5 2 8 2" xfId="7316" xr:uid="{76F9C6E1-98BB-4CD5-9663-E35BB481387B}"/>
    <cellStyle name="Normal 2 5 2 8 2 2" xfId="17696" xr:uid="{78F6CB6F-EF45-4BA8-8861-8C2770619ABB}"/>
    <cellStyle name="Normal 2 5 2 8 3" xfId="10149" xr:uid="{66AB0743-5217-4D1A-ACDB-6DB31C0DC1FE}"/>
    <cellStyle name="Normal 2 5 2 8 3 2" xfId="20529" xr:uid="{03EE2923-0E90-4239-BE48-7DB4A2874218}"/>
    <cellStyle name="Normal 2 5 2 8 4" xfId="22640" xr:uid="{1929FE0D-2A66-4D62-AD03-D14638CF9BC1}"/>
    <cellStyle name="Normal 2 5 2 8 5" xfId="14863" xr:uid="{AF8078E8-36A5-4D2A-9238-FE17E1C01874}"/>
    <cellStyle name="Normal 2 5 2 9" xfId="3944" xr:uid="{08C0ECA0-D38B-41F7-AAD3-FF6FD8BC8E27}"/>
    <cellStyle name="Normal 2 5 2 9 2" xfId="8776" xr:uid="{F443E9E3-BF33-46DC-8E48-C86F6F9F61B2}"/>
    <cellStyle name="Normal 2 5 2 9 2 2" xfId="19156" xr:uid="{DA98C03B-4C78-4F2B-9725-F2F70D48E311}"/>
    <cellStyle name="Normal 2 5 2 9 3" xfId="11609" xr:uid="{E395D239-6ADD-4534-9D49-6EEA98B8A25F}"/>
    <cellStyle name="Normal 2 5 2 9 3 2" xfId="21989" xr:uid="{B165DF3C-AB91-4A18-A236-17AE971F1CB4}"/>
    <cellStyle name="Normal 2 5 2 9 4" xfId="16323" xr:uid="{4815F7E9-B950-4B34-90DA-2E75FE8DB948}"/>
    <cellStyle name="Normal 2 5 3" xfId="794" xr:uid="{00000000-0005-0000-0000-0000C6040000}"/>
    <cellStyle name="Normal 2 5 3 10" xfId="5146" xr:uid="{B901A708-D7E7-411F-A167-479150D6CF2A}"/>
    <cellStyle name="Normal 2 5 3 10 2" xfId="14443" xr:uid="{0105A7C3-D629-467C-B6CF-C7BABA0C9123}"/>
    <cellStyle name="Normal 2 5 3 11" xfId="6896" xr:uid="{5BE858C3-0F6A-4DB6-AD8F-B07F86E6E3FD}"/>
    <cellStyle name="Normal 2 5 3 11 2" xfId="17276" xr:uid="{313C113C-5C9F-40CE-A47E-8390E2C182D4}"/>
    <cellStyle name="Normal 2 5 3 12" xfId="9729" xr:uid="{D01B6235-68CA-4951-94F9-623B5B813D32}"/>
    <cellStyle name="Normal 2 5 3 12 2" xfId="20109" xr:uid="{74E602F9-776A-4F97-ADAF-01E963B1E38E}"/>
    <cellStyle name="Normal 2 5 3 13" xfId="23119" xr:uid="{34070B2D-BA9C-4441-AD3D-F887D0876F3A}"/>
    <cellStyle name="Normal 2 5 3 14" xfId="12455" xr:uid="{31EE617D-D551-439D-A1A3-02848639B573}"/>
    <cellStyle name="Normal 2 5 3 2" xfId="795" xr:uid="{00000000-0005-0000-0000-0000C7040000}"/>
    <cellStyle name="Normal 2 5 3 2 10" xfId="9730" xr:uid="{A17B91C3-1F56-4A4D-AF3E-AC7567B499B9}"/>
    <cellStyle name="Normal 2 5 3 2 10 2" xfId="20110" xr:uid="{8D32B545-DD11-49E7-9C36-403AB34BACC2}"/>
    <cellStyle name="Normal 2 5 3 2 11" xfId="23348" xr:uid="{03FECB21-470C-4A29-B147-7F0CAAF93F1C}"/>
    <cellStyle name="Normal 2 5 3 2 12" xfId="12569" xr:uid="{0CC7BC41-9A3A-413B-BA31-66A3CBC60725}"/>
    <cellStyle name="Normal 2 5 3 2 2" xfId="796" xr:uid="{00000000-0005-0000-0000-0000C8040000}"/>
    <cellStyle name="Normal 2 5 3 2 2 2" xfId="3224" xr:uid="{00000000-0005-0000-0000-000084040000}"/>
    <cellStyle name="Normal 2 5 3 2 2 2 2" xfId="6282" xr:uid="{AE06F968-3F82-490F-AD4C-E515EAC7C341}"/>
    <cellStyle name="Normal 2 5 3 2 2 2 2 2" xfId="26767" xr:uid="{963993A2-0774-4C0A-B203-58A1F09FDA20}"/>
    <cellStyle name="Normal 2 5 3 2 2 2 2 3" xfId="26118" xr:uid="{382095A3-94FE-451A-9763-D22227E7BA23}"/>
    <cellStyle name="Normal 2 5 3 2 2 2 2 4" xfId="15851" xr:uid="{F29EC348-A204-49F9-9C0B-8A7935371C81}"/>
    <cellStyle name="Normal 2 5 3 2 2 2 3" xfId="8304" xr:uid="{E305045C-647C-4253-B434-20A78C68A955}"/>
    <cellStyle name="Normal 2 5 3 2 2 2 3 2" xfId="28887" xr:uid="{20061D78-E085-449C-9839-E4A15376BA84}"/>
    <cellStyle name="Normal 2 5 3 2 2 2 3 3" xfId="18684" xr:uid="{F0D2C55F-846C-4A52-A4AD-F035A82C4E1C}"/>
    <cellStyle name="Normal 2 5 3 2 2 2 4" xfId="11137" xr:uid="{E4CB2C56-B398-45F3-93A2-52F64E8B4FCD}"/>
    <cellStyle name="Normal 2 5 3 2 2 2 4 2" xfId="21517" xr:uid="{2DAB53EB-DE63-46E2-B876-ED521E9991D1}"/>
    <cellStyle name="Normal 2 5 3 2 2 2 5" xfId="25074" xr:uid="{FCDC08AB-856B-4995-8B0C-50A17A951D0B}"/>
    <cellStyle name="Normal 2 5 3 2 2 2 6" xfId="13767" xr:uid="{E4C19338-8437-4B6F-85D2-7915BF2A8C43}"/>
    <cellStyle name="Normal 2 5 3 2 2 3" xfId="4309" xr:uid="{33CF12BE-4E15-4766-966E-D53F693A0B27}"/>
    <cellStyle name="Normal 2 5 3 2 2 3 2" xfId="9081" xr:uid="{C23A6B08-EE5B-4BE4-95C9-3351C454EDAE}"/>
    <cellStyle name="Normal 2 5 3 2 2 3 2 2" xfId="29124" xr:uid="{3A7666C7-A758-457F-8359-865586FD1FF3}"/>
    <cellStyle name="Normal 2 5 3 2 2 3 2 3" xfId="19461" xr:uid="{2BD31331-0623-4781-940B-7F530BD394EB}"/>
    <cellStyle name="Normal 2 5 3 2 2 3 3" xfId="11914" xr:uid="{8E817C7C-DF18-4E16-90F9-1F79D4240CD2}"/>
    <cellStyle name="Normal 2 5 3 2 2 3 3 2" xfId="22294" xr:uid="{A644BADA-4A7E-4705-BCE0-EA0AB7E48073}"/>
    <cellStyle name="Normal 2 5 3 2 2 3 4" xfId="24974" xr:uid="{F0163A7A-099C-4C94-A83D-65AF42BF9F57}"/>
    <cellStyle name="Normal 2 5 3 2 2 3 5" xfId="16628" xr:uid="{49A5CFFB-A459-42F3-B5BE-D78081F8FE19}"/>
    <cellStyle name="Normal 2 5 3 2 2 4" xfId="5148" xr:uid="{7CAF6CA8-B2D7-4ECB-85F2-7B29C7DE4354}"/>
    <cellStyle name="Normal 2 5 3 2 2 4 2" xfId="26946" xr:uid="{98549FEC-8556-468E-8063-23A0CEDA2D5A}"/>
    <cellStyle name="Normal 2 5 3 2 2 4 3" xfId="14445" xr:uid="{D57A7FE4-0A42-4484-9FAF-9EB466F5E4AC}"/>
    <cellStyle name="Normal 2 5 3 2 2 5" xfId="6898" xr:uid="{61B74B72-EE99-4F1C-807F-27989FC8E96E}"/>
    <cellStyle name="Normal 2 5 3 2 2 5 2" xfId="17278" xr:uid="{E73A2E4F-DE00-443A-8D3B-7B4D3860D75A}"/>
    <cellStyle name="Normal 2 5 3 2 2 6" xfId="9731" xr:uid="{9768CB4E-2714-4103-8E6E-910ACBC0179F}"/>
    <cellStyle name="Normal 2 5 3 2 2 6 2" xfId="20111" xr:uid="{A5754DFA-E505-4F9F-90A1-15537FC8F736}"/>
    <cellStyle name="Normal 2 5 3 2 2 7" xfId="23824" xr:uid="{1173EBCD-5665-49E6-AD5C-B2304B17161D}"/>
    <cellStyle name="Normal 2 5 3 2 2 8" xfId="13183" xr:uid="{80A92B38-ED87-4C56-BADD-16D35D522DD5}"/>
    <cellStyle name="Normal 2 5 3 2 3" xfId="3225" xr:uid="{00000000-0005-0000-0000-000085040000}"/>
    <cellStyle name="Normal 2 5 3 2 3 2" xfId="4483" xr:uid="{F84F9602-F0AE-4DC7-951D-91646602D2D6}"/>
    <cellStyle name="Normal 2 5 3 2 3 2 2" xfId="9255" xr:uid="{1FC5633E-CCE7-43C7-B1F4-4E2766DB1D61}"/>
    <cellStyle name="Normal 2 5 3 2 3 2 2 2" xfId="29242" xr:uid="{75E8350C-2217-4421-B096-6919CE67F2BD}"/>
    <cellStyle name="Normal 2 5 3 2 3 2 2 3" xfId="19635" xr:uid="{91447355-DCF7-4612-82E6-E8E17892F62D}"/>
    <cellStyle name="Normal 2 5 3 2 3 2 3" xfId="12088" xr:uid="{2C0ECAF3-4B2A-42C9-A3FF-16A3C46C8632}"/>
    <cellStyle name="Normal 2 5 3 2 3 2 3 2" xfId="22468" xr:uid="{F6199A07-8DCE-4968-A554-A033795ABB04}"/>
    <cellStyle name="Normal 2 5 3 2 3 2 4" xfId="22824" xr:uid="{CC24F134-ED75-48E1-BAB9-646D79CDE47F}"/>
    <cellStyle name="Normal 2 5 3 2 3 2 5" xfId="16802" xr:uid="{0EA075A4-7FF1-4EA2-9CF8-6CD4F1B6190C}"/>
    <cellStyle name="Normal 2 5 3 2 3 3" xfId="6283" xr:uid="{88C70F18-104D-4686-AE35-9A30C0FC5F3D}"/>
    <cellStyle name="Normal 2 5 3 2 3 3 2" xfId="28644" xr:uid="{F7A23F4E-268A-44DC-B3F7-D0F11D7E5095}"/>
    <cellStyle name="Normal 2 5 3 2 3 3 3" xfId="15852" xr:uid="{3F0CE3FA-F544-4381-B5C8-629B153FCFB3}"/>
    <cellStyle name="Normal 2 5 3 2 3 4" xfId="8305" xr:uid="{4AB34DBE-B719-405E-B495-A072AFC84F6D}"/>
    <cellStyle name="Normal 2 5 3 2 3 4 2" xfId="18685" xr:uid="{B90C945C-9FE6-4044-9571-4E2F08A49A16}"/>
    <cellStyle name="Normal 2 5 3 2 3 5" xfId="11138" xr:uid="{6F74A375-9431-4E90-97C0-BF826892E75E}"/>
    <cellStyle name="Normal 2 5 3 2 3 5 2" xfId="21518" xr:uid="{D3ADF032-A154-427E-AA45-97FB78A2C7A7}"/>
    <cellStyle name="Normal 2 5 3 2 3 6" xfId="24289" xr:uid="{C41AD594-8344-40FC-9BAB-4F9F300DC813}"/>
    <cellStyle name="Normal 2 5 3 2 3 7" xfId="13768" xr:uid="{361459F8-1D19-4B25-A48A-253C871852DA}"/>
    <cellStyle name="Normal 2 5 3 2 4" xfId="3223" xr:uid="{00000000-0005-0000-0000-000086040000}"/>
    <cellStyle name="Normal 2 5 3 2 4 2" xfId="6281" xr:uid="{BECEE6F2-A32E-4134-BA46-9763589BE9F2}"/>
    <cellStyle name="Normal 2 5 3 2 4 2 2" xfId="28708" xr:uid="{308930B8-2630-49A9-8636-EFF6988358E2}"/>
    <cellStyle name="Normal 2 5 3 2 4 2 3" xfId="15850" xr:uid="{0291A228-6AF3-4CBE-ACFB-E6F988A6A73A}"/>
    <cellStyle name="Normal 2 5 3 2 4 3" xfId="8303" xr:uid="{D80F0271-FBD8-4581-B581-CCC4DEAB2087}"/>
    <cellStyle name="Normal 2 5 3 2 4 3 2" xfId="18683" xr:uid="{9A2F5522-6710-48DA-93DF-AB57C204EE03}"/>
    <cellStyle name="Normal 2 5 3 2 4 4" xfId="11136" xr:uid="{66F5DD36-C143-4AFD-849D-8A1F27B73A18}"/>
    <cellStyle name="Normal 2 5 3 2 4 4 2" xfId="21516" xr:uid="{11A4F742-1E4F-443A-B812-6848ECD0CE9D}"/>
    <cellStyle name="Normal 2 5 3 2 4 5" xfId="24537" xr:uid="{26D90045-E0DA-4C17-A2DE-D05875D7DD77}"/>
    <cellStyle name="Normal 2 5 3 2 4 6" xfId="13766" xr:uid="{98C3BC26-DF6F-4124-B423-9B4CF26C537F}"/>
    <cellStyle name="Normal 2 5 3 2 5" xfId="2529" xr:uid="{00000000-0005-0000-0000-000087040000}"/>
    <cellStyle name="Normal 2 5 3 2 5 2" xfId="5805" xr:uid="{55D655E9-1F84-43FE-9320-62BF5B1C22F6}"/>
    <cellStyle name="Normal 2 5 3 2 5 2 2" xfId="26177" xr:uid="{50A77953-1BD7-4337-84BF-5813ED2F0752}"/>
    <cellStyle name="Normal 2 5 3 2 5 2 3" xfId="15201" xr:uid="{D22DC361-ACE5-49EE-B767-6EDC2400BE2C}"/>
    <cellStyle name="Normal 2 5 3 2 5 3" xfId="7654" xr:uid="{816ADA4C-2F33-426F-A37D-37AC2E6755CF}"/>
    <cellStyle name="Normal 2 5 3 2 5 3 2" xfId="18034" xr:uid="{D4504AA2-E25B-4DDE-BF21-0B20F0EB7EC1}"/>
    <cellStyle name="Normal 2 5 3 2 5 4" xfId="10487" xr:uid="{67D4F33F-8D42-447C-8A88-E27F61469A3C}"/>
    <cellStyle name="Normal 2 5 3 2 5 4 2" xfId="20867" xr:uid="{D91E4D89-AFFC-4684-9FD4-E8CA9AE82100}"/>
    <cellStyle name="Normal 2 5 3 2 5 5" xfId="23162" xr:uid="{E913EA84-6AD1-41E2-A6F2-988DCA44C904}"/>
    <cellStyle name="Normal 2 5 3 2 5 6" xfId="12917" xr:uid="{EBEFE572-9B04-49F8-9FA4-0183C7B8D7B7}"/>
    <cellStyle name="Normal 2 5 3 2 6" xfId="2335" xr:uid="{00000000-0005-0000-0000-000082040000}"/>
    <cellStyle name="Normal 2 5 3 2 6 2" xfId="7462" xr:uid="{8B280B00-8611-4835-8C2E-276957C20C28}"/>
    <cellStyle name="Normal 2 5 3 2 6 2 2" xfId="17842" xr:uid="{BF30448F-133B-415C-8778-53B63BAE02CB}"/>
    <cellStyle name="Normal 2 5 3 2 6 3" xfId="10295" xr:uid="{1992D4DC-B5AC-442B-A473-26CECB6553B9}"/>
    <cellStyle name="Normal 2 5 3 2 6 3 2" xfId="20675" xr:uid="{E0B28474-8A8E-4DD0-8EB0-A817622FB2F0}"/>
    <cellStyle name="Normal 2 5 3 2 6 4" xfId="25589" xr:uid="{68796DDE-58EE-4733-89EA-044952437EFA}"/>
    <cellStyle name="Normal 2 5 3 2 6 5" xfId="15009" xr:uid="{E209A7A4-6938-4DFD-A8BB-6B2ADF3713F4}"/>
    <cellStyle name="Normal 2 5 3 2 7" xfId="3850" xr:uid="{68EF5F68-1856-41ED-95F2-A0A18534450F}"/>
    <cellStyle name="Normal 2 5 3 2 7 2" xfId="8683" xr:uid="{6468FD96-C1EC-4926-9F24-4FB5A8D3D5E1}"/>
    <cellStyle name="Normal 2 5 3 2 7 2 2" xfId="19063" xr:uid="{E77C4959-A932-418D-B36C-E48F813800E6}"/>
    <cellStyle name="Normal 2 5 3 2 7 3" xfId="11516" xr:uid="{DB5AA5FF-FE6A-4E50-A827-E675B7C4F86F}"/>
    <cellStyle name="Normal 2 5 3 2 7 3 2" xfId="21896" xr:uid="{790401EC-BDE4-4FF2-ADB2-C7F7D34CF1E5}"/>
    <cellStyle name="Normal 2 5 3 2 7 4" xfId="16230" xr:uid="{B5229A24-93F2-4693-851B-06CC506A0C55}"/>
    <cellStyle name="Normal 2 5 3 2 8" xfId="5147" xr:uid="{71DFB732-21F4-419B-9955-A0214C926B6F}"/>
    <cellStyle name="Normal 2 5 3 2 8 2" xfId="14444" xr:uid="{8F70C548-A3C3-44C7-81EA-CBE29DAAE6C3}"/>
    <cellStyle name="Normal 2 5 3 2 9" xfId="6897" xr:uid="{A26A1334-8781-4C7F-832A-3113608D2B6B}"/>
    <cellStyle name="Normal 2 5 3 2 9 2" xfId="17277" xr:uid="{2F1103A3-D415-4772-9783-7DF3E96E5209}"/>
    <cellStyle name="Normal 2 5 3 3" xfId="797" xr:uid="{00000000-0005-0000-0000-0000C9040000}"/>
    <cellStyle name="Normal 2 5 3 3 10" xfId="23044" xr:uid="{031C11DD-FCFB-47AB-BA52-672EED5BF159}"/>
    <cellStyle name="Normal 2 5 3 3 11" xfId="12727" xr:uid="{959C6AC3-1A67-4C63-924F-C3073593B867}"/>
    <cellStyle name="Normal 2 5 3 3 2" xfId="2744" xr:uid="{00000000-0005-0000-0000-000089040000}"/>
    <cellStyle name="Normal 2 5 3 3 2 2" xfId="3227" xr:uid="{00000000-0005-0000-0000-00008A040000}"/>
    <cellStyle name="Normal 2 5 3 3 2 2 2" xfId="6285" xr:uid="{25804369-44D9-459B-AAF0-86CD4FE0C9F3}"/>
    <cellStyle name="Normal 2 5 3 3 2 2 2 2" xfId="28326" xr:uid="{13FB1E69-19B8-4F39-9B11-E56FDBFFE513}"/>
    <cellStyle name="Normal 2 5 3 3 2 2 2 3" xfId="15854" xr:uid="{CC4942FC-D8CD-4C14-A7DC-2C9F5FF6D062}"/>
    <cellStyle name="Normal 2 5 3 3 2 2 3" xfId="8307" xr:uid="{E1C95000-BFF6-4817-896D-FF8602CB33AA}"/>
    <cellStyle name="Normal 2 5 3 3 2 2 3 2" xfId="18687" xr:uid="{328EACC2-91C4-43B4-B8B1-A5B08CCE66FD}"/>
    <cellStyle name="Normal 2 5 3 3 2 2 4" xfId="11140" xr:uid="{C200ADDC-0253-4A5C-9380-03155673285D}"/>
    <cellStyle name="Normal 2 5 3 3 2 2 4 2" xfId="21520" xr:uid="{132883E7-FD5A-400D-A783-82E777FBEF89}"/>
    <cellStyle name="Normal 2 5 3 3 2 2 5" xfId="22932" xr:uid="{FD21EA28-58D8-4640-BCD8-436C2B747B36}"/>
    <cellStyle name="Normal 2 5 3 3 2 2 6" xfId="13770" xr:uid="{17D29EFB-3707-404C-85EF-176B86D713D6}"/>
    <cellStyle name="Normal 2 5 3 3 2 3" xfId="4310" xr:uid="{1107B74B-FE16-45DD-897B-F3FED8FBA035}"/>
    <cellStyle name="Normal 2 5 3 3 2 3 2" xfId="9082" xr:uid="{9A2F5A9A-DBFE-43CB-B7F4-1B81C1AC1F57}"/>
    <cellStyle name="Normal 2 5 3 3 2 3 2 2" xfId="29125" xr:uid="{C18B8F15-42E5-4CD1-B362-08EB4981DFEC}"/>
    <cellStyle name="Normal 2 5 3 3 2 3 2 3" xfId="19462" xr:uid="{9DA8E725-F94A-4428-B5C6-AF45C02AA7BE}"/>
    <cellStyle name="Normal 2 5 3 3 2 3 3" xfId="11915" xr:uid="{543B574E-E8BD-4E81-97A3-8F4AB0D957C5}"/>
    <cellStyle name="Normal 2 5 3 3 2 3 3 2" xfId="22295" xr:uid="{63B6EB05-9EB6-4DDA-92D3-E5C84ABB373C}"/>
    <cellStyle name="Normal 2 5 3 3 2 3 4" xfId="23578" xr:uid="{B183ABB5-AEAC-4324-B67A-883A055856E7}"/>
    <cellStyle name="Normal 2 5 3 3 2 3 5" xfId="16629" xr:uid="{AFF0AFBE-A036-4A2F-B7EC-418A4D0FA1E1}"/>
    <cellStyle name="Normal 2 5 3 3 2 4" xfId="5962" xr:uid="{7ABC2878-0CFB-4341-823C-590E345E96EA}"/>
    <cellStyle name="Normal 2 5 3 3 2 4 2" xfId="28132" xr:uid="{143786A4-9DA3-443C-89EF-AD66CA6AEBA1}"/>
    <cellStyle name="Normal 2 5 3 3 2 4 3" xfId="15415" xr:uid="{355A02C9-1378-4F95-9738-7D3BF406B401}"/>
    <cellStyle name="Normal 2 5 3 3 2 5" xfId="7868" xr:uid="{035FE164-C485-4BB7-9E30-1ED086CED099}"/>
    <cellStyle name="Normal 2 5 3 3 2 5 2" xfId="18248" xr:uid="{CEF946DA-5181-44CA-A469-BDDE98BFD9CD}"/>
    <cellStyle name="Normal 2 5 3 3 2 6" xfId="10701" xr:uid="{4DF713A1-28E6-4743-8E80-6C8DE2DFE72B}"/>
    <cellStyle name="Normal 2 5 3 3 2 6 2" xfId="21081" xr:uid="{57BA23C6-7D59-4F2B-9E49-34433176D4A4}"/>
    <cellStyle name="Normal 2 5 3 3 2 7" xfId="25225" xr:uid="{99AA99E4-312F-4C28-B193-CBEADDBB85D0}"/>
    <cellStyle name="Normal 2 5 3 3 2 8" xfId="13184" xr:uid="{3EA2A6FB-FCFB-4DCB-AA36-A0B7FFC6C9D6}"/>
    <cellStyle name="Normal 2 5 3 3 3" xfId="3228" xr:uid="{00000000-0005-0000-0000-00008B040000}"/>
    <cellStyle name="Normal 2 5 3 3 3 2" xfId="4484" xr:uid="{951FAC34-D5FB-48AC-B36C-45BCE8EFE642}"/>
    <cellStyle name="Normal 2 5 3 3 3 2 2" xfId="9256" xr:uid="{545DCAC0-08C9-4B07-BBF3-506B166FD2F6}"/>
    <cellStyle name="Normal 2 5 3 3 3 2 2 2" xfId="29243" xr:uid="{EF85B97C-056C-4973-A746-58F159A92BF8}"/>
    <cellStyle name="Normal 2 5 3 3 3 2 2 3" xfId="19636" xr:uid="{4B0A08D7-8B3A-4832-B9C7-BA2320660323}"/>
    <cellStyle name="Normal 2 5 3 3 3 2 3" xfId="12089" xr:uid="{408152FC-D79D-445C-8162-5DA9B3B886FA}"/>
    <cellStyle name="Normal 2 5 3 3 3 2 3 2" xfId="22469" xr:uid="{88B369D0-AC3C-442D-A3E2-DF14A0BE12CB}"/>
    <cellStyle name="Normal 2 5 3 3 3 2 4" xfId="25590" xr:uid="{7B11F276-EFB1-4CE5-AAAF-C81351D04808}"/>
    <cellStyle name="Normal 2 5 3 3 3 2 5" xfId="16803" xr:uid="{ED702B6E-C0C9-4D8B-9646-FCD99BC5123F}"/>
    <cellStyle name="Normal 2 5 3 3 3 3" xfId="6286" xr:uid="{49E23FAE-86D7-4637-91B5-D4535F3EEE3C}"/>
    <cellStyle name="Normal 2 5 3 3 3 3 2" xfId="25888" xr:uid="{985224D8-D2DF-4B30-BBC4-0C734A65E8E8}"/>
    <cellStyle name="Normal 2 5 3 3 3 3 3" xfId="15855" xr:uid="{86784FBA-6E6F-4752-B168-C9D11180137E}"/>
    <cellStyle name="Normal 2 5 3 3 3 4" xfId="8308" xr:uid="{A33E524C-83A4-40D8-82B9-596C924968C8}"/>
    <cellStyle name="Normal 2 5 3 3 3 4 2" xfId="18688" xr:uid="{6CD46AB8-ED21-465B-BC4C-415C8155090A}"/>
    <cellStyle name="Normal 2 5 3 3 3 5" xfId="11141" xr:uid="{864771EB-E8B7-4442-AE35-32F1E104751C}"/>
    <cellStyle name="Normal 2 5 3 3 3 5 2" xfId="21521" xr:uid="{790328D7-A0B3-499C-A593-89CAAC845012}"/>
    <cellStyle name="Normal 2 5 3 3 3 6" xfId="23128" xr:uid="{1C7FF4AA-F112-4817-AFA7-337311AE8D92}"/>
    <cellStyle name="Normal 2 5 3 3 3 7" xfId="13771" xr:uid="{6D3BB943-701D-4A19-A4C9-AC850DE15A54}"/>
    <cellStyle name="Normal 2 5 3 3 4" xfId="3226" xr:uid="{00000000-0005-0000-0000-00008C040000}"/>
    <cellStyle name="Normal 2 5 3 3 4 2" xfId="6284" xr:uid="{0C3BD62F-F8AC-44D4-B5FF-7BFACC6D07D5}"/>
    <cellStyle name="Normal 2 5 3 3 4 2 2" xfId="26474" xr:uid="{8CD69CCA-B0FD-4E9A-8CEB-542155F751F2}"/>
    <cellStyle name="Normal 2 5 3 3 4 2 3" xfId="15853" xr:uid="{F2D39404-8D23-4B87-A925-2E52341FF785}"/>
    <cellStyle name="Normal 2 5 3 3 4 3" xfId="8306" xr:uid="{9527BE1E-DE74-4998-8553-7E5E26C1EFA2}"/>
    <cellStyle name="Normal 2 5 3 3 4 3 2" xfId="18686" xr:uid="{8647DFEC-5795-4E25-89C9-3F75FA989953}"/>
    <cellStyle name="Normal 2 5 3 3 4 4" xfId="11139" xr:uid="{BF522B7D-4624-4E56-92C8-332BB22C2467}"/>
    <cellStyle name="Normal 2 5 3 3 4 4 2" xfId="21519" xr:uid="{AD49A652-9991-4344-BEAB-0B78CFBD538D}"/>
    <cellStyle name="Normal 2 5 3 3 4 5" xfId="25369" xr:uid="{1A593429-A8C9-479E-AE78-CA9217A38F3D}"/>
    <cellStyle name="Normal 2 5 3 3 4 6" xfId="13769" xr:uid="{AC368816-52E5-4934-81B9-98172E0CCDC2}"/>
    <cellStyle name="Normal 2 5 3 3 5" xfId="2632" xr:uid="{00000000-0005-0000-0000-00008D040000}"/>
    <cellStyle name="Normal 2 5 3 3 5 2" xfId="5894" xr:uid="{E2E090D2-3735-478B-9685-CCDCF79CED39}"/>
    <cellStyle name="Normal 2 5 3 3 5 2 2" xfId="27104" xr:uid="{333B7E22-A868-4CDD-A946-650B7FE6FE6C}"/>
    <cellStyle name="Normal 2 5 3 3 5 2 3" xfId="15304" xr:uid="{3BD07DCA-A157-45A3-9D9D-4CE33245103F}"/>
    <cellStyle name="Normal 2 5 3 3 5 3" xfId="7757" xr:uid="{44037371-D29E-4521-A158-ED7938454E68}"/>
    <cellStyle name="Normal 2 5 3 3 5 3 2" xfId="18137" xr:uid="{7B599C7F-7535-42B4-89BD-95E9A2D3F07C}"/>
    <cellStyle name="Normal 2 5 3 3 5 4" xfId="10590" xr:uid="{E91E3381-5744-4EBC-9023-F0BB8787BB8D}"/>
    <cellStyle name="Normal 2 5 3 3 5 4 2" xfId="20970" xr:uid="{7903732C-1E4A-4DC7-B982-0AEDE4E5D11B}"/>
    <cellStyle name="Normal 2 5 3 3 5 5" xfId="23999" xr:uid="{4039D8F0-F054-40B7-A0E4-A4EEF489507E}"/>
    <cellStyle name="Normal 2 5 3 3 5 6" xfId="13020" xr:uid="{319D4F10-0955-4B1D-89ED-2AA232155015}"/>
    <cellStyle name="Normal 2 5 3 3 6" xfId="4169" xr:uid="{35C1B1DB-A382-4B39-99E3-95C074285C85}"/>
    <cellStyle name="Normal 2 5 3 3 6 2" xfId="8941" xr:uid="{197E43BB-D3CA-4368-8652-4F2402FD33CF}"/>
    <cellStyle name="Normal 2 5 3 3 6 2 2" xfId="19321" xr:uid="{C20EE58D-61B1-4AC0-9ECC-59C8ABA034D1}"/>
    <cellStyle name="Normal 2 5 3 3 6 3" xfId="11774" xr:uid="{6912843E-C807-46F5-A8E0-BFBD90824D89}"/>
    <cellStyle name="Normal 2 5 3 3 6 3 2" xfId="22154" xr:uid="{F9645213-A636-4326-A20E-01F43408CF55}"/>
    <cellStyle name="Normal 2 5 3 3 6 4" xfId="23254" xr:uid="{BFC4F051-9596-4F76-8BB4-0E786E3321A9}"/>
    <cellStyle name="Normal 2 5 3 3 6 5" xfId="16488" xr:uid="{FC561C2F-9FA6-44E0-9C95-BE24AEDE5EFF}"/>
    <cellStyle name="Normal 2 5 3 3 7" xfId="5149" xr:uid="{4D4DAB8C-6541-4D40-B66B-25E93FFC5312}"/>
    <cellStyle name="Normal 2 5 3 3 7 2" xfId="14446" xr:uid="{247654F7-094F-4AFD-A419-E1CB39ADDB4F}"/>
    <cellStyle name="Normal 2 5 3 3 8" xfId="6899" xr:uid="{59698C3A-0669-4F1E-A984-FF5FCC3E5BB2}"/>
    <cellStyle name="Normal 2 5 3 3 8 2" xfId="17279" xr:uid="{764DED76-B7F8-4062-9FCB-E9395AA4FBDE}"/>
    <cellStyle name="Normal 2 5 3 3 9" xfId="9732" xr:uid="{DDC34514-64B4-4F84-98A4-2EFE22B6C6E5}"/>
    <cellStyle name="Normal 2 5 3 3 9 2" xfId="20112" xr:uid="{F025BD27-34F3-48F0-B228-4A8C03A77A11}"/>
    <cellStyle name="Normal 2 5 3 4" xfId="798" xr:uid="{00000000-0005-0000-0000-0000CA040000}"/>
    <cellStyle name="Normal 2 5 3 4 2" xfId="3229" xr:uid="{00000000-0005-0000-0000-00008F040000}"/>
    <cellStyle name="Normal 2 5 3 4 2 2" xfId="6287" xr:uid="{939D3226-FF87-4B90-8B78-7DCCABB05372}"/>
    <cellStyle name="Normal 2 5 3 4 2 2 2" xfId="28352" xr:uid="{BDDB8FB3-B852-4AC3-909E-8381C8EE5F07}"/>
    <cellStyle name="Normal 2 5 3 4 2 2 3" xfId="15856" xr:uid="{67F8E193-0006-4149-A486-5372E80E5353}"/>
    <cellStyle name="Normal 2 5 3 4 2 3" xfId="8309" xr:uid="{97661A0C-02BE-4843-B20A-0599541327DA}"/>
    <cellStyle name="Normal 2 5 3 4 2 3 2" xfId="18689" xr:uid="{E3B21853-34F4-4D63-B8A5-6F26848BF5E6}"/>
    <cellStyle name="Normal 2 5 3 4 2 4" xfId="11142" xr:uid="{20CEBD95-A24D-4833-AA7C-61ABA764AF01}"/>
    <cellStyle name="Normal 2 5 3 4 2 4 2" xfId="21522" xr:uid="{EE6BB99F-8026-4268-A515-EB4C8CF86425}"/>
    <cellStyle name="Normal 2 5 3 4 2 5" xfId="22749" xr:uid="{21AC6561-6D20-4301-9BD5-28C92FA245FB}"/>
    <cellStyle name="Normal 2 5 3 4 2 6" xfId="13772" xr:uid="{09592D99-3FF8-4948-8C83-7C4357ADCF7D}"/>
    <cellStyle name="Normal 2 5 3 4 3" xfId="4308" xr:uid="{8785D825-AD3B-422C-B285-0ED6DFADF3AA}"/>
    <cellStyle name="Normal 2 5 3 4 3 2" xfId="9080" xr:uid="{1AEF477D-B7CC-4B72-839F-C3FEFE9A4BAD}"/>
    <cellStyle name="Normal 2 5 3 4 3 2 2" xfId="29123" xr:uid="{7D56A3C7-B510-4AF6-A7C9-2AFE343805E0}"/>
    <cellStyle name="Normal 2 5 3 4 3 2 3" xfId="19460" xr:uid="{68CC6781-067F-410D-9D7C-53706A48857F}"/>
    <cellStyle name="Normal 2 5 3 4 3 3" xfId="11913" xr:uid="{48D8519C-8B33-4196-A3C8-2457043A9426}"/>
    <cellStyle name="Normal 2 5 3 4 3 3 2" xfId="22293" xr:uid="{BEFA8E93-EC49-4FFB-B041-79172E4D6AF5}"/>
    <cellStyle name="Normal 2 5 3 4 3 4" xfId="23299" xr:uid="{36DA8047-9FFD-408A-BD6B-41D321FDAFDA}"/>
    <cellStyle name="Normal 2 5 3 4 3 5" xfId="16627" xr:uid="{2B3C2E63-D44C-493B-B335-CDDA83344D56}"/>
    <cellStyle name="Normal 2 5 3 4 4" xfId="5150" xr:uid="{1EBB81B8-9642-443C-94EC-CAA1770A8AEE}"/>
    <cellStyle name="Normal 2 5 3 4 4 2" xfId="27533" xr:uid="{DCB1CF7B-C50A-41FA-BA0E-FF1F7397F6F1}"/>
    <cellStyle name="Normal 2 5 3 4 4 3" xfId="14447" xr:uid="{6BD61CC2-EDD3-4400-959C-EFD03CC473F5}"/>
    <cellStyle name="Normal 2 5 3 4 5" xfId="6900" xr:uid="{119BD438-A9F8-4395-8923-C1F3953BFF58}"/>
    <cellStyle name="Normal 2 5 3 4 5 2" xfId="17280" xr:uid="{17D9B5A9-2EA1-48FA-8482-A29367EFE490}"/>
    <cellStyle name="Normal 2 5 3 4 6" xfId="9733" xr:uid="{A2428498-4586-460F-8F4A-BCF95294D36C}"/>
    <cellStyle name="Normal 2 5 3 4 6 2" xfId="20113" xr:uid="{3B2726D7-2DEB-4F18-9DB3-4E9F9D6183D9}"/>
    <cellStyle name="Normal 2 5 3 4 7" xfId="22890" xr:uid="{75F175D2-DA8D-44A4-B513-2FF835520016}"/>
    <cellStyle name="Normal 2 5 3 4 8" xfId="13182" xr:uid="{9C962EB9-99D8-44F6-AF18-7961AAE03E43}"/>
    <cellStyle name="Normal 2 5 3 5" xfId="3230" xr:uid="{00000000-0005-0000-0000-000090040000}"/>
    <cellStyle name="Normal 2 5 3 5 2" xfId="4485" xr:uid="{0BEB3A3D-C3D5-4EF2-8C83-3DFDED1B22B5}"/>
    <cellStyle name="Normal 2 5 3 5 2 2" xfId="9257" xr:uid="{2334310F-F348-438D-9405-FA364CD2B800}"/>
    <cellStyle name="Normal 2 5 3 5 2 2 2" xfId="29244" xr:uid="{6449A4A3-0FAB-4007-B0A2-B93EB0EB0140}"/>
    <cellStyle name="Normal 2 5 3 5 2 2 3" xfId="19637" xr:uid="{81B52144-2BFB-48B6-8A11-7CE4262E25DB}"/>
    <cellStyle name="Normal 2 5 3 5 2 3" xfId="12090" xr:uid="{A11F0EBF-9EB0-432B-A975-C574975B3A88}"/>
    <cellStyle name="Normal 2 5 3 5 2 3 2" xfId="22470" xr:uid="{791D0D36-F9CD-407E-8DCB-DB6164200372}"/>
    <cellStyle name="Normal 2 5 3 5 2 4" xfId="25075" xr:uid="{4A45569A-ABAA-4AA9-86E4-7D83925BB77D}"/>
    <cellStyle name="Normal 2 5 3 5 2 5" xfId="16804" xr:uid="{159A6CA8-3B65-4566-BDE1-8560AA86B86A}"/>
    <cellStyle name="Normal 2 5 3 5 3" xfId="6288" xr:uid="{1E0D802E-7B4A-4613-998F-F3E8DC8B81D2}"/>
    <cellStyle name="Normal 2 5 3 5 3 2" xfId="26826" xr:uid="{2E287158-7645-4617-8F5E-3637269961B0}"/>
    <cellStyle name="Normal 2 5 3 5 3 3" xfId="15857" xr:uid="{97635189-8BE7-436A-9583-42A16340DD0C}"/>
    <cellStyle name="Normal 2 5 3 5 4" xfId="8310" xr:uid="{A6997152-AC19-4A7E-A648-37891E593E8D}"/>
    <cellStyle name="Normal 2 5 3 5 4 2" xfId="18690" xr:uid="{30137378-1DE8-4737-B755-36460CF52729}"/>
    <cellStyle name="Normal 2 5 3 5 5" xfId="11143" xr:uid="{5A8FDB6A-5572-465A-8380-F41460F1A1DD}"/>
    <cellStyle name="Normal 2 5 3 5 5 2" xfId="21523" xr:uid="{70535393-DBC4-4BFC-9C91-EB6899198642}"/>
    <cellStyle name="Normal 2 5 3 5 6" xfId="23840" xr:uid="{49743946-3652-472F-9C52-EEEE5544C403}"/>
    <cellStyle name="Normal 2 5 3 5 7" xfId="13773" xr:uid="{D2F7F6C9-BFCC-4D3B-8892-9645E9B61F3C}"/>
    <cellStyle name="Normal 2 5 3 6" xfId="2910" xr:uid="{00000000-0005-0000-0000-000091040000}"/>
    <cellStyle name="Normal 2 5 3 6 2" xfId="6096" xr:uid="{B73878D2-5259-4990-81CF-080BA4EF1E5D}"/>
    <cellStyle name="Normal 2 5 3 6 2 2" xfId="28699" xr:uid="{EEF64A54-E212-4C60-BD41-D668E418A9DB}"/>
    <cellStyle name="Normal 2 5 3 6 2 3" xfId="15574" xr:uid="{0CB61A38-7EF3-43D6-948B-ECC541C781F9}"/>
    <cellStyle name="Normal 2 5 3 6 3" xfId="8027" xr:uid="{CE48BB44-792E-4F21-902E-4BB97AEF7655}"/>
    <cellStyle name="Normal 2 5 3 6 3 2" xfId="18407" xr:uid="{B62B2F41-6AB8-4DD0-AA31-E28A19E9F9D8}"/>
    <cellStyle name="Normal 2 5 3 6 4" xfId="10860" xr:uid="{C24DB934-6084-4D07-9EF6-4CE5B68AFF5C}"/>
    <cellStyle name="Normal 2 5 3 6 4 2" xfId="21240" xr:uid="{D38D8EEE-5F99-45F1-B30F-54336C143397}"/>
    <cellStyle name="Normal 2 5 3 6 5" xfId="25236" xr:uid="{A43D021D-1A55-47BA-A9F1-5348C5A3DDE9}"/>
    <cellStyle name="Normal 2 5 3 6 6" xfId="13425" xr:uid="{C1A7CE82-9259-47E3-BDAE-73A09C85EBF4}"/>
    <cellStyle name="Normal 2 5 3 7" xfId="2469" xr:uid="{00000000-0005-0000-0000-000092040000}"/>
    <cellStyle name="Normal 2 5 3 7 2" xfId="5759" xr:uid="{B168AF0A-31FE-458F-BE87-E8C90E776266}"/>
    <cellStyle name="Normal 2 5 3 7 2 2" xfId="28482" xr:uid="{F70FBECB-9D83-407D-84C4-17ADF63D7726}"/>
    <cellStyle name="Normal 2 5 3 7 2 3" xfId="15141" xr:uid="{6FE660AB-0937-442F-801C-F3C087699BEE}"/>
    <cellStyle name="Normal 2 5 3 7 3" xfId="7594" xr:uid="{58A42B35-60C8-41F2-AB70-65F4EF71C1DB}"/>
    <cellStyle name="Normal 2 5 3 7 3 2" xfId="17974" xr:uid="{DE52DCE9-40C2-452D-8456-5FF6AE9695A2}"/>
    <cellStyle name="Normal 2 5 3 7 4" xfId="10427" xr:uid="{910D1454-1412-4868-8BB6-9C605C88F5FF}"/>
    <cellStyle name="Normal 2 5 3 7 4 2" xfId="20807" xr:uid="{432812E6-7CDF-4C1E-BE4E-1CA4F7330669}"/>
    <cellStyle name="Normal 2 5 3 7 5" xfId="24121" xr:uid="{5C2766B1-ADA5-410F-A742-1CD7F4FC1B84}"/>
    <cellStyle name="Normal 2 5 3 7 6" xfId="12857" xr:uid="{7BA044FC-A76D-402C-8E1A-800974FD98C4}"/>
    <cellStyle name="Normal 2 5 3 8" xfId="2223" xr:uid="{00000000-0005-0000-0000-000081040000}"/>
    <cellStyle name="Normal 2 5 3 8 2" xfId="7350" xr:uid="{D2E4E38C-8D19-4275-8CE0-B7119B823696}"/>
    <cellStyle name="Normal 2 5 3 8 2 2" xfId="17730" xr:uid="{70C14F63-2795-48D7-A7DB-4101B9D794A7}"/>
    <cellStyle name="Normal 2 5 3 8 3" xfId="10183" xr:uid="{2F070E58-C7D0-4A47-8D76-D4BA544C705D}"/>
    <cellStyle name="Normal 2 5 3 8 3 2" xfId="20563" xr:uid="{AD63F703-5A02-4C99-8AFF-7D536F35CDF4}"/>
    <cellStyle name="Normal 2 5 3 8 4" xfId="24188" xr:uid="{0FB55210-A2F4-4E4D-A13B-45A04BF0A794}"/>
    <cellStyle name="Normal 2 5 3 8 5" xfId="14897" xr:uid="{C54113B0-249C-46BC-B11D-F443BD6799E6}"/>
    <cellStyle name="Normal 2 5 3 9" xfId="3945" xr:uid="{C0CC3FD7-CAC4-47BD-B3E9-E4DC609FB2A0}"/>
    <cellStyle name="Normal 2 5 3 9 2" xfId="8777" xr:uid="{0FA45915-D319-4183-BC2E-0054D365287E}"/>
    <cellStyle name="Normal 2 5 3 9 2 2" xfId="19157" xr:uid="{40D9AE69-1328-49C7-B694-85C243E1431D}"/>
    <cellStyle name="Normal 2 5 3 9 3" xfId="11610" xr:uid="{92587BA5-D326-4636-B8B0-18FE1AF758F5}"/>
    <cellStyle name="Normal 2 5 3 9 3 2" xfId="21990" xr:uid="{28E55DE2-C0C0-4102-854E-8884C587AD00}"/>
    <cellStyle name="Normal 2 5 3 9 4" xfId="16324" xr:uid="{93415755-5E1E-453E-9415-6BDBF66ECB00}"/>
    <cellStyle name="Normal 2 5 4" xfId="799" xr:uid="{00000000-0005-0000-0000-0000CB040000}"/>
    <cellStyle name="Normal 2 5 4 10" xfId="6901" xr:uid="{CB047E49-D53E-46AE-A873-27ABC9EECBD9}"/>
    <cellStyle name="Normal 2 5 4 10 2" xfId="17281" xr:uid="{B519EA17-B023-4DF0-876F-5671CF66B8AC}"/>
    <cellStyle name="Normal 2 5 4 11" xfId="9734" xr:uid="{9BB6EF12-CDE5-4744-8831-F0761B12D963}"/>
    <cellStyle name="Normal 2 5 4 11 2" xfId="20114" xr:uid="{170C48B2-6AEB-488F-BA8F-E698B6827046}"/>
    <cellStyle name="Normal 2 5 4 12" xfId="24915" xr:uid="{5B9F2A8E-0104-4D27-A837-7C63A45FF2A2}"/>
    <cellStyle name="Normal 2 5 4 13" xfId="12438" xr:uid="{F32A1A22-7BBF-4368-843F-7792A7197D73}"/>
    <cellStyle name="Normal 2 5 4 2" xfId="800" xr:uid="{00000000-0005-0000-0000-0000CC040000}"/>
    <cellStyle name="Normal 2 5 4 2 10" xfId="9735" xr:uid="{EB95C9A1-1894-4AD2-A17A-AC8E7ADD68F2}"/>
    <cellStyle name="Normal 2 5 4 2 10 2" xfId="20115" xr:uid="{2A98D9B5-85DE-413A-BB07-64EB77C01AF5}"/>
    <cellStyle name="Normal 2 5 4 2 11" xfId="23464" xr:uid="{27BC0A7A-B2F6-4886-A2DF-E73BCA1ECB62}"/>
    <cellStyle name="Normal 2 5 4 2 12" xfId="12570" xr:uid="{1CBDEFBE-2FCD-4FCB-A936-03F1F88C37C1}"/>
    <cellStyle name="Normal 2 5 4 2 2" xfId="801" xr:uid="{00000000-0005-0000-0000-0000CD040000}"/>
    <cellStyle name="Normal 2 5 4 2 2 2" xfId="3232" xr:uid="{00000000-0005-0000-0000-000096040000}"/>
    <cellStyle name="Normal 2 5 4 2 2 2 2" xfId="6290" xr:uid="{8892750F-7025-4C9C-96FB-CD8CFED5DCC5}"/>
    <cellStyle name="Normal 2 5 4 2 2 2 2 2" xfId="25963" xr:uid="{94FE1B15-B6FD-4918-B240-16B296DF0B2E}"/>
    <cellStyle name="Normal 2 5 4 2 2 2 2 3" xfId="26645" xr:uid="{7860B85E-A5C5-4E53-A052-92B8E69EEA39}"/>
    <cellStyle name="Normal 2 5 4 2 2 2 2 4" xfId="15859" xr:uid="{4E977405-66D9-42F9-A3FE-75344B532578}"/>
    <cellStyle name="Normal 2 5 4 2 2 2 3" xfId="8312" xr:uid="{FF599439-A5F8-4927-9DEE-E1B4DD50819A}"/>
    <cellStyle name="Normal 2 5 4 2 2 2 3 2" xfId="28888" xr:uid="{AA552203-6951-4942-B5F2-AC43969F3824}"/>
    <cellStyle name="Normal 2 5 4 2 2 2 3 3" xfId="18692" xr:uid="{06BB6B0A-50C3-4A17-B81D-AF2B71346F71}"/>
    <cellStyle name="Normal 2 5 4 2 2 2 4" xfId="11145" xr:uid="{65CD692F-6D05-4FC2-A4EB-56577F60FDE2}"/>
    <cellStyle name="Normal 2 5 4 2 2 2 4 2" xfId="21525" xr:uid="{6C0FFF33-281F-48A1-BC00-C6A7D8863B2C}"/>
    <cellStyle name="Normal 2 5 4 2 2 2 5" xfId="24946" xr:uid="{F48912EC-9A15-480E-92DD-56E3E099D83C}"/>
    <cellStyle name="Normal 2 5 4 2 2 2 6" xfId="13775" xr:uid="{3D655155-08D8-4600-B855-F8E49E61D9CD}"/>
    <cellStyle name="Normal 2 5 4 2 2 3" xfId="4311" xr:uid="{7FBF59B4-F836-44E7-BC8A-67A9782E935E}"/>
    <cellStyle name="Normal 2 5 4 2 2 3 2" xfId="9083" xr:uid="{6B304CD8-61FF-4486-AB86-0AA2692CB6CA}"/>
    <cellStyle name="Normal 2 5 4 2 2 3 2 2" xfId="29126" xr:uid="{8ADA81D0-515D-4FB2-B6C9-B393393B47A9}"/>
    <cellStyle name="Normal 2 5 4 2 2 3 2 3" xfId="19463" xr:uid="{B7804AE3-567D-4EC7-B458-518B57E6F949}"/>
    <cellStyle name="Normal 2 5 4 2 2 3 3" xfId="11916" xr:uid="{3CB8E62F-7E18-47BB-ACB0-0813D775BCC8}"/>
    <cellStyle name="Normal 2 5 4 2 2 3 3 2" xfId="22296" xr:uid="{54CFFEC8-9A5F-41D0-B3D3-81D04AAFAC3A}"/>
    <cellStyle name="Normal 2 5 4 2 2 3 4" xfId="23386" xr:uid="{DDC27A66-FC4B-4B00-AD6B-5CC898FB1855}"/>
    <cellStyle name="Normal 2 5 4 2 2 3 5" xfId="16630" xr:uid="{5CF0219C-D170-41C4-B12D-DE085AAAB22B}"/>
    <cellStyle name="Normal 2 5 4 2 2 4" xfId="5153" xr:uid="{0778C214-8051-49D9-A6EC-36AB2F8093BD}"/>
    <cellStyle name="Normal 2 5 4 2 2 4 2" xfId="28585" xr:uid="{7F0573E1-36D3-46C8-A8FD-9C4773A8E12C}"/>
    <cellStyle name="Normal 2 5 4 2 2 4 3" xfId="14450" xr:uid="{0CCCFEA0-645C-4913-A729-F698F8D2CE21}"/>
    <cellStyle name="Normal 2 5 4 2 2 5" xfId="6903" xr:uid="{48F2EDB2-782A-4B9C-BBD5-2644FB43DB10}"/>
    <cellStyle name="Normal 2 5 4 2 2 5 2" xfId="17283" xr:uid="{40A490A8-A648-4202-820A-452251C7EA31}"/>
    <cellStyle name="Normal 2 5 4 2 2 6" xfId="9736" xr:uid="{62E04ED5-DBA4-49DE-BE42-8EC1B0449D0A}"/>
    <cellStyle name="Normal 2 5 4 2 2 6 2" xfId="20116" xr:uid="{3CC93754-9412-4E1B-BF1C-75BB4310CF7D}"/>
    <cellStyle name="Normal 2 5 4 2 2 7" xfId="25553" xr:uid="{379DBCBE-3014-4986-A692-82ABB0DF1F03}"/>
    <cellStyle name="Normal 2 5 4 2 2 8" xfId="13186" xr:uid="{F21C79F2-99B4-471A-8405-E298CB8D5B4B}"/>
    <cellStyle name="Normal 2 5 4 2 3" xfId="3233" xr:uid="{00000000-0005-0000-0000-000097040000}"/>
    <cellStyle name="Normal 2 5 4 2 3 2" xfId="4486" xr:uid="{5DC40255-4AB9-41D9-AA22-7F46584C7977}"/>
    <cellStyle name="Normal 2 5 4 2 3 2 2" xfId="9258" xr:uid="{A6CD52E1-8F01-4B11-8E41-3640A9E23CA8}"/>
    <cellStyle name="Normal 2 5 4 2 3 2 2 2" xfId="29245" xr:uid="{E5527572-4523-48F2-8335-40563C2D2BD9}"/>
    <cellStyle name="Normal 2 5 4 2 3 2 2 3" xfId="19638" xr:uid="{3D618317-D045-49C1-B479-ECBF6F101EA3}"/>
    <cellStyle name="Normal 2 5 4 2 3 2 3" xfId="12091" xr:uid="{8623B10A-97D4-44F2-AB73-D17D6B7CA6D2}"/>
    <cellStyle name="Normal 2 5 4 2 3 2 3 2" xfId="22471" xr:uid="{E2BD33F1-B295-44CF-AC3B-B63D13292E28}"/>
    <cellStyle name="Normal 2 5 4 2 3 2 4" xfId="23220" xr:uid="{DEC4DE71-6A92-4A94-9895-3CE20C6033CC}"/>
    <cellStyle name="Normal 2 5 4 2 3 2 5" xfId="16805" xr:uid="{03831A9E-3093-4AD7-B572-9DA03DEBA0A9}"/>
    <cellStyle name="Normal 2 5 4 2 3 3" xfId="6291" xr:uid="{E6D74EAA-6FE7-442E-A52E-B57B18C5E209}"/>
    <cellStyle name="Normal 2 5 4 2 3 3 2" xfId="27322" xr:uid="{CF77D49A-D9CD-44D2-AA9F-B29A6E780FC6}"/>
    <cellStyle name="Normal 2 5 4 2 3 3 3" xfId="15860" xr:uid="{ABFFC3E6-8148-47F1-8C67-E614D71AE630}"/>
    <cellStyle name="Normal 2 5 4 2 3 4" xfId="8313" xr:uid="{29BCBE05-055A-4AA4-A916-C30589B88393}"/>
    <cellStyle name="Normal 2 5 4 2 3 4 2" xfId="18693" xr:uid="{3D1BD514-A17F-42EF-9782-850874232843}"/>
    <cellStyle name="Normal 2 5 4 2 3 5" xfId="11146" xr:uid="{E430120C-1198-478F-9570-5613C973472C}"/>
    <cellStyle name="Normal 2 5 4 2 3 5 2" xfId="21526" xr:uid="{EE98C3E7-679E-436B-84BB-40510BAA4D7E}"/>
    <cellStyle name="Normal 2 5 4 2 3 6" xfId="23012" xr:uid="{B630333F-32C6-44E8-B1BA-4EB5CB71210F}"/>
    <cellStyle name="Normal 2 5 4 2 3 7" xfId="13776" xr:uid="{CABF6DF4-D203-40E7-8580-375F9E0B5520}"/>
    <cellStyle name="Normal 2 5 4 2 4" xfId="3231" xr:uid="{00000000-0005-0000-0000-000098040000}"/>
    <cellStyle name="Normal 2 5 4 2 4 2" xfId="6289" xr:uid="{DB80DA47-D9AB-4FA4-8155-F6D6F7D36B71}"/>
    <cellStyle name="Normal 2 5 4 2 4 2 2" xfId="26740" xr:uid="{9107CABB-44EF-46AF-A11E-13BEE7C4AC89}"/>
    <cellStyle name="Normal 2 5 4 2 4 2 3" xfId="15858" xr:uid="{82395B0F-9FBC-4A63-BA5B-789770D2B473}"/>
    <cellStyle name="Normal 2 5 4 2 4 3" xfId="8311" xr:uid="{F16C64E1-BB72-42DE-86F4-36E661E71648}"/>
    <cellStyle name="Normal 2 5 4 2 4 3 2" xfId="18691" xr:uid="{F772F717-D7F6-4290-A6E4-0AF6BC7B9D9A}"/>
    <cellStyle name="Normal 2 5 4 2 4 4" xfId="11144" xr:uid="{4A04CFD3-6C2A-4A0B-B0CB-853EE8160755}"/>
    <cellStyle name="Normal 2 5 4 2 4 4 2" xfId="21524" xr:uid="{170C47F2-7A01-4395-9C80-6B5D4B0F0975}"/>
    <cellStyle name="Normal 2 5 4 2 4 5" xfId="22896" xr:uid="{1848D2BC-0BF3-48A3-B42C-9E19ACF9A27C}"/>
    <cellStyle name="Normal 2 5 4 2 4 6" xfId="13774" xr:uid="{DF0108D8-7A87-4479-8691-E338607AEFDA}"/>
    <cellStyle name="Normal 2 5 4 2 5" xfId="2615" xr:uid="{00000000-0005-0000-0000-000099040000}"/>
    <cellStyle name="Normal 2 5 4 2 5 2" xfId="5877" xr:uid="{C6ED515C-823D-465B-8FA8-CE37855AFDFD}"/>
    <cellStyle name="Normal 2 5 4 2 5 2 2" xfId="27070" xr:uid="{788B9FD6-1B42-42DE-B104-07F1F18FCFA8}"/>
    <cellStyle name="Normal 2 5 4 2 5 2 3" xfId="15287" xr:uid="{D877FED5-C8D1-4A35-B433-3E952F9E622C}"/>
    <cellStyle name="Normal 2 5 4 2 5 3" xfId="7740" xr:uid="{D7217A46-636B-4E62-8C1D-44E495DC81DF}"/>
    <cellStyle name="Normal 2 5 4 2 5 3 2" xfId="18120" xr:uid="{137CCD0F-8E52-4BBD-A882-F23F6AA0A4A2}"/>
    <cellStyle name="Normal 2 5 4 2 5 4" xfId="10573" xr:uid="{AC736895-F3E6-437E-899E-AD19F45FFECD}"/>
    <cellStyle name="Normal 2 5 4 2 5 4 2" xfId="20953" xr:uid="{C2AA678F-17E9-4DB7-9978-72037C745C82}"/>
    <cellStyle name="Normal 2 5 4 2 5 5" xfId="25064" xr:uid="{DED9F27F-1D36-4A74-9781-40DFB816567F}"/>
    <cellStyle name="Normal 2 5 4 2 5 6" xfId="13003" xr:uid="{76BA3568-8444-479A-ACBE-F14C4BAD7BE8}"/>
    <cellStyle name="Normal 2 5 4 2 6" xfId="2336" xr:uid="{00000000-0005-0000-0000-000094040000}"/>
    <cellStyle name="Normal 2 5 4 2 6 2" xfId="7463" xr:uid="{25409F02-F46E-4D75-88A6-DDC0D0A166E8}"/>
    <cellStyle name="Normal 2 5 4 2 6 2 2" xfId="17843" xr:uid="{0643C825-0F1C-4F25-8705-92A30E6D91AB}"/>
    <cellStyle name="Normal 2 5 4 2 6 3" xfId="10296" xr:uid="{CD562E2F-C260-4F18-BEB9-19724D5EF427}"/>
    <cellStyle name="Normal 2 5 4 2 6 3 2" xfId="20676" xr:uid="{14277278-988F-4838-B827-6AAFBE72922E}"/>
    <cellStyle name="Normal 2 5 4 2 6 4" xfId="23529" xr:uid="{62257298-F20E-40FE-A285-25EB21138115}"/>
    <cellStyle name="Normal 2 5 4 2 6 5" xfId="15010" xr:uid="{39738CDA-B811-40FE-BB3C-B0CCEF5195E5}"/>
    <cellStyle name="Normal 2 5 4 2 7" xfId="3851" xr:uid="{162D58BF-87B5-4024-9A43-A5B2C04A0161}"/>
    <cellStyle name="Normal 2 5 4 2 7 2" xfId="8684" xr:uid="{65B605F4-4609-4305-8D28-2EE553D95677}"/>
    <cellStyle name="Normal 2 5 4 2 7 2 2" xfId="19064" xr:uid="{A5D90364-D8A4-4F97-B71B-2126BE45F25C}"/>
    <cellStyle name="Normal 2 5 4 2 7 3" xfId="11517" xr:uid="{700EFDCE-B801-4804-99CD-8A45C4D03B2C}"/>
    <cellStyle name="Normal 2 5 4 2 7 3 2" xfId="21897" xr:uid="{3D215DEC-F09D-4E9E-8183-935E0541AAAE}"/>
    <cellStyle name="Normal 2 5 4 2 7 4" xfId="16231" xr:uid="{3762B984-E117-4881-8D1B-7C3DE39B9EDD}"/>
    <cellStyle name="Normal 2 5 4 2 8" xfId="5152" xr:uid="{341430D9-980A-4F5D-B039-7FC0AD728E13}"/>
    <cellStyle name="Normal 2 5 4 2 8 2" xfId="14449" xr:uid="{785D2A81-823E-486F-BA6E-029A4B9F26F2}"/>
    <cellStyle name="Normal 2 5 4 2 9" xfId="6902" xr:uid="{7DBA4338-0581-447F-8ED7-CC1DDC537A18}"/>
    <cellStyle name="Normal 2 5 4 2 9 2" xfId="17282" xr:uid="{C4C678DC-DD02-4458-A5EA-3D98E50F3F9A}"/>
    <cellStyle name="Normal 2 5 4 3" xfId="802" xr:uid="{00000000-0005-0000-0000-0000CE040000}"/>
    <cellStyle name="Normal 2 5 4 3 2" xfId="3234" xr:uid="{00000000-0005-0000-0000-00009B040000}"/>
    <cellStyle name="Normal 2 5 4 3 2 2" xfId="6292" xr:uid="{50B50866-DA33-4B3F-8008-086AF650AE48}"/>
    <cellStyle name="Normal 2 5 4 3 2 2 2" xfId="25756" xr:uid="{1C0872C6-FFD3-4987-A6E5-5ED601C8D81E}"/>
    <cellStyle name="Normal 2 5 4 3 2 2 3" xfId="26335" xr:uid="{4B84C1BB-C313-4CFC-9FA0-D99D406DB19D}"/>
    <cellStyle name="Normal 2 5 4 3 2 2 4" xfId="15861" xr:uid="{DDB198C1-AB0F-41D9-B1B6-8437B7591C65}"/>
    <cellStyle name="Normal 2 5 4 3 2 3" xfId="8314" xr:uid="{1E8B7BDA-BCFF-4187-8D93-94A7A0F3C02E}"/>
    <cellStyle name="Normal 2 5 4 3 2 3 2" xfId="28889" xr:uid="{633CD293-4B43-4169-A162-738BB7F75997}"/>
    <cellStyle name="Normal 2 5 4 3 2 3 3" xfId="18694" xr:uid="{D0EA3727-7953-4F37-975F-2E8BDC4A612A}"/>
    <cellStyle name="Normal 2 5 4 3 2 4" xfId="11147" xr:uid="{6CD7079C-C4CF-491D-8DF4-9F094A829A7A}"/>
    <cellStyle name="Normal 2 5 4 3 2 4 2" xfId="21527" xr:uid="{AD540BEF-2E78-4785-A94F-B2AEF5F157C4}"/>
    <cellStyle name="Normal 2 5 4 3 2 5" xfId="24498" xr:uid="{CDB605C4-6B54-4A38-AAF7-EF67EA92A5A8}"/>
    <cellStyle name="Normal 2 5 4 3 2 6" xfId="13777" xr:uid="{659849B3-E706-44C8-A5BB-7B76C0F6DE21}"/>
    <cellStyle name="Normal 2 5 4 3 3" xfId="2745" xr:uid="{00000000-0005-0000-0000-00009C040000}"/>
    <cellStyle name="Normal 2 5 4 3 3 2" xfId="5963" xr:uid="{479FE92E-C60D-4791-AA5D-06281A84CF93}"/>
    <cellStyle name="Normal 2 5 4 3 3 2 2" xfId="27015" xr:uid="{007A9210-C9B0-4830-B436-4DEEA162BB27}"/>
    <cellStyle name="Normal 2 5 4 3 3 2 3" xfId="15416" xr:uid="{58905F66-01AB-4E82-90BC-B3BA69878392}"/>
    <cellStyle name="Normal 2 5 4 3 3 3" xfId="7869" xr:uid="{E680DD54-98F0-451A-8320-193E0CA21586}"/>
    <cellStyle name="Normal 2 5 4 3 3 3 2" xfId="18249" xr:uid="{7B1E9CA3-28C2-4984-95A2-EA840AEA72D8}"/>
    <cellStyle name="Normal 2 5 4 3 3 4" xfId="10702" xr:uid="{772511E3-642B-4AE0-A070-393A8F866D2F}"/>
    <cellStyle name="Normal 2 5 4 3 3 4 2" xfId="21082" xr:uid="{9524AED9-478F-4837-BFD2-BB4C654ADB2C}"/>
    <cellStyle name="Normal 2 5 4 3 3 5" xfId="25124" xr:uid="{056D29C0-6E4A-449F-82BA-019D4A853108}"/>
    <cellStyle name="Normal 2 5 4 3 3 6" xfId="13185" xr:uid="{99A645E2-323D-45E7-B252-D6C9B1CE15A1}"/>
    <cellStyle name="Normal 2 5 4 3 4" xfId="4170" xr:uid="{C18E6F66-FC48-49F9-94ED-CD9928116EBF}"/>
    <cellStyle name="Normal 2 5 4 3 4 2" xfId="8942" xr:uid="{3179B175-76D2-4BCE-AC32-159A0E477C5D}"/>
    <cellStyle name="Normal 2 5 4 3 4 2 2" xfId="29035" xr:uid="{17BA5E51-32A3-4C19-BB28-A18B680D8648}"/>
    <cellStyle name="Normal 2 5 4 3 4 2 3" xfId="19322" xr:uid="{40E053A9-3D90-44F5-AC11-D6D8C5BEA08D}"/>
    <cellStyle name="Normal 2 5 4 3 4 3" xfId="11775" xr:uid="{B5616F0F-C1A1-4239-A9D4-0050D295F49E}"/>
    <cellStyle name="Normal 2 5 4 3 4 3 2" xfId="22155" xr:uid="{17C9D815-38BA-46F8-A4D9-8C27A342056E}"/>
    <cellStyle name="Normal 2 5 4 3 4 4" xfId="22776" xr:uid="{BE1605A0-33D5-4801-B0B1-0E1562485F13}"/>
    <cellStyle name="Normal 2 5 4 3 4 5" xfId="16489" xr:uid="{CC38903E-021A-4601-B2EE-565691E281E2}"/>
    <cellStyle name="Normal 2 5 4 3 5" xfId="5154" xr:uid="{C952C535-5D53-4DD0-ABCF-C3136F3BE241}"/>
    <cellStyle name="Normal 2 5 4 3 5 2" xfId="26063" xr:uid="{B4B54ED6-BB80-4607-99C0-3ADC5434626C}"/>
    <cellStyle name="Normal 2 5 4 3 5 3" xfId="14451" xr:uid="{F3560938-C0A9-4375-BD62-149F4CD9E68C}"/>
    <cellStyle name="Normal 2 5 4 3 6" xfId="6904" xr:uid="{999E3F87-A5E8-423B-BA0B-DBFB7ED339E7}"/>
    <cellStyle name="Normal 2 5 4 3 6 2" xfId="17284" xr:uid="{0D1258FF-8C1B-44EA-AC66-98F18429218A}"/>
    <cellStyle name="Normal 2 5 4 3 7" xfId="9737" xr:uid="{66E8417C-927D-43DC-B500-0F097AF38B13}"/>
    <cellStyle name="Normal 2 5 4 3 7 2" xfId="20117" xr:uid="{86413260-1DE6-41C4-B186-ADF7C2E1CD7B}"/>
    <cellStyle name="Normal 2 5 4 3 8" xfId="23505" xr:uid="{5D740C48-E90D-42E6-BCDE-0B4EA2C97E76}"/>
    <cellStyle name="Normal 2 5 4 3 9" xfId="12728" xr:uid="{4FA03352-1107-47C3-A077-A9C56727C82B}"/>
    <cellStyle name="Normal 2 5 4 4" xfId="803" xr:uid="{00000000-0005-0000-0000-0000CF040000}"/>
    <cellStyle name="Normal 2 5 4 4 2" xfId="4487" xr:uid="{D6978C43-CA09-4E04-9AE2-D0E1B87F7F35}"/>
    <cellStyle name="Normal 2 5 4 4 2 2" xfId="9259" xr:uid="{62B451D0-F95D-4505-85F8-E7252DA4D7AE}"/>
    <cellStyle name="Normal 2 5 4 4 2 2 2" xfId="29246" xr:uid="{DDF38908-85C6-44E3-94B7-62BF0D524807}"/>
    <cellStyle name="Normal 2 5 4 4 2 2 3" xfId="19639" xr:uid="{DFB0C713-B0F3-4C72-815E-F5A1BEB135E1}"/>
    <cellStyle name="Normal 2 5 4 4 2 3" xfId="12092" xr:uid="{832CE881-65AD-44F1-9428-BA88AA1B34FD}"/>
    <cellStyle name="Normal 2 5 4 4 2 3 2" xfId="22472" xr:uid="{B0F12F65-F66F-43F3-8DEC-28564B5E735F}"/>
    <cellStyle name="Normal 2 5 4 4 2 4" xfId="25257" xr:uid="{BA0120A3-6D5F-4DAF-A9FF-0F7F3816C122}"/>
    <cellStyle name="Normal 2 5 4 4 2 5" xfId="16806" xr:uid="{5C630BA1-81F8-474C-9DAE-3EEB55F3D215}"/>
    <cellStyle name="Normal 2 5 4 4 3" xfId="5155" xr:uid="{21F11453-0AEC-4C46-90D3-7FD45CBC21B2}"/>
    <cellStyle name="Normal 2 5 4 4 3 2" xfId="27383" xr:uid="{FC498850-FDAB-404A-9CB3-FC604ED9283B}"/>
    <cellStyle name="Normal 2 5 4 4 3 3" xfId="14452" xr:uid="{29479F74-D8CA-4820-9FD5-9DA190167237}"/>
    <cellStyle name="Normal 2 5 4 4 4" xfId="6905" xr:uid="{E97DD30D-E566-40B7-968C-42988E13AD67}"/>
    <cellStyle name="Normal 2 5 4 4 4 2" xfId="17285" xr:uid="{2F07B4BE-3BBD-4DD8-AFDB-7528BE40E92D}"/>
    <cellStyle name="Normal 2 5 4 4 5" xfId="9738" xr:uid="{E5FED9C7-A660-41B8-80AB-7D3A5B9CB8E1}"/>
    <cellStyle name="Normal 2 5 4 4 5 2" xfId="20118" xr:uid="{27CB0F03-6C83-46FE-84F0-3FDF60330C1F}"/>
    <cellStyle name="Normal 2 5 4 4 6" xfId="25315" xr:uid="{9D63DE6D-DEDE-48E2-B56F-918C29F19298}"/>
    <cellStyle name="Normal 2 5 4 4 7" xfId="13778" xr:uid="{F66F2F40-AACE-4F6A-A14D-072FE1923A67}"/>
    <cellStyle name="Normal 2 5 4 5" xfId="2911" xr:uid="{00000000-0005-0000-0000-00009E040000}"/>
    <cellStyle name="Normal 2 5 4 5 2" xfId="6097" xr:uid="{82F3BA4F-E207-4B9A-9910-359101949C60}"/>
    <cellStyle name="Normal 2 5 4 5 2 2" xfId="25717" xr:uid="{ED5540AF-927E-4978-A626-22773E44B889}"/>
    <cellStyle name="Normal 2 5 4 5 2 3" xfId="28152" xr:uid="{B947B300-9284-4F02-B8DE-8739518CABA9}"/>
    <cellStyle name="Normal 2 5 4 5 2 4" xfId="15575" xr:uid="{F83BDE56-1621-49B9-95C9-8E09BCA53E9A}"/>
    <cellStyle name="Normal 2 5 4 5 3" xfId="8028" xr:uid="{58964821-1480-4CFF-BC1E-DEE28ABAA3A4}"/>
    <cellStyle name="Normal 2 5 4 5 3 2" xfId="27574" xr:uid="{3FCD6158-F55C-4A99-AFE8-AC0AD8F1C5FC}"/>
    <cellStyle name="Normal 2 5 4 5 3 3" xfId="18408" xr:uid="{2B12AB97-715F-4CA4-8118-7E048D4818B9}"/>
    <cellStyle name="Normal 2 5 4 5 4" xfId="10861" xr:uid="{322344A4-6370-448D-9A19-9FFF0A0EBB87}"/>
    <cellStyle name="Normal 2 5 4 5 4 2" xfId="21241" xr:uid="{BD3D013F-FB52-4781-ACDA-6CB9E0DFDAC2}"/>
    <cellStyle name="Normal 2 5 4 5 5" xfId="25009" xr:uid="{DBB906A4-FF99-44A3-B072-54C59F3AC677}"/>
    <cellStyle name="Normal 2 5 4 5 6" xfId="13426" xr:uid="{89C3CDA7-AD13-48C2-A787-E7820AD12A83}"/>
    <cellStyle name="Normal 2 5 4 6" xfId="2452" xr:uid="{00000000-0005-0000-0000-00009F040000}"/>
    <cellStyle name="Normal 2 5 4 6 2" xfId="5744" xr:uid="{01AA28DA-82FD-467D-B845-688DE3C577C9}"/>
    <cellStyle name="Normal 2 5 4 6 2 2" xfId="26721" xr:uid="{1F1772C2-D89B-42CA-99EC-EE93D20588DC}"/>
    <cellStyle name="Normal 2 5 4 6 2 3" xfId="15124" xr:uid="{4A88CE08-1C4A-461C-B06A-DAB10521AF1D}"/>
    <cellStyle name="Normal 2 5 4 6 3" xfId="7577" xr:uid="{85BF8BDC-C508-491C-B3C6-0293DB61FF09}"/>
    <cellStyle name="Normal 2 5 4 6 3 2" xfId="17957" xr:uid="{5B1A1E34-F1F5-40B8-8182-566002DFEC83}"/>
    <cellStyle name="Normal 2 5 4 6 4" xfId="10410" xr:uid="{A231B469-232B-4AC3-9BA9-13557F9698A4}"/>
    <cellStyle name="Normal 2 5 4 6 4 2" xfId="20790" xr:uid="{581BFFB7-F2DC-42A1-9FD8-3017C7ACE419}"/>
    <cellStyle name="Normal 2 5 4 6 5" xfId="22959" xr:uid="{08418D1B-1606-4AFE-A702-B20050467076}"/>
    <cellStyle name="Normal 2 5 4 6 6" xfId="12840" xr:uid="{F02D17FD-1E6F-458B-A1C6-7D0836E4FA05}"/>
    <cellStyle name="Normal 2 5 4 7" xfId="2206" xr:uid="{00000000-0005-0000-0000-000093040000}"/>
    <cellStyle name="Normal 2 5 4 7 2" xfId="7333" xr:uid="{76FB4F97-C557-4187-A6A1-DD18FD9DC2BC}"/>
    <cellStyle name="Normal 2 5 4 7 2 2" xfId="17713" xr:uid="{5DBBF08A-9324-4334-B237-F04D6D5C5324}"/>
    <cellStyle name="Normal 2 5 4 7 3" xfId="10166" xr:uid="{6CA286A1-3D3E-4B88-A600-03E8AA933411}"/>
    <cellStyle name="Normal 2 5 4 7 3 2" xfId="20546" xr:uid="{FC2443B2-1DCD-4E48-80DF-F9D548EFC27B}"/>
    <cellStyle name="Normal 2 5 4 7 4" xfId="23566" xr:uid="{E0153EB8-F150-4EB2-9768-23A91346042C}"/>
    <cellStyle name="Normal 2 5 4 7 5" xfId="14880" xr:uid="{33E111B5-39AB-47F9-AD6C-B963E736D7C1}"/>
    <cellStyle name="Normal 2 5 4 8" xfId="3946" xr:uid="{FCE84AC3-A42E-44D6-ACFD-6746D094449F}"/>
    <cellStyle name="Normal 2 5 4 8 2" xfId="8778" xr:uid="{689D8527-76D0-44A6-A103-A5584523EA58}"/>
    <cellStyle name="Normal 2 5 4 8 2 2" xfId="19158" xr:uid="{865D3EDE-D9F8-4849-8638-DF9B7FE9C26B}"/>
    <cellStyle name="Normal 2 5 4 8 3" xfId="11611" xr:uid="{BECE0860-AF21-493B-A6D3-4385EFE92B85}"/>
    <cellStyle name="Normal 2 5 4 8 3 2" xfId="21991" xr:uid="{F5092BC2-FB1C-4116-99C2-328FF80CD80C}"/>
    <cellStyle name="Normal 2 5 4 8 4" xfId="16325" xr:uid="{FDE69E20-2578-4DAD-82A7-9D3AF28CFA02}"/>
    <cellStyle name="Normal 2 5 4 9" xfId="5151" xr:uid="{69E00AE9-3840-4742-BD70-C16F595F6463}"/>
    <cellStyle name="Normal 2 5 4 9 2" xfId="14448" xr:uid="{666B43F1-6AEA-475C-9BCA-812F21795D68}"/>
    <cellStyle name="Normal 2 5 5" xfId="804" xr:uid="{00000000-0005-0000-0000-0000D0040000}"/>
    <cellStyle name="Normal 2 5 5 10" xfId="9739" xr:uid="{25B12A57-E01A-4D69-B103-01944B1F5B60}"/>
    <cellStyle name="Normal 2 5 5 10 2" xfId="20119" xr:uid="{3D2F8A98-9310-40FF-A621-67EB1D26F989}"/>
    <cellStyle name="Normal 2 5 5 11" xfId="23691" xr:uid="{FFC1CC40-2164-4803-8DCB-63637F628ECC}"/>
    <cellStyle name="Normal 2 5 5 12" xfId="12571" xr:uid="{8D9806FB-F064-4F62-A65F-BCB332ACA626}"/>
    <cellStyle name="Normal 2 5 5 2" xfId="805" xr:uid="{00000000-0005-0000-0000-0000D1040000}"/>
    <cellStyle name="Normal 2 5 5 2 2" xfId="806" xr:uid="{00000000-0005-0000-0000-0000D2040000}"/>
    <cellStyle name="Normal 2 5 5 2 2 2" xfId="5158" xr:uid="{E4B2A9DC-582B-4F55-9A01-4E2F555AEC5F}"/>
    <cellStyle name="Normal 2 5 5 2 2 2 2" xfId="25676" xr:uid="{05F2C159-3DE3-4AE9-834D-4BEE22F5B177}"/>
    <cellStyle name="Normal 2 5 5 2 2 2 3" xfId="27076" xr:uid="{E0F32341-9C91-4C31-9C59-F218A4623226}"/>
    <cellStyle name="Normal 2 5 5 2 2 2 4" xfId="14455" xr:uid="{39357364-8AC4-4EE6-9889-F524869D438A}"/>
    <cellStyle name="Normal 2 5 5 2 2 3" xfId="6908" xr:uid="{0F15B9DC-FF63-4B34-BBEA-DB66AB1B5CA0}"/>
    <cellStyle name="Normal 2 5 5 2 2 3 2" xfId="27600" xr:uid="{BB063906-2095-4817-B9F7-5DC408AE9E4F}"/>
    <cellStyle name="Normal 2 5 5 2 2 3 3" xfId="28636" xr:uid="{2BA02F08-B258-425A-A010-B1546EEBA161}"/>
    <cellStyle name="Normal 2 5 5 2 2 3 4" xfId="17288" xr:uid="{5E8AC5CE-5089-4B39-9FAC-DFBDA6E02A98}"/>
    <cellStyle name="Normal 2 5 5 2 2 4" xfId="9741" xr:uid="{5A2F8EB4-5643-4570-9FE1-F0F031665C2A}"/>
    <cellStyle name="Normal 2 5 5 2 2 4 2" xfId="29399" xr:uid="{00692C25-6D45-4B77-A7AB-87FA4AF12D4B}"/>
    <cellStyle name="Normal 2 5 5 2 2 4 3" xfId="20121" xr:uid="{A704B41A-EB47-4AD2-BD7C-903D2864E934}"/>
    <cellStyle name="Normal 2 5 5 2 2 5" xfId="24775" xr:uid="{28DEBFA8-394C-4FF4-933C-F9077E12D851}"/>
    <cellStyle name="Normal 2 5 5 2 2 6" xfId="13779" xr:uid="{8BAC12EE-1A3B-44CF-A790-EFBF3FE73BC5}"/>
    <cellStyle name="Normal 2 5 5 2 3" xfId="2746" xr:uid="{00000000-0005-0000-0000-0000A3040000}"/>
    <cellStyle name="Normal 2 5 5 2 3 2" xfId="5964" xr:uid="{56366823-1D59-4259-945F-8F38B6326D03}"/>
    <cellStyle name="Normal 2 5 5 2 3 2 2" xfId="27950" xr:uid="{DA4AE47D-0BBD-4E15-BE53-1FB7D61FC10B}"/>
    <cellStyle name="Normal 2 5 5 2 3 2 3" xfId="15417" xr:uid="{7FEBD8A0-FE79-4BA7-A602-B1D99217517A}"/>
    <cellStyle name="Normal 2 5 5 2 3 3" xfId="7870" xr:uid="{2D3488C1-607B-4B74-A36B-4651CFF59756}"/>
    <cellStyle name="Normal 2 5 5 2 3 3 2" xfId="18250" xr:uid="{7D4E7861-73EC-46ED-95BA-5C4ADD31208D}"/>
    <cellStyle name="Normal 2 5 5 2 3 4" xfId="10703" xr:uid="{886ADC12-704C-4686-A78B-6A81205343BF}"/>
    <cellStyle name="Normal 2 5 5 2 3 4 2" xfId="21083" xr:uid="{55EFF2CD-C8E8-44C9-B4DD-BAD7B5E54D2C}"/>
    <cellStyle name="Normal 2 5 5 2 3 5" xfId="24918" xr:uid="{3AB73BA5-C584-4DFE-9B25-CF46E0D80100}"/>
    <cellStyle name="Normal 2 5 5 2 3 6" xfId="13187" xr:uid="{F9627F31-EA33-46EE-90D0-B661B3464917}"/>
    <cellStyle name="Normal 2 5 5 2 4" xfId="4171" xr:uid="{01146833-4B57-4ED5-BB9C-C716F4DA5178}"/>
    <cellStyle name="Normal 2 5 5 2 4 2" xfId="8943" xr:uid="{987E1115-D183-47A1-A5EF-D2BC195641EB}"/>
    <cellStyle name="Normal 2 5 5 2 4 2 2" xfId="29036" xr:uid="{253D3476-2FDD-4EF7-8CEB-E4E65439E1EB}"/>
    <cellStyle name="Normal 2 5 5 2 4 2 3" xfId="19323" xr:uid="{E6D2F63C-E15D-4754-81ED-31F6A6C18E83}"/>
    <cellStyle name="Normal 2 5 5 2 4 3" xfId="11776" xr:uid="{238DB489-BBA8-427C-B1ED-753DEA94FCC0}"/>
    <cellStyle name="Normal 2 5 5 2 4 3 2" xfId="22156" xr:uid="{86432B90-59F4-43FF-8900-0658A11B8AD1}"/>
    <cellStyle name="Normal 2 5 5 2 4 4" xfId="24332" xr:uid="{A134472F-4F0C-4B36-89AC-E882025ED22F}"/>
    <cellStyle name="Normal 2 5 5 2 4 5" xfId="16490" xr:uid="{BC840C62-7931-4908-B05E-8878F6D5BE02}"/>
    <cellStyle name="Normal 2 5 5 2 5" xfId="5157" xr:uid="{8D8DB419-A577-4C87-85B3-8E77FEA28754}"/>
    <cellStyle name="Normal 2 5 5 2 5 2" xfId="26221" xr:uid="{0B4E32D5-20C8-4ABE-9578-A416367360DB}"/>
    <cellStyle name="Normal 2 5 5 2 5 3" xfId="14454" xr:uid="{CB357D9E-C48B-4566-9649-283D305F8546}"/>
    <cellStyle name="Normal 2 5 5 2 6" xfId="6907" xr:uid="{FD52F4DB-C700-4971-8543-2462E176B89D}"/>
    <cellStyle name="Normal 2 5 5 2 6 2" xfId="17287" xr:uid="{CB4915F8-72F2-4AAF-BD9C-0336461E94C6}"/>
    <cellStyle name="Normal 2 5 5 2 7" xfId="9740" xr:uid="{87680FF5-81D1-4C2C-A4D7-75E52405DD48}"/>
    <cellStyle name="Normal 2 5 5 2 7 2" xfId="20120" xr:uid="{8ED05A9E-B87A-4474-B4E5-92C8203103D6}"/>
    <cellStyle name="Normal 2 5 5 2 8" xfId="23257" xr:uid="{6F526BDC-8D93-4CA2-BE0C-F2116A473742}"/>
    <cellStyle name="Normal 2 5 5 2 9" xfId="12729" xr:uid="{4393172E-B977-4BFD-9CBB-45548A785D2D}"/>
    <cellStyle name="Normal 2 5 5 3" xfId="807" xr:uid="{00000000-0005-0000-0000-0000D3040000}"/>
    <cellStyle name="Normal 2 5 5 3 2" xfId="4488" xr:uid="{191D5304-2252-407A-9F2F-C5169E3303B7}"/>
    <cellStyle name="Normal 2 5 5 3 2 2" xfId="9260" xr:uid="{3374D08B-9E7E-417E-85CE-960300A98FF7}"/>
    <cellStyle name="Normal 2 5 5 3 2 2 2" xfId="29247" xr:uid="{67EF28EC-1281-48F9-9714-DA45D7F343B0}"/>
    <cellStyle name="Normal 2 5 5 3 2 2 3" xfId="19640" xr:uid="{1AE8119A-1E32-495A-9E96-17F3F3C26B7E}"/>
    <cellStyle name="Normal 2 5 5 3 2 3" xfId="12093" xr:uid="{FD263DEC-19CA-42C9-B0CF-1372320E17FC}"/>
    <cellStyle name="Normal 2 5 5 3 2 3 2" xfId="22473" xr:uid="{A734C87D-1856-47B5-82DB-A492D3B3CA73}"/>
    <cellStyle name="Normal 2 5 5 3 2 4" xfId="25657" xr:uid="{5CC917C6-B20D-4A15-98EC-39307646EEC9}"/>
    <cellStyle name="Normal 2 5 5 3 2 5" xfId="16807" xr:uid="{EE13CA3C-0AC0-45AB-A3D7-00B192BA0EAC}"/>
    <cellStyle name="Normal 2 5 5 3 3" xfId="5159" xr:uid="{2FD359F9-0260-41C0-8B6C-193FE44FC7F7}"/>
    <cellStyle name="Normal 2 5 5 3 3 2" xfId="24144" xr:uid="{8243E976-362A-490C-ADBF-9D69A88FDAE2}"/>
    <cellStyle name="Normal 2 5 5 3 3 3" xfId="28704" xr:uid="{BB72FBDB-62A7-4935-A335-B18AB8140F0B}"/>
    <cellStyle name="Normal 2 5 5 3 3 4" xfId="14456" xr:uid="{6774E968-FF01-46F8-818E-5F6444BCD5F2}"/>
    <cellStyle name="Normal 2 5 5 3 4" xfId="6909" xr:uid="{03100050-60A7-436A-A4B1-C230ED560312}"/>
    <cellStyle name="Normal 2 5 5 3 4 2" xfId="24592" xr:uid="{72BADDE7-E342-49AD-B407-03B19458F00D}"/>
    <cellStyle name="Normal 2 5 5 3 4 3" xfId="26089" xr:uid="{21D00A71-A155-4754-B813-A137C4A7D1A9}"/>
    <cellStyle name="Normal 2 5 5 3 4 4" xfId="17289" xr:uid="{3D5887B5-0C78-4532-938D-B6883292D212}"/>
    <cellStyle name="Normal 2 5 5 3 5" xfId="9742" xr:uid="{C8D474EF-47D4-4C9B-A8F0-5822422A0989}"/>
    <cellStyle name="Normal 2 5 5 3 5 2" xfId="29400" xr:uid="{F33B7BCD-EEF5-4CFD-8501-64A2C3D7626C}"/>
    <cellStyle name="Normal 2 5 5 3 5 3" xfId="20122" xr:uid="{F5561920-D92C-46DE-805C-D1A4400C9246}"/>
    <cellStyle name="Normal 2 5 5 3 6" xfId="24114" xr:uid="{1558BF14-0991-45EB-A8A0-A54A9F7B67CF}"/>
    <cellStyle name="Normal 2 5 5 3 7" xfId="13780" xr:uid="{F77CD249-A86A-49E5-A77C-E453DCCBE8B6}"/>
    <cellStyle name="Normal 2 5 5 4" xfId="808" xr:uid="{00000000-0005-0000-0000-0000D4040000}"/>
    <cellStyle name="Normal 2 5 5 4 2" xfId="5160" xr:uid="{6D1D414A-CE50-456F-8C49-760601DA2E06}"/>
    <cellStyle name="Normal 2 5 5 4 2 2" xfId="22861" xr:uid="{3C224F4A-0DB5-40E6-86B3-5ED639DBC91A}"/>
    <cellStyle name="Normal 2 5 5 4 2 3" xfId="28648" xr:uid="{57A2BC08-CDBC-4928-A843-E101DB341CB4}"/>
    <cellStyle name="Normal 2 5 5 4 2 4" xfId="14457" xr:uid="{31AD36F2-4296-49C8-98D7-7E079A6919C8}"/>
    <cellStyle name="Normal 2 5 5 4 3" xfId="6910" xr:uid="{B7E5FDCD-8734-465C-B37F-2240D2E10103}"/>
    <cellStyle name="Normal 2 5 5 4 3 2" xfId="27492" xr:uid="{09496E9D-914A-4116-A437-9A8141488D37}"/>
    <cellStyle name="Normal 2 5 5 4 3 3" xfId="17290" xr:uid="{1C70BFF1-E58F-487A-8E99-F0B5233B39AF}"/>
    <cellStyle name="Normal 2 5 5 4 4" xfId="9743" xr:uid="{E85922E4-1D79-42A8-88AF-B706E9AE9261}"/>
    <cellStyle name="Normal 2 5 5 4 4 2" xfId="20123" xr:uid="{49AB2CEE-D5CD-4CE6-B735-18026E5AB2BD}"/>
    <cellStyle name="Normal 2 5 5 4 5" xfId="24671" xr:uid="{096666E4-7CB5-40BE-BFB0-6575E6AC2A48}"/>
    <cellStyle name="Normal 2 5 5 4 6" xfId="13427" xr:uid="{A99E2888-EADF-45AF-9B36-96131DB17096}"/>
    <cellStyle name="Normal 2 5 5 5" xfId="2512" xr:uid="{00000000-0005-0000-0000-0000A6040000}"/>
    <cellStyle name="Normal 2 5 5 5 2" xfId="5790" xr:uid="{FFF60220-2786-411A-9B50-E225FE6F36F5}"/>
    <cellStyle name="Normal 2 5 5 5 2 2" xfId="27131" xr:uid="{049A9345-1A3E-4FB5-9036-C28462255F0D}"/>
    <cellStyle name="Normal 2 5 5 5 2 3" xfId="15184" xr:uid="{6ED711E2-CAF3-4922-B860-D26E76152B0F}"/>
    <cellStyle name="Normal 2 5 5 5 3" xfId="7637" xr:uid="{8C412F03-3421-40A2-8714-A3D8920E6471}"/>
    <cellStyle name="Normal 2 5 5 5 3 2" xfId="18017" xr:uid="{2F416906-81F2-40D7-8B7B-7E893B5AE1D9}"/>
    <cellStyle name="Normal 2 5 5 5 4" xfId="10470" xr:uid="{B8EC647C-D67B-4C93-953A-43AEBF4EE549}"/>
    <cellStyle name="Normal 2 5 5 5 4 2" xfId="20850" xr:uid="{5911B648-2C07-4037-BB52-5BDD180633B0}"/>
    <cellStyle name="Normal 2 5 5 5 5" xfId="25008" xr:uid="{922CF97B-09FC-43DA-A5EF-FB3E7E9160B0}"/>
    <cellStyle name="Normal 2 5 5 5 6" xfId="12900" xr:uid="{3658C039-508D-4EC0-99B4-84299BFEA525}"/>
    <cellStyle name="Normal 2 5 5 6" xfId="2337" xr:uid="{00000000-0005-0000-0000-0000A0040000}"/>
    <cellStyle name="Normal 2 5 5 6 2" xfId="7464" xr:uid="{57926AC5-6E4B-43A3-8C65-7B2C057D4C82}"/>
    <cellStyle name="Normal 2 5 5 6 2 2" xfId="28670" xr:uid="{60F91A4A-E8B1-41DE-95B0-919E0B327C4E}"/>
    <cellStyle name="Normal 2 5 5 6 2 3" xfId="17844" xr:uid="{69D2B5F7-D825-4AA8-B391-E5230B93471C}"/>
    <cellStyle name="Normal 2 5 5 6 3" xfId="10297" xr:uid="{C2179902-CDB0-4A1A-B237-4EB459DC62C0}"/>
    <cellStyle name="Normal 2 5 5 6 3 2" xfId="20677" xr:uid="{95765E09-A067-4D27-B847-7163FBAD6A66}"/>
    <cellStyle name="Normal 2 5 5 6 4" xfId="23536" xr:uid="{96D6EEA7-A537-4F4A-832E-D68AB5BF6E5F}"/>
    <cellStyle name="Normal 2 5 5 6 5" xfId="15011" xr:uid="{5A2B3A4D-2CE3-450A-9DCC-3A4FF764A548}"/>
    <cellStyle name="Normal 2 5 5 7" xfId="3947" xr:uid="{EF085D8D-28F0-466A-BBF2-EED4A39AFFD2}"/>
    <cellStyle name="Normal 2 5 5 7 2" xfId="8779" xr:uid="{CA52A4E3-0621-44FD-909F-CC18099E41F4}"/>
    <cellStyle name="Normal 2 5 5 7 2 2" xfId="19159" xr:uid="{970252EB-210E-4296-AFBB-D75F9CCCAEFF}"/>
    <cellStyle name="Normal 2 5 5 7 3" xfId="11612" xr:uid="{2A1D49EC-593F-4AC0-B416-5873F09EB11C}"/>
    <cellStyle name="Normal 2 5 5 7 3 2" xfId="21992" xr:uid="{630AA5E5-BD14-4C57-85F7-AE3482E3B782}"/>
    <cellStyle name="Normal 2 5 5 7 4" xfId="27657" xr:uid="{53950138-3F82-479C-8C91-FE240C438FE1}"/>
    <cellStyle name="Normal 2 5 5 7 5" xfId="16326" xr:uid="{18281AEF-7046-46C3-B4A5-18EF338E06BB}"/>
    <cellStyle name="Normal 2 5 5 8" xfId="5156" xr:uid="{7DBACFB2-6346-48C9-85E2-8C057E240FB7}"/>
    <cellStyle name="Normal 2 5 5 8 2" xfId="14453" xr:uid="{DEB9018E-24E2-4ABC-85A9-9D75899727C0}"/>
    <cellStyle name="Normal 2 5 5 9" xfId="6906" xr:uid="{3EE8168B-B675-4A9E-B2BF-348E84C5F0D0}"/>
    <cellStyle name="Normal 2 5 5 9 2" xfId="17286" xr:uid="{60885E3C-2268-4B3E-82B4-199A69B7F15A}"/>
    <cellStyle name="Normal 2 5 6" xfId="809" xr:uid="{00000000-0005-0000-0000-0000D5040000}"/>
    <cellStyle name="Normal 2 5 6 10" xfId="9744" xr:uid="{E647F6A0-AA55-4642-8B1A-5907D03C6043}"/>
    <cellStyle name="Normal 2 5 6 10 2" xfId="20124" xr:uid="{799EE20D-967E-48D8-A554-5FF94DA07D60}"/>
    <cellStyle name="Normal 2 5 6 11" xfId="24497" xr:uid="{08F54CFD-D446-4130-8002-ACBDE1C687DE}"/>
    <cellStyle name="Normal 2 5 6 12" xfId="12572" xr:uid="{D006A9F5-CDF7-4863-BAFB-18C352EC2AAE}"/>
    <cellStyle name="Normal 2 5 6 2" xfId="810" xr:uid="{00000000-0005-0000-0000-0000D6040000}"/>
    <cellStyle name="Normal 2 5 6 2 2" xfId="811" xr:uid="{00000000-0005-0000-0000-0000D7040000}"/>
    <cellStyle name="Normal 2 5 6 2 2 2" xfId="5163" xr:uid="{F7783696-BA91-4035-9991-FCD5ED4764BA}"/>
    <cellStyle name="Normal 2 5 6 2 2 2 2" xfId="23134" xr:uid="{39AD109F-AA1C-4B13-8D11-D0204ACF839D}"/>
    <cellStyle name="Normal 2 5 6 2 2 2 3" xfId="26669" xr:uid="{189EA8B2-EE50-405F-803B-5E12B1EEE24C}"/>
    <cellStyle name="Normal 2 5 6 2 2 2 4" xfId="14460" xr:uid="{71149186-853F-411A-9B4D-9C718DE28DA4}"/>
    <cellStyle name="Normal 2 5 6 2 2 3" xfId="6913" xr:uid="{E522E7DC-73F8-4F04-B758-6934AC101907}"/>
    <cellStyle name="Normal 2 5 6 2 2 3 2" xfId="27601" xr:uid="{51B1B0F4-C357-417D-BD02-C5091349C45B}"/>
    <cellStyle name="Normal 2 5 6 2 2 3 3" xfId="27083" xr:uid="{499384BA-6A41-4563-9C34-49C32AA8493F}"/>
    <cellStyle name="Normal 2 5 6 2 2 3 4" xfId="17293" xr:uid="{13735354-3337-4563-8786-AD14C0D03D21}"/>
    <cellStyle name="Normal 2 5 6 2 2 4" xfId="9746" xr:uid="{C7FD1E7E-7AA2-4F79-8594-D7727377F753}"/>
    <cellStyle name="Normal 2 5 6 2 2 4 2" xfId="29401" xr:uid="{FD78A985-A23C-40CD-AA3B-B6AB1C7B6782}"/>
    <cellStyle name="Normal 2 5 6 2 2 4 3" xfId="20126" xr:uid="{E59AC640-1BFA-478A-BE11-676A567264EF}"/>
    <cellStyle name="Normal 2 5 6 2 2 5" xfId="23773" xr:uid="{AA0452BB-4774-42F6-B9FC-DCBA94F93C4D}"/>
    <cellStyle name="Normal 2 5 6 2 2 6" xfId="13781" xr:uid="{8E6833F2-7012-4919-8CB0-1B8040C9A082}"/>
    <cellStyle name="Normal 2 5 6 2 3" xfId="2747" xr:uid="{00000000-0005-0000-0000-0000AA040000}"/>
    <cellStyle name="Normal 2 5 6 2 3 2" xfId="5965" xr:uid="{5AD3EB0F-55A0-4193-B99F-0A4B83A6B386}"/>
    <cellStyle name="Normal 2 5 6 2 3 2 2" xfId="26048" xr:uid="{F3FAAF56-BD20-4265-ACC7-D113767692D9}"/>
    <cellStyle name="Normal 2 5 6 2 3 2 3" xfId="15418" xr:uid="{593A3771-F3F3-4C2F-BD05-965E5D230ECC}"/>
    <cellStyle name="Normal 2 5 6 2 3 3" xfId="7871" xr:uid="{CE435B7E-3D91-4800-B01D-30190F28995D}"/>
    <cellStyle name="Normal 2 5 6 2 3 3 2" xfId="18251" xr:uid="{0057DEFD-DF6F-493C-908D-19F4665E2493}"/>
    <cellStyle name="Normal 2 5 6 2 3 4" xfId="10704" xr:uid="{FBD18F8E-9092-4773-9FEB-17153209D404}"/>
    <cellStyle name="Normal 2 5 6 2 3 4 2" xfId="21084" xr:uid="{28A1C5C3-337F-4AB4-A40F-B8D98E69D42B}"/>
    <cellStyle name="Normal 2 5 6 2 3 5" xfId="24526" xr:uid="{69E51C89-7C9B-40BB-8265-ED1106437471}"/>
    <cellStyle name="Normal 2 5 6 2 3 6" xfId="13188" xr:uid="{69B771A7-1FE4-47C6-8EE8-0468B2EBCFF7}"/>
    <cellStyle name="Normal 2 5 6 2 4" xfId="4172" xr:uid="{468F8C98-F069-4C30-B20D-4EDDD61853C6}"/>
    <cellStyle name="Normal 2 5 6 2 4 2" xfId="8944" xr:uid="{3C07AE65-6C1E-469D-A796-B29C4E8F435D}"/>
    <cellStyle name="Normal 2 5 6 2 4 2 2" xfId="29037" xr:uid="{8B50EBCC-5682-4DCB-AF84-E9874895EDF6}"/>
    <cellStyle name="Normal 2 5 6 2 4 2 3" xfId="19324" xr:uid="{340F7BEB-2B03-40A0-92EA-8B24E7B2B530}"/>
    <cellStyle name="Normal 2 5 6 2 4 3" xfId="11777" xr:uid="{5C06D9C0-A551-4428-83CA-225306F6804B}"/>
    <cellStyle name="Normal 2 5 6 2 4 3 2" xfId="22157" xr:uid="{7FCBB29D-E41D-4560-8452-0F80E9FA145E}"/>
    <cellStyle name="Normal 2 5 6 2 4 4" xfId="24145" xr:uid="{80A6AC0C-C184-4AEB-AD7E-74DD7E264942}"/>
    <cellStyle name="Normal 2 5 6 2 4 5" xfId="16491" xr:uid="{C654EA87-A17D-43CD-94B0-BD5410B86DCE}"/>
    <cellStyle name="Normal 2 5 6 2 5" xfId="5162" xr:uid="{BCD21F37-0CA3-4ACD-BE2D-9BE2F599701D}"/>
    <cellStyle name="Normal 2 5 6 2 5 2" xfId="27232" xr:uid="{A0A5AC45-5E2B-4A9C-A967-7707BCCE0E9B}"/>
    <cellStyle name="Normal 2 5 6 2 5 3" xfId="14459" xr:uid="{7634AFDC-A55D-43CC-AEA8-12EAF20DD7FC}"/>
    <cellStyle name="Normal 2 5 6 2 6" xfId="6912" xr:uid="{2938A14E-2CE9-495D-A995-8C7367A244A7}"/>
    <cellStyle name="Normal 2 5 6 2 6 2" xfId="17292" xr:uid="{C8B9F7F4-07FA-4E6B-B487-F46767231431}"/>
    <cellStyle name="Normal 2 5 6 2 7" xfId="9745" xr:uid="{F7F33E34-2320-49C4-B316-3989FF3DBBD8}"/>
    <cellStyle name="Normal 2 5 6 2 7 2" xfId="20125" xr:uid="{D4BA64FD-61F6-4CAD-9E81-2F675D968DDC}"/>
    <cellStyle name="Normal 2 5 6 2 8" xfId="25538" xr:uid="{23799D15-3FD3-459D-BF5E-823E455FBD63}"/>
    <cellStyle name="Normal 2 5 6 2 9" xfId="12730" xr:uid="{8B129022-E842-4CF5-8F81-35C448F71090}"/>
    <cellStyle name="Normal 2 5 6 3" xfId="812" xr:uid="{00000000-0005-0000-0000-0000D8040000}"/>
    <cellStyle name="Normal 2 5 6 3 2" xfId="4489" xr:uid="{B3A1ADE1-A789-4D80-9D7F-9CD90D1970AB}"/>
    <cellStyle name="Normal 2 5 6 3 2 2" xfId="9261" xr:uid="{BB1F39FD-4F88-4726-B049-48262EE4DBFD}"/>
    <cellStyle name="Normal 2 5 6 3 2 2 2" xfId="29248" xr:uid="{DC146D67-3B6C-49EF-AF17-0007CF7B2B3C}"/>
    <cellStyle name="Normal 2 5 6 3 2 2 3" xfId="19641" xr:uid="{41906DF1-2A53-4B39-9CF6-7E7FC938F6C6}"/>
    <cellStyle name="Normal 2 5 6 3 2 3" xfId="12094" xr:uid="{CFAA8862-E2E2-47CB-A863-B4E1751A9859}"/>
    <cellStyle name="Normal 2 5 6 3 2 3 2" xfId="22474" xr:uid="{32594672-1082-4272-819E-D4957F3EB5E0}"/>
    <cellStyle name="Normal 2 5 6 3 2 4" xfId="25121" xr:uid="{6B086E71-DC77-4112-A649-22379E72209C}"/>
    <cellStyle name="Normal 2 5 6 3 2 5" xfId="16808" xr:uid="{4139A793-79BB-4B2A-91A6-5EBDAC9E072C}"/>
    <cellStyle name="Normal 2 5 6 3 3" xfId="5164" xr:uid="{B6ED6CCB-18F6-4DD2-8BC3-B96CD4195331}"/>
    <cellStyle name="Normal 2 5 6 3 3 2" xfId="26801" xr:uid="{E675E9C9-E5B5-49C1-BAA0-383CE5F0681E}"/>
    <cellStyle name="Normal 2 5 6 3 3 3" xfId="27750" xr:uid="{0B1514A7-1C4A-4D2C-968E-E610E2AF131E}"/>
    <cellStyle name="Normal 2 5 6 3 3 4" xfId="14461" xr:uid="{398E7279-C1DA-4365-94B9-89CFE882DA92}"/>
    <cellStyle name="Normal 2 5 6 3 4" xfId="6914" xr:uid="{9CF2DFCB-0B7C-45DA-A00E-F11E5A07CA4C}"/>
    <cellStyle name="Normal 2 5 6 3 4 2" xfId="27899" xr:uid="{6C8EF23C-23C8-4098-91DE-7E4C48FC6EE1}"/>
    <cellStyle name="Normal 2 5 6 3 4 3" xfId="28576" xr:uid="{4A7D326D-8E84-4E02-BFAE-50977B647D39}"/>
    <cellStyle name="Normal 2 5 6 3 4 4" xfId="17294" xr:uid="{4CFCBA14-C4E9-4D8D-BF04-23FA1F0C23D1}"/>
    <cellStyle name="Normal 2 5 6 3 5" xfId="9747" xr:uid="{EC6F99EB-EA78-44D8-8450-FF21D4492BB7}"/>
    <cellStyle name="Normal 2 5 6 3 5 2" xfId="29402" xr:uid="{0DDD90E9-666E-4C0F-B6FD-D1F25453D04F}"/>
    <cellStyle name="Normal 2 5 6 3 5 3" xfId="20127" xr:uid="{E33FA4E8-75AA-404D-88E5-2C6C0F487917}"/>
    <cellStyle name="Normal 2 5 6 3 6" xfId="24434" xr:uid="{BAFCFC8E-A3FC-44C5-A554-810DD9E1181C}"/>
    <cellStyle name="Normal 2 5 6 3 7" xfId="13782" xr:uid="{AABED0DE-DA74-4CF5-AD07-5B8A0CAAF3D1}"/>
    <cellStyle name="Normal 2 5 6 4" xfId="813" xr:uid="{00000000-0005-0000-0000-0000D9040000}"/>
    <cellStyle name="Normal 2 5 6 4 2" xfId="5165" xr:uid="{2EED1908-67AF-4BF9-A22D-A02BFAA9EA49}"/>
    <cellStyle name="Normal 2 5 6 4 2 2" xfId="25636" xr:uid="{DE70DFCE-68B9-4548-82C4-81426A2E52B2}"/>
    <cellStyle name="Normal 2 5 6 4 2 3" xfId="27754" xr:uid="{875D9C06-8A7A-4F2B-8200-1E6500CBF0D8}"/>
    <cellStyle name="Normal 2 5 6 4 2 4" xfId="14462" xr:uid="{5589403F-483E-4AA1-95BD-131F1D9D0150}"/>
    <cellStyle name="Normal 2 5 6 4 3" xfId="6915" xr:uid="{E374B837-8176-423D-8660-6D02A228E049}"/>
    <cellStyle name="Normal 2 5 6 4 3 2" xfId="27811" xr:uid="{58AC779F-8147-46B5-B25C-A348491B40EB}"/>
    <cellStyle name="Normal 2 5 6 4 3 3" xfId="17295" xr:uid="{B9A0940A-3AD4-463D-9C85-1D43B8C761E2}"/>
    <cellStyle name="Normal 2 5 6 4 4" xfId="9748" xr:uid="{AE3BCF6D-F51F-419E-93B4-AC61634FEE93}"/>
    <cellStyle name="Normal 2 5 6 4 4 2" xfId="20128" xr:uid="{E8C2213E-0914-43AA-88BE-E77305A7B81B}"/>
    <cellStyle name="Normal 2 5 6 4 5" xfId="24657" xr:uid="{653AE55E-4F69-4F74-A475-C25B2410ABC3}"/>
    <cellStyle name="Normal 2 5 6 4 6" xfId="13428" xr:uid="{41BBA974-C802-4600-8ADC-6D323B2F6DFE}"/>
    <cellStyle name="Normal 2 5 6 5" xfId="2572" xr:uid="{00000000-0005-0000-0000-0000AD040000}"/>
    <cellStyle name="Normal 2 5 6 5 2" xfId="5839" xr:uid="{396B18D2-0248-4D0C-94CE-1E15E30FAB3E}"/>
    <cellStyle name="Normal 2 5 6 5 2 2" xfId="26425" xr:uid="{D6A82BEC-47F7-4D35-95A1-5F0E6BBE6154}"/>
    <cellStyle name="Normal 2 5 6 5 2 3" xfId="15244" xr:uid="{C235AA02-DAD8-42A6-996B-6D0C224E6E36}"/>
    <cellStyle name="Normal 2 5 6 5 3" xfId="7697" xr:uid="{6D751735-06AC-497B-96C2-5BAE0FA91DA6}"/>
    <cellStyle name="Normal 2 5 6 5 3 2" xfId="18077" xr:uid="{F488D38A-3567-482A-B0DC-5032FCE973D8}"/>
    <cellStyle name="Normal 2 5 6 5 4" xfId="10530" xr:uid="{69BA77E9-E489-4BDE-9BFA-BE463FD6F086}"/>
    <cellStyle name="Normal 2 5 6 5 4 2" xfId="20910" xr:uid="{DB8D6011-850E-4248-997E-D64ACC70B29C}"/>
    <cellStyle name="Normal 2 5 6 5 5" xfId="25373" xr:uid="{2428CB0A-2075-47FA-BD75-893BD251E405}"/>
    <cellStyle name="Normal 2 5 6 5 6" xfId="12960" xr:uid="{B3E79A95-7E45-4BBE-8139-AC5A8949078F}"/>
    <cellStyle name="Normal 2 5 6 6" xfId="2338" xr:uid="{00000000-0005-0000-0000-0000A7040000}"/>
    <cellStyle name="Normal 2 5 6 6 2" xfId="7465" xr:uid="{912A32E9-CAE1-4A74-9950-D92D57BAA7F7}"/>
    <cellStyle name="Normal 2 5 6 6 2 2" xfId="27151" xr:uid="{61860902-6BF2-44FA-A1C5-18D58D3C9CB0}"/>
    <cellStyle name="Normal 2 5 6 6 2 3" xfId="17845" xr:uid="{FB58D4AB-0201-4134-8F4A-163E54CF01DF}"/>
    <cellStyle name="Normal 2 5 6 6 3" xfId="10298" xr:uid="{F0E657DE-362D-40FB-A717-6D816FFC4AE1}"/>
    <cellStyle name="Normal 2 5 6 6 3 2" xfId="20678" xr:uid="{64293C1C-F1B0-4679-8401-3242F5DDFBEE}"/>
    <cellStyle name="Normal 2 5 6 6 4" xfId="23849" xr:uid="{C48EFEF4-1061-4E23-AE99-7D9B018C553D}"/>
    <cellStyle name="Normal 2 5 6 6 5" xfId="15012" xr:uid="{DE256D3C-40E2-49AB-BE7F-6E86B468C0E8}"/>
    <cellStyle name="Normal 2 5 6 7" xfId="3948" xr:uid="{76E8A881-6AE3-4488-8195-9627BF6D6727}"/>
    <cellStyle name="Normal 2 5 6 7 2" xfId="8780" xr:uid="{0DDF7CD2-90B2-4262-B5F3-451CF99BF985}"/>
    <cellStyle name="Normal 2 5 6 7 2 2" xfId="19160" xr:uid="{DFE5D1F1-7C54-415F-A686-E43CB4A0485C}"/>
    <cellStyle name="Normal 2 5 6 7 3" xfId="11613" xr:uid="{6B5AA8E9-538B-4A51-BC76-F982EC52FBB0}"/>
    <cellStyle name="Normal 2 5 6 7 3 2" xfId="21993" xr:uid="{B70954B3-F3DC-497B-9441-0B59DE8A693C}"/>
    <cellStyle name="Normal 2 5 6 7 4" xfId="26657" xr:uid="{2BD1EBAE-EBE5-4B32-81CA-ABE0E74369EB}"/>
    <cellStyle name="Normal 2 5 6 7 5" xfId="16327" xr:uid="{E3733107-DC77-4706-912A-66E85484C16D}"/>
    <cellStyle name="Normal 2 5 6 8" xfId="5161" xr:uid="{7D9E3B92-ACB1-4AE4-93E5-41599DD599B5}"/>
    <cellStyle name="Normal 2 5 6 8 2" xfId="14458" xr:uid="{912C215C-59AE-4B8A-A919-6955DA060220}"/>
    <cellStyle name="Normal 2 5 6 9" xfId="6911" xr:uid="{46BB68E6-E300-46CF-AD37-06A0015EF9F5}"/>
    <cellStyle name="Normal 2 5 6 9 2" xfId="17291" xr:uid="{599356A6-6502-4CFB-BAAA-3BB618513075}"/>
    <cellStyle name="Normal 2 5 7" xfId="814" xr:uid="{00000000-0005-0000-0000-0000DA040000}"/>
    <cellStyle name="Normal 2 5 7 10" xfId="12573" xr:uid="{3872BEEC-669F-4021-BAFE-C9CEED91AE29}"/>
    <cellStyle name="Normal 2 5 7 2" xfId="815" xr:uid="{00000000-0005-0000-0000-0000DB040000}"/>
    <cellStyle name="Normal 2 5 7 2 2" xfId="2912" xr:uid="{00000000-0005-0000-0000-0000B0040000}"/>
    <cellStyle name="Normal 2 5 7 2 2 2" xfId="6098" xr:uid="{FA80A102-18ED-414D-B27C-9353D338448C}"/>
    <cellStyle name="Normal 2 5 7 2 2 2 2" xfId="27821" xr:uid="{550BE74C-98F0-458B-84B6-F9AA5353B803}"/>
    <cellStyle name="Normal 2 5 7 2 2 2 3" xfId="27513" xr:uid="{66B8E7A9-047F-4D10-823B-1F07C00CEE0D}"/>
    <cellStyle name="Normal 2 5 7 2 2 2 4" xfId="15576" xr:uid="{94FE082E-9F2B-40D6-A7B0-165E6B8592BE}"/>
    <cellStyle name="Normal 2 5 7 2 2 3" xfId="8029" xr:uid="{D09942F2-BB55-43B0-85BF-29DB837C7E71}"/>
    <cellStyle name="Normal 2 5 7 2 2 3 2" xfId="26134" xr:uid="{5887ABB2-282D-44E7-BC2D-B437A529A992}"/>
    <cellStyle name="Normal 2 5 7 2 2 3 3" xfId="18409" xr:uid="{B05DDA15-E438-45B1-ADD1-CDF70D65F000}"/>
    <cellStyle name="Normal 2 5 7 2 2 4" xfId="10862" xr:uid="{196E06A0-F0CA-4CD2-91AD-74766821AB63}"/>
    <cellStyle name="Normal 2 5 7 2 2 4 2" xfId="21242" xr:uid="{FF51A9F4-D23A-4542-9A76-B0366AD8B7EA}"/>
    <cellStyle name="Normal 2 5 7 2 2 5" xfId="23492" xr:uid="{50433F46-47FE-48C4-B929-F6EA81E9341E}"/>
    <cellStyle name="Normal 2 5 7 2 2 6" xfId="13429" xr:uid="{CD5796A2-B85E-4A30-B3CB-AE07BC20B7CF}"/>
    <cellStyle name="Normal 2 5 7 2 3" xfId="5167" xr:uid="{9060EB0F-8873-4CCC-B47E-BC20FB1A55D0}"/>
    <cellStyle name="Normal 2 5 7 2 3 2" xfId="24093" xr:uid="{8140658E-2120-4103-BA3F-0B6F38DE81A8}"/>
    <cellStyle name="Normal 2 5 7 2 3 3" xfId="27977" xr:uid="{B7581A10-14FA-4070-A47F-E97B46EFFB92}"/>
    <cellStyle name="Normal 2 5 7 2 3 4" xfId="14464" xr:uid="{84722115-5823-45CE-99AC-0AA48348108E}"/>
    <cellStyle name="Normal 2 5 7 2 4" xfId="6917" xr:uid="{ABB8204F-5F68-4D3B-B5C0-E0FF351739A0}"/>
    <cellStyle name="Normal 2 5 7 2 4 2" xfId="27128" xr:uid="{E67F10F3-25A2-4D8F-AAD2-6E4DC1594DB6}"/>
    <cellStyle name="Normal 2 5 7 2 4 3" xfId="26305" xr:uid="{AA7E1F22-0A92-4FF1-9E88-23950B6FEDE6}"/>
    <cellStyle name="Normal 2 5 7 2 4 4" xfId="17297" xr:uid="{9BC63DFC-F0CE-452A-AE87-5CCA8FC53B19}"/>
    <cellStyle name="Normal 2 5 7 2 5" xfId="9750" xr:uid="{E7264DE5-52B1-4692-906E-9DD0289F153E}"/>
    <cellStyle name="Normal 2 5 7 2 5 2" xfId="29403" xr:uid="{9EDE6359-4F37-4234-BA23-058B76396C1B}"/>
    <cellStyle name="Normal 2 5 7 2 5 3" xfId="20130" xr:uid="{9BE466F4-CD27-4903-8CB2-393F7022D916}"/>
    <cellStyle name="Normal 2 5 7 2 6" xfId="24812" xr:uid="{221AF4D8-96BB-42CC-8398-1FBD5CD439A6}"/>
    <cellStyle name="Normal 2 5 7 2 7" xfId="12731" xr:uid="{9FB605A8-A7B1-4FA1-8B2B-AF26473C4371}"/>
    <cellStyle name="Normal 2 5 7 3" xfId="816" xr:uid="{00000000-0005-0000-0000-0000DC040000}"/>
    <cellStyle name="Normal 2 5 7 3 2" xfId="5168" xr:uid="{3E770E89-C976-4B49-A69D-01A42A1046BA}"/>
    <cellStyle name="Normal 2 5 7 3 2 2" xfId="27542" xr:uid="{82D41DC6-34D2-4BCF-A349-458CC7899135}"/>
    <cellStyle name="Normal 2 5 7 3 2 3" xfId="26703" xr:uid="{2EED25AF-C542-4CE4-BFA0-889806031BEA}"/>
    <cellStyle name="Normal 2 5 7 3 2 4" xfId="14465" xr:uid="{5045C102-0344-4C68-8D27-1021B6E1EFC7}"/>
    <cellStyle name="Normal 2 5 7 3 3" xfId="6918" xr:uid="{7C138758-DA1F-4FFF-B085-5A736F7CF706}"/>
    <cellStyle name="Normal 2 5 7 3 3 2" xfId="27912" xr:uid="{AF28E1D1-20A5-4401-ACD6-C4098AD1A24F}"/>
    <cellStyle name="Normal 2 5 7 3 3 3" xfId="27953" xr:uid="{EFC5B746-C63B-4E1A-88C8-DAE3639D4DC3}"/>
    <cellStyle name="Normal 2 5 7 3 3 4" xfId="17298" xr:uid="{FD2A42AA-958D-4A50-8385-C90282911FCA}"/>
    <cellStyle name="Normal 2 5 7 3 4" xfId="9751" xr:uid="{E467DB8B-20BB-49F3-9ECC-7BC2417E7147}"/>
    <cellStyle name="Normal 2 5 7 3 4 2" xfId="29404" xr:uid="{B7564529-64FE-4224-AC93-757CC3458D65}"/>
    <cellStyle name="Normal 2 5 7 3 4 3" xfId="20131" xr:uid="{6E2830BE-5DB1-439A-BF6A-50C05FC302E1}"/>
    <cellStyle name="Normal 2 5 7 3 5" xfId="24737" xr:uid="{F24850FC-B74F-4829-BAB6-7ACC661A5532}"/>
    <cellStyle name="Normal 2 5 7 3 6" xfId="13189" xr:uid="{2C439F39-210C-4C9B-977B-ACBACC47B0B5}"/>
    <cellStyle name="Normal 2 5 7 4" xfId="2339" xr:uid="{00000000-0005-0000-0000-0000AE040000}"/>
    <cellStyle name="Normal 2 5 7 4 2" xfId="7466" xr:uid="{1B362344-0BD6-4D0E-B242-4B50F9728465}"/>
    <cellStyle name="Normal 2 5 7 4 2 2" xfId="28744" xr:uid="{0CC125D7-E415-4BB3-AC0D-4C2EC7949BF1}"/>
    <cellStyle name="Normal 2 5 7 4 2 3" xfId="17846" xr:uid="{5C924F8C-930F-4882-837A-8D0C7343138F}"/>
    <cellStyle name="Normal 2 5 7 4 3" xfId="10299" xr:uid="{F73DC2D7-62D0-47B9-B1D3-79A626A70695}"/>
    <cellStyle name="Normal 2 5 7 4 3 2" xfId="20679" xr:uid="{C9CCF917-99CD-4A73-8291-13AECA5F2EDE}"/>
    <cellStyle name="Normal 2 5 7 4 4" xfId="23087" xr:uid="{F54C2A25-969A-4A8D-8DFA-442B18095805}"/>
    <cellStyle name="Normal 2 5 7 4 5" xfId="15013" xr:uid="{134E550A-C5DE-43AB-91F1-6867B117659D}"/>
    <cellStyle name="Normal 2 5 7 5" xfId="3949" xr:uid="{D8CFC14B-49E3-4A3A-963B-90B9A5D33F02}"/>
    <cellStyle name="Normal 2 5 7 5 2" xfId="8781" xr:uid="{314531B3-1E98-409B-9C90-1A861A73CA31}"/>
    <cellStyle name="Normal 2 5 7 5 2 2" xfId="28981" xr:uid="{79EA32D8-57DD-47A4-888F-9B1212D9E371}"/>
    <cellStyle name="Normal 2 5 7 5 2 3" xfId="19161" xr:uid="{0AE8848D-4986-4FDF-B055-D4A1AED243F2}"/>
    <cellStyle name="Normal 2 5 7 5 3" xfId="11614" xr:uid="{431B8C18-6889-4ABF-93B8-ABC29AE6C23E}"/>
    <cellStyle name="Normal 2 5 7 5 3 2" xfId="21994" xr:uid="{24AA5B20-D95F-456D-B6F9-5B75307D321E}"/>
    <cellStyle name="Normal 2 5 7 5 4" xfId="23048" xr:uid="{BF2A2A7B-A4B2-43E3-B56E-508819FD4D2A}"/>
    <cellStyle name="Normal 2 5 7 5 5" xfId="16328" xr:uid="{15B13AD9-8B90-4437-869A-47F17607C98F}"/>
    <cellStyle name="Normal 2 5 7 6" xfId="5166" xr:uid="{DB16687C-D6BD-4F8D-A886-DB6B61A4308F}"/>
    <cellStyle name="Normal 2 5 7 6 2" xfId="27596" xr:uid="{1A8FEE94-0E9A-47A1-A9DE-9D6EB49014AF}"/>
    <cellStyle name="Normal 2 5 7 6 3" xfId="26893" xr:uid="{3BAFF762-766C-46A0-A1D9-0DE77A03937F}"/>
    <cellStyle name="Normal 2 5 7 6 4" xfId="14463" xr:uid="{9E383EA8-AEC5-407D-85C5-6B8725A9BF50}"/>
    <cellStyle name="Normal 2 5 7 7" xfId="6916" xr:uid="{A11ADF15-8B6E-4FC0-A364-3F9F18D1C6E6}"/>
    <cellStyle name="Normal 2 5 7 7 2" xfId="27964" xr:uid="{BBDB033E-635E-41E9-9BF4-DE49DFE942E7}"/>
    <cellStyle name="Normal 2 5 7 7 3" xfId="17296" xr:uid="{C3ADC7B6-AC92-472A-91BA-C182249D2A74}"/>
    <cellStyle name="Normal 2 5 7 8" xfId="9749" xr:uid="{5592F4F2-A5E1-4C80-AD93-9BB633DB9C87}"/>
    <cellStyle name="Normal 2 5 7 8 2" xfId="20129" xr:uid="{14272C20-86E2-472E-A4E8-4C9B7D12F764}"/>
    <cellStyle name="Normal 2 5 7 9" xfId="23816" xr:uid="{8B9DB549-646C-43BD-980D-D4E511D283D9}"/>
    <cellStyle name="Normal 2 5 8" xfId="817" xr:uid="{00000000-0005-0000-0000-0000DD040000}"/>
    <cellStyle name="Normal 2 5 8 10" xfId="12574" xr:uid="{E38ED17A-C2CC-4BFA-B9D8-85D20747573E}"/>
    <cellStyle name="Normal 2 5 8 2" xfId="818" xr:uid="{00000000-0005-0000-0000-0000DE040000}"/>
    <cellStyle name="Normal 2 5 8 2 2" xfId="2913" xr:uid="{00000000-0005-0000-0000-0000B4040000}"/>
    <cellStyle name="Normal 2 5 8 2 2 2" xfId="6099" xr:uid="{87FC9D8D-AB43-40ED-8F7B-7E2E37B886AF}"/>
    <cellStyle name="Normal 2 5 8 2 2 2 2" xfId="26608" xr:uid="{0E2C8697-FF4A-48A1-B35C-E3A2591FB366}"/>
    <cellStyle name="Normal 2 5 8 2 2 2 3" xfId="27188" xr:uid="{CBE24E46-5E11-443A-A77B-8103F7EA457E}"/>
    <cellStyle name="Normal 2 5 8 2 2 2 4" xfId="15577" xr:uid="{CCEFA5DC-81A5-4731-AF20-D945D234E6F8}"/>
    <cellStyle name="Normal 2 5 8 2 2 3" xfId="8030" xr:uid="{99F426A8-2204-4F37-9D08-DD9295900529}"/>
    <cellStyle name="Normal 2 5 8 2 2 3 2" xfId="28077" xr:uid="{7F706CB7-6FAB-4374-B652-FA22570053F5}"/>
    <cellStyle name="Normal 2 5 8 2 2 3 3" xfId="18410" xr:uid="{E8C1E560-62B3-4C7D-BB20-AED4AB04D940}"/>
    <cellStyle name="Normal 2 5 8 2 2 4" xfId="10863" xr:uid="{C2627F29-8680-4140-B7A5-469789BA4CFD}"/>
    <cellStyle name="Normal 2 5 8 2 2 4 2" xfId="21243" xr:uid="{8A4C4B47-274E-4315-9F51-FC9BCCD9C1EA}"/>
    <cellStyle name="Normal 2 5 8 2 2 5" xfId="25094" xr:uid="{FC916E75-829D-4648-ABC5-97E3678CCF1A}"/>
    <cellStyle name="Normal 2 5 8 2 2 6" xfId="13430" xr:uid="{C0121E78-6DD1-47EB-8E62-5227476F87EE}"/>
    <cellStyle name="Normal 2 5 8 2 3" xfId="5170" xr:uid="{2D1402A6-9415-4653-86D7-D557C147098C}"/>
    <cellStyle name="Normal 2 5 8 2 3 2" xfId="22952" xr:uid="{388FF915-190B-4954-B4E7-FC639DFDE943}"/>
    <cellStyle name="Normal 2 5 8 2 3 3" xfId="28192" xr:uid="{68F1D276-B697-45DD-AC32-13F466365F86}"/>
    <cellStyle name="Normal 2 5 8 2 3 4" xfId="14467" xr:uid="{0FF6EBD6-B970-4B44-BA59-1FDA5254A209}"/>
    <cellStyle name="Normal 2 5 8 2 4" xfId="6920" xr:uid="{0E4C1027-7728-4935-9EA7-C7B74EE744D2}"/>
    <cellStyle name="Normal 2 5 8 2 4 2" xfId="28642" xr:uid="{459B1FF4-BA87-4BB3-8F04-5A33DD60A1CC}"/>
    <cellStyle name="Normal 2 5 8 2 4 3" xfId="26085" xr:uid="{8F91E1C7-6E17-4EC2-8DEA-849DDF060DEA}"/>
    <cellStyle name="Normal 2 5 8 2 4 4" xfId="17300" xr:uid="{C0BBF1FD-7C5D-4DAB-A0F0-C8E5DEDEF76E}"/>
    <cellStyle name="Normal 2 5 8 2 5" xfId="9753" xr:uid="{76768B74-70FA-4465-B1AA-713D127A7702}"/>
    <cellStyle name="Normal 2 5 8 2 5 2" xfId="29405" xr:uid="{DF98DF7B-1E00-43BC-983A-B4CC22D34525}"/>
    <cellStyle name="Normal 2 5 8 2 5 3" xfId="20133" xr:uid="{C594FEF9-4D23-4971-B868-D67002B33B47}"/>
    <cellStyle name="Normal 2 5 8 2 6" xfId="23828" xr:uid="{C8386A60-128C-499F-AFCE-4DD10DBA963E}"/>
    <cellStyle name="Normal 2 5 8 2 7" xfId="12732" xr:uid="{F643D582-96B8-4CC8-AC8C-FCCC2DB6AF69}"/>
    <cellStyle name="Normal 2 5 8 3" xfId="819" xr:uid="{00000000-0005-0000-0000-0000DF040000}"/>
    <cellStyle name="Normal 2 5 8 3 2" xfId="5171" xr:uid="{7EA0FB52-D0FE-464E-B1A8-416EB7CAF6C7}"/>
    <cellStyle name="Normal 2 5 8 3 2 2" xfId="27762" xr:uid="{1B3D8A2B-1258-4528-9408-85F43A031E64}"/>
    <cellStyle name="Normal 2 5 8 3 2 3" xfId="26290" xr:uid="{AA918E9E-EA3E-4349-9744-D71435009A3C}"/>
    <cellStyle name="Normal 2 5 8 3 2 4" xfId="14468" xr:uid="{3E6F9440-77F5-4A99-B3EB-8BA589A02EDF}"/>
    <cellStyle name="Normal 2 5 8 3 3" xfId="6921" xr:uid="{B0B08595-060E-494E-8110-148EF87A2DA8}"/>
    <cellStyle name="Normal 2 5 8 3 3 2" xfId="28638" xr:uid="{032D4AEB-EE59-4E85-8CEB-A25B80BB18B6}"/>
    <cellStyle name="Normal 2 5 8 3 3 3" xfId="27846" xr:uid="{9B0AC6F4-3E72-4516-847F-2AA6AC759CEA}"/>
    <cellStyle name="Normal 2 5 8 3 3 4" xfId="17301" xr:uid="{9CAE0CA5-192E-4FCA-A94D-8A5B4F1AA151}"/>
    <cellStyle name="Normal 2 5 8 3 4" xfId="9754" xr:uid="{9846A3BF-14CF-479A-A442-5CF3BBFAE313}"/>
    <cellStyle name="Normal 2 5 8 3 4 2" xfId="29406" xr:uid="{2D856DE2-86A0-419D-96E1-34CA2644A20C}"/>
    <cellStyle name="Normal 2 5 8 3 4 3" xfId="20134" xr:uid="{53B8728A-7373-4BC2-B56D-E24262BF362B}"/>
    <cellStyle name="Normal 2 5 8 3 5" xfId="23851" xr:uid="{46453A9E-A67F-494D-87B3-15B3F5DFAF52}"/>
    <cellStyle name="Normal 2 5 8 3 6" xfId="13190" xr:uid="{496E3A89-8730-4E6C-828A-8D05C85E2345}"/>
    <cellStyle name="Normal 2 5 8 4" xfId="2340" xr:uid="{00000000-0005-0000-0000-0000B2040000}"/>
    <cellStyle name="Normal 2 5 8 4 2" xfId="7467" xr:uid="{C16FBEFE-52AB-4441-A1C9-E8B5687AE242}"/>
    <cellStyle name="Normal 2 5 8 4 2 2" xfId="27848" xr:uid="{0E4396B1-BC75-464D-B164-CF432F57B523}"/>
    <cellStyle name="Normal 2 5 8 4 2 3" xfId="17847" xr:uid="{FDB08684-D268-4DCA-B262-1B3506CE5912}"/>
    <cellStyle name="Normal 2 5 8 4 3" xfId="10300" xr:uid="{E5AA1FD1-ED76-4FAD-8CA9-11EB7236145B}"/>
    <cellStyle name="Normal 2 5 8 4 3 2" xfId="20680" xr:uid="{C78468E8-4D30-4A55-9AA2-6B20AC0D4496}"/>
    <cellStyle name="Normal 2 5 8 4 4" xfId="25085" xr:uid="{47ACB428-AD37-40AD-87E4-7E37E5606D87}"/>
    <cellStyle name="Normal 2 5 8 4 5" xfId="15014" xr:uid="{A3C273AF-593E-476B-B230-8D7E402C6145}"/>
    <cellStyle name="Normal 2 5 8 5" xfId="3950" xr:uid="{BF81343B-B83B-43B8-9BC5-CB12006B854C}"/>
    <cellStyle name="Normal 2 5 8 5 2" xfId="8782" xr:uid="{CECA1BCB-AD76-4537-8025-497C5AD21B3F}"/>
    <cellStyle name="Normal 2 5 8 5 2 2" xfId="28982" xr:uid="{94C765E6-BB12-4335-80EF-AF4F156CCF00}"/>
    <cellStyle name="Normal 2 5 8 5 2 3" xfId="19162" xr:uid="{0C1C02B2-740E-4BCE-B144-84642897C345}"/>
    <cellStyle name="Normal 2 5 8 5 3" xfId="11615" xr:uid="{0C944F9B-713E-4AE8-BB46-119FFF8D1704}"/>
    <cellStyle name="Normal 2 5 8 5 3 2" xfId="21995" xr:uid="{1EAB1D14-CBDA-43A1-9717-0CB745344DC4}"/>
    <cellStyle name="Normal 2 5 8 5 4" xfId="24535" xr:uid="{6ECCF8D9-9A14-4CC9-AD83-CFF583C82AC6}"/>
    <cellStyle name="Normal 2 5 8 5 5" xfId="16329" xr:uid="{B341DFBB-E567-480A-809E-A7B726B6E9CA}"/>
    <cellStyle name="Normal 2 5 8 6" xfId="5169" xr:uid="{AF740421-A9D7-4981-B0DD-024B66F1145B}"/>
    <cellStyle name="Normal 2 5 8 6 2" xfId="27676" xr:uid="{7DEE681E-4F61-4398-91D7-57107E8AAA8D}"/>
    <cellStyle name="Normal 2 5 8 6 3" xfId="27479" xr:uid="{59820533-D3B5-4D7A-A35D-04C989DD83D8}"/>
    <cellStyle name="Normal 2 5 8 6 4" xfId="14466" xr:uid="{8C96E933-25D4-4073-B797-84AB31DEAECA}"/>
    <cellStyle name="Normal 2 5 8 7" xfId="6919" xr:uid="{239F98C7-8727-4BE7-81D5-EE9277AB63F6}"/>
    <cellStyle name="Normal 2 5 8 7 2" xfId="27062" xr:uid="{96429B7D-6E41-4E3C-89DE-72DA8AA46504}"/>
    <cellStyle name="Normal 2 5 8 7 3" xfId="17299" xr:uid="{D7886A59-2199-41D7-AE3A-FD9033BD4BD3}"/>
    <cellStyle name="Normal 2 5 8 8" xfId="9752" xr:uid="{CB9AC7CF-C7D8-4DCC-A2E0-F4127C7C6F31}"/>
    <cellStyle name="Normal 2 5 8 8 2" xfId="20132" xr:uid="{BB9A25AA-4245-4628-BC06-51E1DB837678}"/>
    <cellStyle name="Normal 2 5 8 9" xfId="24424" xr:uid="{328A836E-32EB-4DD2-AFBA-D794BE946D62}"/>
    <cellStyle name="Normal 2 5 9" xfId="820" xr:uid="{00000000-0005-0000-0000-0000E0040000}"/>
    <cellStyle name="Normal 2 5 9 10" xfId="12504" xr:uid="{7FCA7729-F1C3-43C7-A3F8-4974BBD8AE7A}"/>
    <cellStyle name="Normal 2 5 9 2" xfId="3235" xr:uid="{00000000-0005-0000-0000-0000B7040000}"/>
    <cellStyle name="Normal 2 5 9 2 2" xfId="6293" xr:uid="{0B91A8BA-076C-481F-ADFB-A7856F4F3E46}"/>
    <cellStyle name="Normal 2 5 9 2 2 2" xfId="25631" xr:uid="{6C3EDB00-8CAF-4CFC-9DE8-3599F9EB5F26}"/>
    <cellStyle name="Normal 2 5 9 2 2 3" xfId="27968" xr:uid="{B970ACEE-F553-41DC-8DCB-FA030DEE0490}"/>
    <cellStyle name="Normal 2 5 9 2 2 4" xfId="15862" xr:uid="{0F440309-72D3-4934-AF8C-1DB3325F7EF9}"/>
    <cellStyle name="Normal 2 5 9 2 3" xfId="8315" xr:uid="{F4394632-4CB4-4401-8E21-5AB05E129132}"/>
    <cellStyle name="Normal 2 5 9 2 3 2" xfId="27352" xr:uid="{61014B98-6863-4EE2-9C3B-0C7310C8CF1B}"/>
    <cellStyle name="Normal 2 5 9 2 3 3" xfId="28890" xr:uid="{BEEE6F3E-1FED-40DD-9227-5E2282FE853D}"/>
    <cellStyle name="Normal 2 5 9 2 3 4" xfId="18695" xr:uid="{A2154F9B-A893-4B53-A8A7-192A73DEF509}"/>
    <cellStyle name="Normal 2 5 9 2 4" xfId="11148" xr:uid="{80A17659-A99E-4BA9-9359-3C23DD1BD919}"/>
    <cellStyle name="Normal 2 5 9 2 4 2" xfId="29478" xr:uid="{EFABE57B-B8CC-4BD2-9E3D-CF65BBFFD636}"/>
    <cellStyle name="Normal 2 5 9 2 4 3" xfId="21528" xr:uid="{B509A441-B731-49A6-96BB-4F34A6F2F384}"/>
    <cellStyle name="Normal 2 5 9 2 5" xfId="24246" xr:uid="{F9B116E2-9B39-4305-ABEF-403951DA8795}"/>
    <cellStyle name="Normal 2 5 9 2 6" xfId="13783" xr:uid="{B7F3693F-EB02-4589-9952-0D16020DDF4E}"/>
    <cellStyle name="Normal 2 5 9 3" xfId="2739" xr:uid="{00000000-0005-0000-0000-0000B8040000}"/>
    <cellStyle name="Normal 2 5 9 3 2" xfId="5957" xr:uid="{1C106CF1-7AAC-412B-81B1-54ED467F200B}"/>
    <cellStyle name="Normal 2 5 9 3 2 2" xfId="27466" xr:uid="{CC4B03BE-8BC6-4C64-AF77-07528B0A7D4A}"/>
    <cellStyle name="Normal 2 5 9 3 2 3" xfId="15410" xr:uid="{E570EFB2-99EA-4234-A4D2-5ABF913393A2}"/>
    <cellStyle name="Normal 2 5 9 3 3" xfId="7863" xr:uid="{302C5420-7804-42BA-B297-E308AAEF5BCE}"/>
    <cellStyle name="Normal 2 5 9 3 3 2" xfId="18243" xr:uid="{A9579B9F-64EE-43F8-9A70-559D79FF8E1D}"/>
    <cellStyle name="Normal 2 5 9 3 4" xfId="10696" xr:uid="{25CD7F1D-4955-4FCA-B4B5-67C0756C0511}"/>
    <cellStyle name="Normal 2 5 9 3 4 2" xfId="21076" xr:uid="{35D0D869-E1F7-4435-8529-8D9C63936AF1}"/>
    <cellStyle name="Normal 2 5 9 3 5" xfId="23940" xr:uid="{70708FAF-6117-43BC-A4C3-2588E56CBF5B}"/>
    <cellStyle name="Normal 2 5 9 3 6" xfId="13177" xr:uid="{5C716C2B-4908-4FE3-92D6-4A1D28A4DF2A}"/>
    <cellStyle name="Normal 2 5 9 4" xfId="2272" xr:uid="{00000000-0005-0000-0000-0000B6040000}"/>
    <cellStyle name="Normal 2 5 9 4 2" xfId="7399" xr:uid="{44CC9008-625D-48A4-A3F4-6A660BC2991B}"/>
    <cellStyle name="Normal 2 5 9 4 2 2" xfId="27954" xr:uid="{1ACE6644-AF73-4258-8A74-DFFE087E6897}"/>
    <cellStyle name="Normal 2 5 9 4 2 3" xfId="17779" xr:uid="{9971C4D6-2A38-4BFF-B60A-B3EEDC94716F}"/>
    <cellStyle name="Normal 2 5 9 4 3" xfId="10232" xr:uid="{5F9F0C4C-2D85-4646-960C-56A8C3B1C93E}"/>
    <cellStyle name="Normal 2 5 9 4 3 2" xfId="20612" xr:uid="{81686D14-218A-4EB9-97EF-B8C9AF73EDE0}"/>
    <cellStyle name="Normal 2 5 9 4 4" xfId="23688" xr:uid="{49D8E19A-075C-4E34-A4CE-79C0FF224597}"/>
    <cellStyle name="Normal 2 5 9 4 5" xfId="14946" xr:uid="{7A1B2A35-2331-4EF4-A6EF-5E897BBCE437}"/>
    <cellStyle name="Normal 2 5 9 5" xfId="3810" xr:uid="{C36B1377-C1A8-4750-9E28-3ABDD05BE518}"/>
    <cellStyle name="Normal 2 5 9 5 2" xfId="8645" xr:uid="{154617DC-6663-42CD-931D-5622CEA77ECE}"/>
    <cellStyle name="Normal 2 5 9 5 2 2" xfId="19025" xr:uid="{CE4701C2-C8C4-4A37-B1F3-6C21AEDEA06A}"/>
    <cellStyle name="Normal 2 5 9 5 3" xfId="11478" xr:uid="{6063A356-5B28-4C34-8859-1EBC8C85D199}"/>
    <cellStyle name="Normal 2 5 9 5 3 2" xfId="21858" xr:uid="{4EE30D17-D780-4166-84BD-EC2FB143CCEC}"/>
    <cellStyle name="Normal 2 5 9 5 4" xfId="28104" xr:uid="{BE95F47A-4672-426F-99A6-ACA33F274C2D}"/>
    <cellStyle name="Normal 2 5 9 5 5" xfId="16192" xr:uid="{0865A172-1CAC-4A74-979F-330CE434C959}"/>
    <cellStyle name="Normal 2 5 9 6" xfId="5172" xr:uid="{B31D40FC-3EBC-4519-B7B0-43B86423AE7E}"/>
    <cellStyle name="Normal 2 5 9 6 2" xfId="14469" xr:uid="{4FBA8EC1-5C39-4D2C-BA4F-5F800D6F3DB5}"/>
    <cellStyle name="Normal 2 5 9 7" xfId="6922" xr:uid="{9AAF25E7-CC15-41BD-B93C-BEB25785AB29}"/>
    <cellStyle name="Normal 2 5 9 7 2" xfId="17302" xr:uid="{EB8FE4D3-0522-4388-8A17-14FEAD0B5AC4}"/>
    <cellStyle name="Normal 2 5 9 8" xfId="9755" xr:uid="{27576975-041A-453B-BB10-E93A0FD07564}"/>
    <cellStyle name="Normal 2 5 9 8 2" xfId="20135" xr:uid="{C871B22F-AA4C-4F56-9BB6-586D7328BD16}"/>
    <cellStyle name="Normal 2 5 9 9" xfId="25521" xr:uid="{D68B2B4B-CB3F-46E5-9B54-D643C1350598}"/>
    <cellStyle name="Normal 2 6" xfId="821" xr:uid="{00000000-0005-0000-0000-0000E1040000}"/>
    <cellStyle name="Normal 2 6 10" xfId="5173" xr:uid="{DD478F15-A083-4817-8175-D763E388BB84}"/>
    <cellStyle name="Normal 2 6 10 2" xfId="14470" xr:uid="{E5309782-CB5A-4A22-A5E7-5A4F7C7A20E6}"/>
    <cellStyle name="Normal 2 6 11" xfId="6923" xr:uid="{B39136A8-D95F-4470-8743-FEB656977D2A}"/>
    <cellStyle name="Normal 2 6 11 2" xfId="17303" xr:uid="{A69F4FF9-21AA-4E7B-93DC-CCCD3D07233C}"/>
    <cellStyle name="Normal 2 6 12" xfId="9756" xr:uid="{2EB3993A-F026-4EED-9A24-7B90B3DD425E}"/>
    <cellStyle name="Normal 2 6 12 2" xfId="20136" xr:uid="{DDDB0523-0818-4E09-A63F-A4F629557835}"/>
    <cellStyle name="Normal 2 6 13" xfId="22825" xr:uid="{49B58377-FBC9-4605-89B7-B6DD49E3E0BC}"/>
    <cellStyle name="Normal 2 6 14" xfId="12398" xr:uid="{6FCA1971-0E11-4060-AEE0-39888A0B4FEC}"/>
    <cellStyle name="Normal 2 6 15" xfId="29569" xr:uid="{D20AE30D-0FA9-4A88-B2A2-8B4705DD5E43}"/>
    <cellStyle name="Normal 2 6 2" xfId="822" xr:uid="{00000000-0005-0000-0000-0000E2040000}"/>
    <cellStyle name="Normal 2 6 2 10" xfId="6924" xr:uid="{6B452C7E-FE71-41C6-AEB2-1CEFD1267B3F}"/>
    <cellStyle name="Normal 2 6 2 10 2" xfId="17304" xr:uid="{C1B45B50-B0BF-4C5A-9E26-73DFBCF43E54}"/>
    <cellStyle name="Normal 2 6 2 11" xfId="9757" xr:uid="{70EE3BED-9444-4771-B0E0-B22D2D681A56}"/>
    <cellStyle name="Normal 2 6 2 11 2" xfId="20137" xr:uid="{B8848E42-84F5-402A-8F44-DF4E26C14C9C}"/>
    <cellStyle name="Normal 2 6 2 12" xfId="24771" xr:uid="{35CF3DA4-DC61-44EA-9462-885C50B93914}"/>
    <cellStyle name="Normal 2 6 2 13" xfId="12458" xr:uid="{560212F9-0533-4461-9920-F70CFBCCFBC5}"/>
    <cellStyle name="Normal 2 6 2 2" xfId="823" xr:uid="{00000000-0005-0000-0000-0000E3040000}"/>
    <cellStyle name="Normal 2 6 2 2 10" xfId="13023" xr:uid="{0D4BBAF6-D8A0-465E-8BC7-1533A0227D43}"/>
    <cellStyle name="Normal 2 6 2 2 2" xfId="2750" xr:uid="{00000000-0005-0000-0000-0000BC040000}"/>
    <cellStyle name="Normal 2 6 2 2 2 2" xfId="3238" xr:uid="{00000000-0005-0000-0000-0000BD040000}"/>
    <cellStyle name="Normal 2 6 2 2 2 2 2" xfId="6296" xr:uid="{0B07470C-85B1-4C6C-8ECD-495CD613F7F9}"/>
    <cellStyle name="Normal 2 6 2 2 2 2 2 2" xfId="25985" xr:uid="{15AEB110-49CC-43EA-914F-C7B5BA29E022}"/>
    <cellStyle name="Normal 2 6 2 2 2 2 2 3" xfId="15865" xr:uid="{6299CCA4-F531-4401-9A04-6E9291B145E1}"/>
    <cellStyle name="Normal 2 6 2 2 2 2 3" xfId="8318" xr:uid="{7D00746B-09DC-4BE8-9F40-2E48AA9B3F4E}"/>
    <cellStyle name="Normal 2 6 2 2 2 2 3 2" xfId="18698" xr:uid="{92375DE8-DFE2-4284-ADB8-E6088B04237C}"/>
    <cellStyle name="Normal 2 6 2 2 2 2 4" xfId="11151" xr:uid="{45876200-9A30-4704-87EC-D9A1EE244809}"/>
    <cellStyle name="Normal 2 6 2 2 2 2 4 2" xfId="21531" xr:uid="{19313E0A-2184-42AB-A62F-564856D82415}"/>
    <cellStyle name="Normal 2 6 2 2 2 2 5" xfId="24865" xr:uid="{22919932-BE07-4BEC-A9C1-1F5690CBF9E8}"/>
    <cellStyle name="Normal 2 6 2 2 2 2 6" xfId="13786" xr:uid="{D92ABE24-15D8-42BF-BA33-29B764548151}"/>
    <cellStyle name="Normal 2 6 2 2 2 3" xfId="4313" xr:uid="{451EFECD-E6FF-49A0-931F-814EEFFD5A8F}"/>
    <cellStyle name="Normal 2 6 2 2 2 3 2" xfId="9085" xr:uid="{3595DF81-ADC3-45A8-9BCF-7689DB946DF4}"/>
    <cellStyle name="Normal 2 6 2 2 2 3 2 2" xfId="29128" xr:uid="{3478CBB0-2BB3-4BBC-BDF5-74924D9D1697}"/>
    <cellStyle name="Normal 2 6 2 2 2 3 2 3" xfId="19465" xr:uid="{53207F61-895A-499D-A277-FF244C663D60}"/>
    <cellStyle name="Normal 2 6 2 2 2 3 3" xfId="11918" xr:uid="{48D8DEA2-984C-4B9D-A7AA-ED5779C04D14}"/>
    <cellStyle name="Normal 2 6 2 2 2 3 3 2" xfId="22298" xr:uid="{7CA70C4C-A7DF-4680-9001-4AC840974DE7}"/>
    <cellStyle name="Normal 2 6 2 2 2 3 4" xfId="23344" xr:uid="{D534D1FF-ED6B-4AFA-A78B-91BFD6963392}"/>
    <cellStyle name="Normal 2 6 2 2 2 3 5" xfId="16632" xr:uid="{D5A661F6-AA69-4A0F-BEEE-49C104A2C658}"/>
    <cellStyle name="Normal 2 6 2 2 2 4" xfId="5968" xr:uid="{298A3100-0F0E-4143-A5EA-0E61FD9A4AB6}"/>
    <cellStyle name="Normal 2 6 2 2 2 4 2" xfId="26480" xr:uid="{11AECB0D-6D22-4FB1-BDEF-36BD0B668DF2}"/>
    <cellStyle name="Normal 2 6 2 2 2 4 3" xfId="15421" xr:uid="{06CF890A-500B-4804-8C18-A9A6100DD4F0}"/>
    <cellStyle name="Normal 2 6 2 2 2 5" xfId="7874" xr:uid="{13D454F1-D94D-4985-B799-7A9EE008A9DD}"/>
    <cellStyle name="Normal 2 6 2 2 2 5 2" xfId="18254" xr:uid="{49C3328D-2308-4F91-B477-7FDE2DDB1AD1}"/>
    <cellStyle name="Normal 2 6 2 2 2 6" xfId="10707" xr:uid="{67F0920D-71CE-4035-957B-64609EFCF7FB}"/>
    <cellStyle name="Normal 2 6 2 2 2 6 2" xfId="21087" xr:uid="{B4910B9D-7FD4-4ABB-8821-B0753D2BA9C3}"/>
    <cellStyle name="Normal 2 6 2 2 2 7" xfId="24555" xr:uid="{A6371983-7A9E-40B5-882F-16BA02B0D5BB}"/>
    <cellStyle name="Normal 2 6 2 2 2 8" xfId="13193" xr:uid="{E94E252D-CEC7-44E3-AE45-EF7C918145D9}"/>
    <cellStyle name="Normal 2 6 2 2 3" xfId="3239" xr:uid="{00000000-0005-0000-0000-0000BE040000}"/>
    <cellStyle name="Normal 2 6 2 2 3 2" xfId="4490" xr:uid="{55CEC6C5-0DF6-4B0F-924A-77BA3BC616DD}"/>
    <cellStyle name="Normal 2 6 2 2 3 2 2" xfId="9262" xr:uid="{06250DE4-EF61-49D8-88D3-8EC22069837C}"/>
    <cellStyle name="Normal 2 6 2 2 3 2 2 2" xfId="19642" xr:uid="{66BB9C65-E528-4C7D-B9E6-BE7C48E04D21}"/>
    <cellStyle name="Normal 2 6 2 2 3 2 3" xfId="12095" xr:uid="{668CB0BD-5154-4E9D-9950-737CB28749D1}"/>
    <cellStyle name="Normal 2 6 2 2 3 2 3 2" xfId="22475" xr:uid="{0927B242-5633-413B-9366-D0BF18B6BEF8}"/>
    <cellStyle name="Normal 2 6 2 2 3 2 4" xfId="27215" xr:uid="{86708BAA-E17F-49EC-854A-0A84CF6C76C2}"/>
    <cellStyle name="Normal 2 6 2 2 3 2 5" xfId="16809" xr:uid="{599B188C-F56C-4FC6-A997-E2906A024AF1}"/>
    <cellStyle name="Normal 2 6 2 2 3 3" xfId="6297" xr:uid="{B79DBA51-6000-4D82-80A8-804A3E8AE8B8}"/>
    <cellStyle name="Normal 2 6 2 2 3 3 2" xfId="15866" xr:uid="{7DC4A406-DF69-4EC5-A326-85572F0B978F}"/>
    <cellStyle name="Normal 2 6 2 2 3 4" xfId="8319" xr:uid="{45F53046-B812-4B00-AF6C-5C1BE3C220C6}"/>
    <cellStyle name="Normal 2 6 2 2 3 4 2" xfId="18699" xr:uid="{4FA5C0D2-5A8F-4244-BA51-715E53E0E9C9}"/>
    <cellStyle name="Normal 2 6 2 2 3 5" xfId="11152" xr:uid="{8FB676D1-A2A5-4791-81A5-AA86212AE9BB}"/>
    <cellStyle name="Normal 2 6 2 2 3 5 2" xfId="21532" xr:uid="{1B7321DF-74C0-4FE4-90B0-A4A4BC518DD0}"/>
    <cellStyle name="Normal 2 6 2 2 3 6" xfId="25445" xr:uid="{63EE90C9-352C-4A42-BCBF-967139EC8398}"/>
    <cellStyle name="Normal 2 6 2 2 3 7" xfId="13787" xr:uid="{003465C1-845E-4AA6-AAC9-38E55E50C248}"/>
    <cellStyle name="Normal 2 6 2 2 4" xfId="3237" xr:uid="{00000000-0005-0000-0000-0000BF040000}"/>
    <cellStyle name="Normal 2 6 2 2 4 2" xfId="6295" xr:uid="{8A71D997-902F-4EC5-BD04-EFA816DE2D95}"/>
    <cellStyle name="Normal 2 6 2 2 4 2 2" xfId="26120" xr:uid="{6C41D414-276B-4750-99C0-84744654015A}"/>
    <cellStyle name="Normal 2 6 2 2 4 2 3" xfId="15864" xr:uid="{58E19D04-F987-48EA-AD62-D757F9DC9301}"/>
    <cellStyle name="Normal 2 6 2 2 4 3" xfId="8317" xr:uid="{D7CD78DF-D605-471F-83D2-64D69091FA77}"/>
    <cellStyle name="Normal 2 6 2 2 4 3 2" xfId="18697" xr:uid="{8ADBC21C-45A3-48A1-89F6-3A2356F32654}"/>
    <cellStyle name="Normal 2 6 2 2 4 4" xfId="11150" xr:uid="{14AD40EB-66C8-45BC-83A2-CCA9B1A5ABF3}"/>
    <cellStyle name="Normal 2 6 2 2 4 4 2" xfId="21530" xr:uid="{214F76B3-3270-4655-8C6B-6FFC20D4F682}"/>
    <cellStyle name="Normal 2 6 2 2 4 5" xfId="24352" xr:uid="{781D88E8-E12F-46EC-82D2-751C026D45CE}"/>
    <cellStyle name="Normal 2 6 2 2 4 6" xfId="13785" xr:uid="{91AAE636-ACAC-4080-91F2-DFC72904F990}"/>
    <cellStyle name="Normal 2 6 2 2 5" xfId="4237" xr:uid="{6213120F-9F90-4BE0-92B7-346DAD0055F1}"/>
    <cellStyle name="Normal 2 6 2 2 5 2" xfId="9009" xr:uid="{B23A0D37-DA54-4EDA-BE34-71A567E5C728}"/>
    <cellStyle name="Normal 2 6 2 2 5 2 2" xfId="29080" xr:uid="{5B35F843-65AE-46F3-BBE9-BA3D0813C538}"/>
    <cellStyle name="Normal 2 6 2 2 5 2 3" xfId="19389" xr:uid="{6714A023-88B7-4F17-BD6B-5FA4ACE1AAC2}"/>
    <cellStyle name="Normal 2 6 2 2 5 3" xfId="11842" xr:uid="{C70035A5-E15B-4D76-88E0-5C3F7C131519}"/>
    <cellStyle name="Normal 2 6 2 2 5 3 2" xfId="22222" xr:uid="{E83365C6-6F43-4F18-8F82-0431B69ED16A}"/>
    <cellStyle name="Normal 2 6 2 2 5 4" xfId="23577" xr:uid="{BBCF9256-3B95-44EB-92C0-669EE74927F6}"/>
    <cellStyle name="Normal 2 6 2 2 5 5" xfId="16556" xr:uid="{2525C136-B1B0-4DFD-A134-1912100B16CB}"/>
    <cellStyle name="Normal 2 6 2 2 6" xfId="5175" xr:uid="{EFD3024B-EF2D-42ED-A19F-E2212A050465}"/>
    <cellStyle name="Normal 2 6 2 2 6 2" xfId="28651" xr:uid="{E51DA777-0808-4589-A231-F6DEACAEA0DC}"/>
    <cellStyle name="Normal 2 6 2 2 6 3" xfId="14472" xr:uid="{CC01BC16-52DB-4F97-85D1-813E789606D7}"/>
    <cellStyle name="Normal 2 6 2 2 7" xfId="6925" xr:uid="{8FEB73BD-73B7-40EC-81B9-13739C227541}"/>
    <cellStyle name="Normal 2 6 2 2 7 2" xfId="17305" xr:uid="{8E9BBD76-FCD0-4DA6-9DE2-B44004DEE9FF}"/>
    <cellStyle name="Normal 2 6 2 2 8" xfId="9758" xr:uid="{E500A65A-BD52-41D2-BA8F-127DE68A173E}"/>
    <cellStyle name="Normal 2 6 2 2 8 2" xfId="20138" xr:uid="{6EAF28EB-AB73-4A7D-8ACB-0F87A24CD8B4}"/>
    <cellStyle name="Normal 2 6 2 2 9" xfId="24336" xr:uid="{550195B9-69B1-41FF-8556-424F9227CAEB}"/>
    <cellStyle name="Normal 2 6 2 3" xfId="2749" xr:uid="{00000000-0005-0000-0000-0000C0040000}"/>
    <cellStyle name="Normal 2 6 2 3 2" xfId="3240" xr:uid="{00000000-0005-0000-0000-0000C1040000}"/>
    <cellStyle name="Normal 2 6 2 3 2 2" xfId="6298" xr:uid="{909EF239-56EC-436B-B207-0C2058E4371C}"/>
    <cellStyle name="Normal 2 6 2 3 2 2 2" xfId="27531" xr:uid="{6A3159D9-295F-4279-B03A-E3C845D77425}"/>
    <cellStyle name="Normal 2 6 2 3 2 2 3" xfId="15867" xr:uid="{2C7CBD9F-6D00-4DFD-8C61-0A5C8FFCB40E}"/>
    <cellStyle name="Normal 2 6 2 3 2 3" xfId="8320" xr:uid="{E8956212-19DA-46E6-AE5B-B477D98F4FC0}"/>
    <cellStyle name="Normal 2 6 2 3 2 3 2" xfId="18700" xr:uid="{63AAA577-4A6D-42C1-AEF3-F0691CE300E7}"/>
    <cellStyle name="Normal 2 6 2 3 2 4" xfId="11153" xr:uid="{3183E437-A385-4F27-8C65-8E24BC3C2386}"/>
    <cellStyle name="Normal 2 6 2 3 2 4 2" xfId="21533" xr:uid="{CCA787AD-396D-48F7-939C-67EA61F5EAFF}"/>
    <cellStyle name="Normal 2 6 2 3 2 5" xfId="22796" xr:uid="{35DE97A9-B50F-44E7-8469-98B46AE21DDC}"/>
    <cellStyle name="Normal 2 6 2 3 2 6" xfId="13788" xr:uid="{DBCCB06C-77FF-48D3-B46A-C7ED0160E78B}"/>
    <cellStyle name="Normal 2 6 2 3 3" xfId="4312" xr:uid="{05338117-EB87-4B41-8F3F-9D96A8C69F48}"/>
    <cellStyle name="Normal 2 6 2 3 3 2" xfId="9084" xr:uid="{06B64086-F2FA-4554-A66A-7DCD7A828594}"/>
    <cellStyle name="Normal 2 6 2 3 3 2 2" xfId="29127" xr:uid="{CD74FA9E-399D-4ABF-9104-22E50EC80906}"/>
    <cellStyle name="Normal 2 6 2 3 3 2 3" xfId="19464" xr:uid="{374CA1CC-12B2-48B1-9D67-A7B3DEEE4CBF}"/>
    <cellStyle name="Normal 2 6 2 3 3 3" xfId="11917" xr:uid="{1DD8F1BF-BCEA-465E-A31C-07F49838B74E}"/>
    <cellStyle name="Normal 2 6 2 3 3 3 2" xfId="22297" xr:uid="{9E6596BA-0FCB-417E-82E2-1524BC5841F5}"/>
    <cellStyle name="Normal 2 6 2 3 3 4" xfId="25349" xr:uid="{42660836-C392-4A95-AB7D-2B10EB886405}"/>
    <cellStyle name="Normal 2 6 2 3 3 5" xfId="16631" xr:uid="{563033DD-F564-4805-B714-6325541D0051}"/>
    <cellStyle name="Normal 2 6 2 3 4" xfId="5967" xr:uid="{E65F83FC-A1C3-4EA4-9529-1202F48F8094}"/>
    <cellStyle name="Normal 2 6 2 3 4 2" xfId="27923" xr:uid="{1E851278-57D4-4AA3-A532-7F287997802C}"/>
    <cellStyle name="Normal 2 6 2 3 4 3" xfId="15420" xr:uid="{69C05F2B-C137-4BB6-8704-13070549C81C}"/>
    <cellStyle name="Normal 2 6 2 3 5" xfId="7873" xr:uid="{621F3C51-E706-4289-808D-3600D7DE2E8D}"/>
    <cellStyle name="Normal 2 6 2 3 5 2" xfId="18253" xr:uid="{2C1E3A01-E7C2-4B75-9362-E23996E4157F}"/>
    <cellStyle name="Normal 2 6 2 3 6" xfId="10706" xr:uid="{0942D83E-6785-4069-93ED-E1FEF867500E}"/>
    <cellStyle name="Normal 2 6 2 3 6 2" xfId="21086" xr:uid="{D0426F11-DBC5-4AD7-A855-E1C40AE9F6EE}"/>
    <cellStyle name="Normal 2 6 2 3 7" xfId="24596" xr:uid="{70CCA74D-0F9E-4C26-BE30-EDEF40B34700}"/>
    <cellStyle name="Normal 2 6 2 3 8" xfId="13192" xr:uid="{082743DC-5C06-434B-9280-28C08901C2E8}"/>
    <cellStyle name="Normal 2 6 2 4" xfId="3241" xr:uid="{00000000-0005-0000-0000-0000C2040000}"/>
    <cellStyle name="Normal 2 6 2 4 2" xfId="4491" xr:uid="{99D999CC-6FD5-486B-8B59-AACF02421660}"/>
    <cellStyle name="Normal 2 6 2 4 2 2" xfId="9263" xr:uid="{693B2310-F2CC-4B51-8DCA-6C985B7E01F6}"/>
    <cellStyle name="Normal 2 6 2 4 2 2 2" xfId="19643" xr:uid="{60CE9961-B196-4E53-9106-4D821DF88F34}"/>
    <cellStyle name="Normal 2 6 2 4 2 3" xfId="12096" xr:uid="{F27E296C-2BF5-4C55-A4BC-C01B2BB3001C}"/>
    <cellStyle name="Normal 2 6 2 4 2 3 2" xfId="22476" xr:uid="{6890BA32-74A1-468A-8E1D-EE5DDA9E01A7}"/>
    <cellStyle name="Normal 2 6 2 4 2 4" xfId="26156" xr:uid="{8E1693E9-A028-4C58-88A3-DCB985228DC4}"/>
    <cellStyle name="Normal 2 6 2 4 2 5" xfId="16810" xr:uid="{C18685EF-A719-4116-BA1B-3BA5E1AA00FD}"/>
    <cellStyle name="Normal 2 6 2 4 3" xfId="6299" xr:uid="{492F9173-ED6E-4509-86DB-B2EA5DF6D7F6}"/>
    <cellStyle name="Normal 2 6 2 4 3 2" xfId="15868" xr:uid="{BA1625F8-53AF-4C89-82AA-C0EB3332B7FA}"/>
    <cellStyle name="Normal 2 6 2 4 4" xfId="8321" xr:uid="{C1DB41E0-32DE-4948-9DB1-AAC9D0DB7206}"/>
    <cellStyle name="Normal 2 6 2 4 4 2" xfId="18701" xr:uid="{875847CA-7CEF-469C-BA9D-AF3CD931B7D7}"/>
    <cellStyle name="Normal 2 6 2 4 5" xfId="11154" xr:uid="{A35979AB-4BBF-40BE-BD16-A63862B7E890}"/>
    <cellStyle name="Normal 2 6 2 4 5 2" xfId="21534" xr:uid="{290E8148-7224-483E-8FEB-44D1A8EBA1D7}"/>
    <cellStyle name="Normal 2 6 2 4 6" xfId="23653" xr:uid="{2E0F261C-8B52-49F0-8467-4A7022122960}"/>
    <cellStyle name="Normal 2 6 2 4 7" xfId="13789" xr:uid="{C67B1CEB-659F-49D7-AF42-A53E6118D022}"/>
    <cellStyle name="Normal 2 6 2 5" xfId="3236" xr:uid="{00000000-0005-0000-0000-0000C3040000}"/>
    <cellStyle name="Normal 2 6 2 5 2" xfId="6294" xr:uid="{864BD532-2191-49D7-A5D9-FF59CCEEAFD4}"/>
    <cellStyle name="Normal 2 6 2 5 2 2" xfId="27655" xr:uid="{A64C6447-BC8F-4094-9873-7775BF9AA8CD}"/>
    <cellStyle name="Normal 2 6 2 5 2 3" xfId="15863" xr:uid="{8CEFF8B3-DBEE-4DA2-9982-4C778CE2B6D8}"/>
    <cellStyle name="Normal 2 6 2 5 3" xfId="8316" xr:uid="{5AEDA475-210E-48A9-ACEE-9CB4F1AEDF16}"/>
    <cellStyle name="Normal 2 6 2 5 3 2" xfId="18696" xr:uid="{8CFC2B20-D82C-4836-8B85-B2DDA40B52F2}"/>
    <cellStyle name="Normal 2 6 2 5 4" xfId="11149" xr:uid="{56BF3207-64C4-44E3-AFF4-0474BABB18FC}"/>
    <cellStyle name="Normal 2 6 2 5 4 2" xfId="21529" xr:uid="{80DEABAB-AAEF-44BF-954B-37CF1AB5F697}"/>
    <cellStyle name="Normal 2 6 2 5 5" xfId="24342" xr:uid="{E7546074-5B21-4067-9EB9-A2806E9B7A0C}"/>
    <cellStyle name="Normal 2 6 2 5 6" xfId="13784" xr:uid="{89D4FEE3-FC36-40D1-A84B-A3B2E206D0DA}"/>
    <cellStyle name="Normal 2 6 2 6" xfId="2532" xr:uid="{00000000-0005-0000-0000-0000C4040000}"/>
    <cellStyle name="Normal 2 6 2 6 2" xfId="5806" xr:uid="{10762A9A-7272-485A-943C-B474B929DFA1}"/>
    <cellStyle name="Normal 2 6 2 6 2 2" xfId="28331" xr:uid="{91C42B10-F180-458D-AFC1-107E53C0EC40}"/>
    <cellStyle name="Normal 2 6 2 6 2 3" xfId="15204" xr:uid="{C481E85C-B006-44B4-B153-234F7CD519A4}"/>
    <cellStyle name="Normal 2 6 2 6 3" xfId="7657" xr:uid="{802B6534-EC9E-4BAF-9ED1-E58A0B5A1B3C}"/>
    <cellStyle name="Normal 2 6 2 6 3 2" xfId="18037" xr:uid="{0C59ABBA-3D43-4EB6-8CC4-6FDE3F98A84D}"/>
    <cellStyle name="Normal 2 6 2 6 4" xfId="10490" xr:uid="{1FCE637C-45EC-4DB5-B22E-0EB0BA1F730F}"/>
    <cellStyle name="Normal 2 6 2 6 4 2" xfId="20870" xr:uid="{3DB16BC8-7567-4D71-BE88-6964F1429595}"/>
    <cellStyle name="Normal 2 6 2 6 5" xfId="23453" xr:uid="{3467CB81-E993-4155-9658-380959AE2084}"/>
    <cellStyle name="Normal 2 6 2 6 6" xfId="12920" xr:uid="{12AC7268-F7FD-4FC4-9DD5-F0A75605BD3E}"/>
    <cellStyle name="Normal 2 6 2 7" xfId="2226" xr:uid="{00000000-0005-0000-0000-0000BA040000}"/>
    <cellStyle name="Normal 2 6 2 7 2" xfId="7353" xr:uid="{D530F37D-DEF4-4170-A7A3-CB1060AA827D}"/>
    <cellStyle name="Normal 2 6 2 7 2 2" xfId="17733" xr:uid="{1AC286B0-EC57-4FEF-9592-7305F7F714D3}"/>
    <cellStyle name="Normal 2 6 2 7 3" xfId="10186" xr:uid="{917FF294-FA44-4D45-86B4-360CE91273CB}"/>
    <cellStyle name="Normal 2 6 2 7 3 2" xfId="20566" xr:uid="{80CC7CE1-1E69-417B-BC19-550A0933C939}"/>
    <cellStyle name="Normal 2 6 2 7 4" xfId="24404" xr:uid="{1502BF02-3285-4572-A39D-B74C8D53DD14}"/>
    <cellStyle name="Normal 2 6 2 7 5" xfId="14900" xr:uid="{1CA6A51E-82D5-4C77-BCEB-1851F5CDC9B4}"/>
    <cellStyle name="Normal 2 6 2 8" xfId="3792" xr:uid="{EA396F53-A8E3-4AAD-AEFE-BE244E793E8F}"/>
    <cellStyle name="Normal 2 6 2 8 2" xfId="8628" xr:uid="{ED8914F2-C102-4167-8F91-AA93ECEF9C27}"/>
    <cellStyle name="Normal 2 6 2 8 2 2" xfId="19008" xr:uid="{70494654-2281-49E4-99E3-8834C809E729}"/>
    <cellStyle name="Normal 2 6 2 8 3" xfId="11461" xr:uid="{56BA38B1-DC32-4B80-B62D-8B1022DA2726}"/>
    <cellStyle name="Normal 2 6 2 8 3 2" xfId="21841" xr:uid="{278BD44B-3A17-484E-ABAC-932535BD4874}"/>
    <cellStyle name="Normal 2 6 2 8 4" xfId="16175" xr:uid="{E09CC765-129B-4103-A5F1-3F1553452D84}"/>
    <cellStyle name="Normal 2 6 2 9" xfId="5174" xr:uid="{C8D33ABA-A6DE-4D30-A213-75A149B1FA83}"/>
    <cellStyle name="Normal 2 6 2 9 2" xfId="14471" xr:uid="{974A2E2F-85FD-42D4-9E21-8199EEBB5EB3}"/>
    <cellStyle name="Normal 2 6 3" xfId="824" xr:uid="{00000000-0005-0000-0000-0000E4040000}"/>
    <cellStyle name="Normal 2 6 3 10" xfId="9759" xr:uid="{A4D62B8B-D218-4840-B61C-71340FE99392}"/>
    <cellStyle name="Normal 2 6 3 10 2" xfId="20139" xr:uid="{FC4D10FB-3755-4F39-A082-152E804D35F2}"/>
    <cellStyle name="Normal 2 6 3 11" xfId="25001" xr:uid="{B09E0DFE-CB49-4293-9A76-68CE4C4AFD3E}"/>
    <cellStyle name="Normal 2 6 3 12" xfId="12575" xr:uid="{6DF2FDF8-BF05-4326-8CED-AF04FE39C9F4}"/>
    <cellStyle name="Normal 2 6 3 2" xfId="2751" xr:uid="{00000000-0005-0000-0000-0000C6040000}"/>
    <cellStyle name="Normal 2 6 3 2 2" xfId="3243" xr:uid="{00000000-0005-0000-0000-0000C7040000}"/>
    <cellStyle name="Normal 2 6 3 2 2 2" xfId="6301" xr:uid="{7304B549-7725-4E18-B383-08AC32602764}"/>
    <cellStyle name="Normal 2 6 3 2 2 2 2" xfId="28082" xr:uid="{92E698A4-443E-4E9F-912D-3316C8057977}"/>
    <cellStyle name="Normal 2 6 3 2 2 2 3" xfId="15870" xr:uid="{E2BEE138-2676-4D8C-9875-BCFE68E134F5}"/>
    <cellStyle name="Normal 2 6 3 2 2 3" xfId="8323" xr:uid="{E291EB98-CB64-4225-A299-2FBB6958D1D8}"/>
    <cellStyle name="Normal 2 6 3 2 2 3 2" xfId="18703" xr:uid="{767B6D43-7AD9-4B29-821F-6A35E2A9C3B4}"/>
    <cellStyle name="Normal 2 6 3 2 2 4" xfId="11156" xr:uid="{748016B8-AB50-4139-A5F0-56CB27A68A9F}"/>
    <cellStyle name="Normal 2 6 3 2 2 4 2" xfId="21536" xr:uid="{95D20107-076A-48EF-AB96-F7E20554289D}"/>
    <cellStyle name="Normal 2 6 3 2 2 5" xfId="23901" xr:uid="{0FBF2B24-DE81-4443-8299-141FA0D649DA}"/>
    <cellStyle name="Normal 2 6 3 2 2 6" xfId="13791" xr:uid="{F9D0B80D-AC75-439E-A28A-B9DE7A394B05}"/>
    <cellStyle name="Normal 2 6 3 2 3" xfId="4314" xr:uid="{FDB00B43-EDE2-439A-8599-5EB1BA9F4CE7}"/>
    <cellStyle name="Normal 2 6 3 2 3 2" xfId="9086" xr:uid="{16808E95-2586-46E7-BE40-B97AEE2CFFB2}"/>
    <cellStyle name="Normal 2 6 3 2 3 2 2" xfId="29129" xr:uid="{7F4B2F7D-F1C0-4A26-B6B2-BD2773891107}"/>
    <cellStyle name="Normal 2 6 3 2 3 2 3" xfId="19466" xr:uid="{8D3D01C1-5F5A-488C-9B61-70485AA27C9D}"/>
    <cellStyle name="Normal 2 6 3 2 3 3" xfId="11919" xr:uid="{3CB88BFF-7034-4492-AA0A-14017708B94E}"/>
    <cellStyle name="Normal 2 6 3 2 3 3 2" xfId="22299" xr:uid="{A14D9E91-F974-4C75-97D6-B6D0E1D8D640}"/>
    <cellStyle name="Normal 2 6 3 2 3 4" xfId="24337" xr:uid="{01B9F8C2-15BC-4CE9-BC27-617DA3FAF2A3}"/>
    <cellStyle name="Normal 2 6 3 2 3 5" xfId="16633" xr:uid="{566336C9-D4DB-4A32-91F6-86EAD6606C09}"/>
    <cellStyle name="Normal 2 6 3 2 4" xfId="5969" xr:uid="{B0225D42-3F43-429F-96D2-B3C4FFF017AF}"/>
    <cellStyle name="Normal 2 6 3 2 4 2" xfId="28155" xr:uid="{5C369DB8-5E78-41E0-9489-A73C67F62EB5}"/>
    <cellStyle name="Normal 2 6 3 2 4 3" xfId="15422" xr:uid="{6AC99C5E-64F7-4525-A5AB-A0680637904B}"/>
    <cellStyle name="Normal 2 6 3 2 5" xfId="7875" xr:uid="{187C8DAC-2EBE-40DA-A2BA-B16800DDFA06}"/>
    <cellStyle name="Normal 2 6 3 2 5 2" xfId="18255" xr:uid="{0AB7271F-C4AF-40EE-8F0E-C9A3C9E23C6A}"/>
    <cellStyle name="Normal 2 6 3 2 6" xfId="10708" xr:uid="{68C15709-F04C-47D1-B067-E8BE43F77BD4}"/>
    <cellStyle name="Normal 2 6 3 2 6 2" xfId="21088" xr:uid="{F447D534-E314-47F2-9E88-C461FD47A87B}"/>
    <cellStyle name="Normal 2 6 3 2 7" xfId="24629" xr:uid="{0EB4ABFD-ACE5-4ABD-B332-42F09D2BA598}"/>
    <cellStyle name="Normal 2 6 3 2 8" xfId="13194" xr:uid="{564E1D4A-1A87-4C0D-840E-13FA45AB478F}"/>
    <cellStyle name="Normal 2 6 3 3" xfId="3244" xr:uid="{00000000-0005-0000-0000-0000C8040000}"/>
    <cellStyle name="Normal 2 6 3 3 2" xfId="4492" xr:uid="{87207243-8C53-4DE5-B92B-7719F293434A}"/>
    <cellStyle name="Normal 2 6 3 3 2 2" xfId="9264" xr:uid="{C3B3E6F4-D12B-40A9-849B-D88600E4EA46}"/>
    <cellStyle name="Normal 2 6 3 3 2 2 2" xfId="29249" xr:uid="{B14741FC-784C-4ADB-98D1-04F07AD5543C}"/>
    <cellStyle name="Normal 2 6 3 3 2 2 3" xfId="19644" xr:uid="{B4928044-04CD-4CFA-B67F-F481551FE4B0}"/>
    <cellStyle name="Normal 2 6 3 3 2 3" xfId="12097" xr:uid="{5214C419-B95F-42D2-BB6F-9BE7C79034EF}"/>
    <cellStyle name="Normal 2 6 3 3 2 3 2" xfId="22477" xr:uid="{9EAB2E54-3029-4DFB-A3CA-3ED052C1C342}"/>
    <cellStyle name="Normal 2 6 3 3 2 4" xfId="22868" xr:uid="{CAD82A59-8985-4FFB-91FB-1C6232C10769}"/>
    <cellStyle name="Normal 2 6 3 3 2 5" xfId="16811" xr:uid="{B62F27E4-1ED2-4F69-B12F-EC7A9B613844}"/>
    <cellStyle name="Normal 2 6 3 3 3" xfId="6302" xr:uid="{A3DE6E02-6E83-4DF7-A1B7-959133430995}"/>
    <cellStyle name="Normal 2 6 3 3 3 2" xfId="26213" xr:uid="{EE394A47-E38F-4441-AE45-E5E0C939CDE8}"/>
    <cellStyle name="Normal 2 6 3 3 3 3" xfId="15871" xr:uid="{EFF3A563-4A4D-4BA2-B5BE-55B10045C84D}"/>
    <cellStyle name="Normal 2 6 3 3 4" xfId="8324" xr:uid="{10A2EFD6-4550-41B9-9D2C-0C6CA4889477}"/>
    <cellStyle name="Normal 2 6 3 3 4 2" xfId="18704" xr:uid="{3F5120F2-2B31-45F7-AB64-C295BD28981B}"/>
    <cellStyle name="Normal 2 6 3 3 5" xfId="11157" xr:uid="{BB8F6FE3-F7F8-415E-B8E6-30E494857739}"/>
    <cellStyle name="Normal 2 6 3 3 5 2" xfId="21537" xr:uid="{74ADF930-A0CD-47CC-9983-8F504FF6F67F}"/>
    <cellStyle name="Normal 2 6 3 3 6" xfId="24480" xr:uid="{38F64182-7581-4BB8-91EB-F95C8B7C6FD9}"/>
    <cellStyle name="Normal 2 6 3 3 7" xfId="13792" xr:uid="{B07449D2-9759-4D4B-84D2-842A75D20F86}"/>
    <cellStyle name="Normal 2 6 3 4" xfId="3242" xr:uid="{00000000-0005-0000-0000-0000C9040000}"/>
    <cellStyle name="Normal 2 6 3 4 2" xfId="6300" xr:uid="{76E59889-A8B4-4D0D-A5C6-DA7E60392EA5}"/>
    <cellStyle name="Normal 2 6 3 4 2 2" xfId="26031" xr:uid="{D7ED80EF-2C71-4AFF-BD14-B827B1696D1D}"/>
    <cellStyle name="Normal 2 6 3 4 2 3" xfId="15869" xr:uid="{D1417E44-7FC8-4EED-B6AB-389147BE2DAC}"/>
    <cellStyle name="Normal 2 6 3 4 3" xfId="8322" xr:uid="{E57003F0-69DC-4BDB-87A5-D5970FC7987A}"/>
    <cellStyle name="Normal 2 6 3 4 3 2" xfId="18702" xr:uid="{5BE996CC-BDE8-4271-939A-B58DE1544666}"/>
    <cellStyle name="Normal 2 6 3 4 4" xfId="11155" xr:uid="{BDB2A5CA-124E-4DB8-8FB4-2F10C553E449}"/>
    <cellStyle name="Normal 2 6 3 4 4 2" xfId="21535" xr:uid="{80215D5B-DD7D-485F-939B-771F38FEBCDD}"/>
    <cellStyle name="Normal 2 6 3 4 5" xfId="25546" xr:uid="{4B134884-26C9-4669-87A5-D352E80BAD43}"/>
    <cellStyle name="Normal 2 6 3 4 6" xfId="13790" xr:uid="{B05C497A-8A05-41D1-96AA-F3A7AB582F5C}"/>
    <cellStyle name="Normal 2 6 3 5" xfId="2575" xr:uid="{00000000-0005-0000-0000-0000CA040000}"/>
    <cellStyle name="Normal 2 6 3 5 2" xfId="5840" xr:uid="{DF0E3358-E753-47A6-BED4-29A4340CC710}"/>
    <cellStyle name="Normal 2 6 3 5 2 2" xfId="26226" xr:uid="{8CBC7597-9E25-4985-AB21-CABF7A1CC924}"/>
    <cellStyle name="Normal 2 6 3 5 2 3" xfId="15247" xr:uid="{F9F030D3-C608-4F08-9C1C-0B51A7D277A5}"/>
    <cellStyle name="Normal 2 6 3 5 3" xfId="7700" xr:uid="{C45C4104-5723-49BB-8658-8B71663BE1F3}"/>
    <cellStyle name="Normal 2 6 3 5 3 2" xfId="18080" xr:uid="{4805201E-4483-45A6-80B7-2FACFD456AAC}"/>
    <cellStyle name="Normal 2 6 3 5 4" xfId="10533" xr:uid="{F588443A-6DD1-4DCF-9335-0C05F6C0E82B}"/>
    <cellStyle name="Normal 2 6 3 5 4 2" xfId="20913" xr:uid="{44532367-E5EB-47CF-A810-C3244C6410ED}"/>
    <cellStyle name="Normal 2 6 3 5 5" xfId="23805" xr:uid="{B831D932-89A5-497D-97E7-E8EFC916E333}"/>
    <cellStyle name="Normal 2 6 3 5 6" xfId="12963" xr:uid="{74DE7D1D-E440-4BEA-806A-E5800002F8B0}"/>
    <cellStyle name="Normal 2 6 3 6" xfId="2341" xr:uid="{00000000-0005-0000-0000-0000C5040000}"/>
    <cellStyle name="Normal 2 6 3 6 2" xfId="7468" xr:uid="{3A60FAA7-236C-4287-AADF-56E2DF722CB0}"/>
    <cellStyle name="Normal 2 6 3 6 2 2" xfId="17848" xr:uid="{791B2BBF-96B1-477D-BD65-FE70725DA7C6}"/>
    <cellStyle name="Normal 2 6 3 6 3" xfId="10301" xr:uid="{A010738C-6954-46F7-B0D6-5D8E10447902}"/>
    <cellStyle name="Normal 2 6 3 6 3 2" xfId="20681" xr:uid="{5CFF61F0-0CCD-4BE0-BA9F-5E49FCC5A30F}"/>
    <cellStyle name="Normal 2 6 3 6 4" xfId="24779" xr:uid="{5866C81F-BCDD-41B4-8389-503ADA704CF2}"/>
    <cellStyle name="Normal 2 6 3 6 5" xfId="15015" xr:uid="{B537DB6D-4B8B-4F24-A17E-59B8AA53E2D2}"/>
    <cellStyle name="Normal 2 6 3 7" xfId="3852" xr:uid="{2F0129F9-6EAF-4AAF-9CE7-DA34D158108D}"/>
    <cellStyle name="Normal 2 6 3 7 2" xfId="8685" xr:uid="{C55A7311-DEFF-40BB-AD48-3EC8C83781BC}"/>
    <cellStyle name="Normal 2 6 3 7 2 2" xfId="19065" xr:uid="{6D1693A2-58F9-4467-9713-1AAD0D03E2A2}"/>
    <cellStyle name="Normal 2 6 3 7 3" xfId="11518" xr:uid="{243DA632-E680-4E69-8C95-E06E0EAF6D1D}"/>
    <cellStyle name="Normal 2 6 3 7 3 2" xfId="21898" xr:uid="{864F57A7-5DC2-4353-9E34-85C3714B0248}"/>
    <cellStyle name="Normal 2 6 3 7 4" xfId="16232" xr:uid="{7A31CD01-4889-4F8B-B42B-1EC4E2C4D6B1}"/>
    <cellStyle name="Normal 2 6 3 8" xfId="5176" xr:uid="{8AE79431-F88A-4C41-B95B-4BA664C147B4}"/>
    <cellStyle name="Normal 2 6 3 8 2" xfId="14473" xr:uid="{40FFDD92-F8D1-4A22-A3DF-4E5C0A8744A6}"/>
    <cellStyle name="Normal 2 6 3 9" xfId="6926" xr:uid="{20101572-6AD5-4DB0-B4EC-D86429EB91A3}"/>
    <cellStyle name="Normal 2 6 3 9 2" xfId="17306" xr:uid="{83D1B01E-C56A-4CBA-A0AC-28D7157D2623}"/>
    <cellStyle name="Normal 2 6 4" xfId="825" xr:uid="{00000000-0005-0000-0000-0000E5040000}"/>
    <cellStyle name="Normal 2 6 4 2" xfId="3245" xr:uid="{00000000-0005-0000-0000-0000CC040000}"/>
    <cellStyle name="Normal 2 6 4 2 2" xfId="6303" xr:uid="{26AA86EE-97E0-48FA-85E2-64D1D01642DB}"/>
    <cellStyle name="Normal 2 6 4 2 2 2" xfId="27738" xr:uid="{62530CFF-EAD0-4DCC-8A0F-51132B070C03}"/>
    <cellStyle name="Normal 2 6 4 2 2 3" xfId="15872" xr:uid="{38DC05D0-1BDA-437F-9A6F-0B1EB9623D15}"/>
    <cellStyle name="Normal 2 6 4 2 3" xfId="8325" xr:uid="{66BF30D8-781F-4445-9403-8B1239B99C01}"/>
    <cellStyle name="Normal 2 6 4 2 3 2" xfId="18705" xr:uid="{696D15CB-68D5-4E6B-AC4E-F2E170C0BE1A}"/>
    <cellStyle name="Normal 2 6 4 2 4" xfId="11158" xr:uid="{9AADA220-B9CE-4749-AE31-CBC01B68FA08}"/>
    <cellStyle name="Normal 2 6 4 2 4 2" xfId="21538" xr:uid="{544947B8-8889-427F-98F8-7DB4E71898AA}"/>
    <cellStyle name="Normal 2 6 4 2 5" xfId="23672" xr:uid="{40D936BC-B2FB-444D-BA06-05C16CD95B47}"/>
    <cellStyle name="Normal 2 6 4 2 6" xfId="13793" xr:uid="{CD9279EA-FE4F-45C0-B021-898B07933199}"/>
    <cellStyle name="Normal 2 6 4 3" xfId="2748" xr:uid="{00000000-0005-0000-0000-0000CD040000}"/>
    <cellStyle name="Normal 2 6 4 3 2" xfId="5966" xr:uid="{3AC6F347-C68D-4FB4-8BD8-2118D9E8EF4B}"/>
    <cellStyle name="Normal 2 6 4 3 2 2" xfId="26001" xr:uid="{6407EC0A-CA09-4F54-A5DC-8C2C028A5521}"/>
    <cellStyle name="Normal 2 6 4 3 2 3" xfId="15419" xr:uid="{C193E26C-D856-4793-947D-EF2429FBC763}"/>
    <cellStyle name="Normal 2 6 4 3 3" xfId="7872" xr:uid="{1E3CF3CE-B1BC-4F2D-A7C8-61E4A10A365D}"/>
    <cellStyle name="Normal 2 6 4 3 3 2" xfId="18252" xr:uid="{8BD55EF0-2C46-4F9F-BF52-2E5AC363DFD0}"/>
    <cellStyle name="Normal 2 6 4 3 4" xfId="10705" xr:uid="{DF3A9D90-F1F1-4774-A6A8-BFA0FB02DDAB}"/>
    <cellStyle name="Normal 2 6 4 3 4 2" xfId="21085" xr:uid="{AECC2B9B-F637-458C-95D4-B8705547F79B}"/>
    <cellStyle name="Normal 2 6 4 3 5" xfId="25086" xr:uid="{F7D65038-43B7-4600-B665-FE61C3DC1D05}"/>
    <cellStyle name="Normal 2 6 4 3 6" xfId="13191" xr:uid="{9FF62838-0196-4BF7-8043-8AD349460ECA}"/>
    <cellStyle name="Normal 2 6 4 4" xfId="4173" xr:uid="{FAAE8149-8145-432C-B91A-EC872542167A}"/>
    <cellStyle name="Normal 2 6 4 4 2" xfId="8945" xr:uid="{A898C8CD-3D30-4C1C-ABD9-8656076B5A81}"/>
    <cellStyle name="Normal 2 6 4 4 2 2" xfId="19325" xr:uid="{1A9ED637-57DF-4EC7-8488-4C7592B288CF}"/>
    <cellStyle name="Normal 2 6 4 4 3" xfId="11778" xr:uid="{3183CE16-5648-42F3-904D-5A8528B42A9C}"/>
    <cellStyle name="Normal 2 6 4 4 3 2" xfId="22158" xr:uid="{D292C677-4EC5-461E-B23B-11316430DFAC}"/>
    <cellStyle name="Normal 2 6 4 4 4" xfId="24115" xr:uid="{4B28783D-BCF0-40D5-BA39-A0BD1889A410}"/>
    <cellStyle name="Normal 2 6 4 4 5" xfId="16492" xr:uid="{FCD70FC5-0B68-4997-9C12-BBFBD166F7A2}"/>
    <cellStyle name="Normal 2 6 4 5" xfId="5177" xr:uid="{7A080356-2637-46E2-A77E-82C5ACAE8493}"/>
    <cellStyle name="Normal 2 6 4 5 2" xfId="14474" xr:uid="{87F5C9D8-9A57-40FE-BC24-29C7BD440DC2}"/>
    <cellStyle name="Normal 2 6 4 6" xfId="6927" xr:uid="{1EB19ED3-15F7-414F-9F66-975C06046ACB}"/>
    <cellStyle name="Normal 2 6 4 6 2" xfId="17307" xr:uid="{E908B670-6EEE-4B27-A219-E53B7B9A3CCF}"/>
    <cellStyle name="Normal 2 6 4 7" xfId="9760" xr:uid="{BBF121FB-D7DF-4229-888D-58897BA66988}"/>
    <cellStyle name="Normal 2 6 4 7 2" xfId="20140" xr:uid="{A447422D-86A8-4D49-B623-57D91E1AC329}"/>
    <cellStyle name="Normal 2 6 4 8" xfId="23439" xr:uid="{2467AEF3-5330-47FD-87A4-229510FDA7FD}"/>
    <cellStyle name="Normal 2 6 4 9" xfId="12733" xr:uid="{4D9A41E0-523B-4A63-AEF3-98D8B656F6EC}"/>
    <cellStyle name="Normal 2 6 5" xfId="3246" xr:uid="{00000000-0005-0000-0000-0000CE040000}"/>
    <cellStyle name="Normal 2 6 5 2" xfId="4493" xr:uid="{A3DD9300-DFB9-4CFD-9A54-92274E601C4B}"/>
    <cellStyle name="Normal 2 6 5 2 2" xfId="9265" xr:uid="{DD784A69-7E3E-4F1A-AC82-8F6F1BD52311}"/>
    <cellStyle name="Normal 2 6 5 2 2 2" xfId="29250" xr:uid="{0D00306C-6116-4176-B54A-03C0D3AA4551}"/>
    <cellStyle name="Normal 2 6 5 2 2 3" xfId="19645" xr:uid="{F2CB09A6-383C-48D6-8D03-D7E890852381}"/>
    <cellStyle name="Normal 2 6 5 2 3" xfId="12098" xr:uid="{6A87C19B-A104-452B-9739-483A28C9AE79}"/>
    <cellStyle name="Normal 2 6 5 2 3 2" xfId="22478" xr:uid="{35392DE0-6C17-4AAF-B1BA-5476F364C1F7}"/>
    <cellStyle name="Normal 2 6 5 2 4" xfId="22645" xr:uid="{1DAD417C-CEC3-4A47-A424-5DFB07AF424F}"/>
    <cellStyle name="Normal 2 6 5 2 5" xfId="16812" xr:uid="{CDCBDCFE-1C6A-46F9-8B05-D7FB38E609D1}"/>
    <cellStyle name="Normal 2 6 5 3" xfId="6304" xr:uid="{D9E241B8-02A4-427F-8AE0-EEAB32CD3011}"/>
    <cellStyle name="Normal 2 6 5 3 2" xfId="28143" xr:uid="{5AE0B9C7-05E0-42CD-9E29-BCFC29DBD4C5}"/>
    <cellStyle name="Normal 2 6 5 3 3" xfId="15873" xr:uid="{F4E50B5F-0237-4929-B47F-EF36A19EE155}"/>
    <cellStyle name="Normal 2 6 5 4" xfId="8326" xr:uid="{EFFF14CB-F067-4F81-B899-6C534B5B4390}"/>
    <cellStyle name="Normal 2 6 5 4 2" xfId="18706" xr:uid="{13BEAD3E-CAD8-4E9A-8C8D-73BA059008A1}"/>
    <cellStyle name="Normal 2 6 5 5" xfId="11159" xr:uid="{8260038C-40B8-4B48-B86B-150E1BB7C91B}"/>
    <cellStyle name="Normal 2 6 5 5 2" xfId="21539" xr:uid="{5E4EEA9D-1019-4434-BE7E-77F65C173361}"/>
    <cellStyle name="Normal 2 6 5 6" xfId="25304" xr:uid="{C39A1771-4B7B-4FA5-A546-E3F549907874}"/>
    <cellStyle name="Normal 2 6 5 7" xfId="13794" xr:uid="{62094DEE-5D6A-4587-B5C3-6B51F53AC0CC}"/>
    <cellStyle name="Normal 2 6 6" xfId="2914" xr:uid="{00000000-0005-0000-0000-0000CF040000}"/>
    <cellStyle name="Normal 2 6 6 2" xfId="6100" xr:uid="{3F07CF2B-E2C3-4A94-86F5-C526D5A30387}"/>
    <cellStyle name="Normal 2 6 6 2 2" xfId="25846" xr:uid="{89030345-8F55-454A-84BA-BF49A031CD02}"/>
    <cellStyle name="Normal 2 6 6 2 3" xfId="15578" xr:uid="{ACA6E232-F876-4D2C-B3F8-1D3F6BDA8948}"/>
    <cellStyle name="Normal 2 6 6 3" xfId="8031" xr:uid="{42120A84-98C8-41ED-A11F-EB419CC9F1E1}"/>
    <cellStyle name="Normal 2 6 6 3 2" xfId="18411" xr:uid="{F02AD8A5-2195-4EF0-9E9F-3259ECBE80B4}"/>
    <cellStyle name="Normal 2 6 6 4" xfId="10864" xr:uid="{67350C24-62FC-42C2-9B15-1073360F93E2}"/>
    <cellStyle name="Normal 2 6 6 4 2" xfId="21244" xr:uid="{7586ABD7-1A9A-4747-83A4-C02958ED7CA3}"/>
    <cellStyle name="Normal 2 6 6 5" xfId="22688" xr:uid="{50EB29A5-FE3E-4EE9-8F15-737CE4DD97F0}"/>
    <cellStyle name="Normal 2 6 6 6" xfId="13431" xr:uid="{FB8F4C21-A5D5-4C65-A7E8-2622D69B734E}"/>
    <cellStyle name="Normal 2 6 7" xfId="2472" xr:uid="{00000000-0005-0000-0000-0000D0040000}"/>
    <cellStyle name="Normal 2 6 7 2" xfId="5760" xr:uid="{D2868D63-22F0-4956-A066-B914852ABDEE}"/>
    <cellStyle name="Normal 2 6 7 2 2" xfId="26263" xr:uid="{70223284-C886-43CC-B95C-40E37BC2C671}"/>
    <cellStyle name="Normal 2 6 7 2 3" xfId="15144" xr:uid="{34CDAF7D-28FF-4D89-9CFB-E0BDDA502805}"/>
    <cellStyle name="Normal 2 6 7 3" xfId="7597" xr:uid="{5893C7BC-E3C2-4EF6-8D7B-A10380A32821}"/>
    <cellStyle name="Normal 2 6 7 3 2" xfId="17977" xr:uid="{3F055587-DB80-4D3B-9368-A460981ED099}"/>
    <cellStyle name="Normal 2 6 7 4" xfId="10430" xr:uid="{B6AAA150-C551-43E3-8964-7E03F1AE4B5A}"/>
    <cellStyle name="Normal 2 6 7 4 2" xfId="20810" xr:uid="{E0EF6062-5071-41CB-889C-987F9B3E8377}"/>
    <cellStyle name="Normal 2 6 7 5" xfId="24538" xr:uid="{ABF28A36-FD7D-46E5-B605-AA7A948D3FC4}"/>
    <cellStyle name="Normal 2 6 7 6" xfId="12860" xr:uid="{A6F2CC7B-F5FD-4ACD-BBD6-115C96CC06F1}"/>
    <cellStyle name="Normal 2 6 8" xfId="2166" xr:uid="{00000000-0005-0000-0000-0000B9040000}"/>
    <cellStyle name="Normal 2 6 8 2" xfId="7293" xr:uid="{0EB573FA-EEF6-439E-A56B-BDBDAE879304}"/>
    <cellStyle name="Normal 2 6 8 2 2" xfId="17673" xr:uid="{4DC08CDF-9F03-44B1-AFD4-F6F5E2B029B7}"/>
    <cellStyle name="Normal 2 6 8 3" xfId="10126" xr:uid="{F5839759-13CE-4805-BB77-B640C64967FE}"/>
    <cellStyle name="Normal 2 6 8 3 2" xfId="20506" xr:uid="{578F8F1F-D0D9-4E82-AEDC-2E3008B84CE1}"/>
    <cellStyle name="Normal 2 6 8 4" xfId="22947" xr:uid="{3E25F616-C5F5-426E-A79E-6C9D09D93F12}"/>
    <cellStyle name="Normal 2 6 8 5" xfId="14840" xr:uid="{6735C330-4283-4D90-AC95-85E796A9B56E}"/>
    <cellStyle name="Normal 2 6 9" xfId="3951" xr:uid="{768BD1A0-E9FC-4057-8CB2-EEB941EB5E31}"/>
    <cellStyle name="Normal 2 6 9 2" xfId="8783" xr:uid="{E40725E7-E25B-4B86-978A-F410327532ED}"/>
    <cellStyle name="Normal 2 6 9 2 2" xfId="19163" xr:uid="{AABAA0C8-6D30-44E6-AFFD-FD33B4ACC440}"/>
    <cellStyle name="Normal 2 6 9 3" xfId="11616" xr:uid="{6C6BEF3B-A7BE-4192-8AFB-AC48CF963000}"/>
    <cellStyle name="Normal 2 6 9 3 2" xfId="21996" xr:uid="{BE8C2767-4BA7-4EEE-903C-B8C4D963EC10}"/>
    <cellStyle name="Normal 2 6 9 4" xfId="16330" xr:uid="{0B82CE58-B896-42FB-B2C2-EBDE2E302BD6}"/>
    <cellStyle name="Normal 2 7" xfId="826" xr:uid="{00000000-0005-0000-0000-0000E6040000}"/>
    <cellStyle name="Normal 2 7 10" xfId="5178" xr:uid="{9CD5321E-0D32-4E21-8C53-766D143E0BA3}"/>
    <cellStyle name="Normal 2 7 10 2" xfId="14475" xr:uid="{599DCDD7-1C0F-49D3-AEAE-1B75E1AE40C9}"/>
    <cellStyle name="Normal 2 7 11" xfId="6928" xr:uid="{80BB76AE-DDE6-4543-A159-C3E3623D1485}"/>
    <cellStyle name="Normal 2 7 11 2" xfId="17308" xr:uid="{AE83A673-8891-44DF-A0F1-AEE7ECD49F20}"/>
    <cellStyle name="Normal 2 7 12" xfId="9761" xr:uid="{6278D750-9C21-4CA5-B2B3-E9BDB0803732}"/>
    <cellStyle name="Normal 2 7 12 2" xfId="20141" xr:uid="{CE1E7404-7B0B-4E6D-92D2-BFBF115EE3DB}"/>
    <cellStyle name="Normal 2 7 13" xfId="25465" xr:uid="{DF6CD18B-2F2D-4207-8C69-DD24C3320652}"/>
    <cellStyle name="Normal 2 7 14" xfId="12413" xr:uid="{BD85830B-CE9E-45F5-AE23-751D67618F47}"/>
    <cellStyle name="Normal 2 7 15" xfId="29570" xr:uid="{F2A4C11B-61FF-44DA-8BB6-067397F32AA5}"/>
    <cellStyle name="Normal 2 7 2" xfId="827" xr:uid="{00000000-0005-0000-0000-0000E7040000}"/>
    <cellStyle name="Normal 2 7 2 10" xfId="6929" xr:uid="{4B2C54F7-1C4B-49F1-AF42-2B99EB4FF8AB}"/>
    <cellStyle name="Normal 2 7 2 10 2" xfId="17309" xr:uid="{E7C730BD-8187-4087-84C7-9A21F8D763A7}"/>
    <cellStyle name="Normal 2 7 2 11" xfId="9762" xr:uid="{30B3C8EE-236F-4D31-A8E1-C6229247C9D4}"/>
    <cellStyle name="Normal 2 7 2 11 2" xfId="20142" xr:uid="{8D265F91-367B-4C32-A21A-6320554103E3}"/>
    <cellStyle name="Normal 2 7 2 12" xfId="22858" xr:uid="{92EF549A-DD3C-46B0-BED7-0C9A1986C83C}"/>
    <cellStyle name="Normal 2 7 2 13" xfId="12473" xr:uid="{6962162F-A72E-489A-AFA8-D860B3AC8C11}"/>
    <cellStyle name="Normal 2 7 2 2" xfId="828" xr:uid="{00000000-0005-0000-0000-0000E8040000}"/>
    <cellStyle name="Normal 2 7 2 2 10" xfId="13038" xr:uid="{0AA01A78-69EF-4114-B2BB-B3045BE91DCA}"/>
    <cellStyle name="Normal 2 7 2 2 2" xfId="2754" xr:uid="{00000000-0005-0000-0000-0000D4040000}"/>
    <cellStyle name="Normal 2 7 2 2 2 2" xfId="3249" xr:uid="{00000000-0005-0000-0000-0000D5040000}"/>
    <cellStyle name="Normal 2 7 2 2 2 2 2" xfId="6307" xr:uid="{3F37FFE1-9605-425C-A216-C5C3766D8891}"/>
    <cellStyle name="Normal 2 7 2 2 2 2 2 2" xfId="27929" xr:uid="{71267D9A-AAD4-4888-BB0F-A6752B1171B8}"/>
    <cellStyle name="Normal 2 7 2 2 2 2 2 3" xfId="15876" xr:uid="{78DF3D38-9F73-439E-A287-89CE869E1EE0}"/>
    <cellStyle name="Normal 2 7 2 2 2 2 3" xfId="8329" xr:uid="{041AEE86-5E87-4121-BE6D-95B8ED5DBD23}"/>
    <cellStyle name="Normal 2 7 2 2 2 2 3 2" xfId="18709" xr:uid="{4FBD9496-DACD-4EED-A203-DAA1B518EB17}"/>
    <cellStyle name="Normal 2 7 2 2 2 2 4" xfId="11162" xr:uid="{D9DB168F-7EE2-4C16-A285-F74B1B4773A6}"/>
    <cellStyle name="Normal 2 7 2 2 2 2 4 2" xfId="21542" xr:uid="{B5176D5B-292B-41E6-931B-ABF05B42C01C}"/>
    <cellStyle name="Normal 2 7 2 2 2 2 5" xfId="23026" xr:uid="{3537CE86-360E-4CCD-8DF9-151C226AFF84}"/>
    <cellStyle name="Normal 2 7 2 2 2 2 6" xfId="13797" xr:uid="{C57A5B3F-A737-4DF9-8FE1-263A28DC07EB}"/>
    <cellStyle name="Normal 2 7 2 2 2 3" xfId="4316" xr:uid="{FFC00805-99EC-4945-BAD6-33C2B8920012}"/>
    <cellStyle name="Normal 2 7 2 2 2 3 2" xfId="9088" xr:uid="{2FF21747-EFA1-424C-8717-55E3A30DD691}"/>
    <cellStyle name="Normal 2 7 2 2 2 3 2 2" xfId="29131" xr:uid="{C3EF06AF-415D-4422-AF34-D98D777D4C72}"/>
    <cellStyle name="Normal 2 7 2 2 2 3 2 3" xfId="19468" xr:uid="{7C746684-E314-4401-AC36-5BD913A672F2}"/>
    <cellStyle name="Normal 2 7 2 2 2 3 3" xfId="11921" xr:uid="{BEA25E24-2834-4578-8A5A-5CCC0A8E9A15}"/>
    <cellStyle name="Normal 2 7 2 2 2 3 3 2" xfId="22301" xr:uid="{421306C6-8FF7-4983-9458-E7E6600E8567}"/>
    <cellStyle name="Normal 2 7 2 2 2 3 4" xfId="23093" xr:uid="{EA2CFD82-7F75-467D-A582-25A18A0DA923}"/>
    <cellStyle name="Normal 2 7 2 2 2 3 5" xfId="16635" xr:uid="{B3808F8F-BD78-4371-BDCC-E034C7C8F9E3}"/>
    <cellStyle name="Normal 2 7 2 2 2 4" xfId="5972" xr:uid="{FB91A383-B100-4FF6-986D-91A9D5125407}"/>
    <cellStyle name="Normal 2 7 2 2 2 4 2" xfId="28520" xr:uid="{F53A6796-1339-411E-9581-FBD442974032}"/>
    <cellStyle name="Normal 2 7 2 2 2 4 3" xfId="15425" xr:uid="{6136F13A-FDEC-48F1-B23C-C2ABD1E7BA13}"/>
    <cellStyle name="Normal 2 7 2 2 2 5" xfId="7878" xr:uid="{80A07288-7984-4F94-9DF1-0D50A1274AD2}"/>
    <cellStyle name="Normal 2 7 2 2 2 5 2" xfId="18258" xr:uid="{47E2FEC9-8946-4F38-8291-63337E373D72}"/>
    <cellStyle name="Normal 2 7 2 2 2 6" xfId="10711" xr:uid="{193B0A73-1D11-422A-941F-0024136F0454}"/>
    <cellStyle name="Normal 2 7 2 2 2 6 2" xfId="21091" xr:uid="{9EEF06D9-0239-4678-AAAE-3FE145793384}"/>
    <cellStyle name="Normal 2 7 2 2 2 7" xfId="23588" xr:uid="{85AD88BB-6EEB-4A4F-906C-9069C5A0D512}"/>
    <cellStyle name="Normal 2 7 2 2 2 8" xfId="13197" xr:uid="{05AAC9C7-D092-4CBE-9B97-DCB68CB9F745}"/>
    <cellStyle name="Normal 2 7 2 2 3" xfId="3250" xr:uid="{00000000-0005-0000-0000-0000D6040000}"/>
    <cellStyle name="Normal 2 7 2 2 3 2" xfId="4494" xr:uid="{7BD627DC-9A61-453D-ACA5-190C16C8BA58}"/>
    <cellStyle name="Normal 2 7 2 2 3 2 2" xfId="9266" xr:uid="{337D26E3-2CFF-44DF-8059-821F7436A063}"/>
    <cellStyle name="Normal 2 7 2 2 3 2 2 2" xfId="19646" xr:uid="{A8BF7C60-23AA-4BAD-856E-100679624A23}"/>
    <cellStyle name="Normal 2 7 2 2 3 2 3" xfId="12099" xr:uid="{45F0224D-3863-4BC9-B20B-7DA4569172ED}"/>
    <cellStyle name="Normal 2 7 2 2 3 2 3 2" xfId="22479" xr:uid="{9D8DCE35-9750-4647-8802-B78CB69B4E1A}"/>
    <cellStyle name="Normal 2 7 2 2 3 2 4" xfId="26917" xr:uid="{0E00F23F-E8BD-40B8-A638-5598DB5B40CE}"/>
    <cellStyle name="Normal 2 7 2 2 3 2 5" xfId="16813" xr:uid="{AEDEBC93-6A37-4253-BD9E-035FB4B64FFC}"/>
    <cellStyle name="Normal 2 7 2 2 3 3" xfId="6308" xr:uid="{1B540ABE-382E-4EC7-BA5C-B9B9D969EABB}"/>
    <cellStyle name="Normal 2 7 2 2 3 3 2" xfId="15877" xr:uid="{56368EE5-3F6A-4213-83FF-06A2867DD031}"/>
    <cellStyle name="Normal 2 7 2 2 3 4" xfId="8330" xr:uid="{FABF5BA2-20C0-4727-BF91-3E08B5C6729F}"/>
    <cellStyle name="Normal 2 7 2 2 3 4 2" xfId="18710" xr:uid="{34211832-17F7-48EC-9752-871DB117CE2D}"/>
    <cellStyle name="Normal 2 7 2 2 3 5" xfId="11163" xr:uid="{EB7CAB05-576E-4098-AF42-5091183ECBA8}"/>
    <cellStyle name="Normal 2 7 2 2 3 5 2" xfId="21543" xr:uid="{EEB8D7AF-A6F3-4E05-B5E4-4D7673A558B2}"/>
    <cellStyle name="Normal 2 7 2 2 3 6" xfId="25415" xr:uid="{F687B384-AE79-4E40-ACF7-96DD38E01573}"/>
    <cellStyle name="Normal 2 7 2 2 3 7" xfId="13798" xr:uid="{B8205858-621C-4A89-A6D0-6CD4FF70F5F2}"/>
    <cellStyle name="Normal 2 7 2 2 4" xfId="3248" xr:uid="{00000000-0005-0000-0000-0000D7040000}"/>
    <cellStyle name="Normal 2 7 2 2 4 2" xfId="6306" xr:uid="{F44F7A92-EB00-4577-AB9B-6F205BD23F40}"/>
    <cellStyle name="Normal 2 7 2 2 4 2 2" xfId="27918" xr:uid="{1DBC5BAF-9CEC-491A-B6F4-2B1B977C86E3}"/>
    <cellStyle name="Normal 2 7 2 2 4 2 3" xfId="15875" xr:uid="{2A5D3804-4633-46A2-805D-B7A2DB7B2E49}"/>
    <cellStyle name="Normal 2 7 2 2 4 3" xfId="8328" xr:uid="{54307EDA-67F1-427A-BB24-0EB4451AAEB4}"/>
    <cellStyle name="Normal 2 7 2 2 4 3 2" xfId="18708" xr:uid="{22B3AAA6-B0CB-4404-BE3B-6A68FA312A1E}"/>
    <cellStyle name="Normal 2 7 2 2 4 4" xfId="11161" xr:uid="{08ACD65D-F031-45DD-B78B-E46A9FAC5C6B}"/>
    <cellStyle name="Normal 2 7 2 2 4 4 2" xfId="21541" xr:uid="{E0164970-C186-4A02-A515-0B39605712D6}"/>
    <cellStyle name="Normal 2 7 2 2 4 5" xfId="24486" xr:uid="{FA6B8D25-7A74-4642-B974-C9AD3830C5D9}"/>
    <cellStyle name="Normal 2 7 2 2 4 6" xfId="13796" xr:uid="{D5B324C0-74E6-4D36-9245-B0A521637CD9}"/>
    <cellStyle name="Normal 2 7 2 2 5" xfId="4239" xr:uid="{95A930D3-0D9E-422E-8A05-F1CFFCAE1F41}"/>
    <cellStyle name="Normal 2 7 2 2 5 2" xfId="9011" xr:uid="{12507572-78BE-42B2-88EE-70516A173534}"/>
    <cellStyle name="Normal 2 7 2 2 5 2 2" xfId="29082" xr:uid="{34B9C282-239A-45F8-9330-F0CA98B202F8}"/>
    <cellStyle name="Normal 2 7 2 2 5 2 3" xfId="19391" xr:uid="{FC5FD584-7541-40A6-B047-72B200AA1381}"/>
    <cellStyle name="Normal 2 7 2 2 5 3" xfId="11844" xr:uid="{444A3CEB-84C5-4874-AB48-B6FDAADF5002}"/>
    <cellStyle name="Normal 2 7 2 2 5 3 2" xfId="22224" xr:uid="{D21C198F-4140-4E5F-89CB-3C60825A4E6B}"/>
    <cellStyle name="Normal 2 7 2 2 5 4" xfId="25377" xr:uid="{BA4ED903-B1AF-4D72-8482-B72971F1F96F}"/>
    <cellStyle name="Normal 2 7 2 2 5 5" xfId="16558" xr:uid="{1096B93B-F377-462B-910C-13E14BDBDE1B}"/>
    <cellStyle name="Normal 2 7 2 2 6" xfId="5180" xr:uid="{F43B598E-1922-42AA-B411-7F29ECE41F77}"/>
    <cellStyle name="Normal 2 7 2 2 6 2" xfId="25961" xr:uid="{4374242D-03D9-45EE-A426-050C499E5392}"/>
    <cellStyle name="Normal 2 7 2 2 6 3" xfId="14477" xr:uid="{E61BB159-C497-4CE4-9208-B4A7D076527F}"/>
    <cellStyle name="Normal 2 7 2 2 7" xfId="6930" xr:uid="{C5FC017B-1281-49EE-A7FE-AD0A58A8ADC7}"/>
    <cellStyle name="Normal 2 7 2 2 7 2" xfId="17310" xr:uid="{88D02D7B-FE1C-4365-A58C-6768F4BF4007}"/>
    <cellStyle name="Normal 2 7 2 2 8" xfId="9763" xr:uid="{B11F3A08-AE12-46CF-8956-93A3125E2059}"/>
    <cellStyle name="Normal 2 7 2 2 8 2" xfId="20143" xr:uid="{BECCE343-5413-41D5-832D-CC080D7D00BE}"/>
    <cellStyle name="Normal 2 7 2 2 9" xfId="24632" xr:uid="{F4A5E673-8448-497C-B47D-E193868297B6}"/>
    <cellStyle name="Normal 2 7 2 3" xfId="2753" xr:uid="{00000000-0005-0000-0000-0000D8040000}"/>
    <cellStyle name="Normal 2 7 2 3 2" xfId="3251" xr:uid="{00000000-0005-0000-0000-0000D9040000}"/>
    <cellStyle name="Normal 2 7 2 3 2 2" xfId="6309" xr:uid="{D7846180-0CE6-4D52-B0E8-C521F952BF80}"/>
    <cellStyle name="Normal 2 7 2 3 2 2 2" xfId="27136" xr:uid="{FD1AB626-FCD5-48E7-BF15-EA8B511346D6}"/>
    <cellStyle name="Normal 2 7 2 3 2 2 3" xfId="15878" xr:uid="{203FD30F-F50A-41A5-9390-74BDCEC03D87}"/>
    <cellStyle name="Normal 2 7 2 3 2 3" xfId="8331" xr:uid="{696E6586-97FD-41C9-9E2B-C0E6F980457E}"/>
    <cellStyle name="Normal 2 7 2 3 2 3 2" xfId="18711" xr:uid="{ECEB8EBD-9FFD-4FEB-9786-17316E7B1B69}"/>
    <cellStyle name="Normal 2 7 2 3 2 4" xfId="11164" xr:uid="{94B6BCF9-4A27-4BB5-A178-28D7027893A5}"/>
    <cellStyle name="Normal 2 7 2 3 2 4 2" xfId="21544" xr:uid="{49640450-8BF2-4513-87FD-CA86A1692F55}"/>
    <cellStyle name="Normal 2 7 2 3 2 5" xfId="22722" xr:uid="{DBF382B6-0D5E-447A-A53A-9AAA10F94EDE}"/>
    <cellStyle name="Normal 2 7 2 3 2 6" xfId="13799" xr:uid="{724F37EB-F72B-4E5A-8AA9-08FDC7AB0EDD}"/>
    <cellStyle name="Normal 2 7 2 3 3" xfId="4315" xr:uid="{958B0FC2-126E-4AE2-8755-60955BB885A8}"/>
    <cellStyle name="Normal 2 7 2 3 3 2" xfId="9087" xr:uid="{07750667-D396-40F9-9E90-590CA6AE19BA}"/>
    <cellStyle name="Normal 2 7 2 3 3 2 2" xfId="29130" xr:uid="{64D184F3-8750-4779-AD7E-3C2670C8C1F9}"/>
    <cellStyle name="Normal 2 7 2 3 3 2 3" xfId="19467" xr:uid="{C55BEBA8-7FED-4FA1-8824-1417E579C19D}"/>
    <cellStyle name="Normal 2 7 2 3 3 3" xfId="11920" xr:uid="{19790472-FDBF-4343-A908-D5227F327227}"/>
    <cellStyle name="Normal 2 7 2 3 3 3 2" xfId="22300" xr:uid="{D32F6789-4B33-4ACE-90BB-18E7DA31FC34}"/>
    <cellStyle name="Normal 2 7 2 3 3 4" xfId="24859" xr:uid="{A4FBD7FA-FBEE-4842-A1E8-43055A965CF0}"/>
    <cellStyle name="Normal 2 7 2 3 3 5" xfId="16634" xr:uid="{43E97128-EC23-4A9B-82E7-5DB4C68F61A8}"/>
    <cellStyle name="Normal 2 7 2 3 4" xfId="5971" xr:uid="{E37172F9-AF05-4B50-BE74-DDE24FC1ECFA}"/>
    <cellStyle name="Normal 2 7 2 3 4 2" xfId="28164" xr:uid="{FB7D729F-D05C-4CFB-AECB-578A7A0E111E}"/>
    <cellStyle name="Normal 2 7 2 3 4 3" xfId="15424" xr:uid="{4BC28C4B-2E55-4758-BFE3-FD794385D915}"/>
    <cellStyle name="Normal 2 7 2 3 5" xfId="7877" xr:uid="{CBC480B9-250E-4752-8C7E-FEECAD33E184}"/>
    <cellStyle name="Normal 2 7 2 3 5 2" xfId="18257" xr:uid="{02A38621-5D51-489E-A9C4-C0034C3E1E4F}"/>
    <cellStyle name="Normal 2 7 2 3 6" xfId="10710" xr:uid="{763846FE-D254-4051-A7F8-A6D9B0A23171}"/>
    <cellStyle name="Normal 2 7 2 3 6 2" xfId="21090" xr:uid="{DDE05959-F911-4E96-A639-A3E9431B0F94}"/>
    <cellStyle name="Normal 2 7 2 3 7" xfId="23815" xr:uid="{38386524-8898-4D1D-8213-35251C1FA35C}"/>
    <cellStyle name="Normal 2 7 2 3 8" xfId="13196" xr:uid="{E7CF5003-47AF-4ED3-860D-20AAD7A72CF2}"/>
    <cellStyle name="Normal 2 7 2 4" xfId="3252" xr:uid="{00000000-0005-0000-0000-0000DA040000}"/>
    <cellStyle name="Normal 2 7 2 4 2" xfId="4495" xr:uid="{2B5F4C4D-2964-42B1-AD6E-6EA6156723F7}"/>
    <cellStyle name="Normal 2 7 2 4 2 2" xfId="9267" xr:uid="{D616D958-AABB-4055-9283-BC0981066AD6}"/>
    <cellStyle name="Normal 2 7 2 4 2 2 2" xfId="19647" xr:uid="{B9F8553E-9544-4AB5-ACE8-E5AB115AB242}"/>
    <cellStyle name="Normal 2 7 2 4 2 3" xfId="12100" xr:uid="{7F8B9777-0E7F-483F-8DD2-A23E5BAAEF5C}"/>
    <cellStyle name="Normal 2 7 2 4 2 3 2" xfId="22480" xr:uid="{93CB87D0-516F-4877-83AC-812AAB80E25D}"/>
    <cellStyle name="Normal 2 7 2 4 2 4" xfId="27888" xr:uid="{0107E775-C3CD-4FC3-96E8-6B1CB5C16DB4}"/>
    <cellStyle name="Normal 2 7 2 4 2 5" xfId="16814" xr:uid="{BE278253-1BF1-4981-AE60-1A8A9A90622F}"/>
    <cellStyle name="Normal 2 7 2 4 3" xfId="6310" xr:uid="{C0BB7D75-75B0-4B27-983C-0A8D2EBD4C74}"/>
    <cellStyle name="Normal 2 7 2 4 3 2" xfId="15879" xr:uid="{DFDD26D1-8C76-4C15-A3F7-1E64C55A1AF7}"/>
    <cellStyle name="Normal 2 7 2 4 4" xfId="8332" xr:uid="{4C3E300F-EE99-4C21-84B3-C4E34C2CA8A5}"/>
    <cellStyle name="Normal 2 7 2 4 4 2" xfId="18712" xr:uid="{C7A34A52-4BA3-42AD-A9E5-0E328121B25C}"/>
    <cellStyle name="Normal 2 7 2 4 5" xfId="11165" xr:uid="{C46616C6-3F24-4C03-9C25-9968C2027064}"/>
    <cellStyle name="Normal 2 7 2 4 5 2" xfId="21545" xr:uid="{52474DD4-4027-48EB-9671-E06736DE8582}"/>
    <cellStyle name="Normal 2 7 2 4 6" xfId="25506" xr:uid="{8A7046FA-FA5B-4560-9DE0-3EDEFA402F35}"/>
    <cellStyle name="Normal 2 7 2 4 7" xfId="13800" xr:uid="{D460E849-04E3-45D2-A14A-FB0901FFCC33}"/>
    <cellStyle name="Normal 2 7 2 5" xfId="3247" xr:uid="{00000000-0005-0000-0000-0000DB040000}"/>
    <cellStyle name="Normal 2 7 2 5 2" xfId="6305" xr:uid="{BE4333F0-C05D-4B14-A1A1-E590D6EDBAD9}"/>
    <cellStyle name="Normal 2 7 2 5 2 2" xfId="28391" xr:uid="{0320A238-0342-4A14-AE2A-497B3DFF82F3}"/>
    <cellStyle name="Normal 2 7 2 5 2 3" xfId="15874" xr:uid="{9A287CA8-8C41-4746-9F51-AB1F2306AE2A}"/>
    <cellStyle name="Normal 2 7 2 5 3" xfId="8327" xr:uid="{272CD5A3-1B0C-4262-A382-8AF74FE454EA}"/>
    <cellStyle name="Normal 2 7 2 5 3 2" xfId="18707" xr:uid="{E38479BA-F997-4544-85B0-C83524F2BDFC}"/>
    <cellStyle name="Normal 2 7 2 5 4" xfId="11160" xr:uid="{C4428E8F-46A5-42B0-84F9-39E1F2CA2692}"/>
    <cellStyle name="Normal 2 7 2 5 4 2" xfId="21540" xr:uid="{497F2DA9-598E-44D7-B61B-D0ADA112B81D}"/>
    <cellStyle name="Normal 2 7 2 5 5" xfId="24353" xr:uid="{0A460A1E-0C6C-4332-9151-D6E996923AC3}"/>
    <cellStyle name="Normal 2 7 2 5 6" xfId="13795" xr:uid="{81B3E93F-8D5A-4A1F-A421-B8426C67CC60}"/>
    <cellStyle name="Normal 2 7 2 6" xfId="2547" xr:uid="{00000000-0005-0000-0000-0000DC040000}"/>
    <cellStyle name="Normal 2 7 2 6 2" xfId="5819" xr:uid="{1D674A74-CA68-4F14-86A3-852BD78DBF62}"/>
    <cellStyle name="Normal 2 7 2 6 2 2" xfId="26113" xr:uid="{3916A2C1-F727-448F-9949-3BC53CBA4AF7}"/>
    <cellStyle name="Normal 2 7 2 6 2 3" xfId="15219" xr:uid="{475B378D-4802-46C9-8541-141DE8D7A611}"/>
    <cellStyle name="Normal 2 7 2 6 3" xfId="7672" xr:uid="{27D543AE-D1E2-4C6C-896C-88156F2BB6EC}"/>
    <cellStyle name="Normal 2 7 2 6 3 2" xfId="18052" xr:uid="{CB20DE0A-CCB4-4FEF-838F-66D5180AC852}"/>
    <cellStyle name="Normal 2 7 2 6 4" xfId="10505" xr:uid="{D2745FDC-32DE-435B-A069-D6CA0C79EB48}"/>
    <cellStyle name="Normal 2 7 2 6 4 2" xfId="20885" xr:uid="{9D7CF0B2-9F8D-42D6-8A93-0AA390D6A34A}"/>
    <cellStyle name="Normal 2 7 2 6 5" xfId="24542" xr:uid="{2F47A91F-BD5F-49D3-8DAE-B69289587EBE}"/>
    <cellStyle name="Normal 2 7 2 6 6" xfId="12935" xr:uid="{000E4F26-F5E8-4094-B174-BBE61AFB4D3B}"/>
    <cellStyle name="Normal 2 7 2 7" xfId="2241" xr:uid="{00000000-0005-0000-0000-0000D2040000}"/>
    <cellStyle name="Normal 2 7 2 7 2" xfId="7368" xr:uid="{5119E13D-4E0E-4D76-8686-5B4526C0C1C7}"/>
    <cellStyle name="Normal 2 7 2 7 2 2" xfId="17748" xr:uid="{FCBA4D9A-FBF7-413B-9350-E19F6DCDCF95}"/>
    <cellStyle name="Normal 2 7 2 7 3" xfId="10201" xr:uid="{29268BB4-8542-4ACA-8912-943E50217DC3}"/>
    <cellStyle name="Normal 2 7 2 7 3 2" xfId="20581" xr:uid="{EF86BB97-B758-4ECF-97B9-1B9AB3D18A92}"/>
    <cellStyle name="Normal 2 7 2 7 4" xfId="24475" xr:uid="{2995AD3E-C9A3-4DBC-B784-99DCCD2CE1FF}"/>
    <cellStyle name="Normal 2 7 2 7 5" xfId="14915" xr:uid="{E726648D-85AB-46CF-86E5-5E3FFD70D0FC}"/>
    <cellStyle name="Normal 2 7 2 8" xfId="3794" xr:uid="{CF4F2132-8A0C-43A3-AB68-C933D526D158}"/>
    <cellStyle name="Normal 2 7 2 8 2" xfId="8630" xr:uid="{5B1BB51F-279A-4AF4-B10A-FFDCE55D05F7}"/>
    <cellStyle name="Normal 2 7 2 8 2 2" xfId="19010" xr:uid="{8D5C05B3-37CC-436B-981B-569D3B6C4AFF}"/>
    <cellStyle name="Normal 2 7 2 8 3" xfId="11463" xr:uid="{A4089863-9C82-4C13-BBA9-39443F4DBAC3}"/>
    <cellStyle name="Normal 2 7 2 8 3 2" xfId="21843" xr:uid="{3FBA34BC-2463-474C-8466-B15DFC67BEB4}"/>
    <cellStyle name="Normal 2 7 2 8 4" xfId="16177" xr:uid="{A4FEF638-BB73-444C-A4F9-7A2B01095EAC}"/>
    <cellStyle name="Normal 2 7 2 9" xfId="5179" xr:uid="{E5D43967-6CEF-4691-8C42-561CDAC6057C}"/>
    <cellStyle name="Normal 2 7 2 9 2" xfId="14476" xr:uid="{99C5F3F4-F27D-484C-98C2-80557E391747}"/>
    <cellStyle name="Normal 2 7 3" xfId="829" xr:uid="{00000000-0005-0000-0000-0000E9040000}"/>
    <cellStyle name="Normal 2 7 3 10" xfId="9764" xr:uid="{B80564E9-6480-4D14-BCE7-7C080664B2B4}"/>
    <cellStyle name="Normal 2 7 3 10 2" xfId="20144" xr:uid="{556952A2-9939-4C12-B86B-39B9853E10B0}"/>
    <cellStyle name="Normal 2 7 3 11" xfId="25524" xr:uid="{234A48C0-02A8-44E1-B3E7-3323B0C7D3D2}"/>
    <cellStyle name="Normal 2 7 3 12" xfId="12576" xr:uid="{00020838-BBC7-41F8-BCA5-E57A9E4B56FE}"/>
    <cellStyle name="Normal 2 7 3 2" xfId="2755" xr:uid="{00000000-0005-0000-0000-0000DE040000}"/>
    <cellStyle name="Normal 2 7 3 2 2" xfId="3254" xr:uid="{00000000-0005-0000-0000-0000DF040000}"/>
    <cellStyle name="Normal 2 7 3 2 2 2" xfId="6312" xr:uid="{51EB6BFC-00E1-4ED8-B0FF-AB5DAADD7864}"/>
    <cellStyle name="Normal 2 7 3 2 2 2 2" xfId="28632" xr:uid="{7D93899E-8F71-4234-AB8C-7C54CC5863CC}"/>
    <cellStyle name="Normal 2 7 3 2 2 2 3" xfId="15881" xr:uid="{6E851EF1-83F0-43C0-8E48-F0C74D9CA53E}"/>
    <cellStyle name="Normal 2 7 3 2 2 3" xfId="8334" xr:uid="{0F84327D-3644-4CD7-BEDF-5CD88CF5F3C7}"/>
    <cellStyle name="Normal 2 7 3 2 2 3 2" xfId="18714" xr:uid="{3CEFA913-4086-4620-8FAE-29374E0926BB}"/>
    <cellStyle name="Normal 2 7 3 2 2 4" xfId="11167" xr:uid="{5DD1EFA7-030D-4944-B43B-A633D59FF435}"/>
    <cellStyle name="Normal 2 7 3 2 2 4 2" xfId="21547" xr:uid="{C0EFD3DF-1AD3-44C5-A3C0-412CBDBD60D2}"/>
    <cellStyle name="Normal 2 7 3 2 2 5" xfId="23552" xr:uid="{CE5A8228-E08C-48A3-9221-6D39D333AAE2}"/>
    <cellStyle name="Normal 2 7 3 2 2 6" xfId="13802" xr:uid="{8F3BFDAD-E95B-439F-AF44-3DD15009B399}"/>
    <cellStyle name="Normal 2 7 3 2 3" xfId="4317" xr:uid="{F0FA149B-8459-42D0-8CB6-1F65390FA2E6}"/>
    <cellStyle name="Normal 2 7 3 2 3 2" xfId="9089" xr:uid="{13EE7781-CB1A-48FF-8B60-CAD4EAC598A7}"/>
    <cellStyle name="Normal 2 7 3 2 3 2 2" xfId="29132" xr:uid="{68BB0749-92B9-49EC-89BD-AA5009509809}"/>
    <cellStyle name="Normal 2 7 3 2 3 2 3" xfId="19469" xr:uid="{6B2CA347-D3CE-4655-9B76-DF7270573970}"/>
    <cellStyle name="Normal 2 7 3 2 3 3" xfId="11922" xr:uid="{0AE48217-5F93-410B-827C-64764A3D87CE}"/>
    <cellStyle name="Normal 2 7 3 2 3 3 2" xfId="22302" xr:uid="{264AD89D-73AB-4AAD-874F-8B4282D5C1CF}"/>
    <cellStyle name="Normal 2 7 3 2 3 4" xfId="25534" xr:uid="{3DC2F328-4B81-425C-ABF4-704C59C8F081}"/>
    <cellStyle name="Normal 2 7 3 2 3 5" xfId="16636" xr:uid="{5BA5B6DA-B259-4A1D-A4F2-1E8888B6843A}"/>
    <cellStyle name="Normal 2 7 3 2 4" xfId="5973" xr:uid="{449DB9B6-AF5A-4D70-90FE-048BB77B6718}"/>
    <cellStyle name="Normal 2 7 3 2 4 2" xfId="27622" xr:uid="{511F04B6-3E27-4407-A4D8-8D70F34EFFF4}"/>
    <cellStyle name="Normal 2 7 3 2 4 3" xfId="15426" xr:uid="{6102C36C-5A29-4F8C-AB06-1B403F2FD649}"/>
    <cellStyle name="Normal 2 7 3 2 5" xfId="7879" xr:uid="{A229218C-02A5-47B0-AA7C-571FC337C148}"/>
    <cellStyle name="Normal 2 7 3 2 5 2" xfId="18259" xr:uid="{B84E5EFA-F2D4-4E1C-BD6A-A7951DD11C32}"/>
    <cellStyle name="Normal 2 7 3 2 6" xfId="10712" xr:uid="{E8EC6D97-24ED-43E3-8522-4A0D809F1DB6}"/>
    <cellStyle name="Normal 2 7 3 2 6 2" xfId="21092" xr:uid="{22073319-E475-4888-823F-028CED0905C3}"/>
    <cellStyle name="Normal 2 7 3 2 7" xfId="23712" xr:uid="{8BCE977C-02D7-4091-AC63-AB94B7E90B71}"/>
    <cellStyle name="Normal 2 7 3 2 8" xfId="13198" xr:uid="{F715D9B3-3B00-4753-ADC4-EEA5AFCB12BF}"/>
    <cellStyle name="Normal 2 7 3 3" xfId="3255" xr:uid="{00000000-0005-0000-0000-0000E0040000}"/>
    <cellStyle name="Normal 2 7 3 3 2" xfId="4496" xr:uid="{E44E24F4-11E3-4C63-B085-E40DE17F6EF7}"/>
    <cellStyle name="Normal 2 7 3 3 2 2" xfId="9268" xr:uid="{F607B122-C1DC-445F-8A88-5E4BE4912255}"/>
    <cellStyle name="Normal 2 7 3 3 2 2 2" xfId="29251" xr:uid="{50F3BC27-435C-4D98-8E31-8F9014CC22C4}"/>
    <cellStyle name="Normal 2 7 3 3 2 2 3" xfId="19648" xr:uid="{DFF9221F-6C54-433A-8154-CDBBD1F490E1}"/>
    <cellStyle name="Normal 2 7 3 3 2 3" xfId="12101" xr:uid="{2C3F255D-9EF4-41F8-B486-1B90CA5CE5DC}"/>
    <cellStyle name="Normal 2 7 3 3 2 3 2" xfId="22481" xr:uid="{6B6B44B1-77DA-4CC4-85E4-7343FE41ED86}"/>
    <cellStyle name="Normal 2 7 3 3 2 4" xfId="25586" xr:uid="{0618D42F-60BE-4BC9-A9C5-E2DD27C26C4E}"/>
    <cellStyle name="Normal 2 7 3 3 2 5" xfId="16815" xr:uid="{FD6B4A63-97D0-4A7C-9618-E0F47BC35482}"/>
    <cellStyle name="Normal 2 7 3 3 3" xfId="6313" xr:uid="{F7B8C740-69D5-45D4-B54F-8FF7F200BF30}"/>
    <cellStyle name="Normal 2 7 3 3 3 2" xfId="27029" xr:uid="{CF63DFF2-DF2D-42A9-9CB0-6897F9DAEC31}"/>
    <cellStyle name="Normal 2 7 3 3 3 3" xfId="15882" xr:uid="{8F12AE2C-93C4-4022-9E00-C55DC14BC030}"/>
    <cellStyle name="Normal 2 7 3 3 4" xfId="8335" xr:uid="{29056D99-3D36-4375-A602-B939E0A4C136}"/>
    <cellStyle name="Normal 2 7 3 3 4 2" xfId="18715" xr:uid="{37A61D48-0330-4E70-966F-C37E4E2BC657}"/>
    <cellStyle name="Normal 2 7 3 3 5" xfId="11168" xr:uid="{83932395-17B4-46E8-945E-51CB87C17AAA}"/>
    <cellStyle name="Normal 2 7 3 3 5 2" xfId="21548" xr:uid="{DDB4E08E-1B10-476A-8A94-73E0C7AA389E}"/>
    <cellStyle name="Normal 2 7 3 3 6" xfId="22993" xr:uid="{AA3E6471-6B09-49D6-A1FA-316B52C2DC9E}"/>
    <cellStyle name="Normal 2 7 3 3 7" xfId="13803" xr:uid="{9BA4A25F-A6CF-4C2A-834C-A66F837A42E3}"/>
    <cellStyle name="Normal 2 7 3 4" xfId="3253" xr:uid="{00000000-0005-0000-0000-0000E1040000}"/>
    <cellStyle name="Normal 2 7 3 4 2" xfId="6311" xr:uid="{952B3B49-6784-4F40-88F5-B4F972EA4693}"/>
    <cellStyle name="Normal 2 7 3 4 2 2" xfId="27915" xr:uid="{45FB4DDF-06EC-4EA8-A9DA-793E40797DBA}"/>
    <cellStyle name="Normal 2 7 3 4 2 3" xfId="15880" xr:uid="{EDEC2EC9-F75A-46B8-BD61-C2A06F311FD2}"/>
    <cellStyle name="Normal 2 7 3 4 3" xfId="8333" xr:uid="{F64895AA-6DC0-474D-BB42-ADCFC5A3F235}"/>
    <cellStyle name="Normal 2 7 3 4 3 2" xfId="18713" xr:uid="{C5D09A53-FC8F-4CBB-B471-31D3C50B273E}"/>
    <cellStyle name="Normal 2 7 3 4 4" xfId="11166" xr:uid="{13B95295-4270-4165-818B-1F05CFA39F6C}"/>
    <cellStyle name="Normal 2 7 3 4 4 2" xfId="21546" xr:uid="{DC6DCDA5-83C2-47D6-B40F-B441C545DE85}"/>
    <cellStyle name="Normal 2 7 3 4 5" xfId="25475" xr:uid="{628DC834-128B-46BA-AE94-946C6D07CD2C}"/>
    <cellStyle name="Normal 2 7 3 4 6" xfId="13801" xr:uid="{6D95D2C3-CFCA-4A68-848A-C0045636431B}"/>
    <cellStyle name="Normal 2 7 3 5" xfId="2590" xr:uid="{00000000-0005-0000-0000-0000E2040000}"/>
    <cellStyle name="Normal 2 7 3 5 2" xfId="5855" xr:uid="{6E5D7FC6-BC25-4F64-AB3B-18F95C472E62}"/>
    <cellStyle name="Normal 2 7 3 5 2 2" xfId="26541" xr:uid="{E929C846-2174-423E-BB86-4AA789DAD5AC}"/>
    <cellStyle name="Normal 2 7 3 5 2 3" xfId="15262" xr:uid="{E40C3F2D-C75D-4D37-AC44-D064C4E43DA4}"/>
    <cellStyle name="Normal 2 7 3 5 3" xfId="7715" xr:uid="{28919E85-E930-481E-A738-005C65D7CD08}"/>
    <cellStyle name="Normal 2 7 3 5 3 2" xfId="18095" xr:uid="{5EE22060-DB55-4D74-A870-5D7A5BC55274}"/>
    <cellStyle name="Normal 2 7 3 5 4" xfId="10548" xr:uid="{659A77B6-F830-4D39-A48E-6409F1F0594B}"/>
    <cellStyle name="Normal 2 7 3 5 4 2" xfId="20928" xr:uid="{5D7F621F-D49F-498F-9F7F-7378F1476F5E}"/>
    <cellStyle name="Normal 2 7 3 5 5" xfId="24548" xr:uid="{A5313C3F-96EE-4060-8783-66ECE116BCDA}"/>
    <cellStyle name="Normal 2 7 3 5 6" xfId="12978" xr:uid="{D7BC3DB9-57B9-4FA4-BDE3-AB038564B4B9}"/>
    <cellStyle name="Normal 2 7 3 6" xfId="2342" xr:uid="{00000000-0005-0000-0000-0000DD040000}"/>
    <cellStyle name="Normal 2 7 3 6 2" xfId="7469" xr:uid="{EB054676-16DD-4F99-B06F-880B10F30D6E}"/>
    <cellStyle name="Normal 2 7 3 6 2 2" xfId="17849" xr:uid="{5A3B8AB1-C0FD-4381-B1C0-759725456496}"/>
    <cellStyle name="Normal 2 7 3 6 3" xfId="10302" xr:uid="{59752E6B-2F9C-422B-A5CF-BF244108AB63}"/>
    <cellStyle name="Normal 2 7 3 6 3 2" xfId="20682" xr:uid="{EFC3C9AC-DD31-49D7-A76B-6630B741ADB7}"/>
    <cellStyle name="Normal 2 7 3 6 4" xfId="24343" xr:uid="{6C2B060D-7F3F-43EA-90DF-811375E8A8DA}"/>
    <cellStyle name="Normal 2 7 3 6 5" xfId="15016" xr:uid="{52151680-D1F4-47E0-B0B6-AC16A955DE7D}"/>
    <cellStyle name="Normal 2 7 3 7" xfId="3853" xr:uid="{59876A13-9C9B-4479-82D9-3B4487A30E85}"/>
    <cellStyle name="Normal 2 7 3 7 2" xfId="8686" xr:uid="{DAEF771C-46E2-4656-9534-C313BFDCC933}"/>
    <cellStyle name="Normal 2 7 3 7 2 2" xfId="19066" xr:uid="{A9F8AFBB-20CF-4D39-A663-20579B9E6A4C}"/>
    <cellStyle name="Normal 2 7 3 7 3" xfId="11519" xr:uid="{E53E25F0-554F-4C03-B995-6B4032C65344}"/>
    <cellStyle name="Normal 2 7 3 7 3 2" xfId="21899" xr:uid="{F2F52DF5-D904-4A85-8BA8-3EEEF873E7E4}"/>
    <cellStyle name="Normal 2 7 3 7 4" xfId="16233" xr:uid="{010B7F2A-24A7-459F-B56F-250D84FB8E56}"/>
    <cellStyle name="Normal 2 7 3 8" xfId="5181" xr:uid="{22912720-0D4C-46AF-8639-04244B5F8F4E}"/>
    <cellStyle name="Normal 2 7 3 8 2" xfId="14478" xr:uid="{448BDAA4-27CE-4B7A-8C21-14DB037BD217}"/>
    <cellStyle name="Normal 2 7 3 9" xfId="6931" xr:uid="{AACDEF32-BE4B-4B88-8424-71DD3D415B58}"/>
    <cellStyle name="Normal 2 7 3 9 2" xfId="17311" xr:uid="{060F623E-363F-4BD7-A35D-5DC56C34B0B3}"/>
    <cellStyle name="Normal 2 7 4" xfId="830" xr:uid="{00000000-0005-0000-0000-0000EA040000}"/>
    <cellStyle name="Normal 2 7 4 2" xfId="3256" xr:uid="{00000000-0005-0000-0000-0000E4040000}"/>
    <cellStyle name="Normal 2 7 4 2 2" xfId="6314" xr:uid="{71CEE823-4AD0-4944-A0A5-A0BF88293776}"/>
    <cellStyle name="Normal 2 7 4 2 2 2" xfId="27390" xr:uid="{CEE0CC8A-EEE2-4444-A522-E668DFDF64DE}"/>
    <cellStyle name="Normal 2 7 4 2 2 3" xfId="15883" xr:uid="{8ADAA1E4-6B32-495F-A7DE-CD304107210B}"/>
    <cellStyle name="Normal 2 7 4 2 3" xfId="8336" xr:uid="{8FC6695D-EC43-4BDE-93D5-305C82CFB52A}"/>
    <cellStyle name="Normal 2 7 4 2 3 2" xfId="18716" xr:uid="{95E66D1D-0F3B-4CC6-A376-6951F4876EF2}"/>
    <cellStyle name="Normal 2 7 4 2 4" xfId="11169" xr:uid="{5DF6F997-CD37-4F51-964E-33446D081265}"/>
    <cellStyle name="Normal 2 7 4 2 4 2" xfId="21549" xr:uid="{59983315-2332-4F8C-8208-D6E0014BC384}"/>
    <cellStyle name="Normal 2 7 4 2 5" xfId="25429" xr:uid="{D0E63B7D-5BC9-4688-B9CF-6746F6EEBEEF}"/>
    <cellStyle name="Normal 2 7 4 2 6" xfId="13804" xr:uid="{CD06FEB9-D84B-4249-912F-F1263917FFA9}"/>
    <cellStyle name="Normal 2 7 4 3" xfId="2752" xr:uid="{00000000-0005-0000-0000-0000E5040000}"/>
    <cellStyle name="Normal 2 7 4 3 2" xfId="5970" xr:uid="{145B2AC7-E138-4228-AF58-40C3AD233F72}"/>
    <cellStyle name="Normal 2 7 4 3 2 2" xfId="26517" xr:uid="{2A85577B-91D0-4CCF-98A7-397E250A4C3F}"/>
    <cellStyle name="Normal 2 7 4 3 2 3" xfId="15423" xr:uid="{848982D3-A451-47CB-8014-C2530F0784D8}"/>
    <cellStyle name="Normal 2 7 4 3 3" xfId="7876" xr:uid="{B71A9E4B-A303-4E37-BFF9-85C5EC5891C9}"/>
    <cellStyle name="Normal 2 7 4 3 3 2" xfId="18256" xr:uid="{228DDBD2-EFCA-4FF2-A944-A65244689CC1}"/>
    <cellStyle name="Normal 2 7 4 3 4" xfId="10709" xr:uid="{50A21E25-123A-4EC3-B4DC-ABCE8859B544}"/>
    <cellStyle name="Normal 2 7 4 3 4 2" xfId="21089" xr:uid="{8ED9BA2A-D7B1-4CF3-AFD0-84C83C86077C}"/>
    <cellStyle name="Normal 2 7 4 3 5" xfId="23978" xr:uid="{8EB8C2B8-786A-42D6-9143-5D4DFD9BFC73}"/>
    <cellStyle name="Normal 2 7 4 3 6" xfId="13195" xr:uid="{515F9088-1B79-40D4-8535-FE257CE33DE7}"/>
    <cellStyle name="Normal 2 7 4 4" xfId="4174" xr:uid="{8AC50F76-D3E6-41CF-9C06-029A048ABCE8}"/>
    <cellStyle name="Normal 2 7 4 4 2" xfId="8946" xr:uid="{772C9F48-4D58-4B83-A954-095A564A0D15}"/>
    <cellStyle name="Normal 2 7 4 4 2 2" xfId="19326" xr:uid="{F71795C8-7D43-4499-B687-6A053FA1DE38}"/>
    <cellStyle name="Normal 2 7 4 4 3" xfId="11779" xr:uid="{1638D4BF-F1C5-4F51-B1FC-B5BD54ABF90A}"/>
    <cellStyle name="Normal 2 7 4 4 3 2" xfId="22159" xr:uid="{AF0389C7-E3B2-4F45-870B-8DC1F1EEA5B3}"/>
    <cellStyle name="Normal 2 7 4 4 4" xfId="25049" xr:uid="{7CC9B72E-3642-44F3-AF24-C6D0606626FF}"/>
    <cellStyle name="Normal 2 7 4 4 5" xfId="16493" xr:uid="{8F2EC2B8-9FE6-40E7-A228-62ED530AC17F}"/>
    <cellStyle name="Normal 2 7 4 5" xfId="5182" xr:uid="{717DE2C8-2F2E-4098-81A0-E0FA74614B37}"/>
    <cellStyle name="Normal 2 7 4 5 2" xfId="14479" xr:uid="{E74B6E9E-DE02-443A-B853-CFDBE2F2BB9D}"/>
    <cellStyle name="Normal 2 7 4 6" xfId="6932" xr:uid="{3B77EAA3-7C6C-4770-9571-6AC26DFBFF32}"/>
    <cellStyle name="Normal 2 7 4 6 2" xfId="17312" xr:uid="{F461C47C-701C-47D3-BA57-45790E5533C4}"/>
    <cellStyle name="Normal 2 7 4 7" xfId="9765" xr:uid="{FB8127CE-A3A1-4439-98A8-ECC6B82A8295}"/>
    <cellStyle name="Normal 2 7 4 7 2" xfId="20145" xr:uid="{5AF0005F-F0E6-4D89-9C47-D2C9BB2CD303}"/>
    <cellStyle name="Normal 2 7 4 8" xfId="22994" xr:uid="{562F3934-A9DB-4292-8085-6013FA723BAD}"/>
    <cellStyle name="Normal 2 7 4 9" xfId="12734" xr:uid="{3125FADE-A930-44DF-8690-A3014C853D23}"/>
    <cellStyle name="Normal 2 7 5" xfId="3257" xr:uid="{00000000-0005-0000-0000-0000E6040000}"/>
    <cellStyle name="Normal 2 7 5 2" xfId="4497" xr:uid="{6B1E980C-131C-4198-B764-D6BE5D211DA5}"/>
    <cellStyle name="Normal 2 7 5 2 2" xfId="9269" xr:uid="{B7AAB0C6-24BF-4D46-9AA8-24A20F188FDA}"/>
    <cellStyle name="Normal 2 7 5 2 2 2" xfId="29252" xr:uid="{E4734FF7-FCA2-4419-9732-777445AC6B10}"/>
    <cellStyle name="Normal 2 7 5 2 2 3" xfId="19649" xr:uid="{AE84BA61-752F-4654-AE01-737BED40B691}"/>
    <cellStyle name="Normal 2 7 5 2 3" xfId="12102" xr:uid="{DB0328AF-7516-46F1-91E1-E91A6AB86926}"/>
    <cellStyle name="Normal 2 7 5 2 3 2" xfId="22482" xr:uid="{DFB245FF-558E-4727-AEC3-34DB84043612}"/>
    <cellStyle name="Normal 2 7 5 2 4" xfId="25419" xr:uid="{749BA87B-9475-4996-BE56-534F2E8B02B8}"/>
    <cellStyle name="Normal 2 7 5 2 5" xfId="16816" xr:uid="{C9A14064-E63B-40C9-A73D-AFE5C51F8BEF}"/>
    <cellStyle name="Normal 2 7 5 3" xfId="6315" xr:uid="{016DB043-5EF2-4057-AF73-300D6DBDEF75}"/>
    <cellStyle name="Normal 2 7 5 3 2" xfId="26476" xr:uid="{13D0BCA5-0E56-4BC8-9755-AC8E6E21A552}"/>
    <cellStyle name="Normal 2 7 5 3 3" xfId="15884" xr:uid="{B0344709-8316-48B7-9700-1B797A8C7642}"/>
    <cellStyle name="Normal 2 7 5 4" xfId="8337" xr:uid="{4DA050E3-2232-4805-BC13-40346E73E54B}"/>
    <cellStyle name="Normal 2 7 5 4 2" xfId="18717" xr:uid="{A976D288-5856-4ED8-804A-4ECF8534B765}"/>
    <cellStyle name="Normal 2 7 5 5" xfId="11170" xr:uid="{DA5D3750-153B-426B-9D39-B81E3AAF7F63}"/>
    <cellStyle name="Normal 2 7 5 5 2" xfId="21550" xr:uid="{0C6072E1-0399-40E2-BDF9-50D23FE32DFC}"/>
    <cellStyle name="Normal 2 7 5 6" xfId="24232" xr:uid="{8C853527-3A85-4D80-A47F-7032AA059977}"/>
    <cellStyle name="Normal 2 7 5 7" xfId="13805" xr:uid="{0838E1E9-5B0D-41A5-A8FD-58D14A45CBB8}"/>
    <cellStyle name="Normal 2 7 6" xfId="2915" xr:uid="{00000000-0005-0000-0000-0000E7040000}"/>
    <cellStyle name="Normal 2 7 6 2" xfId="6101" xr:uid="{A72DA3E3-628A-466B-B484-2AD061942FF4}"/>
    <cellStyle name="Normal 2 7 6 2 2" xfId="26188" xr:uid="{E3525FCE-0E8B-4363-86AA-5DB0CA30EAC7}"/>
    <cellStyle name="Normal 2 7 6 2 3" xfId="15579" xr:uid="{AD7A8575-854D-44EA-B785-2F1001A2A045}"/>
    <cellStyle name="Normal 2 7 6 3" xfId="8032" xr:uid="{8C399678-619D-4551-9E61-7E718BD25A05}"/>
    <cellStyle name="Normal 2 7 6 3 2" xfId="18412" xr:uid="{B105745C-B71D-49AF-A6E4-9531ED33804E}"/>
    <cellStyle name="Normal 2 7 6 4" xfId="10865" xr:uid="{A3744CBC-45DE-4DAA-BA85-096F6E9261F1}"/>
    <cellStyle name="Normal 2 7 6 4 2" xfId="21245" xr:uid="{E6A6B3B1-E09F-4A41-954C-56180BE9BB5F}"/>
    <cellStyle name="Normal 2 7 6 5" xfId="23488" xr:uid="{ED24D4F5-7011-4B51-BC0D-6F22A62E844E}"/>
    <cellStyle name="Normal 2 7 6 6" xfId="13432" xr:uid="{F9DC699A-8F1C-4AE1-9057-A1937D783382}"/>
    <cellStyle name="Normal 2 7 7" xfId="2487" xr:uid="{00000000-0005-0000-0000-0000E8040000}"/>
    <cellStyle name="Normal 2 7 7 2" xfId="5772" xr:uid="{AC1B6218-AD1E-4FB2-B01B-3690B7A69759}"/>
    <cellStyle name="Normal 2 7 7 2 2" xfId="28751" xr:uid="{00B60B50-D380-4FF6-9C2A-D02F7AC372E8}"/>
    <cellStyle name="Normal 2 7 7 2 3" xfId="15159" xr:uid="{397FE296-624B-4C47-90C5-13988B62CA4A}"/>
    <cellStyle name="Normal 2 7 7 3" xfId="7612" xr:uid="{B75D5F0E-2123-44E6-AED0-AF402A568DD1}"/>
    <cellStyle name="Normal 2 7 7 3 2" xfId="17992" xr:uid="{562B3F72-ACAA-49FA-986D-18354E0EAC7E}"/>
    <cellStyle name="Normal 2 7 7 4" xfId="10445" xr:uid="{44FF3E11-BB54-432F-9989-F88AFDD01007}"/>
    <cellStyle name="Normal 2 7 7 4 2" xfId="20825" xr:uid="{DEBB59F7-4C48-408A-BD45-419079E7F30B}"/>
    <cellStyle name="Normal 2 7 7 5" xfId="23357" xr:uid="{09A29A52-3B42-4616-92F6-5CBC0EA39103}"/>
    <cellStyle name="Normal 2 7 7 6" xfId="12875" xr:uid="{CA745FC1-03D0-438C-BF2F-B04F366ACD19}"/>
    <cellStyle name="Normal 2 7 8" xfId="2181" xr:uid="{00000000-0005-0000-0000-0000D1040000}"/>
    <cellStyle name="Normal 2 7 8 2" xfId="7308" xr:uid="{0830F5DD-6D21-49F4-A9B3-604959D8120F}"/>
    <cellStyle name="Normal 2 7 8 2 2" xfId="17688" xr:uid="{29EDD52C-37AD-477B-AFB3-3D788AE07F90}"/>
    <cellStyle name="Normal 2 7 8 3" xfId="10141" xr:uid="{DB91861C-0F9C-4892-A88B-7DBA1139476D}"/>
    <cellStyle name="Normal 2 7 8 3 2" xfId="20521" xr:uid="{00B74FED-9925-4107-AD01-E9A8F8C22E98}"/>
    <cellStyle name="Normal 2 7 8 4" xfId="24852" xr:uid="{9F222FCF-80AD-4A76-8591-13E84C4F1B1E}"/>
    <cellStyle name="Normal 2 7 8 5" xfId="14855" xr:uid="{55F52EA5-B516-4C11-A49F-8421E51557FF}"/>
    <cellStyle name="Normal 2 7 9" xfId="3952" xr:uid="{A6386ADA-3287-4373-839E-4D0FB01F6C53}"/>
    <cellStyle name="Normal 2 7 9 2" xfId="8784" xr:uid="{99D06A28-198A-451C-9CC5-BBFF21DD87E2}"/>
    <cellStyle name="Normal 2 7 9 2 2" xfId="19164" xr:uid="{3775A87A-2918-4CCC-82B1-39DC7F69925D}"/>
    <cellStyle name="Normal 2 7 9 3" xfId="11617" xr:uid="{C785F9A9-9F97-4EFB-9C31-10DEE8DC4130}"/>
    <cellStyle name="Normal 2 7 9 3 2" xfId="21997" xr:uid="{C92B6D30-0CB7-48C0-AFA2-0393924E08D1}"/>
    <cellStyle name="Normal 2 7 9 4" xfId="16331" xr:uid="{20C1B482-BFD0-465A-8590-E53314C7EF9A}"/>
    <cellStyle name="Normal 2 8" xfId="831" xr:uid="{00000000-0005-0000-0000-0000EB040000}"/>
    <cellStyle name="Normal 2 8 10" xfId="5183" xr:uid="{40380ED7-DDE8-4CE3-82C0-99469D30D652}"/>
    <cellStyle name="Normal 2 8 10 2" xfId="14480" xr:uid="{E1EB6AAD-E630-4183-B6FD-218D1F36B279}"/>
    <cellStyle name="Normal 2 8 11" xfId="6933" xr:uid="{4E51C6D5-27D3-44AA-BAF2-C86DDDAF7446}"/>
    <cellStyle name="Normal 2 8 11 2" xfId="17313" xr:uid="{837D9E52-6906-4D0D-8672-AB683F7730B4}"/>
    <cellStyle name="Normal 2 8 12" xfId="9766" xr:uid="{A749656F-3C03-463C-BB9D-2A573B397E89}"/>
    <cellStyle name="Normal 2 8 12 2" xfId="20146" xr:uid="{C8F920DA-218B-44F4-8186-69E8299B7674}"/>
    <cellStyle name="Normal 2 8 13" xfId="24146" xr:uid="{0963CDEC-E371-42BB-9422-ACE52BBA0CF3}"/>
    <cellStyle name="Normal 2 8 14" xfId="12447" xr:uid="{A31E1099-78CC-4B71-A141-F56A2524A61E}"/>
    <cellStyle name="Normal 2 8 2" xfId="832" xr:uid="{00000000-0005-0000-0000-0000EC040000}"/>
    <cellStyle name="Normal 2 8 2 10" xfId="9767" xr:uid="{4D9DFE05-B631-403C-BCF3-EF6C419A7C37}"/>
    <cellStyle name="Normal 2 8 2 10 2" xfId="20147" xr:uid="{0277E97B-E62E-427C-BF5C-3E79B155C3BF}"/>
    <cellStyle name="Normal 2 8 2 11" xfId="22935" xr:uid="{A9E5B6A5-7BA3-4B67-B5F4-6B9016B71202}"/>
    <cellStyle name="Normal 2 8 2 12" xfId="12577" xr:uid="{9AA20E7D-A7C9-4928-BD7B-329E347E1DF8}"/>
    <cellStyle name="Normal 2 8 2 2" xfId="833" xr:uid="{00000000-0005-0000-0000-0000ED040000}"/>
    <cellStyle name="Normal 2 8 2 2 2" xfId="3259" xr:uid="{00000000-0005-0000-0000-0000EC040000}"/>
    <cellStyle name="Normal 2 8 2 2 2 2" xfId="6317" xr:uid="{E8CEFCD8-20B3-4E94-9B5B-50A8F801EC89}"/>
    <cellStyle name="Normal 2 8 2 2 2 2 2" xfId="28452" xr:uid="{9B2527F5-BBB3-4B72-A313-3D4FC3D3FC8C}"/>
    <cellStyle name="Normal 2 8 2 2 2 2 3" xfId="28092" xr:uid="{550DFAE7-40CC-4013-9279-7A91D3B432AF}"/>
    <cellStyle name="Normal 2 8 2 2 2 2 4" xfId="15886" xr:uid="{A5BAF042-E853-4939-BD0A-B23D58C90756}"/>
    <cellStyle name="Normal 2 8 2 2 2 3" xfId="8339" xr:uid="{E29A79B0-B795-4C94-814D-9A47992D2E01}"/>
    <cellStyle name="Normal 2 8 2 2 2 3 2" xfId="28891" xr:uid="{90C5D1D6-906A-4005-92B0-64FAE9DF8EF7}"/>
    <cellStyle name="Normal 2 8 2 2 2 3 3" xfId="18719" xr:uid="{C0CF3DCE-97A0-498E-B04F-FBE73C34FEA1}"/>
    <cellStyle name="Normal 2 8 2 2 2 4" xfId="11172" xr:uid="{C6533BE9-E499-41F1-BEC4-3AA5F4A737A6}"/>
    <cellStyle name="Normal 2 8 2 2 2 4 2" xfId="21552" xr:uid="{979617F4-9BC4-4068-AF89-9D803C9B722D}"/>
    <cellStyle name="Normal 2 8 2 2 2 5" xfId="23678" xr:uid="{F7A09A72-CE90-45E7-A8FB-448103B44903}"/>
    <cellStyle name="Normal 2 8 2 2 2 6" xfId="13807" xr:uid="{9A71CDC9-C58C-47F5-8EB7-FCF081FA00A5}"/>
    <cellStyle name="Normal 2 8 2 2 3" xfId="4319" xr:uid="{00641515-B8EE-4462-A5E1-92E8AD68B412}"/>
    <cellStyle name="Normal 2 8 2 2 3 2" xfId="9091" xr:uid="{E5787134-1742-4497-B391-2B38C5521001}"/>
    <cellStyle name="Normal 2 8 2 2 3 2 2" xfId="29134" xr:uid="{60591CF2-D428-4AF2-BB3D-111D24C78CB3}"/>
    <cellStyle name="Normal 2 8 2 2 3 2 3" xfId="19471" xr:uid="{D12FADAD-F941-49B0-A161-CFAB573B85AA}"/>
    <cellStyle name="Normal 2 8 2 2 3 3" xfId="11924" xr:uid="{E4C4019B-05FA-4C55-A2FF-B1FA27230812}"/>
    <cellStyle name="Normal 2 8 2 2 3 3 2" xfId="22304" xr:uid="{AA4D6692-15F2-4F6C-B9B3-B232C24BA114}"/>
    <cellStyle name="Normal 2 8 2 2 3 4" xfId="24490" xr:uid="{31D545F0-70D4-4D94-9FC6-A6B195271AF7}"/>
    <cellStyle name="Normal 2 8 2 2 3 5" xfId="16638" xr:uid="{59F603B3-032B-46B7-BB26-026DED68F117}"/>
    <cellStyle name="Normal 2 8 2 2 4" xfId="5185" xr:uid="{3CFE1E7C-2C46-4B24-A72F-B89B6CD06028}"/>
    <cellStyle name="Normal 2 8 2 2 4 2" xfId="28350" xr:uid="{60632920-281C-46EA-AC97-42678D7DB885}"/>
    <cellStyle name="Normal 2 8 2 2 4 3" xfId="14482" xr:uid="{51350F7B-30E1-4F4E-891E-CAB00AFBC1F8}"/>
    <cellStyle name="Normal 2 8 2 2 5" xfId="6935" xr:uid="{35DC256B-D160-4416-83A4-3BD5F907605A}"/>
    <cellStyle name="Normal 2 8 2 2 5 2" xfId="17315" xr:uid="{125BA631-0382-4A16-9B52-79AC361B8BE7}"/>
    <cellStyle name="Normal 2 8 2 2 6" xfId="9768" xr:uid="{6F07800B-1F18-4E12-8ADD-86321C659FBE}"/>
    <cellStyle name="Normal 2 8 2 2 6 2" xfId="20148" xr:uid="{74537F53-6B31-44FB-ABF9-7042343A8374}"/>
    <cellStyle name="Normal 2 8 2 2 7" xfId="24601" xr:uid="{4354B5C0-2B0E-4A08-A5F4-F2F6E931B73C}"/>
    <cellStyle name="Normal 2 8 2 2 8" xfId="13200" xr:uid="{0A02F550-76AE-4963-938D-99C871307A70}"/>
    <cellStyle name="Normal 2 8 2 3" xfId="3260" xr:uid="{00000000-0005-0000-0000-0000ED040000}"/>
    <cellStyle name="Normal 2 8 2 3 2" xfId="4498" xr:uid="{0BBF4EAF-2EEB-4640-BA38-DBDFC058B749}"/>
    <cellStyle name="Normal 2 8 2 3 2 2" xfId="9270" xr:uid="{48BFEDD3-7392-4C4A-B002-66AD38724562}"/>
    <cellStyle name="Normal 2 8 2 3 2 2 2" xfId="29253" xr:uid="{238C0550-505F-490B-9C2D-23264E218DA0}"/>
    <cellStyle name="Normal 2 8 2 3 2 2 3" xfId="19650" xr:uid="{9EA528C0-22A5-49DE-8E75-D6F59A2F526C}"/>
    <cellStyle name="Normal 2 8 2 3 2 3" xfId="12103" xr:uid="{1F1673D3-C7B3-4070-944F-11A3F491560D}"/>
    <cellStyle name="Normal 2 8 2 3 2 3 2" xfId="22483" xr:uid="{4EC5530C-B788-49D1-B8AD-24172D3E9448}"/>
    <cellStyle name="Normal 2 8 2 3 2 4" xfId="25716" xr:uid="{23044FBC-8E1B-4EE7-B299-D46361B75083}"/>
    <cellStyle name="Normal 2 8 2 3 2 5" xfId="16817" xr:uid="{F64422A4-F1AB-4878-BBE9-CCF2850EC9DB}"/>
    <cellStyle name="Normal 2 8 2 3 3" xfId="6318" xr:uid="{70319F9C-8C6C-4280-B5A7-FA70D7D4E8EC}"/>
    <cellStyle name="Normal 2 8 2 3 3 2" xfId="27176" xr:uid="{944CDA04-5C80-4EA1-80A7-A40B22BF04C9}"/>
    <cellStyle name="Normal 2 8 2 3 3 3" xfId="15887" xr:uid="{2E65C6E6-7705-4581-B6DB-48A3329BC3F3}"/>
    <cellStyle name="Normal 2 8 2 3 4" xfId="8340" xr:uid="{89F6381F-D0A9-48DA-84B5-04BBD4FA5670}"/>
    <cellStyle name="Normal 2 8 2 3 4 2" xfId="18720" xr:uid="{8F0AFD53-0182-4B64-897F-CD52C1FD9A88}"/>
    <cellStyle name="Normal 2 8 2 3 5" xfId="11173" xr:uid="{E4AD119B-BB10-43C1-AED6-D358178586EF}"/>
    <cellStyle name="Normal 2 8 2 3 5 2" xfId="21553" xr:uid="{7A6F2011-0DC7-41B4-858C-64B84CC192DA}"/>
    <cellStyle name="Normal 2 8 2 3 6" xfId="22834" xr:uid="{8923D2E7-2DA7-4CCF-A63E-0536F14CB31F}"/>
    <cellStyle name="Normal 2 8 2 3 7" xfId="13808" xr:uid="{B28A44E3-FA3B-4166-B3F5-6786840ACCA1}"/>
    <cellStyle name="Normal 2 8 2 4" xfId="3258" xr:uid="{00000000-0005-0000-0000-0000EE040000}"/>
    <cellStyle name="Normal 2 8 2 4 2" xfId="6316" xr:uid="{968A0815-396A-4C1F-ACF4-0899CC97A8BE}"/>
    <cellStyle name="Normal 2 8 2 4 2 2" xfId="27079" xr:uid="{169A6153-9C29-40DB-B39A-F4DDE627EFA0}"/>
    <cellStyle name="Normal 2 8 2 4 2 3" xfId="15885" xr:uid="{2870D56E-C8E3-4B29-9892-B687B606CDEA}"/>
    <cellStyle name="Normal 2 8 2 4 3" xfId="8338" xr:uid="{2F49353E-3D79-4C99-AD1D-F70CD5D1E16D}"/>
    <cellStyle name="Normal 2 8 2 4 3 2" xfId="18718" xr:uid="{CC2B2CAA-02A0-48A3-92AE-8DBF048D4E88}"/>
    <cellStyle name="Normal 2 8 2 4 4" xfId="11171" xr:uid="{FC40FFB0-4FEC-4115-AB03-33E0128807DE}"/>
    <cellStyle name="Normal 2 8 2 4 4 2" xfId="21551" xr:uid="{5A6FD68D-ABDC-4917-A965-2A7AF6BA2198}"/>
    <cellStyle name="Normal 2 8 2 4 5" xfId="24521" xr:uid="{147CC830-D3CD-4478-90B8-BCC4D363D848}"/>
    <cellStyle name="Normal 2 8 2 4 6" xfId="13806" xr:uid="{D4E5B640-704A-427D-86D2-AE67A1DDF6F9}"/>
    <cellStyle name="Normal 2 8 2 5" xfId="2521" xr:uid="{00000000-0005-0000-0000-0000EF040000}"/>
    <cellStyle name="Normal 2 8 2 5 2" xfId="5798" xr:uid="{47DCC92F-54E9-4911-AC1D-47F2B7FB5C2F}"/>
    <cellStyle name="Normal 2 8 2 5 2 2" xfId="26992" xr:uid="{4D34E770-5F98-4A6F-9C61-581E4CC543E3}"/>
    <cellStyle name="Normal 2 8 2 5 2 3" xfId="15193" xr:uid="{FDD16847-3A23-4F2B-93C4-65D91B7D4AE2}"/>
    <cellStyle name="Normal 2 8 2 5 3" xfId="7646" xr:uid="{1EF7B022-A18D-4AB6-A3C4-D739248B73E8}"/>
    <cellStyle name="Normal 2 8 2 5 3 2" xfId="18026" xr:uid="{3E320686-9FFB-4CD3-BCAA-76D0D9A5627A}"/>
    <cellStyle name="Normal 2 8 2 5 4" xfId="10479" xr:uid="{AFB5CAA6-E1B0-4B42-960C-3E43FD85A6FF}"/>
    <cellStyle name="Normal 2 8 2 5 4 2" xfId="20859" xr:uid="{BA75980F-6F1F-4861-85F6-25FEDA469C6F}"/>
    <cellStyle name="Normal 2 8 2 5 5" xfId="22804" xr:uid="{8C5AB9D4-325C-4C09-8367-86F84CBEDFC1}"/>
    <cellStyle name="Normal 2 8 2 5 6" xfId="12909" xr:uid="{F3AC945C-F83D-4E22-AA51-69CA9A117B98}"/>
    <cellStyle name="Normal 2 8 2 6" xfId="2343" xr:uid="{00000000-0005-0000-0000-0000EA040000}"/>
    <cellStyle name="Normal 2 8 2 6 2" xfId="7470" xr:uid="{F25297D3-D501-42A1-AA59-8886F1FEEAF3}"/>
    <cellStyle name="Normal 2 8 2 6 2 2" xfId="17850" xr:uid="{D677E904-4008-48A5-A7F7-B9A14DAA6580}"/>
    <cellStyle name="Normal 2 8 2 6 3" xfId="10303" xr:uid="{DC3DB0BA-F8F6-4476-B45D-AD550463A2F8}"/>
    <cellStyle name="Normal 2 8 2 6 3 2" xfId="20683" xr:uid="{F69C4960-EE6C-4465-B5B3-0F5FFFD2313C}"/>
    <cellStyle name="Normal 2 8 2 6 4" xfId="23143" xr:uid="{2E10A497-7F6A-4EC1-9EF8-2439084B8E12}"/>
    <cellStyle name="Normal 2 8 2 6 5" xfId="15017" xr:uid="{8B4776D4-7302-426E-94DD-26E671A43624}"/>
    <cellStyle name="Normal 2 8 2 7" xfId="3854" xr:uid="{B99E1F2C-77D1-436B-A020-A22F5F81BD72}"/>
    <cellStyle name="Normal 2 8 2 7 2" xfId="8687" xr:uid="{362A60B7-29E5-4E02-8394-414C56F97128}"/>
    <cellStyle name="Normal 2 8 2 7 2 2" xfId="19067" xr:uid="{A296323F-529D-4171-83EA-E9E750DE7ADD}"/>
    <cellStyle name="Normal 2 8 2 7 3" xfId="11520" xr:uid="{13CF40C2-23CF-4CF9-80AF-FEDE8F52F4E6}"/>
    <cellStyle name="Normal 2 8 2 7 3 2" xfId="21900" xr:uid="{EED8F838-167F-4C79-89E3-CA02AA7F75C9}"/>
    <cellStyle name="Normal 2 8 2 7 4" xfId="16234" xr:uid="{9B383E1C-F202-4249-AA30-5F4039972BD6}"/>
    <cellStyle name="Normal 2 8 2 8" xfId="5184" xr:uid="{9A79AB6A-5F15-47BD-854C-4704EA6A1DF5}"/>
    <cellStyle name="Normal 2 8 2 8 2" xfId="14481" xr:uid="{9EC2CC00-3494-48C2-A9A9-E28A61A3C528}"/>
    <cellStyle name="Normal 2 8 2 9" xfId="6934" xr:uid="{64F0A1D1-B9AC-43C0-A9B9-60617BD5F23A}"/>
    <cellStyle name="Normal 2 8 2 9 2" xfId="17314" xr:uid="{1BB0B183-2132-4C6F-B5A4-5DB449444F25}"/>
    <cellStyle name="Normal 2 8 3" xfId="834" xr:uid="{00000000-0005-0000-0000-0000EE040000}"/>
    <cellStyle name="Normal 2 8 3 10" xfId="25381" xr:uid="{17E62A56-8EBA-4252-82CC-1F7F66844708}"/>
    <cellStyle name="Normal 2 8 3 11" xfId="12735" xr:uid="{7AC5C086-4CD1-43AF-AB6F-2B1CB78A380D}"/>
    <cellStyle name="Normal 2 8 3 2" xfId="2756" xr:uid="{00000000-0005-0000-0000-0000F1040000}"/>
    <cellStyle name="Normal 2 8 3 2 2" xfId="3262" xr:uid="{00000000-0005-0000-0000-0000F2040000}"/>
    <cellStyle name="Normal 2 8 3 2 2 2" xfId="6320" xr:uid="{BD9D0536-3699-40B6-98E2-EBDCDE845069}"/>
    <cellStyle name="Normal 2 8 3 2 2 2 2" xfId="28184" xr:uid="{3D61B14B-CE7E-4248-A4BA-EDB3E926A8F3}"/>
    <cellStyle name="Normal 2 8 3 2 2 2 3" xfId="15889" xr:uid="{D474407B-F78D-432C-9CED-E3E72F989BBC}"/>
    <cellStyle name="Normal 2 8 3 2 2 3" xfId="8342" xr:uid="{E09CD465-5962-475E-9310-F67B4BA857B8}"/>
    <cellStyle name="Normal 2 8 3 2 2 3 2" xfId="18722" xr:uid="{33F267E9-C350-475A-A4EB-1FC086DF9A10}"/>
    <cellStyle name="Normal 2 8 3 2 2 4" xfId="11175" xr:uid="{30F924E3-F7AF-46C5-A6F8-FC91ED43DBF6}"/>
    <cellStyle name="Normal 2 8 3 2 2 4 2" xfId="21555" xr:uid="{5D81271B-7FBC-40B0-AFF4-8821475572AF}"/>
    <cellStyle name="Normal 2 8 3 2 2 5" xfId="24309" xr:uid="{71376A80-8FAD-4364-968E-982EA9EED0E1}"/>
    <cellStyle name="Normal 2 8 3 2 2 6" xfId="13810" xr:uid="{E05E4D94-3931-46D8-8FC2-EA60D07A61D9}"/>
    <cellStyle name="Normal 2 8 3 2 3" xfId="4320" xr:uid="{D25E4437-4EA4-45F0-9EE5-3638C42BF349}"/>
    <cellStyle name="Normal 2 8 3 2 3 2" xfId="9092" xr:uid="{D69750B2-0EEE-483F-8EF6-9527410F7451}"/>
    <cellStyle name="Normal 2 8 3 2 3 2 2" xfId="29135" xr:uid="{F0AEA303-C52B-4222-8F9D-1F49270C7021}"/>
    <cellStyle name="Normal 2 8 3 2 3 2 3" xfId="19472" xr:uid="{83DD875B-4FE6-4C30-9638-308A9D584DA6}"/>
    <cellStyle name="Normal 2 8 3 2 3 3" xfId="11925" xr:uid="{D6C02531-49AF-4900-8FE3-26F387CE2252}"/>
    <cellStyle name="Normal 2 8 3 2 3 3 2" xfId="22305" xr:uid="{10370E83-08B0-4273-B3A8-E4754264DC3C}"/>
    <cellStyle name="Normal 2 8 3 2 3 4" xfId="23090" xr:uid="{9440B033-98C1-4D25-BC1D-B1882C4FF38B}"/>
    <cellStyle name="Normal 2 8 3 2 3 5" xfId="16639" xr:uid="{B8AB671E-A73C-4504-A03D-D60071FC3531}"/>
    <cellStyle name="Normal 2 8 3 2 4" xfId="5974" xr:uid="{3BB15D85-FDB9-45F7-9409-52962EA45647}"/>
    <cellStyle name="Normal 2 8 3 2 4 2" xfId="27167" xr:uid="{5303FDA9-5ADF-4827-A7AF-96E24920E174}"/>
    <cellStyle name="Normal 2 8 3 2 4 3" xfId="15427" xr:uid="{41CF9545-43B1-47D9-A01C-B25CC5567E38}"/>
    <cellStyle name="Normal 2 8 3 2 5" xfId="7880" xr:uid="{EABEFE2C-BFCA-49C6-A627-85CFB20F1B17}"/>
    <cellStyle name="Normal 2 8 3 2 5 2" xfId="18260" xr:uid="{ED132D4B-2A6F-489F-AFA3-258F5D08FE52}"/>
    <cellStyle name="Normal 2 8 3 2 6" xfId="10713" xr:uid="{4F852A99-764E-45D0-9E91-B7C10AB77553}"/>
    <cellStyle name="Normal 2 8 3 2 6 2" xfId="21093" xr:uid="{BB8E2CBC-5234-4425-B63F-C0213B1BFD16}"/>
    <cellStyle name="Normal 2 8 3 2 7" xfId="22793" xr:uid="{59CB398D-CA33-4225-9761-66A39892865A}"/>
    <cellStyle name="Normal 2 8 3 2 8" xfId="13201" xr:uid="{159B5130-3221-4602-A1C2-C3A0E6216CA5}"/>
    <cellStyle name="Normal 2 8 3 3" xfId="3263" xr:uid="{00000000-0005-0000-0000-0000F3040000}"/>
    <cellStyle name="Normal 2 8 3 3 2" xfId="4499" xr:uid="{3EA06542-8B36-463A-8E1E-CC73CF39FB59}"/>
    <cellStyle name="Normal 2 8 3 3 2 2" xfId="9271" xr:uid="{CC554882-7403-4872-B9D3-30DD53E78D1A}"/>
    <cellStyle name="Normal 2 8 3 3 2 2 2" xfId="29254" xr:uid="{84DF408D-0CED-42F5-962F-7651692141DE}"/>
    <cellStyle name="Normal 2 8 3 3 2 2 3" xfId="19651" xr:uid="{31758A29-DC95-462A-B632-3B363553A416}"/>
    <cellStyle name="Normal 2 8 3 3 2 3" xfId="12104" xr:uid="{9E3EE59A-0169-4C8D-9C7D-BD05A70F4E78}"/>
    <cellStyle name="Normal 2 8 3 3 2 3 2" xfId="22484" xr:uid="{6B4E2281-DEF4-4690-A99A-075310AB67A0}"/>
    <cellStyle name="Normal 2 8 3 3 2 4" xfId="23943" xr:uid="{A24C8BCD-CA8C-4BDF-B9CD-D0461D22C827}"/>
    <cellStyle name="Normal 2 8 3 3 2 5" xfId="16818" xr:uid="{74422C01-685B-4355-AAEA-AF1C6B3E7D79}"/>
    <cellStyle name="Normal 2 8 3 3 3" xfId="6321" xr:uid="{279D0E37-90D2-4222-9285-6030E28A6DF6}"/>
    <cellStyle name="Normal 2 8 3 3 3 2" xfId="27667" xr:uid="{6FB621B3-9AD1-4BB6-8F80-C57F0EE981D3}"/>
    <cellStyle name="Normal 2 8 3 3 3 3" xfId="15890" xr:uid="{CB285C85-0806-410C-B223-4962D476FEC6}"/>
    <cellStyle name="Normal 2 8 3 3 4" xfId="8343" xr:uid="{3FD44BF7-A114-4295-8619-ECA18BD88F96}"/>
    <cellStyle name="Normal 2 8 3 3 4 2" xfId="18723" xr:uid="{7D706125-C714-41D5-8B57-9266C8E5E41D}"/>
    <cellStyle name="Normal 2 8 3 3 5" xfId="11176" xr:uid="{3FCC255D-4B84-44AD-9636-A3A2B72B6B99}"/>
    <cellStyle name="Normal 2 8 3 3 5 2" xfId="21556" xr:uid="{572DC6E6-8985-4FD9-AC2A-016B7FFE0041}"/>
    <cellStyle name="Normal 2 8 3 3 6" xfId="22846" xr:uid="{2BB0CEB5-1638-407D-92A5-AF6A231A7822}"/>
    <cellStyle name="Normal 2 8 3 3 7" xfId="13811" xr:uid="{9296A94C-12A0-42CC-BB7A-168FD37B53E6}"/>
    <cellStyle name="Normal 2 8 3 4" xfId="3261" xr:uid="{00000000-0005-0000-0000-0000F4040000}"/>
    <cellStyle name="Normal 2 8 3 4 2" xfId="6319" xr:uid="{14919506-F606-461B-B41D-72C7D86A95BD}"/>
    <cellStyle name="Normal 2 8 3 4 2 2" xfId="27072" xr:uid="{76F5C591-49A1-4806-9F92-9DB76AB64083}"/>
    <cellStyle name="Normal 2 8 3 4 2 3" xfId="15888" xr:uid="{016EB0A9-4FE7-4904-93A8-9D4FD346A065}"/>
    <cellStyle name="Normal 2 8 3 4 3" xfId="8341" xr:uid="{84E0DE4A-7166-4129-84FC-03A751374921}"/>
    <cellStyle name="Normal 2 8 3 4 3 2" xfId="18721" xr:uid="{1BFCEABB-CA3D-43AE-9144-A7C7BBD81D2A}"/>
    <cellStyle name="Normal 2 8 3 4 4" xfId="11174" xr:uid="{FDCB34B3-A7C8-410F-8351-51348C246EC1}"/>
    <cellStyle name="Normal 2 8 3 4 4 2" xfId="21554" xr:uid="{42CFB193-07F8-4960-A351-EE292CD41811}"/>
    <cellStyle name="Normal 2 8 3 4 5" xfId="25201" xr:uid="{48EE267E-D509-48D9-8E1E-EB7D4D2017E6}"/>
    <cellStyle name="Normal 2 8 3 4 6" xfId="13809" xr:uid="{05B8532D-B56A-489B-98BE-3669A7F17100}"/>
    <cellStyle name="Normal 2 8 3 5" xfId="2624" xr:uid="{00000000-0005-0000-0000-0000F5040000}"/>
    <cellStyle name="Normal 2 8 3 5 2" xfId="5886" xr:uid="{9A8A9323-7AE6-40BB-B754-36EC30028BE6}"/>
    <cellStyle name="Normal 2 8 3 5 2 2" xfId="26157" xr:uid="{A20DC687-5F32-4034-8A17-2601DBC372EB}"/>
    <cellStyle name="Normal 2 8 3 5 2 3" xfId="15296" xr:uid="{990C1D93-C515-4F0D-8131-322B43F7B8CC}"/>
    <cellStyle name="Normal 2 8 3 5 3" xfId="7749" xr:uid="{454114AE-7AEB-49B9-B36B-768C7BCF914E}"/>
    <cellStyle name="Normal 2 8 3 5 3 2" xfId="18129" xr:uid="{71E1F9B9-4024-488D-A226-945B9AB0FA01}"/>
    <cellStyle name="Normal 2 8 3 5 4" xfId="10582" xr:uid="{2B3C5ECB-70C4-4606-9DDC-843CAAA98B1F}"/>
    <cellStyle name="Normal 2 8 3 5 4 2" xfId="20962" xr:uid="{3697A04A-1C78-41C6-8177-74F6DB38E2E7}"/>
    <cellStyle name="Normal 2 8 3 5 5" xfId="23263" xr:uid="{86FB51D7-8590-48B1-BFEC-304D10C56C6C}"/>
    <cellStyle name="Normal 2 8 3 5 6" xfId="13012" xr:uid="{CB326828-C6BC-4D99-8C3E-6149D0EE0BC5}"/>
    <cellStyle name="Normal 2 8 3 6" xfId="4175" xr:uid="{2BF2C53F-CF90-4E79-B6F1-AA1C6B49B262}"/>
    <cellStyle name="Normal 2 8 3 6 2" xfId="8947" xr:uid="{CC1D5B72-12BC-49AE-8051-9F414A0754E5}"/>
    <cellStyle name="Normal 2 8 3 6 2 2" xfId="19327" xr:uid="{11F599AC-CEF8-443B-94B9-0D10200E6597}"/>
    <cellStyle name="Normal 2 8 3 6 3" xfId="11780" xr:uid="{2F3FEE01-A477-4489-9A49-9BC60CBB444B}"/>
    <cellStyle name="Normal 2 8 3 6 3 2" xfId="22160" xr:uid="{394D04A4-DDA6-4BA4-8CC4-CA26E692393C}"/>
    <cellStyle name="Normal 2 8 3 6 4" xfId="24465" xr:uid="{700999BE-0B15-4696-B088-844B62FC8475}"/>
    <cellStyle name="Normal 2 8 3 6 5" xfId="16494" xr:uid="{3D12A16F-E536-4B3A-9019-F138C7D11A92}"/>
    <cellStyle name="Normal 2 8 3 7" xfId="5186" xr:uid="{14A31ADD-2E6B-46C3-9E3A-E7C64FECAC27}"/>
    <cellStyle name="Normal 2 8 3 7 2" xfId="14483" xr:uid="{8061915E-3A6A-482D-9422-9284FF76093D}"/>
    <cellStyle name="Normal 2 8 3 8" xfId="6936" xr:uid="{0467EFA4-6627-44FD-AEEB-166630D9B8BE}"/>
    <cellStyle name="Normal 2 8 3 8 2" xfId="17316" xr:uid="{922BED87-D10C-464F-98AB-8EA4B34D6DFA}"/>
    <cellStyle name="Normal 2 8 3 9" xfId="9769" xr:uid="{9C875BDA-2981-48B8-ADBB-377E072090EF}"/>
    <cellStyle name="Normal 2 8 3 9 2" xfId="20149" xr:uid="{9CDE13C9-8692-47A0-88B9-85608CF777E8}"/>
    <cellStyle name="Normal 2 8 4" xfId="835" xr:uid="{00000000-0005-0000-0000-0000EF040000}"/>
    <cellStyle name="Normal 2 8 4 2" xfId="3264" xr:uid="{00000000-0005-0000-0000-0000F7040000}"/>
    <cellStyle name="Normal 2 8 4 2 2" xfId="6322" xr:uid="{85D5D0ED-3998-423F-85D6-D7F2C7EEB6F6}"/>
    <cellStyle name="Normal 2 8 4 2 2 2" xfId="28414" xr:uid="{7B6C017D-A110-4B25-AC70-1FFF71EBB8FF}"/>
    <cellStyle name="Normal 2 8 4 2 2 3" xfId="15891" xr:uid="{3289FA99-5F4F-4107-ABB3-6495CC572AC2}"/>
    <cellStyle name="Normal 2 8 4 2 3" xfId="8344" xr:uid="{FB0342AB-9DF9-4F40-B43B-8979CBC51628}"/>
    <cellStyle name="Normal 2 8 4 2 3 2" xfId="18724" xr:uid="{60975CA2-8649-4683-82BB-53D1F33969FB}"/>
    <cellStyle name="Normal 2 8 4 2 4" xfId="11177" xr:uid="{6E433FE9-9821-49C9-A393-B052723ADD27}"/>
    <cellStyle name="Normal 2 8 4 2 4 2" xfId="21557" xr:uid="{A28635D2-C8A0-4D50-A0B5-FDCFD80FECBE}"/>
    <cellStyle name="Normal 2 8 4 2 5" xfId="24881" xr:uid="{245BB831-80AE-44B3-9E10-6B402E97DCF8}"/>
    <cellStyle name="Normal 2 8 4 2 6" xfId="13812" xr:uid="{98B15CF9-1ED3-43C2-98D6-29F7FB5E7FEA}"/>
    <cellStyle name="Normal 2 8 4 3" xfId="4318" xr:uid="{BCB18D81-EA89-4B82-A56D-4F6ABD77718E}"/>
    <cellStyle name="Normal 2 8 4 3 2" xfId="9090" xr:uid="{13DC86AC-6F69-4A59-BBCE-A4FAF1E15F90}"/>
    <cellStyle name="Normal 2 8 4 3 2 2" xfId="29133" xr:uid="{2E1D8AC7-D2E8-4AAA-BCDD-339074F81B81}"/>
    <cellStyle name="Normal 2 8 4 3 2 3" xfId="19470" xr:uid="{5E32389D-45B0-4C64-A0EF-2DF86E2B2567}"/>
    <cellStyle name="Normal 2 8 4 3 3" xfId="11923" xr:uid="{CEA9BC84-DAEB-42D8-ABF9-A3962AED31E7}"/>
    <cellStyle name="Normal 2 8 4 3 3 2" xfId="22303" xr:uid="{1028DFFD-EC58-472D-8554-DFF6C3768473}"/>
    <cellStyle name="Normal 2 8 4 3 4" xfId="23311" xr:uid="{C6C77F9D-6399-41CE-A380-A99D83F12098}"/>
    <cellStyle name="Normal 2 8 4 3 5" xfId="16637" xr:uid="{A416AFA9-6AFC-4011-A3D2-91C0AFB8D4D9}"/>
    <cellStyle name="Normal 2 8 4 4" xfId="5187" xr:uid="{A2219C34-4BD7-46B2-82F1-573F84CAEB23}"/>
    <cellStyle name="Normal 2 8 4 4 2" xfId="25858" xr:uid="{944FF65E-C124-4482-8EE6-206DFE1DEC94}"/>
    <cellStyle name="Normal 2 8 4 4 3" xfId="14484" xr:uid="{AC7FFCC3-39B8-483B-9053-711A7D4DBA6C}"/>
    <cellStyle name="Normal 2 8 4 5" xfId="6937" xr:uid="{C93BB016-41FA-4908-B435-B37956C8DA8F}"/>
    <cellStyle name="Normal 2 8 4 5 2" xfId="17317" xr:uid="{58DECF45-AB2C-4597-9E9F-91FC270AA1C6}"/>
    <cellStyle name="Normal 2 8 4 6" xfId="9770" xr:uid="{627620D3-F821-46A0-A7BF-2BFCC84DC435}"/>
    <cellStyle name="Normal 2 8 4 6 2" xfId="20150" xr:uid="{FF9D7BA1-BAA8-4E88-AA3F-9136D759C909}"/>
    <cellStyle name="Normal 2 8 4 7" xfId="23267" xr:uid="{1DAD77E2-B79D-4ED5-9EF7-A316C3DB968D}"/>
    <cellStyle name="Normal 2 8 4 8" xfId="13199" xr:uid="{9A496A9C-CBD9-4D16-8FC2-C445D0CD8337}"/>
    <cellStyle name="Normal 2 8 5" xfId="3265" xr:uid="{00000000-0005-0000-0000-0000F8040000}"/>
    <cellStyle name="Normal 2 8 5 2" xfId="4500" xr:uid="{95CE7CBC-1CDF-4046-832D-591E97A7B94B}"/>
    <cellStyle name="Normal 2 8 5 2 2" xfId="9272" xr:uid="{B4C87EE0-318C-4084-A168-600F15E93567}"/>
    <cellStyle name="Normal 2 8 5 2 2 2" xfId="29255" xr:uid="{A2446C45-DFF1-4140-9BA8-BB45DEE21411}"/>
    <cellStyle name="Normal 2 8 5 2 2 3" xfId="19652" xr:uid="{2BE5E4A7-BA9E-4FE9-B23C-9E3986D4913F}"/>
    <cellStyle name="Normal 2 8 5 2 3" xfId="12105" xr:uid="{B0D6BD58-A5C7-490B-A536-78A00116E9D9}"/>
    <cellStyle name="Normal 2 8 5 2 3 2" xfId="22485" xr:uid="{FFF32534-C8EF-4D49-8E8D-5F47F097BC80}"/>
    <cellStyle name="Normal 2 8 5 2 4" xfId="22638" xr:uid="{2A814E38-8C81-4220-A0FB-6ADE38D1F438}"/>
    <cellStyle name="Normal 2 8 5 2 5" xfId="16819" xr:uid="{DAD025AD-137B-4154-BB4B-4383D25FB0B6}"/>
    <cellStyle name="Normal 2 8 5 3" xfId="6323" xr:uid="{854B9F0F-FE80-4F2A-8D9A-6A844AFA80D8}"/>
    <cellStyle name="Normal 2 8 5 3 2" xfId="27937" xr:uid="{E44DBAFE-CE90-40B9-857B-8F4493FB6303}"/>
    <cellStyle name="Normal 2 8 5 3 3" xfId="15892" xr:uid="{78CAEF5E-B984-4B48-9CA2-5761637A23FA}"/>
    <cellStyle name="Normal 2 8 5 4" xfId="8345" xr:uid="{5CD86AA9-79AF-4DDE-B39C-B50CD8EE6E85}"/>
    <cellStyle name="Normal 2 8 5 4 2" xfId="18725" xr:uid="{63D7B1FD-84E9-4095-B076-B2D617BEDCAC}"/>
    <cellStyle name="Normal 2 8 5 5" xfId="11178" xr:uid="{4069BDF2-1CD4-482D-AA9D-B13EFEC32A9B}"/>
    <cellStyle name="Normal 2 8 5 5 2" xfId="21558" xr:uid="{6DB0EF5D-EFB5-482F-9AAF-268EF1369D1A}"/>
    <cellStyle name="Normal 2 8 5 6" xfId="23607" xr:uid="{DFE117AC-76B4-4D0E-AA1A-E74940FB7B57}"/>
    <cellStyle name="Normal 2 8 5 7" xfId="13813" xr:uid="{6728430F-0CB2-4D6D-BAB9-8F1200CD5761}"/>
    <cellStyle name="Normal 2 8 6" xfId="2916" xr:uid="{00000000-0005-0000-0000-0000F9040000}"/>
    <cellStyle name="Normal 2 8 6 2" xfId="6102" xr:uid="{3693C27C-9C82-4C65-9591-784D8D626FCB}"/>
    <cellStyle name="Normal 2 8 6 2 2" xfId="27482" xr:uid="{6BBD19E0-688D-42C3-8C43-1C1960668AC1}"/>
    <cellStyle name="Normal 2 8 6 2 3" xfId="15580" xr:uid="{D0A58AE8-0DB1-4F0C-8D4C-F1DD7F8F4680}"/>
    <cellStyle name="Normal 2 8 6 3" xfId="8033" xr:uid="{096BBCC9-9439-4C9F-9334-39835D0032F4}"/>
    <cellStyle name="Normal 2 8 6 3 2" xfId="18413" xr:uid="{B649D071-9CDD-4A73-8D53-4EAA7CF837BE}"/>
    <cellStyle name="Normal 2 8 6 4" xfId="10866" xr:uid="{14ACB2B7-C1CE-4C26-824D-067072A7B1AD}"/>
    <cellStyle name="Normal 2 8 6 4 2" xfId="21246" xr:uid="{774D63A6-A79C-4CEB-9E63-2073C231EAAD}"/>
    <cellStyle name="Normal 2 8 6 5" xfId="24171" xr:uid="{231ED169-C61C-42F7-BA8F-F4012A3181B1}"/>
    <cellStyle name="Normal 2 8 6 6" xfId="13433" xr:uid="{659CBC7B-9ABB-4AB1-8F3D-357496DEED41}"/>
    <cellStyle name="Normal 2 8 7" xfId="2461" xr:uid="{00000000-0005-0000-0000-0000FA040000}"/>
    <cellStyle name="Normal 2 8 7 2" xfId="5752" xr:uid="{420CE77F-EE6E-4112-8B6D-3CFBF78B7730}"/>
    <cellStyle name="Normal 2 8 7 2 2" xfId="27991" xr:uid="{20103475-62D2-4261-B302-1B01631AE386}"/>
    <cellStyle name="Normal 2 8 7 2 3" xfId="15133" xr:uid="{2A5CAF93-C37E-4FC4-8D37-9AA66B390343}"/>
    <cellStyle name="Normal 2 8 7 3" xfId="7586" xr:uid="{E1369DA1-6936-445E-9776-756E8BC8A4CB}"/>
    <cellStyle name="Normal 2 8 7 3 2" xfId="17966" xr:uid="{3C4D9E62-5CFD-4054-BAD8-1A521F76900D}"/>
    <cellStyle name="Normal 2 8 7 4" xfId="10419" xr:uid="{E79E2D67-6E66-4D1F-A14C-80F69888CADF}"/>
    <cellStyle name="Normal 2 8 7 4 2" xfId="20799" xr:uid="{77C04EC2-1CB6-4C6B-A6F3-CC7D2DFEDD82}"/>
    <cellStyle name="Normal 2 8 7 5" xfId="25411" xr:uid="{25ECFBBE-39EF-4C18-A5C1-1F5517440866}"/>
    <cellStyle name="Normal 2 8 7 6" xfId="12849" xr:uid="{79B52061-FC86-493E-A650-BAAF17EF6A1E}"/>
    <cellStyle name="Normal 2 8 8" xfId="2215" xr:uid="{00000000-0005-0000-0000-0000E9040000}"/>
    <cellStyle name="Normal 2 8 8 2" xfId="7342" xr:uid="{CA5977A6-D876-44D7-9FEE-2357535D8C47}"/>
    <cellStyle name="Normal 2 8 8 2 2" xfId="17722" xr:uid="{091F2F03-EE83-4D67-BD98-6A61487DE4CE}"/>
    <cellStyle name="Normal 2 8 8 3" xfId="10175" xr:uid="{35FD768A-F8BE-4139-B45B-9B79276C13A7}"/>
    <cellStyle name="Normal 2 8 8 3 2" xfId="20555" xr:uid="{B4DDFE62-1DA1-4DB4-8C1A-EF71AA2CC2BA}"/>
    <cellStyle name="Normal 2 8 8 4" xfId="23036" xr:uid="{21C5D77E-84B8-432F-BAC9-2B1CD3BC24D3}"/>
    <cellStyle name="Normal 2 8 8 5" xfId="14889" xr:uid="{F67F2C44-1844-4646-8932-02499AB1508C}"/>
    <cellStyle name="Normal 2 8 9" xfId="3953" xr:uid="{7F9AEA47-05A2-4632-BE95-7A005B713566}"/>
    <cellStyle name="Normal 2 8 9 2" xfId="8785" xr:uid="{05CB76DB-E328-4BB1-8299-DD519B85DB30}"/>
    <cellStyle name="Normal 2 8 9 2 2" xfId="19165" xr:uid="{E1EBE4D3-4C7E-4FCC-A577-72C43EB1B830}"/>
    <cellStyle name="Normal 2 8 9 3" xfId="11618" xr:uid="{93958A23-51FE-4E74-9ED4-25D8F1D51CAC}"/>
    <cellStyle name="Normal 2 8 9 3 2" xfId="21998" xr:uid="{D0DD4502-6BC4-4349-9F52-3C6FADA4652B}"/>
    <cellStyle name="Normal 2 8 9 4" xfId="16332" xr:uid="{DB231EA8-1B2B-4EB4-8D41-C5FF5053E382}"/>
    <cellStyle name="Normal 2 9" xfId="836" xr:uid="{00000000-0005-0000-0000-0000F0040000}"/>
    <cellStyle name="Normal 2 9 10" xfId="6938" xr:uid="{AE91DB65-462D-4B5C-AB78-BB7A9C4C1098}"/>
    <cellStyle name="Normal 2 9 10 2" xfId="17318" xr:uid="{81D91532-F291-45F6-BE73-94B8507E2777}"/>
    <cellStyle name="Normal 2 9 11" xfId="9771" xr:uid="{813114C5-7C81-4734-A594-0734672162FA}"/>
    <cellStyle name="Normal 2 9 11 2" xfId="20151" xr:uid="{C6CAD91E-5E0F-404D-8669-680F55BB61FD}"/>
    <cellStyle name="Normal 2 9 12" xfId="23147" xr:uid="{E3BC9E6D-5A75-453D-B04D-76D55DE24A17}"/>
    <cellStyle name="Normal 2 9 13" xfId="12430" xr:uid="{1372F135-4AD4-4119-8683-E26CA330B9F6}"/>
    <cellStyle name="Normal 2 9 2" xfId="837" xr:uid="{00000000-0005-0000-0000-0000F1040000}"/>
    <cellStyle name="Normal 2 9 2 10" xfId="9772" xr:uid="{E01CF497-B008-4467-9C31-E0F563EBE783}"/>
    <cellStyle name="Normal 2 9 2 10 2" xfId="20152" xr:uid="{FFB455CC-C063-4331-9150-ACA5B7A096E8}"/>
    <cellStyle name="Normal 2 9 2 11" xfId="23145" xr:uid="{648A3B76-8A1F-41BA-98A6-3039BE86B862}"/>
    <cellStyle name="Normal 2 9 2 12" xfId="12578" xr:uid="{3FAE6098-EF46-4075-BFD7-F975FAE69D97}"/>
    <cellStyle name="Normal 2 9 2 2" xfId="838" xr:uid="{00000000-0005-0000-0000-0000F2040000}"/>
    <cellStyle name="Normal 2 9 2 2 2" xfId="3267" xr:uid="{00000000-0005-0000-0000-0000FE040000}"/>
    <cellStyle name="Normal 2 9 2 2 2 2" xfId="6325" xr:uid="{BC3E04BF-06A6-49DA-9BDD-1001E2153D9B}"/>
    <cellStyle name="Normal 2 9 2 2 2 2 2" xfId="27094" xr:uid="{78DB5D1E-2581-4FDD-9855-9E9066146A65}"/>
    <cellStyle name="Normal 2 9 2 2 2 2 3" xfId="26346" xr:uid="{6070CD22-E1E7-4A24-8700-D6D38B259B17}"/>
    <cellStyle name="Normal 2 9 2 2 2 2 4" xfId="15894" xr:uid="{98AE0B87-97FF-4087-9D55-923819B6276F}"/>
    <cellStyle name="Normal 2 9 2 2 2 3" xfId="8347" xr:uid="{6F69A483-05D6-408C-AF66-3801C6D82C5C}"/>
    <cellStyle name="Normal 2 9 2 2 2 3 2" xfId="28892" xr:uid="{3B3DF95B-9710-43C0-B4FE-D32747372805}"/>
    <cellStyle name="Normal 2 9 2 2 2 3 3" xfId="18727" xr:uid="{72F0DD08-55BA-45C8-A9B6-53726D6507C9}"/>
    <cellStyle name="Normal 2 9 2 2 2 4" xfId="11180" xr:uid="{690270E6-BDEE-4DE1-A5C9-6CEE194A944E}"/>
    <cellStyle name="Normal 2 9 2 2 2 4 2" xfId="21560" xr:uid="{D892CF92-4C9A-47C2-8E76-BB7A8D5320C3}"/>
    <cellStyle name="Normal 2 9 2 2 2 5" xfId="23613" xr:uid="{2FED118A-E829-41D7-9C40-71245A77AE30}"/>
    <cellStyle name="Normal 2 9 2 2 2 6" xfId="13815" xr:uid="{E0E0AAB3-5DFC-4FF3-A25B-55EECC2EF0BA}"/>
    <cellStyle name="Normal 2 9 2 2 3" xfId="4321" xr:uid="{86E8F31E-C380-4499-BDA0-8BBA65CBE9AE}"/>
    <cellStyle name="Normal 2 9 2 2 3 2" xfId="9093" xr:uid="{7EA7BE6E-5CC5-489E-AD09-83AD5DA976D9}"/>
    <cellStyle name="Normal 2 9 2 2 3 2 2" xfId="29136" xr:uid="{A895FE8F-DEDD-44A2-B9B0-6C5C1919C77C}"/>
    <cellStyle name="Normal 2 9 2 2 3 2 3" xfId="19473" xr:uid="{ED575612-F87A-4071-99D9-7B625270E99B}"/>
    <cellStyle name="Normal 2 9 2 2 3 3" xfId="11926" xr:uid="{CBAC65B9-B5DF-4B11-B8DE-4F388D902F23}"/>
    <cellStyle name="Normal 2 9 2 2 3 3 2" xfId="22306" xr:uid="{887A88F4-A0F8-49E7-A3A3-F8D97084DF81}"/>
    <cellStyle name="Normal 2 9 2 2 3 4" xfId="25366" xr:uid="{57475732-5FC8-4A50-92D6-7ED3409C951A}"/>
    <cellStyle name="Normal 2 9 2 2 3 5" xfId="16640" xr:uid="{EEF5B393-3F27-4FEC-892E-4D904216A071}"/>
    <cellStyle name="Normal 2 9 2 2 4" xfId="5190" xr:uid="{4F8F5739-9B5B-4D25-9AF3-72DBD73FC352}"/>
    <cellStyle name="Normal 2 9 2 2 4 2" xfId="26717" xr:uid="{872ABD52-BCA1-46B8-B6B1-EB5CC24308E9}"/>
    <cellStyle name="Normal 2 9 2 2 4 3" xfId="14487" xr:uid="{EB7AA30A-1930-4DCB-8EDC-424353899242}"/>
    <cellStyle name="Normal 2 9 2 2 5" xfId="6940" xr:uid="{2471E609-4543-4A59-B2B1-EA297D8EF1B6}"/>
    <cellStyle name="Normal 2 9 2 2 5 2" xfId="17320" xr:uid="{63BDBE83-3696-4219-82B8-38C6485A4DFE}"/>
    <cellStyle name="Normal 2 9 2 2 6" xfId="9773" xr:uid="{1EE7E42D-EEEC-44DC-973F-C2C11F9E4AC9}"/>
    <cellStyle name="Normal 2 9 2 2 6 2" xfId="20153" xr:uid="{47C76B62-FBA5-4520-951D-E4DD4C60C5DC}"/>
    <cellStyle name="Normal 2 9 2 2 7" xfId="25093" xr:uid="{CE6BC1E3-520B-4A77-81D9-6F6DFA50E449}"/>
    <cellStyle name="Normal 2 9 2 2 8" xfId="13203" xr:uid="{636C9AE1-F46B-4B02-A568-66AC5BFA40F3}"/>
    <cellStyle name="Normal 2 9 2 3" xfId="3268" xr:uid="{00000000-0005-0000-0000-0000FF040000}"/>
    <cellStyle name="Normal 2 9 2 3 2" xfId="4501" xr:uid="{62C96393-4FE8-40F3-8D74-4345E5A07775}"/>
    <cellStyle name="Normal 2 9 2 3 2 2" xfId="9273" xr:uid="{6DAC3865-A2FF-4794-A46C-C8C5852D9D7A}"/>
    <cellStyle name="Normal 2 9 2 3 2 2 2" xfId="29256" xr:uid="{ECC46C3C-044D-4249-93BF-3BB0FE3D99F0}"/>
    <cellStyle name="Normal 2 9 2 3 2 2 3" xfId="19653" xr:uid="{D72677FB-ABC5-4536-8A88-A3721A9427DB}"/>
    <cellStyle name="Normal 2 9 2 3 2 3" xfId="12106" xr:uid="{304DFD41-DA44-4610-9E54-C9515243D7AC}"/>
    <cellStyle name="Normal 2 9 2 3 2 3 2" xfId="22486" xr:uid="{080EB41A-5EF9-4DB2-81D4-3991C5B50D46}"/>
    <cellStyle name="Normal 2 9 2 3 2 4" xfId="25656" xr:uid="{2C35C3F0-D685-4F1A-8870-5100053CE3DE}"/>
    <cellStyle name="Normal 2 9 2 3 2 5" xfId="16820" xr:uid="{93A1B342-A329-436E-A67A-CDFEF105EA9D}"/>
    <cellStyle name="Normal 2 9 2 3 3" xfId="6326" xr:uid="{36B46BEF-5272-4DEB-B8C9-D309A4C0D01A}"/>
    <cellStyle name="Normal 2 9 2 3 3 2" xfId="26623" xr:uid="{7EF5CCC7-1661-41C8-8F51-91A82D582E05}"/>
    <cellStyle name="Normal 2 9 2 3 3 3" xfId="15895" xr:uid="{D62A693F-7E62-461C-B2AC-771054239156}"/>
    <cellStyle name="Normal 2 9 2 3 4" xfId="8348" xr:uid="{9106625A-06CF-4249-9194-B32D172824AA}"/>
    <cellStyle name="Normal 2 9 2 3 4 2" xfId="18728" xr:uid="{72B4B531-7683-420D-9534-E54473519D07}"/>
    <cellStyle name="Normal 2 9 2 3 5" xfId="11181" xr:uid="{0446E31B-373D-4B61-B842-661ED9BFB34F}"/>
    <cellStyle name="Normal 2 9 2 3 5 2" xfId="21561" xr:uid="{3239258A-CB82-4477-BD4D-A18CEEAECFE0}"/>
    <cellStyle name="Normal 2 9 2 3 6" xfId="24406" xr:uid="{9CA6F528-E4B1-4655-9801-A946FB4A526B}"/>
    <cellStyle name="Normal 2 9 2 3 7" xfId="13816" xr:uid="{631B24A0-C0BB-4E46-BF30-FA5F4E08494F}"/>
    <cellStyle name="Normal 2 9 2 4" xfId="3266" xr:uid="{00000000-0005-0000-0000-000000050000}"/>
    <cellStyle name="Normal 2 9 2 4 2" xfId="6324" xr:uid="{1E3C4857-9BEB-4C7B-81E4-DDF53B409D91}"/>
    <cellStyle name="Normal 2 9 2 4 2 2" xfId="27399" xr:uid="{81A83845-D759-42FC-8F40-AB74B0C376FD}"/>
    <cellStyle name="Normal 2 9 2 4 2 3" xfId="15893" xr:uid="{179A5118-F3DE-4E11-97A8-DC1769150E8D}"/>
    <cellStyle name="Normal 2 9 2 4 3" xfId="8346" xr:uid="{07B7AB1B-27C9-410F-BFC3-7D3954BAF0D9}"/>
    <cellStyle name="Normal 2 9 2 4 3 2" xfId="18726" xr:uid="{CFBC9074-8994-40B4-8FD5-98190E218E58}"/>
    <cellStyle name="Normal 2 9 2 4 4" xfId="11179" xr:uid="{9F426A67-9181-4D6B-8518-FBC4828F7967}"/>
    <cellStyle name="Normal 2 9 2 4 4 2" xfId="21559" xr:uid="{0E2FDCDC-F11E-40FE-9010-9B189C24F7B1}"/>
    <cellStyle name="Normal 2 9 2 4 5" xfId="23276" xr:uid="{B32EF0C1-0295-401D-AFC5-5D8711CCD00E}"/>
    <cellStyle name="Normal 2 9 2 4 6" xfId="13814" xr:uid="{B76AD3A9-160A-4598-9630-B593C0FBDB5D}"/>
    <cellStyle name="Normal 2 9 2 5" xfId="2607" xr:uid="{00000000-0005-0000-0000-000001050000}"/>
    <cellStyle name="Normal 2 9 2 5 2" xfId="5871" xr:uid="{DD5BE773-1AF6-446D-B356-77AF6C8C18AF}"/>
    <cellStyle name="Normal 2 9 2 5 2 2" xfId="26930" xr:uid="{992A6211-84BA-489B-8549-5EDC5C8CB2CE}"/>
    <cellStyle name="Normal 2 9 2 5 2 3" xfId="15279" xr:uid="{BDAD92F1-CA7C-4B52-8C8B-8172C043EA4A}"/>
    <cellStyle name="Normal 2 9 2 5 3" xfId="7732" xr:uid="{828B97EE-A4FA-44E2-9289-EC087A9630A6}"/>
    <cellStyle name="Normal 2 9 2 5 3 2" xfId="18112" xr:uid="{84C3E0AD-267D-4531-9F14-16BA000856FE}"/>
    <cellStyle name="Normal 2 9 2 5 4" xfId="10565" xr:uid="{2D48B757-10C2-44D5-9D13-D6630200FCA6}"/>
    <cellStyle name="Normal 2 9 2 5 4 2" xfId="20945" xr:uid="{9E5DC150-175A-49E1-95A0-D9C2E168F842}"/>
    <cellStyle name="Normal 2 9 2 5 5" xfId="23618" xr:uid="{235E0E35-E516-4C73-8F56-488438A8219B}"/>
    <cellStyle name="Normal 2 9 2 5 6" xfId="12995" xr:uid="{EBFF9979-BDAF-4056-9939-7C4F71623F59}"/>
    <cellStyle name="Normal 2 9 2 6" xfId="2344" xr:uid="{00000000-0005-0000-0000-0000FC040000}"/>
    <cellStyle name="Normal 2 9 2 6 2" xfId="7471" xr:uid="{A3825031-8A35-4751-8319-16D4250773A9}"/>
    <cellStyle name="Normal 2 9 2 6 2 2" xfId="17851" xr:uid="{6A6D7382-3B15-4E63-A0C5-35AE511A4D28}"/>
    <cellStyle name="Normal 2 9 2 6 3" xfId="10304" xr:uid="{6C9F06F4-90AC-4A47-8BE9-19945091BC32}"/>
    <cellStyle name="Normal 2 9 2 6 3 2" xfId="20684" xr:uid="{752FD9A0-BE7C-48C3-B6D8-DE200E7B8317}"/>
    <cellStyle name="Normal 2 9 2 6 4" xfId="23980" xr:uid="{882BB1E2-213A-40B5-801C-F92C8B2F8CAB}"/>
    <cellStyle name="Normal 2 9 2 6 5" xfId="15018" xr:uid="{454A5831-CC45-4159-9566-0B45C4292BCE}"/>
    <cellStyle name="Normal 2 9 2 7" xfId="3856" xr:uid="{84458B14-819A-4001-A5E2-AA7DE137479C}"/>
    <cellStyle name="Normal 2 9 2 7 2" xfId="8688" xr:uid="{7C231452-00D8-44C5-850F-2F5CF8904CAD}"/>
    <cellStyle name="Normal 2 9 2 7 2 2" xfId="19068" xr:uid="{57B9845F-62D3-4CBC-BB13-8F55090DAEFE}"/>
    <cellStyle name="Normal 2 9 2 7 3" xfId="11521" xr:uid="{099BBE67-BED5-46EE-A703-C1CC2A10DAD7}"/>
    <cellStyle name="Normal 2 9 2 7 3 2" xfId="21901" xr:uid="{CCEB56CF-F371-4221-BA1B-97CB9CFBBB55}"/>
    <cellStyle name="Normal 2 9 2 7 4" xfId="16235" xr:uid="{7988E97A-6A84-4E79-ACD1-EF42CE5806AC}"/>
    <cellStyle name="Normal 2 9 2 8" xfId="5189" xr:uid="{07B9A2AF-5381-4C50-BB18-E66CF69E1F35}"/>
    <cellStyle name="Normal 2 9 2 8 2" xfId="14486" xr:uid="{594BB21B-5250-4B9D-BCAA-F58B21B491EC}"/>
    <cellStyle name="Normal 2 9 2 9" xfId="6939" xr:uid="{10380160-24E4-4287-B345-BB123C557CF3}"/>
    <cellStyle name="Normal 2 9 2 9 2" xfId="17319" xr:uid="{6910957C-21B0-45DC-86B8-B601CB266F32}"/>
    <cellStyle name="Normal 2 9 3" xfId="839" xr:uid="{00000000-0005-0000-0000-0000F3040000}"/>
    <cellStyle name="Normal 2 9 3 2" xfId="3269" xr:uid="{00000000-0005-0000-0000-000003050000}"/>
    <cellStyle name="Normal 2 9 3 2 2" xfId="6327" xr:uid="{BBC012F7-9A7D-49DD-8FF5-40D30FC91CF8}"/>
    <cellStyle name="Normal 2 9 3 2 2 2" xfId="23646" xr:uid="{1C18D9CE-FF64-4E6C-9490-310C9DBD14D3}"/>
    <cellStyle name="Normal 2 9 3 2 2 3" xfId="25864" xr:uid="{E38453D7-3CA2-4BCD-A759-A27ED0D7C85F}"/>
    <cellStyle name="Normal 2 9 3 2 2 4" xfId="15896" xr:uid="{5D0B3E18-45EC-4A34-999C-A38B5D11956C}"/>
    <cellStyle name="Normal 2 9 3 2 3" xfId="8349" xr:uid="{6FE1859B-1F4B-4AE5-B006-253E9A85D689}"/>
    <cellStyle name="Normal 2 9 3 2 3 2" xfId="28893" xr:uid="{DB4F1271-2971-47BB-9434-EBC1A9A77D51}"/>
    <cellStyle name="Normal 2 9 3 2 3 3" xfId="18729" xr:uid="{A08FB64C-FD02-4DE1-98B2-CC76AD59860A}"/>
    <cellStyle name="Normal 2 9 3 2 4" xfId="11182" xr:uid="{D1F60B17-0A0A-48B6-B3F6-A364C2E8A65E}"/>
    <cellStyle name="Normal 2 9 3 2 4 2" xfId="21562" xr:uid="{F691DC2F-37A1-4850-B6B6-294ABF216EC7}"/>
    <cellStyle name="Normal 2 9 3 2 5" xfId="23450" xr:uid="{A902EA6F-8779-467F-A0AB-F89FA1D314DA}"/>
    <cellStyle name="Normal 2 9 3 2 6" xfId="13817" xr:uid="{2EF0206B-D1E4-49DF-A0B2-624BAFABC794}"/>
    <cellStyle name="Normal 2 9 3 3" xfId="2757" xr:uid="{00000000-0005-0000-0000-000004050000}"/>
    <cellStyle name="Normal 2 9 3 3 2" xfId="5975" xr:uid="{EE14B9B9-556B-4E73-97A6-A602B420A67B}"/>
    <cellStyle name="Normal 2 9 3 3 2 2" xfId="26397" xr:uid="{8A300D6B-CBD2-4CC9-A53A-F97F14E934C1}"/>
    <cellStyle name="Normal 2 9 3 3 2 3" xfId="15428" xr:uid="{1FAAA7AB-A683-47F0-8721-44B50F7F608B}"/>
    <cellStyle name="Normal 2 9 3 3 3" xfId="7881" xr:uid="{9D10ADB1-B487-465E-8521-091EAA3B6159}"/>
    <cellStyle name="Normal 2 9 3 3 3 2" xfId="18261" xr:uid="{7A07D050-F54B-44A6-B0AA-F357C660692E}"/>
    <cellStyle name="Normal 2 9 3 3 4" xfId="10714" xr:uid="{A57E7F78-0E3F-45A7-BA96-B8F956BEFD7B}"/>
    <cellStyle name="Normal 2 9 3 3 4 2" xfId="21094" xr:uid="{6F769498-F9B3-4DF4-830D-1FAC4D3441B0}"/>
    <cellStyle name="Normal 2 9 3 3 5" xfId="24394" xr:uid="{9C2732CD-0C98-47E4-8332-7F5C415C6F25}"/>
    <cellStyle name="Normal 2 9 3 3 6" xfId="13202" xr:uid="{382F7612-55F2-48F9-B04C-497CD00DF9FE}"/>
    <cellStyle name="Normal 2 9 3 4" xfId="4176" xr:uid="{6C57CACD-054E-48B2-A048-29786C24F379}"/>
    <cellStyle name="Normal 2 9 3 4 2" xfId="8948" xr:uid="{F8F2A1C3-DE61-448C-88ED-75D178793C21}"/>
    <cellStyle name="Normal 2 9 3 4 2 2" xfId="29038" xr:uid="{9B6DF6C0-F95C-461C-A3E5-633655C6CFFA}"/>
    <cellStyle name="Normal 2 9 3 4 2 3" xfId="19328" xr:uid="{108B8A07-2F86-434C-8E61-03419833586D}"/>
    <cellStyle name="Normal 2 9 3 4 3" xfId="11781" xr:uid="{BF76D129-6B8D-483E-AB44-23C8CC66B708}"/>
    <cellStyle name="Normal 2 9 3 4 3 2" xfId="22161" xr:uid="{4F7FD296-5668-47CF-84E4-4F6E07AA5347}"/>
    <cellStyle name="Normal 2 9 3 4 4" xfId="23024" xr:uid="{2720F342-B677-4933-B845-E4A73983D0D3}"/>
    <cellStyle name="Normal 2 9 3 4 5" xfId="16495" xr:uid="{1A872D12-5750-4868-B7D1-42CBA1351032}"/>
    <cellStyle name="Normal 2 9 3 5" xfId="5191" xr:uid="{5339BEE7-49BF-4EED-8093-076FF44C11A1}"/>
    <cellStyle name="Normal 2 9 3 5 2" xfId="28360" xr:uid="{18FB857A-43C8-481D-8EDE-42C5616E6A78}"/>
    <cellStyle name="Normal 2 9 3 5 3" xfId="14488" xr:uid="{BB94EF29-4372-4B52-A3B4-CAF5219F54BF}"/>
    <cellStyle name="Normal 2 9 3 6" xfId="6941" xr:uid="{6706ADBA-47C3-45D1-98BA-070E553BC50D}"/>
    <cellStyle name="Normal 2 9 3 6 2" xfId="17321" xr:uid="{16BC5282-6013-4F36-A49D-EF1DCD57E844}"/>
    <cellStyle name="Normal 2 9 3 7" xfId="9774" xr:uid="{765AB162-B962-473F-8533-4F365D25A101}"/>
    <cellStyle name="Normal 2 9 3 7 2" xfId="20154" xr:uid="{FA141201-5DC3-40D7-B45E-56E5963C75AA}"/>
    <cellStyle name="Normal 2 9 3 8" xfId="23562" xr:uid="{98595726-F428-4B11-B725-2105F6E0049B}"/>
    <cellStyle name="Normal 2 9 3 9" xfId="12736" xr:uid="{9693C5B5-154F-4ECD-B366-CF4444A44404}"/>
    <cellStyle name="Normal 2 9 4" xfId="840" xr:uid="{00000000-0005-0000-0000-0000F4040000}"/>
    <cellStyle name="Normal 2 9 4 2" xfId="4502" xr:uid="{F552828F-4638-433C-95A0-F70F96FF42C6}"/>
    <cellStyle name="Normal 2 9 4 2 2" xfId="9274" xr:uid="{8B5882C0-34B7-4018-B8AF-8A9666E84A30}"/>
    <cellStyle name="Normal 2 9 4 2 2 2" xfId="29257" xr:uid="{3A41186D-EB5D-4BF6-BAF2-DC3012D4F2F9}"/>
    <cellStyle name="Normal 2 9 4 2 2 3" xfId="19654" xr:uid="{2EEE7974-63E8-4333-B47E-0810051F19DB}"/>
    <cellStyle name="Normal 2 9 4 2 3" xfId="12107" xr:uid="{77FFCCCE-B339-49A3-AF57-6C591B460D33}"/>
    <cellStyle name="Normal 2 9 4 2 3 2" xfId="22487" xr:uid="{02ECC56F-030A-45B7-B5A5-4889A9B0C6DF}"/>
    <cellStyle name="Normal 2 9 4 2 4" xfId="23151" xr:uid="{1B612711-E694-403C-8DA7-3C97E3C646DC}"/>
    <cellStyle name="Normal 2 9 4 2 5" xfId="16821" xr:uid="{B78AA123-AC1B-44A7-8A77-2E25735F9C80}"/>
    <cellStyle name="Normal 2 9 4 3" xfId="5192" xr:uid="{72D4440E-BC3A-4554-9FB6-A1D858FC9D2E}"/>
    <cellStyle name="Normal 2 9 4 3 2" xfId="26204" xr:uid="{0A911DBC-6518-4F42-A5C9-14C7CC68276A}"/>
    <cellStyle name="Normal 2 9 4 3 3" xfId="14489" xr:uid="{FC52A404-F2D5-4898-B6ED-8CCCAF81E21C}"/>
    <cellStyle name="Normal 2 9 4 4" xfId="6942" xr:uid="{D4EB3F78-59DE-47CB-9C01-1E493E674689}"/>
    <cellStyle name="Normal 2 9 4 4 2" xfId="17322" xr:uid="{B116099D-E97C-496D-A06A-32D374CD2B84}"/>
    <cellStyle name="Normal 2 9 4 5" xfId="9775" xr:uid="{A72709CB-35E5-428D-AD5E-8448C8835858}"/>
    <cellStyle name="Normal 2 9 4 5 2" xfId="20155" xr:uid="{BD1FFA4C-667D-4073-82BA-12518B20D366}"/>
    <cellStyle name="Normal 2 9 4 6" xfId="23130" xr:uid="{9C2BDFD0-30EE-4EBC-A625-26ACF55129C4}"/>
    <cellStyle name="Normal 2 9 4 7" xfId="13818" xr:uid="{B2A2F5FB-83D0-425A-87BB-6FAD4739F9A2}"/>
    <cellStyle name="Normal 2 9 5" xfId="2917" xr:uid="{00000000-0005-0000-0000-000006050000}"/>
    <cellStyle name="Normal 2 9 5 2" xfId="6103" xr:uid="{58528CC1-6AD2-4279-88B3-36D6609DF850}"/>
    <cellStyle name="Normal 2 9 5 2 2" xfId="24075" xr:uid="{C2C5EE96-9995-440E-9BAB-6728372E79CC}"/>
    <cellStyle name="Normal 2 9 5 2 3" xfId="26764" xr:uid="{B71227A7-8E15-40FE-AB6C-C312F130A5E3}"/>
    <cellStyle name="Normal 2 9 5 2 4" xfId="15581" xr:uid="{BC502C78-C287-4AAA-B2B4-855DDE2775FC}"/>
    <cellStyle name="Normal 2 9 5 3" xfId="8034" xr:uid="{5BDB75E0-42B9-47B7-BC4F-32339D7EE5F4}"/>
    <cellStyle name="Normal 2 9 5 3 2" xfId="27595" xr:uid="{4DE08653-E695-4105-8FAF-2EC4861B3D14}"/>
    <cellStyle name="Normal 2 9 5 3 3" xfId="18414" xr:uid="{4E72B610-0225-4948-95A6-B8293541BCC2}"/>
    <cellStyle name="Normal 2 9 5 4" xfId="10867" xr:uid="{32AA6B69-933E-4213-BBD8-E8160E16B6D4}"/>
    <cellStyle name="Normal 2 9 5 4 2" xfId="21247" xr:uid="{F35A2EDB-01FD-4EF0-997D-CE0011391BF6}"/>
    <cellStyle name="Normal 2 9 5 5" xfId="22953" xr:uid="{98F40136-10FD-4A5D-954E-95D1BD6B1790}"/>
    <cellStyle name="Normal 2 9 5 6" xfId="13434" xr:uid="{6FF45A3C-E951-49D1-9CC8-9EC9CB2C2C99}"/>
    <cellStyle name="Normal 2 9 6" xfId="2444" xr:uid="{00000000-0005-0000-0000-000007050000}"/>
    <cellStyle name="Normal 2 9 6 2" xfId="5738" xr:uid="{C0BED993-F139-4C6B-A792-E132324F2C14}"/>
    <cellStyle name="Normal 2 9 6 2 2" xfId="26273" xr:uid="{E224AED6-5478-4071-AAE4-531DAAE09ED8}"/>
    <cellStyle name="Normal 2 9 6 2 3" xfId="15116" xr:uid="{C4B322CF-7FF4-46FB-9710-2B9CF49427F9}"/>
    <cellStyle name="Normal 2 9 6 3" xfId="7569" xr:uid="{6E09B0F8-1818-40FD-B0B9-2BE03937EBA0}"/>
    <cellStyle name="Normal 2 9 6 3 2" xfId="17949" xr:uid="{A2D2891C-9A94-42CD-AE40-9576749EACD4}"/>
    <cellStyle name="Normal 2 9 6 4" xfId="10402" xr:uid="{FAF89A14-3615-4B8B-9728-F0D7110BDD46}"/>
    <cellStyle name="Normal 2 9 6 4 2" xfId="20782" xr:uid="{BF8F50E0-AEAA-451D-B4EA-D6C5391055A7}"/>
    <cellStyle name="Normal 2 9 6 5" xfId="23771" xr:uid="{E27B1D7E-8871-4391-9BAF-DCBA9D83669B}"/>
    <cellStyle name="Normal 2 9 6 6" xfId="12832" xr:uid="{06E2C9D0-79AB-4E4D-B154-4572A5AC5714}"/>
    <cellStyle name="Normal 2 9 7" xfId="2198" xr:uid="{00000000-0005-0000-0000-0000FB040000}"/>
    <cellStyle name="Normal 2 9 7 2" xfId="7325" xr:uid="{EA8C2445-2A00-4AF1-8B3A-62B72269B8D5}"/>
    <cellStyle name="Normal 2 9 7 2 2" xfId="17705" xr:uid="{575865A4-C903-444A-BEFF-E672E9F80B26}"/>
    <cellStyle name="Normal 2 9 7 3" xfId="10158" xr:uid="{F12035F6-C739-489C-9EFC-F90E08ECF96A}"/>
    <cellStyle name="Normal 2 9 7 3 2" xfId="20538" xr:uid="{2453241E-7F61-4AE6-844D-52675AF13A67}"/>
    <cellStyle name="Normal 2 9 7 4" xfId="23373" xr:uid="{9E8031DF-A2E9-4D45-BFC8-2E12170B31A2}"/>
    <cellStyle name="Normal 2 9 7 5" xfId="14872" xr:uid="{E01FAD09-3F53-4B7B-A156-7DBA1FBB85AD}"/>
    <cellStyle name="Normal 2 9 8" xfId="3954" xr:uid="{CED8D824-48D3-4AEF-8F7F-55717388E9E6}"/>
    <cellStyle name="Normal 2 9 8 2" xfId="8786" xr:uid="{C9D54B9E-2B71-467B-A443-019A549ED388}"/>
    <cellStyle name="Normal 2 9 8 2 2" xfId="19166" xr:uid="{AF764DA1-8EEC-4F37-BAFF-823F4512B564}"/>
    <cellStyle name="Normal 2 9 8 3" xfId="11619" xr:uid="{4D51BDD7-64D1-4472-9612-C42DAC1C76C4}"/>
    <cellStyle name="Normal 2 9 8 3 2" xfId="21999" xr:uid="{DF92F74E-7642-42AD-AA75-8CBC2EDD46C4}"/>
    <cellStyle name="Normal 2 9 8 4" xfId="16333" xr:uid="{DEB08D9E-3D2C-4A32-A794-F6E6A1CE67C3}"/>
    <cellStyle name="Normal 2 9 9" xfId="5188" xr:uid="{FC4BB2AD-7E18-4984-98C0-6FFD72EC7400}"/>
    <cellStyle name="Normal 2 9 9 2" xfId="14485" xr:uid="{FD71FD44-744A-47E9-9921-B8D7F3880453}"/>
    <cellStyle name="Normal 20" xfId="12253" xr:uid="{27372840-47D8-489B-95A7-2CD989EBD34B}"/>
    <cellStyle name="Normal 20 2" xfId="22633" xr:uid="{40D62CA8-3A96-48B0-BE9D-F7CE8F4D3E78}"/>
    <cellStyle name="Normal 21" xfId="12384" xr:uid="{FF094764-875A-4C99-A567-5596200E8909}"/>
    <cellStyle name="Normal 22" xfId="12383" xr:uid="{8C915B8E-2FA3-4DC4-BD95-7A870649C7C0}"/>
    <cellStyle name="Normal 23" xfId="29654" xr:uid="{8984CDD2-5E3D-4AE7-B6E9-7AD02D9E6B72}"/>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3" xr:uid="{08D264DB-FBA0-4E76-A0A6-DD15CBF7F5DA}"/>
    <cellStyle name="Normal 3 2 2 3 3 2" xfId="29846" xr:uid="{F9E91523-8149-4642-B873-3EA9643B46FE}"/>
    <cellStyle name="Normal 3 2 2 4" xfId="847" xr:uid="{00000000-0005-0000-0000-0000FB040000}"/>
    <cellStyle name="Normal 3 2 2 4 2" xfId="848" xr:uid="{00000000-0005-0000-0000-0000FC040000}"/>
    <cellStyle name="Normal 3 2 2 4 3" xfId="3711" xr:uid="{00000000-0005-0000-0000-000069040000}"/>
    <cellStyle name="Normal 3 2 2 4 3 2" xfId="4804" xr:uid="{7E0E1DE2-FFD9-4B6C-A96E-E7DA851E3AAB}"/>
    <cellStyle name="Normal 3 2 2 4 3 3" xfId="29725" xr:uid="{6772CE4C-7AE7-4CF0-B641-5185521D2A1F}"/>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20" xr:uid="{032D5C75-76E2-40CA-A12D-BA86BF6B3032}"/>
    <cellStyle name="Normal 3 2 3 3 2 3 2 2 3" xfId="25324" xr:uid="{42CBD767-BF5C-42DC-AAFD-E88B7DD8534B}"/>
    <cellStyle name="Normal 3 2 3 3 2 3 2 3" xfId="857" xr:uid="{00000000-0005-0000-0000-000005050000}"/>
    <cellStyle name="Normal 3 2 3 3 2 3 2 3 2" xfId="1988" xr:uid="{00000000-0005-0000-0000-000006050000}"/>
    <cellStyle name="Normal 3 2 3 3 2 3 2 3 3" xfId="3712" xr:uid="{00000000-0005-0000-0000-000073040000}"/>
    <cellStyle name="Normal 3 2 3 3 2 3 2 3 3 2" xfId="4699" xr:uid="{51E09282-E913-4ED6-8E0D-C413A5D4A1F2}"/>
    <cellStyle name="Normal 3 2 3 3 2 3 2 3 3 3" xfId="29726" xr:uid="{AA94B2C4-2306-467B-8817-2DA26AEF7013}"/>
    <cellStyle name="Normal 3 2 3 3 2 3 2 4" xfId="25759" xr:uid="{5EC9D443-D6FF-49B3-87CB-0CAAE76577FA}"/>
    <cellStyle name="Normal 3 2 3 3 2 3 2 4 2" xfId="29866" xr:uid="{E96F2228-5FBC-4612-A501-E5016D168C03}"/>
    <cellStyle name="Normal 3 2 3 3 2 3 3" xfId="858" xr:uid="{00000000-0005-0000-0000-000007050000}"/>
    <cellStyle name="Normal 3 2 3 3 2 3 4" xfId="2919" xr:uid="{00000000-0005-0000-0000-000014050000}"/>
    <cellStyle name="Normal 3 2 3 3 2 3 5" xfId="2094" xr:uid="{00000000-0005-0000-0000-000008020000}"/>
    <cellStyle name="Normal 3 2 3 3 2 3 5 2" xfId="4649" xr:uid="{F5C0EA0D-9822-4FF4-BD48-55FE3EF7782D}"/>
    <cellStyle name="Normal 3 2 3 3 2 3 5 3" xfId="29664" xr:uid="{F102FA34-D2F0-47A2-AC9B-07674839EA4B}"/>
    <cellStyle name="Normal 3 2 3 3 2 3 6" xfId="3957" xr:uid="{0E1DF840-3114-4679-8527-B4509133BFD3}"/>
    <cellStyle name="Normal 3 2 3 3 2 3 6 2" xfId="4703" xr:uid="{EBED180B-3325-462A-919B-62911980F3E3}"/>
    <cellStyle name="Normal 3 2 3 3 2 3 6 3" xfId="29786" xr:uid="{00D75850-AB68-4533-81A7-74A72683F36B}"/>
    <cellStyle name="Normal 3 2 3 3 2 4" xfId="859" xr:uid="{00000000-0005-0000-0000-000008050000}"/>
    <cellStyle name="Normal 3 2 3 3 2 4 2" xfId="2918" xr:uid="{00000000-0005-0000-0000-000015050000}"/>
    <cellStyle name="Normal 3 2 3 3 2 4 3" xfId="23493" xr:uid="{8625022A-D38B-4880-84F6-02FA13E60E21}"/>
    <cellStyle name="Normal 3 2 3 3 2 4 3 2" xfId="29619" xr:uid="{0FEE1F9F-C76F-4B8E-A83F-EAD315906FD7}"/>
    <cellStyle name="Normal 3 2 3 3 2 4 3 3" xfId="29598" xr:uid="{ED318358-FA7F-4BE8-8DAF-D6F7186FE3D7}"/>
    <cellStyle name="Normal 3 2 3 3 2 4 3 3 2" xfId="29642" xr:uid="{6DF48563-C650-48F9-9DC2-55B9B6148D77}"/>
    <cellStyle name="Normal 3 2 3 3 2 4 3 4" xfId="29847" xr:uid="{7FAEBB70-4472-4C56-8827-9C8CB51EFEA6}"/>
    <cellStyle name="Normal 3 2 3 3 2 5" xfId="2093" xr:uid="{00000000-0005-0000-0000-000006020000}"/>
    <cellStyle name="Normal 3 2 3 3 2 5 2" xfId="4666" xr:uid="{1B4AA995-6D1E-409F-BFE5-CBE6CD7AB94F}"/>
    <cellStyle name="Normal 3 2 3 3 2 5 3" xfId="29663" xr:uid="{B846B249-7B7F-47FC-9E34-22482095F36C}"/>
    <cellStyle name="Normal 3 2 3 3 2 6" xfId="3956" xr:uid="{F8E8F1E1-BBD4-4256-B483-D824BDAE78F4}"/>
    <cellStyle name="Normal 3 2 3 3 2 6 2" xfId="4764" xr:uid="{9F42B403-8D69-4B35-A1B8-4F04141A4544}"/>
    <cellStyle name="Normal 3 2 3 3 2 6 3" xfId="29785" xr:uid="{E2C61F0C-6CB1-4313-AAF9-EDC57FCA4967}"/>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9" xr:uid="{00000000-0005-0000-0000-00000E050000}"/>
    <cellStyle name="Normal 3 2 3 3 4 2 2 2 3" xfId="3713" xr:uid="{00000000-0005-0000-0000-00007A040000}"/>
    <cellStyle name="Normal 3 2 3 3 4 2 2 2 3 2" xfId="4775" xr:uid="{3EE6A992-6E14-412B-A546-1161B9E0D3AE}"/>
    <cellStyle name="Normal 3 2 3 3 4 2 2 2 3 3" xfId="29727" xr:uid="{52B9EA75-726E-433F-B357-945A863E0297}"/>
    <cellStyle name="Normal 3 2 3 3 4 2 2 2 4" xfId="24732" xr:uid="{08713468-6514-49F8-B4E6-F61F3C4FDA44}"/>
    <cellStyle name="Normal 3 2 3 3 4 2 2 3" xfId="1990" xr:uid="{00000000-0005-0000-0000-00000F050000}"/>
    <cellStyle name="Normal 3 2 3 3 4 2 2 4" xfId="22853" xr:uid="{FAB5457A-0A0A-428D-8F1B-DAFEE4F83219}"/>
    <cellStyle name="Normal 3 2 3 3 4 2 2 4 2" xfId="29867" xr:uid="{236099B8-9360-4EB4-89A8-A4EEA960FA4D}"/>
    <cellStyle name="Normal 3 2 3 3 4 2 3" xfId="865" xr:uid="{00000000-0005-0000-0000-000010050000}"/>
    <cellStyle name="Normal 3 2 3 3 4 2 3 2" xfId="866" xr:uid="{00000000-0005-0000-0000-000011050000}"/>
    <cellStyle name="Normal 3 2 3 3 4 2 3 2 2" xfId="24504" xr:uid="{EE8B293B-87C8-42E1-AF32-679531BFDE2A}"/>
    <cellStyle name="Normal 3 2 3 3 4 2 3 2 3" xfId="25816" xr:uid="{7C09AC0D-5F28-421E-9E99-2079FC6A8637}"/>
    <cellStyle name="Normal 3 2 3 3 4 2 3 2 3 2" xfId="29896" xr:uid="{EC2E8330-AF69-43F9-A998-CFB5EDBDDACC}"/>
    <cellStyle name="Normal 3 2 3 3 4 2 3 3" xfId="867" xr:uid="{00000000-0005-0000-0000-000012050000}"/>
    <cellStyle name="Normal 3 2 3 3 4 2 3 3 2" xfId="24082" xr:uid="{5907E1A0-6497-4B7D-B2B6-A65DF4324FD1}"/>
    <cellStyle name="Normal 3 2 3 3 4 2 3 3 3" xfId="24459" xr:uid="{1AA0180D-7B02-4838-9AC9-29190EA47CF7}"/>
    <cellStyle name="Normal 3 2 3 3 4 2 3 4" xfId="2096" xr:uid="{00000000-0005-0000-0000-00000E020000}"/>
    <cellStyle name="Normal 3 2 3 3 4 2 3 4 2" xfId="4716" xr:uid="{84F79AEF-86F1-430E-9A02-46E9B0EA2D4B}"/>
    <cellStyle name="Normal 3 2 3 3 4 2 3 4 3" xfId="29666" xr:uid="{39C17A76-CC2A-4ADD-9BC9-994FF4A597AF}"/>
    <cellStyle name="Normal 3 2 3 3 4 2 3 5" xfId="25609" xr:uid="{AE0E7AAC-A35C-4739-83F7-24B2349D3A43}"/>
    <cellStyle name="Normal 3 2 3 3 4 2 4" xfId="23282" xr:uid="{607B55E2-785A-4475-A5AF-715CB366B607}"/>
    <cellStyle name="Normal 3 2 3 3 4 3" xfId="868" xr:uid="{00000000-0005-0000-0000-000013050000}"/>
    <cellStyle name="Normal 3 2 3 3 4 4" xfId="2920" xr:uid="{00000000-0005-0000-0000-00001D050000}"/>
    <cellStyle name="Normal 3 2 3 3 4 5" xfId="2095" xr:uid="{00000000-0005-0000-0000-00000B020000}"/>
    <cellStyle name="Normal 3 2 3 3 4 5 2" xfId="3808" xr:uid="{88D4B6F8-D038-4FA2-9B5E-8BA2B2639DFB}"/>
    <cellStyle name="Normal 3 2 3 3 4 5 3" xfId="29665" xr:uid="{5C309187-27E3-486A-BF8E-39562254FEC5}"/>
    <cellStyle name="Normal 3 2 3 3 4 6" xfId="3958" xr:uid="{5C36214B-B9A0-42AD-97C5-679BC9758736}"/>
    <cellStyle name="Normal 3 2 3 3 4 6 2" xfId="4776" xr:uid="{C6EA1D90-BF83-4CD0-B22B-769466A8D247}"/>
    <cellStyle name="Normal 3 2 3 3 4 6 3" xfId="29787" xr:uid="{DABC716E-F472-4625-804F-FEB5B17C1D8A}"/>
    <cellStyle name="Normal 3 2 3 3 5" xfId="869" xr:uid="{00000000-0005-0000-0000-000014050000}"/>
    <cellStyle name="Normal 3 2 3 3 5 2" xfId="870" xr:uid="{00000000-0005-0000-0000-000015050000}"/>
    <cellStyle name="Normal 3 2 3 3 5 3" xfId="3714" xr:uid="{00000000-0005-0000-0000-000081040000}"/>
    <cellStyle name="Normal 3 2 3 3 5 3 2" xfId="4789" xr:uid="{345DF071-92C4-4D83-A3A4-5CDB82EFF459}"/>
    <cellStyle name="Normal 3 2 3 3 5 3 2 2" xfId="27326" xr:uid="{36392154-9601-4751-B21A-9FC0AC69F7FB}"/>
    <cellStyle name="Normal 3 2 3 3 5 3 3" xfId="25727" xr:uid="{5EC24068-D279-40A6-85E3-7D41DE988994}"/>
    <cellStyle name="Normal 3 2 3 3 5 3 4" xfId="29728" xr:uid="{BF47AFFF-4618-41F2-B04A-089E063793BF}"/>
    <cellStyle name="Normal 3 2 3 3 5 4" xfId="25712"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7" xr:uid="{CF3F732A-3464-44B7-ACAC-54207065C4A1}"/>
    <cellStyle name="Normal 3 2 3 4 3 2 2 3" xfId="24091" xr:uid="{464BB80B-BDC8-41C8-913C-E7E41BB7A4DF}"/>
    <cellStyle name="Normal 3 2 3 4 3 2 3" xfId="876" xr:uid="{00000000-0005-0000-0000-00001B050000}"/>
    <cellStyle name="Normal 3 2 3 4 3 2 3 2" xfId="1991" xr:uid="{00000000-0005-0000-0000-00001C050000}"/>
    <cellStyle name="Normal 3 2 3 4 3 2 3 3" xfId="3715" xr:uid="{00000000-0005-0000-0000-000088040000}"/>
    <cellStyle name="Normal 3 2 3 4 3 2 3 3 2" xfId="4771" xr:uid="{3F5C8904-0CB7-4A62-A566-1B839756158A}"/>
    <cellStyle name="Normal 3 2 3 4 3 2 3 3 3" xfId="29729" xr:uid="{B18B8060-4CFA-4E5C-9DCC-3B0E313332B4}"/>
    <cellStyle name="Normal 3 2 3 4 3 2 4" xfId="25825" xr:uid="{1A6B0C1D-1919-427D-8E6B-3883E899BAEA}"/>
    <cellStyle name="Normal 3 2 3 4 3 2 4 2" xfId="29868" xr:uid="{FFF0A694-73BD-4870-B7E7-756D07A9A0F9}"/>
    <cellStyle name="Normal 3 2 3 4 3 3" xfId="877" xr:uid="{00000000-0005-0000-0000-00001D050000}"/>
    <cellStyle name="Normal 3 2 3 4 3 4" xfId="2921" xr:uid="{00000000-0005-0000-0000-000023050000}"/>
    <cellStyle name="Normal 3 2 3 4 3 5" xfId="2098" xr:uid="{00000000-0005-0000-0000-000012020000}"/>
    <cellStyle name="Normal 3 2 3 4 3 5 2" xfId="4671" xr:uid="{C7488697-347C-4027-9144-3C9AC3B4D98F}"/>
    <cellStyle name="Normal 3 2 3 4 3 5 3" xfId="29668" xr:uid="{C65B63D8-4D9B-4032-96BC-385203A77875}"/>
    <cellStyle name="Normal 3 2 3 4 3 6" xfId="3960" xr:uid="{D1FAA155-8172-43EB-ACF9-9A7AA25E3D6E}"/>
    <cellStyle name="Normal 3 2 3 4 3 6 2" xfId="4784" xr:uid="{8A9EA233-ABD3-42E4-B860-F2A4E0132FC1}"/>
    <cellStyle name="Normal 3 2 3 4 3 6 3" xfId="29789" xr:uid="{DFFA3497-65BA-4A02-BFCF-2BED15195960}"/>
    <cellStyle name="Normal 3 2 3 4 4" xfId="878" xr:uid="{00000000-0005-0000-0000-00001E050000}"/>
    <cellStyle name="Normal 3 2 3 4 4 2" xfId="1992" xr:uid="{00000000-0005-0000-0000-00001F050000}"/>
    <cellStyle name="Normal 3 2 3 4 4 3" xfId="3716" xr:uid="{00000000-0005-0000-0000-00008B040000}"/>
    <cellStyle name="Normal 3 2 3 4 4 3 2" xfId="4731" xr:uid="{6712E95B-D981-4590-85C2-AC9FC672C3C9}"/>
    <cellStyle name="Normal 3 2 3 4 4 3 3" xfId="29730" xr:uid="{850A6D8B-57D6-4545-A6E7-E478A23A8574}"/>
    <cellStyle name="Normal 3 2 3 4 5" xfId="2097" xr:uid="{00000000-0005-0000-0000-000010020000}"/>
    <cellStyle name="Normal 3 2 3 4 5 2" xfId="3778" xr:uid="{8B0DC8D1-7DE9-4171-A63D-3B65DE7CC539}"/>
    <cellStyle name="Normal 3 2 3 4 5 3" xfId="29667" xr:uid="{D871314F-DB39-4975-A881-0431216EDEC0}"/>
    <cellStyle name="Normal 3 2 3 4 6" xfId="3959" xr:uid="{C6836599-ECCD-4EBB-AA38-ABF0279C67FA}"/>
    <cellStyle name="Normal 3 2 3 4 6 2" xfId="4749" xr:uid="{E32033F8-C2D4-4D9A-8197-D59BB0805FFB}"/>
    <cellStyle name="Normal 3 2 3 4 6 3" xfId="29788" xr:uid="{9CAA6BD0-2E38-4911-9215-3D85A6399DC6}"/>
    <cellStyle name="Normal 3 2 3 5" xfId="2066" xr:uid="{00000000-0005-0000-0000-000003020000}"/>
    <cellStyle name="Normal 3 2 3 5 2" xfId="4738" xr:uid="{1DEEA62F-24B4-4396-B677-5B3167946642}"/>
    <cellStyle name="Normal 3 2 3 5 3" xfId="29655" xr:uid="{CAE69430-5ADF-4B11-A3D0-183AA39D2359}"/>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8" xr:uid="{3EF99F25-A57D-4DC0-97CB-91B0DD3F630F}"/>
    <cellStyle name="Normal 3 2 4 3 2 2 3" xfId="25695" xr:uid="{19CA29BA-DCD1-4906-9A5C-D706283E436C}"/>
    <cellStyle name="Normal 3 2 4 3 2 3" xfId="884" xr:uid="{00000000-0005-0000-0000-000025050000}"/>
    <cellStyle name="Normal 3 2 4 3 2 3 2" xfId="1993" xr:uid="{00000000-0005-0000-0000-000026050000}"/>
    <cellStyle name="Normal 3 2 4 3 2 3 3" xfId="3717" xr:uid="{00000000-0005-0000-0000-000092040000}"/>
    <cellStyle name="Normal 3 2 4 3 2 3 3 2" xfId="4701" xr:uid="{E7124F84-1902-4C52-813A-2AD87B201F7F}"/>
    <cellStyle name="Normal 3 2 4 3 2 3 3 3" xfId="29731" xr:uid="{3258AB9D-3662-451A-B6F7-89EFC214E0FA}"/>
    <cellStyle name="Normal 3 2 4 3 2 4" xfId="23427" xr:uid="{F5F16304-98F9-4382-9EBD-05DA6A2307A4}"/>
    <cellStyle name="Normal 3 2 4 3 2 4 2" xfId="29869" xr:uid="{0AE68A71-0880-4AB6-A762-9F9400C256B9}"/>
    <cellStyle name="Normal 3 2 4 3 3" xfId="885" xr:uid="{00000000-0005-0000-0000-000027050000}"/>
    <cellStyle name="Normal 3 2 4 3 4" xfId="2923" xr:uid="{00000000-0005-0000-0000-00002A050000}"/>
    <cellStyle name="Normal 3 2 4 3 5" xfId="2100" xr:uid="{00000000-0005-0000-0000-000016020000}"/>
    <cellStyle name="Normal 3 2 4 3 5 2" xfId="4686" xr:uid="{06BFEBE3-1397-400F-9E69-D60195609A34}"/>
    <cellStyle name="Normal 3 2 4 3 5 3" xfId="29670" xr:uid="{A89D693D-16F5-4142-8693-FBE5A87B0469}"/>
    <cellStyle name="Normal 3 2 4 3 6" xfId="3963" xr:uid="{C9BE7447-0E91-41CB-9714-02F1C566D84A}"/>
    <cellStyle name="Normal 3 2 4 3 6 2" xfId="4788" xr:uid="{0C195683-FC3A-4228-8CFA-81C976438B43}"/>
    <cellStyle name="Normal 3 2 4 3 6 3" xfId="29791" xr:uid="{D7509572-25EA-47CB-AF1A-C320C6148771}"/>
    <cellStyle name="Normal 3 2 4 4" xfId="2922" xr:uid="{00000000-0005-0000-0000-00002B050000}"/>
    <cellStyle name="Normal 3 2 4 4 2" xfId="25747" xr:uid="{F4A474D2-41DD-4D0C-B5D7-FFDAF17C5566}"/>
    <cellStyle name="Normal 3 2 4 4 2 2" xfId="29626" xr:uid="{0DCF3C32-0EA3-482C-941C-B4A52CDFF34B}"/>
    <cellStyle name="Normal 3 2 4 4 2 3" xfId="29599" xr:uid="{193FC249-A10F-445C-95C0-0B33E7ED076A}"/>
    <cellStyle name="Normal 3 2 4 4 2 3 2" xfId="29643" xr:uid="{150E5878-774A-4368-848F-E3C08FDFC92C}"/>
    <cellStyle name="Normal 3 2 4 4 3" xfId="24728" xr:uid="{154F7FD8-B3F3-4487-878D-5A0175DAC264}"/>
    <cellStyle name="Normal 3 2 4 5" xfId="2099" xr:uid="{00000000-0005-0000-0000-000014020000}"/>
    <cellStyle name="Normal 3 2 4 5 2" xfId="4645" xr:uid="{3EC2113D-E49B-4038-9F23-778F9B5DB2AD}"/>
    <cellStyle name="Normal 3 2 4 5 3" xfId="29669" xr:uid="{26370B40-C1BB-471D-9B9E-6729C1B9218A}"/>
    <cellStyle name="Normal 3 2 4 6" xfId="3962" xr:uid="{7B02E248-334A-4390-803D-03A9529B2562}"/>
    <cellStyle name="Normal 3 2 4 6 2" xfId="4817" xr:uid="{2DE6B781-6A0F-4C4A-A762-5BA32CF9F8AB}"/>
    <cellStyle name="Normal 3 2 4 6 3" xfId="29790" xr:uid="{2BD5726A-FE43-4C7C-986D-5484E2F79FE5}"/>
    <cellStyle name="Normal 3 2 5" xfId="29571" xr:uid="{750150B5-C7CA-4EA6-BA0D-6C0AEF29E2A9}"/>
    <cellStyle name="Normal 3 2 5 2" xfId="29630" xr:uid="{FC40ABBD-3EDE-4371-9FF9-A208F204AC39}"/>
    <cellStyle name="Normal 3 2 5 3" xfId="29600" xr:uid="{4BE0FB2A-CFA3-46C2-A6F3-5BD4CCDE876F}"/>
    <cellStyle name="Normal 3 2 5 3 2" xfId="29644" xr:uid="{012C5423-63EC-45C8-AB0D-9143CDABBBAF}"/>
    <cellStyle name="Normal 3 2 5 4" xfId="29634" xr:uid="{B70E0C93-0F24-4A65-9A4C-6AA94B1973D9}"/>
    <cellStyle name="Normal 3 3" xfId="886" xr:uid="{00000000-0005-0000-0000-000028050000}"/>
    <cellStyle name="Normal 3 3 2" xfId="29572" xr:uid="{255EAE38-A587-454A-A10E-047DE88AEFA0}"/>
    <cellStyle name="Normal 3 4" xfId="29573" xr:uid="{2F3070F6-1C88-4374-9425-21AEE0A4DFFB}"/>
    <cellStyle name="Normal 3 4 2" xfId="29631" xr:uid="{56437A54-78A7-4336-835A-B2D545FA46F6}"/>
    <cellStyle name="Normal 3 4 3" xfId="29592" xr:uid="{8EA9A8F3-AE43-4EF4-960D-AD7C26FB738D}"/>
    <cellStyle name="Normal 4" xfId="887" xr:uid="{00000000-0005-0000-0000-000029050000}"/>
    <cellStyle name="Normal 4 10" xfId="888" xr:uid="{00000000-0005-0000-0000-00002A050000}"/>
    <cellStyle name="Normal 4 10 10" xfId="9777" xr:uid="{124714D4-58FE-4A1A-95C3-0A3FC13E102A}"/>
    <cellStyle name="Normal 4 10 10 2" xfId="20157" xr:uid="{75151CA6-0830-4718-974F-DA1C711EC993}"/>
    <cellStyle name="Normal 4 10 11" xfId="22800" xr:uid="{DF8820E2-133B-4E33-BD57-2890C0DB6BE3}"/>
    <cellStyle name="Normal 4 10 12" xfId="12579" xr:uid="{A0231339-5278-4006-B10A-D98724736073}"/>
    <cellStyle name="Normal 4 10 2" xfId="889" xr:uid="{00000000-0005-0000-0000-00002B050000}"/>
    <cellStyle name="Normal 4 10 2 2" xfId="890" xr:uid="{00000000-0005-0000-0000-00002C050000}"/>
    <cellStyle name="Normal 4 10 2 2 2" xfId="5196" xr:uid="{2F990ED6-C403-433B-9416-DF936D9A58B9}"/>
    <cellStyle name="Normal 4 10 2 2 2 2" xfId="25733" xr:uid="{8EAC1899-FCAE-42AF-B292-F3C46DB240FD}"/>
    <cellStyle name="Normal 4 10 2 2 2 3" xfId="27275" xr:uid="{A64401EC-5285-4578-B7C7-D6B097D78689}"/>
    <cellStyle name="Normal 4 10 2 2 2 4" xfId="14493" xr:uid="{E7C4EC7E-9AAD-49FD-B157-0C8E5BCC24FC}"/>
    <cellStyle name="Normal 4 10 2 2 3" xfId="6946" xr:uid="{52EE871B-7087-409F-9C4F-E922AA7F83F3}"/>
    <cellStyle name="Normal 4 10 2 2 3 2" xfId="27607" xr:uid="{EDB7409E-4EFD-4903-9940-6903E7494269}"/>
    <cellStyle name="Normal 4 10 2 2 3 3" xfId="26627" xr:uid="{BAC96558-61F5-4DE7-BDC4-B43C1B7A7531}"/>
    <cellStyle name="Normal 4 10 2 2 3 4" xfId="17326" xr:uid="{76CC529E-0A0D-42AD-81FA-974DF2153082}"/>
    <cellStyle name="Normal 4 10 2 2 4" xfId="9779" xr:uid="{DBBF66FF-173D-4216-935C-22F75CD999F5}"/>
    <cellStyle name="Normal 4 10 2 2 4 2" xfId="29407" xr:uid="{89B580D3-DD76-45DF-8750-08C22EC08327}"/>
    <cellStyle name="Normal 4 10 2 2 4 3" xfId="20159" xr:uid="{4ECA2B16-6E25-4D5B-AFA6-B30E1F70021C}"/>
    <cellStyle name="Normal 4 10 2 2 5" xfId="23921" xr:uid="{104E3D88-6CBC-44D8-B9F2-BEAC9DD3083B}"/>
    <cellStyle name="Normal 4 10 2 2 6" xfId="13819" xr:uid="{9E4BF900-B394-4381-A3AD-81D1670F5184}"/>
    <cellStyle name="Normal 4 10 2 3" xfId="2759" xr:uid="{00000000-0005-0000-0000-000031050000}"/>
    <cellStyle name="Normal 4 10 2 3 2" xfId="5977" xr:uid="{CD34A8B9-3B58-4C5E-9CD2-ACBBE4EE33D3}"/>
    <cellStyle name="Normal 4 10 2 3 2 2" xfId="27608" xr:uid="{57EC37BA-FA62-4027-8554-F8D55147A022}"/>
    <cellStyle name="Normal 4 10 2 3 2 3" xfId="15430" xr:uid="{AD4EA0E3-BDF6-4138-BDE3-11682B8BF146}"/>
    <cellStyle name="Normal 4 10 2 3 3" xfId="7883" xr:uid="{A88F4761-7BB3-4048-BEB8-B05CE1392E24}"/>
    <cellStyle name="Normal 4 10 2 3 3 2" xfId="18263" xr:uid="{4F2930A9-615B-4D19-A7D8-75C546950B3C}"/>
    <cellStyle name="Normal 4 10 2 3 4" xfId="10716" xr:uid="{1A351FCC-9811-46B5-BF3B-5BB71B02F51D}"/>
    <cellStyle name="Normal 4 10 2 3 4 2" xfId="21096" xr:uid="{003F525A-3718-4585-88D3-595F3991A7B1}"/>
    <cellStyle name="Normal 4 10 2 3 5" xfId="23269" xr:uid="{F222276F-E2A3-49D9-8473-5AB2636BB857}"/>
    <cellStyle name="Normal 4 10 2 3 6" xfId="13205" xr:uid="{F353F1D6-BE84-4FA7-99E5-62DCA8E8199A}"/>
    <cellStyle name="Normal 4 10 2 4" xfId="4177" xr:uid="{64D4522C-9833-489C-A11E-8967B3AE04DC}"/>
    <cellStyle name="Normal 4 10 2 4 2" xfId="8949" xr:uid="{4A4CF90D-1119-4D6F-9E60-40792F233AB2}"/>
    <cellStyle name="Normal 4 10 2 4 2 2" xfId="29039" xr:uid="{C6649890-FA54-4194-AFE2-7FB2A9751A0E}"/>
    <cellStyle name="Normal 4 10 2 4 2 3" xfId="19329" xr:uid="{E43D67DB-6AFB-4D7F-A589-3770049FB9B0}"/>
    <cellStyle name="Normal 4 10 2 4 3" xfId="11782" xr:uid="{4A9C5750-FFB1-49CA-96CA-C07EBA6AC803}"/>
    <cellStyle name="Normal 4 10 2 4 3 2" xfId="22162" xr:uid="{2468264E-ABFB-4540-9DD4-0F7D7AD581B4}"/>
    <cellStyle name="Normal 4 10 2 4 4" xfId="23561" xr:uid="{B21780F6-0BF4-45CE-A462-C823F73BF55B}"/>
    <cellStyle name="Normal 4 10 2 4 5" xfId="16496" xr:uid="{DAFC14F9-0A12-427D-99CD-D54784F738DB}"/>
    <cellStyle name="Normal 4 10 2 5" xfId="5195" xr:uid="{4C483B6D-F99C-4B05-A1C7-57FA01DAB4FE}"/>
    <cellStyle name="Normal 4 10 2 5 2" xfId="28295" xr:uid="{FEBE1B3F-2BA5-47F7-BDDB-4A373A169525}"/>
    <cellStyle name="Normal 4 10 2 5 3" xfId="14492" xr:uid="{47A2088D-36D2-43B9-BB01-2CE873797F06}"/>
    <cellStyle name="Normal 4 10 2 6" xfId="6945" xr:uid="{1812DBF2-AC43-42C8-BB06-3A4BCCF931A4}"/>
    <cellStyle name="Normal 4 10 2 6 2" xfId="17325" xr:uid="{BD41452F-9AA6-46CE-9258-469684009A0E}"/>
    <cellStyle name="Normal 4 10 2 7" xfId="9778" xr:uid="{38551E4C-25A5-4760-BDFD-02D162B85D0F}"/>
    <cellStyle name="Normal 4 10 2 7 2" xfId="20158" xr:uid="{FCFD3159-8091-4CAA-9037-3A42E64BE277}"/>
    <cellStyle name="Normal 4 10 2 8" xfId="23611" xr:uid="{7F941E2A-5B00-435A-803E-7194FC9FD7CA}"/>
    <cellStyle name="Normal 4 10 2 9" xfId="12737" xr:uid="{9CDAF916-CA42-4BCB-898B-C40C959CFE87}"/>
    <cellStyle name="Normal 4 10 3" xfId="891" xr:uid="{00000000-0005-0000-0000-00002D050000}"/>
    <cellStyle name="Normal 4 10 3 2" xfId="4503" xr:uid="{6D16362C-AFEA-486B-8920-367F7420926C}"/>
    <cellStyle name="Normal 4 10 3 2 2" xfId="9275" xr:uid="{99780004-FDCD-4A0B-8152-2B60D64E3786}"/>
    <cellStyle name="Normal 4 10 3 2 2 2" xfId="29258" xr:uid="{2F30D234-DB78-4265-8658-4B0C0ACB0F03}"/>
    <cellStyle name="Normal 4 10 3 2 2 3" xfId="19655" xr:uid="{B1679AD5-1DD9-4259-88D7-6A9BEE476E54}"/>
    <cellStyle name="Normal 4 10 3 2 3" xfId="12108" xr:uid="{50409475-3339-438E-80D2-61FED637081C}"/>
    <cellStyle name="Normal 4 10 3 2 3 2" xfId="22488" xr:uid="{F584AAFA-DE45-43FC-AAB2-E438922775AE}"/>
    <cellStyle name="Normal 4 10 3 2 4" xfId="22876" xr:uid="{997B49FD-8D98-4B16-80E4-A50EDD2F2198}"/>
    <cellStyle name="Normal 4 10 3 2 5" xfId="16822" xr:uid="{ABF2F5DB-F94C-4116-9E2C-9D552532713D}"/>
    <cellStyle name="Normal 4 10 3 3" xfId="5197" xr:uid="{B1CC3607-94B5-4810-A1F3-7395FF18D1D6}"/>
    <cellStyle name="Normal 4 10 3 3 2" xfId="26813" xr:uid="{DF47A49C-0534-4116-AF38-6B71D8670BF1}"/>
    <cellStyle name="Normal 4 10 3 3 3" xfId="28469" xr:uid="{444FA6A7-6F81-48B9-A252-972A6C01D4C5}"/>
    <cellStyle name="Normal 4 10 3 3 4" xfId="14494" xr:uid="{0A2C7E0F-5ACA-417E-80A8-ECD75776F153}"/>
    <cellStyle name="Normal 4 10 3 4" xfId="6947" xr:uid="{4CF10D0D-797B-4C01-A8B0-EA55739C4E27}"/>
    <cellStyle name="Normal 4 10 3 4 2" xfId="25988" xr:uid="{D21D2495-EC4E-44BB-94AE-D83A4A64BA0B}"/>
    <cellStyle name="Normal 4 10 3 4 3" xfId="27106" xr:uid="{D70869A4-D7A0-4CD3-B673-5D493D3B83D5}"/>
    <cellStyle name="Normal 4 10 3 4 4" xfId="17327" xr:uid="{9BAD3453-D6AB-4662-8C5A-2F959146F325}"/>
    <cellStyle name="Normal 4 10 3 5" xfId="9780" xr:uid="{31153C1E-094A-4FAD-A2C8-AED2E6C459AA}"/>
    <cellStyle name="Normal 4 10 3 5 2" xfId="29408" xr:uid="{4DE15F0B-35BB-4D38-A351-1ACED23A656C}"/>
    <cellStyle name="Normal 4 10 3 5 3" xfId="20160" xr:uid="{FD4E44EC-FD3D-4838-A3BF-0409A06AAEAC}"/>
    <cellStyle name="Normal 4 10 3 6" xfId="22990" xr:uid="{909C1C0E-4459-460F-951C-D2504AD3D7ED}"/>
    <cellStyle name="Normal 4 10 3 7" xfId="13820" xr:uid="{78C8ED3A-E916-42F1-9E5C-77BEA5976622}"/>
    <cellStyle name="Normal 4 10 4" xfId="892" xr:uid="{00000000-0005-0000-0000-00002E050000}"/>
    <cellStyle name="Normal 4 10 4 2" xfId="5198" xr:uid="{29225B61-10D6-49E4-B689-7DA29A6BC097}"/>
    <cellStyle name="Normal 4 10 4 2 2" xfId="24956" xr:uid="{AEE2E6C1-3E49-4E6D-88C0-09DAAF73B352}"/>
    <cellStyle name="Normal 4 10 4 2 3" xfId="26659" xr:uid="{A8DEA6AF-CFB8-44D7-88A6-3CE79EA9FEB1}"/>
    <cellStyle name="Normal 4 10 4 2 4" xfId="14495" xr:uid="{67D78960-714B-470E-9828-13225757EC63}"/>
    <cellStyle name="Normal 4 10 4 3" xfId="6948" xr:uid="{3512A52E-2E69-4AEB-A4C3-1CFB7C727ABA}"/>
    <cellStyle name="Normal 4 10 4 3 2" xfId="26558" xr:uid="{BDC09E19-A8DC-4F8A-839B-81911E093972}"/>
    <cellStyle name="Normal 4 10 4 3 3" xfId="17328" xr:uid="{65139410-F264-46EF-B0CB-80BB4D5CA6DD}"/>
    <cellStyle name="Normal 4 10 4 4" xfId="9781" xr:uid="{9A037222-1BFE-4570-BCCA-F6B2B6A7F055}"/>
    <cellStyle name="Normal 4 10 4 4 2" xfId="20161" xr:uid="{6F7FF800-D959-46B1-8723-FBFEA0A67264}"/>
    <cellStyle name="Normal 4 10 4 5" xfId="25038" xr:uid="{23F471A2-23CF-485A-9470-EB8A1B60AB72}"/>
    <cellStyle name="Normal 4 10 4 6" xfId="13435" xr:uid="{CF48DE48-ED86-4D90-A8D2-8D05C52D06FF}"/>
    <cellStyle name="Normal 4 10 5" xfId="2566" xr:uid="{00000000-0005-0000-0000-000034050000}"/>
    <cellStyle name="Normal 4 10 5 2" xfId="5835" xr:uid="{C063FE69-F0E2-4D45-A560-F5030001885F}"/>
    <cellStyle name="Normal 4 10 5 2 2" xfId="27254" xr:uid="{D2E07114-4D43-403F-A8D1-6F81A59FAB76}"/>
    <cellStyle name="Normal 4 10 5 2 3" xfId="15238" xr:uid="{D834FF16-A543-4408-8F3B-37AD9D7D2200}"/>
    <cellStyle name="Normal 4 10 5 3" xfId="7691" xr:uid="{2C1D8F17-BEC3-43B3-8BDF-5F14666295EC}"/>
    <cellStyle name="Normal 4 10 5 3 2" xfId="18071" xr:uid="{2B470397-D95B-4E23-BB26-A2E974794C44}"/>
    <cellStyle name="Normal 4 10 5 4" xfId="10524" xr:uid="{067679B1-BCB4-410A-8AA3-E3D744CAAEFF}"/>
    <cellStyle name="Normal 4 10 5 4 2" xfId="20904" xr:uid="{10588034-D425-43C5-89B9-4325837A8516}"/>
    <cellStyle name="Normal 4 10 5 5" xfId="23394" xr:uid="{2F2F2D2C-FA05-499B-AC2D-4792A25519FF}"/>
    <cellStyle name="Normal 4 10 5 6" xfId="12954" xr:uid="{229E4CD9-6EB7-4CD6-A1B1-887CC1AE238F}"/>
    <cellStyle name="Normal 4 10 6" xfId="2345" xr:uid="{00000000-0005-0000-0000-00002E050000}"/>
    <cellStyle name="Normal 4 10 6 2" xfId="7472" xr:uid="{4C75DB08-23F8-4CAF-ABBC-50AD2AC7055B}"/>
    <cellStyle name="Normal 4 10 6 2 2" xfId="28667" xr:uid="{3A3895A9-3B5F-45D0-A0E2-D3A24D46753B}"/>
    <cellStyle name="Normal 4 10 6 2 3" xfId="17852" xr:uid="{1B249912-E446-4B58-99F3-1998A4168EE2}"/>
    <cellStyle name="Normal 4 10 6 3" xfId="10305" xr:uid="{019AA4D4-5DAF-44D6-AC54-157997CAA51B}"/>
    <cellStyle name="Normal 4 10 6 3 2" xfId="20685" xr:uid="{BFE40670-4102-4F76-B79E-BD0D3BEDD483}"/>
    <cellStyle name="Normal 4 10 6 4" xfId="23919" xr:uid="{AFB31ABC-E8BD-41CA-A82D-D9A333DD9C47}"/>
    <cellStyle name="Normal 4 10 6 5" xfId="15019" xr:uid="{BEB35555-2A89-47A1-9F06-ED7C9DB51EF0}"/>
    <cellStyle name="Normal 4 10 7" xfId="3965" xr:uid="{B398D8AF-AF4D-4953-A867-252CD87A368E}"/>
    <cellStyle name="Normal 4 10 7 2" xfId="8789" xr:uid="{8009325E-848F-44CF-8CE7-93567544C7F0}"/>
    <cellStyle name="Normal 4 10 7 2 2" xfId="19169" xr:uid="{F9015C3A-97F9-40AC-AB6E-36EC3FAA1859}"/>
    <cellStyle name="Normal 4 10 7 3" xfId="11622" xr:uid="{3B9E4398-FE99-49EB-BEBD-84478FB70F66}"/>
    <cellStyle name="Normal 4 10 7 3 2" xfId="22002" xr:uid="{F1D371AA-EE04-4AC1-936E-CABB6B6751A1}"/>
    <cellStyle name="Normal 4 10 7 4" xfId="26388" xr:uid="{8DF31F90-53E0-4729-BD5F-E35C09717A45}"/>
    <cellStyle name="Normal 4 10 7 5" xfId="16336" xr:uid="{A15950AC-AE0A-4B55-ABE7-98852093A5BE}"/>
    <cellStyle name="Normal 4 10 8" xfId="5194" xr:uid="{28570514-D5C4-4905-B43B-63E1E8E56905}"/>
    <cellStyle name="Normal 4 10 8 2" xfId="14491" xr:uid="{50DA1219-777D-49E6-9D7E-F5CD8917938C}"/>
    <cellStyle name="Normal 4 10 9" xfId="6944" xr:uid="{5E75A7EC-434D-4DBD-819F-AAC90135CA2A}"/>
    <cellStyle name="Normal 4 10 9 2" xfId="17324" xr:uid="{3784540D-38F1-4BA6-9FE3-DFA0FD8CD5D0}"/>
    <cellStyle name="Normal 4 11" xfId="893" xr:uid="{00000000-0005-0000-0000-00002F050000}"/>
    <cellStyle name="Normal 4 11 10" xfId="23938" xr:uid="{A29A5C35-9497-4456-94B7-96B69D98276A}"/>
    <cellStyle name="Normal 4 11 11" xfId="12580" xr:uid="{6D83FB98-F686-4977-84D3-7788A74DA022}"/>
    <cellStyle name="Normal 4 11 2" xfId="894" xr:uid="{00000000-0005-0000-0000-000030050000}"/>
    <cellStyle name="Normal 4 11 2 2" xfId="3270" xr:uid="{00000000-0005-0000-0000-000037050000}"/>
    <cellStyle name="Normal 4 11 2 2 2" xfId="6328" xr:uid="{422257B6-64B6-4FD2-9169-C308AC37E45B}"/>
    <cellStyle name="Normal 4 11 2 2 2 2" xfId="27125" xr:uid="{F46424DB-376F-4411-A9D8-5605D89B692E}"/>
    <cellStyle name="Normal 4 11 2 2 2 3" xfId="26633" xr:uid="{DD024171-1188-40BE-8A31-1FE665EDBEA7}"/>
    <cellStyle name="Normal 4 11 2 2 2 4" xfId="15897" xr:uid="{97A83557-1579-438A-BFE1-094E8A17055E}"/>
    <cellStyle name="Normal 4 11 2 2 3" xfId="8350" xr:uid="{4569C23E-23A8-48A1-9133-B6C5EA369EA8}"/>
    <cellStyle name="Normal 4 11 2 2 3 2" xfId="28894" xr:uid="{BCF56927-59AB-4D53-A564-B32C950163A7}"/>
    <cellStyle name="Normal 4 11 2 2 3 3" xfId="18730" xr:uid="{C19E651D-1BFC-49D5-9552-22C808F0466F}"/>
    <cellStyle name="Normal 4 11 2 2 4" xfId="11183" xr:uid="{CC767DF2-F9B1-4098-924A-07048EBA91A7}"/>
    <cellStyle name="Normal 4 11 2 2 4 2" xfId="21563" xr:uid="{2CD66983-92E9-4B98-85FC-BBC62957B6BE}"/>
    <cellStyle name="Normal 4 11 2 2 5" xfId="24395" xr:uid="{AC710497-B596-40CF-B1B6-07673D4BCB8A}"/>
    <cellStyle name="Normal 4 11 2 2 6" xfId="13821" xr:uid="{9D6D4C85-F89E-4BAD-909D-3CEEAEE3060E}"/>
    <cellStyle name="Normal 4 11 2 3" xfId="4178" xr:uid="{A3D9FC9E-C884-4182-99A1-15D851A03328}"/>
    <cellStyle name="Normal 4 11 2 3 2" xfId="8950" xr:uid="{C7D67904-A6B5-4E58-A37E-C61881918787}"/>
    <cellStyle name="Normal 4 11 2 3 2 2" xfId="29040" xr:uid="{11405609-5EB2-410C-B25F-19EA09DFA030}"/>
    <cellStyle name="Normal 4 11 2 3 2 3" xfId="19330" xr:uid="{6AE5F748-CAC3-448E-B693-7E762FA3B88C}"/>
    <cellStyle name="Normal 4 11 2 3 3" xfId="11783" xr:uid="{7656FD9F-4FAD-40CE-A345-FB3061CF248B}"/>
    <cellStyle name="Normal 4 11 2 3 3 2" xfId="22163" xr:uid="{A54CC9F8-27FF-48D5-9D56-9F66588D7148}"/>
    <cellStyle name="Normal 4 11 2 3 4" xfId="25441" xr:uid="{BE5BA760-5708-4590-9737-59AD92AAA8C0}"/>
    <cellStyle name="Normal 4 11 2 3 5" xfId="16497" xr:uid="{EDA214D0-3AC0-41E4-B616-F2DF26D4EADC}"/>
    <cellStyle name="Normal 4 11 2 4" xfId="5200" xr:uid="{EF58BE6A-9D74-4955-A514-6CA8700A9761}"/>
    <cellStyle name="Normal 4 11 2 4 2" xfId="27748" xr:uid="{69DE0498-5475-4844-A90A-D921B160EFC8}"/>
    <cellStyle name="Normal 4 11 2 4 3" xfId="26361" xr:uid="{E6DE96F4-08A3-4961-9CB4-43EBCB6DE24A}"/>
    <cellStyle name="Normal 4 11 2 4 4" xfId="14497" xr:uid="{C972E08F-E1D7-4653-AD82-C092706F6C00}"/>
    <cellStyle name="Normal 4 11 2 5" xfId="6950" xr:uid="{007FB6E7-99CC-45B7-ACD4-30A70BB9F5BC}"/>
    <cellStyle name="Normal 4 11 2 5 2" xfId="28220" xr:uid="{FB989381-3645-4DDC-9DE2-E0E023733860}"/>
    <cellStyle name="Normal 4 11 2 5 3" xfId="17330" xr:uid="{471B6248-D563-42FC-A1C8-9DB1B363A447}"/>
    <cellStyle name="Normal 4 11 2 6" xfId="9783" xr:uid="{98266657-D830-4610-8642-E34883EA72F7}"/>
    <cellStyle name="Normal 4 11 2 6 2" xfId="20163" xr:uid="{49BA9DDC-07D8-4507-AF2B-3F39882F6F56}"/>
    <cellStyle name="Normal 4 11 2 7" xfId="25481" xr:uid="{ECF008C8-FC1C-4156-9A22-45B511EE75F9}"/>
    <cellStyle name="Normal 4 11 2 8" xfId="12738" xr:uid="{CE750F0B-A59A-4848-8DA5-C2DA04F39545}"/>
    <cellStyle name="Normal 4 11 3" xfId="895" xr:uid="{00000000-0005-0000-0000-000031050000}"/>
    <cellStyle name="Normal 4 11 3 2" xfId="5201" xr:uid="{2E1820E0-DE5F-4951-BE40-AF1BF1A5D85C}"/>
    <cellStyle name="Normal 4 11 3 2 2" xfId="24248" xr:uid="{C3DCA927-B467-4C00-A75E-43B6B016A296}"/>
    <cellStyle name="Normal 4 11 3 2 3" xfId="27242" xr:uid="{6E42BF50-B2C1-4048-8C98-9746AA620B1F}"/>
    <cellStyle name="Normal 4 11 3 2 4" xfId="14498" xr:uid="{663F1602-3A8D-4050-9CB9-361C7838F1F8}"/>
    <cellStyle name="Normal 4 11 3 3" xfId="6951" xr:uid="{973B1C10-A9BC-4745-B24D-13C25E42E6D2}"/>
    <cellStyle name="Normal 4 11 3 3 2" xfId="26571" xr:uid="{1DAFE79A-FE64-4642-B880-E98401DB157E}"/>
    <cellStyle name="Normal 4 11 3 3 3" xfId="28711" xr:uid="{75F174E4-2B25-4693-A6D5-871A4C36939D}"/>
    <cellStyle name="Normal 4 11 3 3 4" xfId="17331" xr:uid="{FEC46F4D-76FF-4B41-8C9D-7F4B291D7522}"/>
    <cellStyle name="Normal 4 11 3 4" xfId="9784" xr:uid="{EC7D2FDD-2E66-42A9-AC23-21C61A1E8C9A}"/>
    <cellStyle name="Normal 4 11 3 4 2" xfId="27752" xr:uid="{F3C55A00-23B5-4E74-9342-14BB92757CAF}"/>
    <cellStyle name="Normal 4 11 3 4 3" xfId="29409" xr:uid="{23CECA96-2D78-4419-AADB-1FA77B4D92E3}"/>
    <cellStyle name="Normal 4 11 3 4 4" xfId="20164" xr:uid="{FF34C308-F182-4723-B386-56478E6A88EF}"/>
    <cellStyle name="Normal 4 11 3 5" xfId="24593" xr:uid="{DF4D5370-9363-4815-A144-5ED2EF678EC5}"/>
    <cellStyle name="Normal 4 11 3 6" xfId="27721" xr:uid="{237FAA27-9CA0-450E-9D6F-0C0AB50910A1}"/>
    <cellStyle name="Normal 4 11 3 7" xfId="13436" xr:uid="{A0E6ECE3-32F4-42B3-A9FE-51B01B004F69}"/>
    <cellStyle name="Normal 4 11 4" xfId="2760" xr:uid="{00000000-0005-0000-0000-000039050000}"/>
    <cellStyle name="Normal 4 11 4 2" xfId="5978" xr:uid="{87A430AB-7C63-4393-8C18-8DE595F89E92}"/>
    <cellStyle name="Normal 4 11 4 2 2" xfId="28308" xr:uid="{31479A3D-AA0F-433C-B726-845ECA7A4BC0}"/>
    <cellStyle name="Normal 4 11 4 2 3" xfId="15431" xr:uid="{75316486-30EA-4BAD-8A8A-4DB3E06AE648}"/>
    <cellStyle name="Normal 4 11 4 3" xfId="7884" xr:uid="{59D3A377-8E3F-490C-AFC1-D62BE1481183}"/>
    <cellStyle name="Normal 4 11 4 3 2" xfId="18264" xr:uid="{7674B51C-0A1C-4E03-ABDF-45DA282D52AB}"/>
    <cellStyle name="Normal 4 11 4 4" xfId="10717" xr:uid="{C782FBDC-F705-474F-8D14-AA325DD20226}"/>
    <cellStyle name="Normal 4 11 4 4 2" xfId="21097" xr:uid="{600158EB-E64C-439A-929E-ACD4D2F9D856}"/>
    <cellStyle name="Normal 4 11 4 5" xfId="24950" xr:uid="{7FF11B45-EE3F-4E2E-9A33-BF5853286B4F}"/>
    <cellStyle name="Normal 4 11 4 6" xfId="13206" xr:uid="{460D5277-D7C3-45F0-8C8B-3F5DBB214757}"/>
    <cellStyle name="Normal 4 11 5" xfId="2346" xr:uid="{00000000-0005-0000-0000-000035050000}"/>
    <cellStyle name="Normal 4 11 5 2" xfId="7473" xr:uid="{A7C97C58-31CC-48D5-BFB5-342305988F1C}"/>
    <cellStyle name="Normal 4 11 5 2 2" xfId="26211" xr:uid="{A2A640B7-60A5-49CF-BE18-57135DF6ECC8}"/>
    <cellStyle name="Normal 4 11 5 2 3" xfId="17853" xr:uid="{DEF1BADF-27BA-40D9-9927-23D01BD0883B}"/>
    <cellStyle name="Normal 4 11 5 3" xfId="10306" xr:uid="{9E9C59F0-0F99-4144-8617-DC0696ED2F12}"/>
    <cellStyle name="Normal 4 11 5 3 2" xfId="20686" xr:uid="{0C5B0B88-29E2-46B6-9CA2-37732EDBCBE4}"/>
    <cellStyle name="Normal 4 11 5 4" xfId="25363" xr:uid="{81C3F1E4-9E0A-4E0A-A47A-CBC1B9184618}"/>
    <cellStyle name="Normal 4 11 5 5" xfId="15020" xr:uid="{DB74DC40-0A53-4821-AE60-5974F9179CC8}"/>
    <cellStyle name="Normal 4 11 6" xfId="3966" xr:uid="{D703879A-933B-41A7-9664-DAA4B46FCA44}"/>
    <cellStyle name="Normal 4 11 6 2" xfId="8790" xr:uid="{0149D366-A63E-4BD8-B369-D310338AE810}"/>
    <cellStyle name="Normal 4 11 6 2 2" xfId="28983" xr:uid="{62A53759-9DD3-459A-AB38-1EF4A4B0B2DA}"/>
    <cellStyle name="Normal 4 11 6 2 3" xfId="19170" xr:uid="{C3D1823F-54EF-4F86-84D8-24599B1B7392}"/>
    <cellStyle name="Normal 4 11 6 3" xfId="11623" xr:uid="{9C84C254-5ADB-4981-A58D-3707101C53F7}"/>
    <cellStyle name="Normal 4 11 6 3 2" xfId="22003" xr:uid="{C6B4FB51-3192-4CB1-83D5-9EA7767ED264}"/>
    <cellStyle name="Normal 4 11 6 4" xfId="26956" xr:uid="{ACEEAE4C-42A7-46E1-8B88-C05C490ABBA1}"/>
    <cellStyle name="Normal 4 11 6 5" xfId="16337" xr:uid="{6C119AF7-4A86-4498-8290-777197E2AC60}"/>
    <cellStyle name="Normal 4 11 7" xfId="5199" xr:uid="{FD4783AB-79C3-462C-A7FF-FAEA4D5C2554}"/>
    <cellStyle name="Normal 4 11 7 2" xfId="28179" xr:uid="{1653654F-B952-43C3-8408-1156CECA0D2A}"/>
    <cellStyle name="Normal 4 11 7 3" xfId="14496" xr:uid="{2C7E8C08-4106-4B1D-86AC-6D30513B53E4}"/>
    <cellStyle name="Normal 4 11 8" xfId="6949" xr:uid="{2D3ADE6F-1842-4DCA-B659-5658EE21816A}"/>
    <cellStyle name="Normal 4 11 8 2" xfId="17329" xr:uid="{09F1D264-CA33-4FD5-8177-CD4AC8AC82D8}"/>
    <cellStyle name="Normal 4 11 9" xfId="9782" xr:uid="{5CC4D5CD-5FF7-4908-8DE7-35F60A6F9315}"/>
    <cellStyle name="Normal 4 11 9 2" xfId="20162" xr:uid="{E34969DE-2D7D-4AB6-A25A-9CB7EBA817FC}"/>
    <cellStyle name="Normal 4 12" xfId="896" xr:uid="{00000000-0005-0000-0000-000032050000}"/>
    <cellStyle name="Normal 4 12 10" xfId="12581" xr:uid="{DCABE360-45B6-4EA3-B5F4-36017D22F2CC}"/>
    <cellStyle name="Normal 4 12 2" xfId="897" xr:uid="{00000000-0005-0000-0000-000033050000}"/>
    <cellStyle name="Normal 4 12 2 2" xfId="2924" xr:uid="{00000000-0005-0000-0000-00003C050000}"/>
    <cellStyle name="Normal 4 12 2 2 2" xfId="6104" xr:uid="{634A1D84-B3FF-4062-B730-9391367CEA8B}"/>
    <cellStyle name="Normal 4 12 2 2 2 2" xfId="27168" xr:uid="{6CEFEC1B-9FDD-49AE-9D25-3A2253BCED70}"/>
    <cellStyle name="Normal 4 12 2 2 2 3" xfId="28747" xr:uid="{1D2F5DE6-BEA4-4A5C-B0C7-7D184973EF21}"/>
    <cellStyle name="Normal 4 12 2 2 2 4" xfId="15582" xr:uid="{27B295EA-F7A8-45B4-AB68-556507B428EA}"/>
    <cellStyle name="Normal 4 12 2 2 3" xfId="8035" xr:uid="{616C26B3-947A-49FA-BD36-3B2A420356CF}"/>
    <cellStyle name="Normal 4 12 2 2 3 2" xfId="28459" xr:uid="{05AA4C15-B790-495B-8255-79ED4BFB713F}"/>
    <cellStyle name="Normal 4 12 2 2 3 3" xfId="18415" xr:uid="{7403AFF8-7A6D-4366-8E7B-04CB4DA435BF}"/>
    <cellStyle name="Normal 4 12 2 2 4" xfId="10868" xr:uid="{0B66BEA1-2DA0-4971-AF66-14DA741A6ABA}"/>
    <cellStyle name="Normal 4 12 2 2 4 2" xfId="21248" xr:uid="{9A9A3C3E-A45C-4BB5-AD82-E772F9CC6453}"/>
    <cellStyle name="Normal 4 12 2 2 5" xfId="24515" xr:uid="{04AB7646-A1EF-4009-8334-09BD6D6CBC7F}"/>
    <cellStyle name="Normal 4 12 2 2 6" xfId="13437" xr:uid="{625EDEB5-736B-4FA7-9D86-01E759B994F5}"/>
    <cellStyle name="Normal 4 12 2 3" xfId="5203" xr:uid="{B217F201-1C7B-45FA-A90D-4F20461B5B19}"/>
    <cellStyle name="Normal 4 12 2 3 2" xfId="25722" xr:uid="{AA7395DA-514E-4EC9-B956-A8C021B2863E}"/>
    <cellStyle name="Normal 4 12 2 3 3" xfId="28389" xr:uid="{64F7476D-DA2B-4C85-830C-601C77AECF00}"/>
    <cellStyle name="Normal 4 12 2 3 4" xfId="14500" xr:uid="{26027C43-C40B-400B-AE4D-8C8B51EBBF56}"/>
    <cellStyle name="Normal 4 12 2 4" xfId="6953" xr:uid="{2DF026E7-287B-46D0-B40E-31BC81BB5547}"/>
    <cellStyle name="Normal 4 12 2 4 2" xfId="26894" xr:uid="{285CBFB0-56D2-43FA-9CDA-49B0387CB8AB}"/>
    <cellStyle name="Normal 4 12 2 4 3" xfId="26340" xr:uid="{F75AB44A-7251-4C39-8A84-FF4B43878775}"/>
    <cellStyle name="Normal 4 12 2 4 4" xfId="17333" xr:uid="{ADE3DD7F-7755-4823-9BD2-920113558A47}"/>
    <cellStyle name="Normal 4 12 2 5" xfId="9786" xr:uid="{9F0D8B6E-82C2-41E7-B057-8D66EF34F6CA}"/>
    <cellStyle name="Normal 4 12 2 5 2" xfId="29410" xr:uid="{183E9DC0-EE97-4D29-A17B-EFFA4F49DFB9}"/>
    <cellStyle name="Normal 4 12 2 5 3" xfId="20166" xr:uid="{5592E532-6E39-4B49-BE7D-5AD8AD3151C4}"/>
    <cellStyle name="Normal 4 12 2 6" xfId="23953" xr:uid="{EE0AA853-C38D-4770-A55C-847C9BC23139}"/>
    <cellStyle name="Normal 4 12 2 7" xfId="12739" xr:uid="{98562FE7-8A01-4979-A47E-9D928F196E2D}"/>
    <cellStyle name="Normal 4 12 3" xfId="898" xr:uid="{00000000-0005-0000-0000-000034050000}"/>
    <cellStyle name="Normal 4 12 3 2" xfId="5204" xr:uid="{CD64FA4D-5C8C-4AAF-9645-E09F3284E44B}"/>
    <cellStyle name="Normal 4 12 3 2 2" xfId="26741" xr:uid="{E5D20643-BFEE-45D2-B711-C150E749A21F}"/>
    <cellStyle name="Normal 4 12 3 2 3" xfId="26210" xr:uid="{3D2A3F0B-3F2B-4DA2-BD81-0958B9476F82}"/>
    <cellStyle name="Normal 4 12 3 2 4" xfId="14501" xr:uid="{267076F1-174C-4F9E-91BC-8AC70DB875E3}"/>
    <cellStyle name="Normal 4 12 3 3" xfId="6954" xr:uid="{CCF2BDA1-E7FE-4016-B600-01C32C5F9F63}"/>
    <cellStyle name="Normal 4 12 3 3 2" xfId="28627" xr:uid="{016B5C70-6D14-4500-B488-0CBAA4F7952F}"/>
    <cellStyle name="Normal 4 12 3 3 3" xfId="27124" xr:uid="{8695EB15-05C1-4107-80DB-8ABED91F2CFA}"/>
    <cellStyle name="Normal 4 12 3 3 4" xfId="17334" xr:uid="{46A2F113-93FC-4F7A-85D5-26AF1CF23737}"/>
    <cellStyle name="Normal 4 12 3 4" xfId="9787" xr:uid="{DE57C4DF-BE71-4218-B83D-48C5AFE60B98}"/>
    <cellStyle name="Normal 4 12 3 4 2" xfId="29411" xr:uid="{45DDAEE3-5E62-49C3-95DD-4C3223D521A4}"/>
    <cellStyle name="Normal 4 12 3 4 3" xfId="20167" xr:uid="{85DC60C8-A7EE-48C4-9507-C530C54A7198}"/>
    <cellStyle name="Normal 4 12 3 5" xfId="25021" xr:uid="{CEE429F4-2DEE-4700-A91D-D56E10462C09}"/>
    <cellStyle name="Normal 4 12 3 6" xfId="13207" xr:uid="{72AB36CC-13CA-44A9-8D88-F8D15F095357}"/>
    <cellStyle name="Normal 4 12 4" xfId="2347" xr:uid="{00000000-0005-0000-0000-00003A050000}"/>
    <cellStyle name="Normal 4 12 4 2" xfId="7474" xr:uid="{7C3BF43B-8669-497C-BFB5-14A2ECFB945C}"/>
    <cellStyle name="Normal 4 12 4 2 2" xfId="27277" xr:uid="{1A352666-929F-4969-ACBD-A3F9BE3A52DC}"/>
    <cellStyle name="Normal 4 12 4 2 3" xfId="17854" xr:uid="{70C770E9-C532-4702-8143-601419A1FBB6}"/>
    <cellStyle name="Normal 4 12 4 3" xfId="10307" xr:uid="{1769F406-21D2-4352-B632-41BA7F254E85}"/>
    <cellStyle name="Normal 4 12 4 3 2" xfId="20687" xr:uid="{C3EC5278-2AEB-4E7D-AE2A-7D13C0631397}"/>
    <cellStyle name="Normal 4 12 4 4" xfId="24205" xr:uid="{7EA7E858-9348-4727-8A46-7F661803DF3D}"/>
    <cellStyle name="Normal 4 12 4 5" xfId="15021" xr:uid="{18E7A2D1-2F0E-4D38-9A05-EF980972580D}"/>
    <cellStyle name="Normal 4 12 5" xfId="3967" xr:uid="{E45DB84D-C2E0-41C1-9817-A5A46BDFB000}"/>
    <cellStyle name="Normal 4 12 5 2" xfId="8791" xr:uid="{F2BE4F5B-71C8-4D96-ABD8-802C9C633C70}"/>
    <cellStyle name="Normal 4 12 5 2 2" xfId="28984" xr:uid="{92BDFB93-1FD9-434E-8573-AF9736FCD7A7}"/>
    <cellStyle name="Normal 4 12 5 2 3" xfId="19171" xr:uid="{BD863C3A-8279-4A1E-B14C-0410FBE9F500}"/>
    <cellStyle name="Normal 4 12 5 3" xfId="11624" xr:uid="{BBCEF7F9-6A49-4FB3-86B4-02ADBA6CD554}"/>
    <cellStyle name="Normal 4 12 5 3 2" xfId="22004" xr:uid="{07DBF146-159A-4C15-B659-0C96044AC077}"/>
    <cellStyle name="Normal 4 12 5 4" xfId="25644" xr:uid="{A5F3C60B-AED3-4A29-9B95-F4A30F1DF929}"/>
    <cellStyle name="Normal 4 12 5 5" xfId="16338" xr:uid="{A77CB27A-ACC2-4C79-AB61-710C18F409EB}"/>
    <cellStyle name="Normal 4 12 6" xfId="5202" xr:uid="{EC53401F-CAAA-4867-B8ED-56C47D0610B5}"/>
    <cellStyle name="Normal 4 12 6 2" xfId="26059" xr:uid="{C281C420-68F2-4658-9DF6-CB6D0F13247C}"/>
    <cellStyle name="Normal 4 12 6 3" xfId="28422" xr:uid="{53F68093-9E82-42A7-A119-0A0FDA27C4BD}"/>
    <cellStyle name="Normal 4 12 6 4" xfId="14499" xr:uid="{9CE49185-622B-4EE6-BA94-468245DBE3FA}"/>
    <cellStyle name="Normal 4 12 7" xfId="6952" xr:uid="{AB12BA99-8CB8-4001-822E-D3382C3B3961}"/>
    <cellStyle name="Normal 4 12 7 2" xfId="27258" xr:uid="{FE51C0DF-1F95-404A-8CDD-AEC36234FE02}"/>
    <cellStyle name="Normal 4 12 7 3" xfId="17332" xr:uid="{C06A5309-1141-4736-99C1-5A24C3FBE809}"/>
    <cellStyle name="Normal 4 12 8" xfId="9785" xr:uid="{3B503EFA-B53C-4520-AACE-13B0CFC6C78C}"/>
    <cellStyle name="Normal 4 12 8 2" xfId="20165" xr:uid="{F415702A-119B-45E9-A42F-CF6408FB0FCA}"/>
    <cellStyle name="Normal 4 12 9" xfId="23519" xr:uid="{51DA6533-86E2-4A52-81E2-09E783706291}"/>
    <cellStyle name="Normal 4 13" xfId="899" xr:uid="{00000000-0005-0000-0000-000035050000}"/>
    <cellStyle name="Normal 4 13 10" xfId="12500" xr:uid="{6B604244-E829-40F9-98FE-4ACF87DC7CC1}"/>
    <cellStyle name="Normal 4 13 2" xfId="3271" xr:uid="{00000000-0005-0000-0000-00003F050000}"/>
    <cellStyle name="Normal 4 13 2 2" xfId="6329" xr:uid="{87E1E428-F807-4D64-81F2-955CE5B9B15F}"/>
    <cellStyle name="Normal 4 13 2 2 2" xfId="23792" xr:uid="{D59CB827-DA22-4C9A-A52B-E8F689D31C7B}"/>
    <cellStyle name="Normal 4 13 2 2 3" xfId="27011" xr:uid="{EDEDC26E-BB3C-4921-9AD1-63E35B5FC1BD}"/>
    <cellStyle name="Normal 4 13 2 2 4" xfId="15898" xr:uid="{5EC8B708-034C-491D-8D80-3CB801241982}"/>
    <cellStyle name="Normal 4 13 2 3" xfId="8351" xr:uid="{A5932099-57E5-46AA-ADFF-147C9F815D1D}"/>
    <cellStyle name="Normal 4 13 2 3 2" xfId="26724" xr:uid="{D5472A88-48DB-4A92-AE76-CA0D4820680B}"/>
    <cellStyle name="Normal 4 13 2 3 3" xfId="28895" xr:uid="{68A91AF3-5B81-42F6-B542-E4A668378359}"/>
    <cellStyle name="Normal 4 13 2 3 4" xfId="18731" xr:uid="{2A7B73D7-2DA6-467E-B0F7-59DB2FDA1F45}"/>
    <cellStyle name="Normal 4 13 2 4" xfId="11184" xr:uid="{E6522B3F-B534-46BD-B1F8-E54B81978DEC}"/>
    <cellStyle name="Normal 4 13 2 4 2" xfId="29479" xr:uid="{C1EB1113-6F91-497D-8098-6077F7CA659F}"/>
    <cellStyle name="Normal 4 13 2 4 3" xfId="21564" xr:uid="{FFF1C304-F737-4899-85FF-4F64A82DC472}"/>
    <cellStyle name="Normal 4 13 2 5" xfId="25426" xr:uid="{5491DF8B-C668-47D9-9220-D57FC8C467BC}"/>
    <cellStyle name="Normal 4 13 2 6" xfId="13822" xr:uid="{19879D26-6E15-4A92-9AB5-6B1E4BA4702D}"/>
    <cellStyle name="Normal 4 13 3" xfId="2758" xr:uid="{00000000-0005-0000-0000-000040050000}"/>
    <cellStyle name="Normal 4 13 3 2" xfId="5976" xr:uid="{C5EBFA5E-4319-4D3B-9BA4-DA655EC302A5}"/>
    <cellStyle name="Normal 4 13 3 2 2" xfId="28296" xr:uid="{61B746F0-A0A8-49EA-A38A-D7E02619383E}"/>
    <cellStyle name="Normal 4 13 3 2 3" xfId="15429" xr:uid="{49E07FAD-520C-461D-BF81-97ACCA028A04}"/>
    <cellStyle name="Normal 4 13 3 3" xfId="7882" xr:uid="{F15A2016-2E3F-4981-9D85-2509551721D6}"/>
    <cellStyle name="Normal 4 13 3 3 2" xfId="18262" xr:uid="{59689636-9CA9-4DD4-AF26-D903B88C20A7}"/>
    <cellStyle name="Normal 4 13 3 4" xfId="10715" xr:uid="{87267858-A412-47D6-B81C-F9291A8BD5CE}"/>
    <cellStyle name="Normal 4 13 3 4 2" xfId="21095" xr:uid="{E59208FE-AB0D-4A91-8D81-DB6EC642A5C0}"/>
    <cellStyle name="Normal 4 13 3 5" xfId="24496" xr:uid="{292F3C2C-45F5-41AC-9A63-9806C86405F1}"/>
    <cellStyle name="Normal 4 13 3 6" xfId="13204" xr:uid="{CBDD1BC2-019F-46E0-922C-A5BAA6699982}"/>
    <cellStyle name="Normal 4 13 4" xfId="2268" xr:uid="{00000000-0005-0000-0000-00003E050000}"/>
    <cellStyle name="Normal 4 13 4 2" xfId="7395" xr:uid="{CC8487F6-CCB4-41CE-835A-BEEA09CABA5E}"/>
    <cellStyle name="Normal 4 13 4 2 2" xfId="27476" xr:uid="{9F4BE9A4-3425-45F5-8DAE-7C5BF41D0AEB}"/>
    <cellStyle name="Normal 4 13 4 2 3" xfId="17775" xr:uid="{FF1AF18A-B797-44D2-B284-F8888F5A911F}"/>
    <cellStyle name="Normal 4 13 4 3" xfId="10228" xr:uid="{2C42D95E-B991-44DF-9601-FDADFC4CABDB}"/>
    <cellStyle name="Normal 4 13 4 3 2" xfId="20608" xr:uid="{974A8033-DFF9-459A-9D5D-8EF269D2436D}"/>
    <cellStyle name="Normal 4 13 4 4" xfId="23138" xr:uid="{2FD6C9DA-8D5F-4F13-B981-BAEBE4081DE2}"/>
    <cellStyle name="Normal 4 13 4 5" xfId="14942" xr:uid="{53A7D4DD-540F-4215-BED1-BF79C1505C0B}"/>
    <cellStyle name="Normal 4 13 5" xfId="3964" xr:uid="{D16F06B3-A21C-479B-BEAB-1C1F90798DCF}"/>
    <cellStyle name="Normal 4 13 5 2" xfId="8788" xr:uid="{7D2EC6B6-27CF-415C-877B-93F017867EA0}"/>
    <cellStyle name="Normal 4 13 5 2 2" xfId="19168" xr:uid="{3403774A-C847-42DD-A15B-97CBD1BB539B}"/>
    <cellStyle name="Normal 4 13 5 3" xfId="11621" xr:uid="{4A67412A-AE8F-47B8-86EC-E986A2B0F1AB}"/>
    <cellStyle name="Normal 4 13 5 3 2" xfId="22001" xr:uid="{4AA1970C-3286-43D8-BE64-B700185DED2E}"/>
    <cellStyle name="Normal 4 13 5 4" xfId="27541" xr:uid="{5495F43B-CA44-4C8E-A854-BBEA35C4B19E}"/>
    <cellStyle name="Normal 4 13 5 5" xfId="16335" xr:uid="{06ECD207-B95A-4CFB-B99F-29EF69CE1FE3}"/>
    <cellStyle name="Normal 4 13 6" xfId="5205" xr:uid="{C458F4C8-14E2-4929-AFBF-06E395360C9E}"/>
    <cellStyle name="Normal 4 13 6 2" xfId="14502" xr:uid="{98CBFEFC-BE88-4A48-A09D-64FA5D3C9D98}"/>
    <cellStyle name="Normal 4 13 7" xfId="6955" xr:uid="{6171A00A-3FDF-4AC1-A965-8F0260EEC5A4}"/>
    <cellStyle name="Normal 4 13 7 2" xfId="17335" xr:uid="{6013EC13-8117-47F8-92F3-8A0922204AA6}"/>
    <cellStyle name="Normal 4 13 8" xfId="9788" xr:uid="{7A79EDC7-8CDC-4DA3-B8F3-F5218C551A8A}"/>
    <cellStyle name="Normal 4 13 8 2" xfId="20168" xr:uid="{2977E316-911C-4135-90C7-F85F921695AA}"/>
    <cellStyle name="Normal 4 13 9" xfId="23188" xr:uid="{0049094B-652F-4256-9DD1-5AC18D12FCB3}"/>
    <cellStyle name="Normal 4 14" xfId="900" xr:uid="{00000000-0005-0000-0000-000036050000}"/>
    <cellStyle name="Normal 4 14 2" xfId="3272" xr:uid="{00000000-0005-0000-0000-000042050000}"/>
    <cellStyle name="Normal 4 14 2 2" xfId="6330" xr:uid="{EBF0C4C7-22BC-4678-943F-7A8954364E8B}"/>
    <cellStyle name="Normal 4 14 2 2 2" xfId="25709" xr:uid="{24A5C626-BB17-41A5-8763-466C638DF9F5}"/>
    <cellStyle name="Normal 4 14 2 2 3" xfId="25945" xr:uid="{031FE5C5-FD31-45B2-B65F-D7A409591BBF}"/>
    <cellStyle name="Normal 4 14 2 2 4" xfId="15899" xr:uid="{C4139796-D729-47B9-A9EE-0C56577F82F1}"/>
    <cellStyle name="Normal 4 14 2 3" xfId="8352" xr:uid="{D18C4476-9EE3-4274-8EC9-41510C85EED9}"/>
    <cellStyle name="Normal 4 14 2 3 2" xfId="28896" xr:uid="{31EDBDC0-1C01-448C-80A3-0C1102463E42}"/>
    <cellStyle name="Normal 4 14 2 3 3" xfId="18732" xr:uid="{116CE884-36E6-458B-8EBF-0CF878CCB78D}"/>
    <cellStyle name="Normal 4 14 2 4" xfId="11185" xr:uid="{FF23DBB9-B391-4C40-8E22-DDB496BA0E70}"/>
    <cellStyle name="Normal 4 14 2 4 2" xfId="21565" xr:uid="{1D06F5B9-AC29-459C-8496-1E6985E6C505}"/>
    <cellStyle name="Normal 4 14 2 5" xfId="23443" xr:uid="{03ADCF2E-14D6-4252-BF04-660ECEFE52F0}"/>
    <cellStyle name="Normal 4 14 2 6" xfId="13823" xr:uid="{C9B8FDAE-C790-45AE-AF63-31AFDC27CD8A}"/>
    <cellStyle name="Normal 4 14 3" xfId="2867" xr:uid="{00000000-0005-0000-0000-000043050000}"/>
    <cellStyle name="Normal 4 14 3 2" xfId="6075" xr:uid="{2B80869F-2692-405E-B16B-761108533BDA}"/>
    <cellStyle name="Normal 4 14 3 2 2" xfId="28590" xr:uid="{2E8A635F-9F23-4FFE-A72D-8675581E8DF5}"/>
    <cellStyle name="Normal 4 14 3 2 3" xfId="15531" xr:uid="{66BD48B7-5DAA-4A82-8221-6527E8424D69}"/>
    <cellStyle name="Normal 4 14 3 3" xfId="7984" xr:uid="{446A1E6B-8CE3-4D2B-BFE0-178AE7CA6D15}"/>
    <cellStyle name="Normal 4 14 3 3 2" xfId="18364" xr:uid="{4E2B77D4-8D83-4DF2-90FA-F834308F4915}"/>
    <cellStyle name="Normal 4 14 3 4" xfId="10817" xr:uid="{BD86AA57-322F-4C1B-B018-62F6EACC4910}"/>
    <cellStyle name="Normal 4 14 3 4 2" xfId="21197" xr:uid="{0504E1B0-AD3F-4389-9F56-F5429C40419E}"/>
    <cellStyle name="Normal 4 14 3 5" xfId="24736" xr:uid="{AC9459C8-51C0-4A5B-A344-3EC32A48C7BC}"/>
    <cellStyle name="Normal 4 14 3 6" xfId="13352" xr:uid="{65544E5E-2E80-4374-94E1-E4633750314F}"/>
    <cellStyle name="Normal 4 14 4" xfId="4115" xr:uid="{614CDF0E-3883-47E3-B9E2-FC75AA6846B9}"/>
    <cellStyle name="Normal 4 14 4 2" xfId="8887" xr:uid="{CE0D2979-3CC2-4E16-99A1-E495EE2BF7BB}"/>
    <cellStyle name="Normal 4 14 4 2 2" xfId="29002" xr:uid="{02DC788F-D4EF-4769-90C2-42EE0E81F1C9}"/>
    <cellStyle name="Normal 4 14 4 2 3" xfId="19267" xr:uid="{34D3EBDB-64A3-49E2-8A69-EBE888B3B041}"/>
    <cellStyle name="Normal 4 14 4 3" xfId="11720" xr:uid="{CEC56EE9-02B4-4DAB-892F-AB3794B969BF}"/>
    <cellStyle name="Normal 4 14 4 3 2" xfId="22100" xr:uid="{2554EE88-C67C-4BCF-8418-02565EE91145}"/>
    <cellStyle name="Normal 4 14 4 4" xfId="23381" xr:uid="{0077080F-BFF5-424B-B2CB-B34D7942044F}"/>
    <cellStyle name="Normal 4 14 4 5" xfId="16434" xr:uid="{3A6C3A53-5140-4FDC-A0C3-5329963CFD37}"/>
    <cellStyle name="Normal 4 14 5" xfId="5206" xr:uid="{A457423E-1DF2-41DC-A4B5-DBB724771767}"/>
    <cellStyle name="Normal 4 14 5 2" xfId="26351" xr:uid="{B9924351-25AD-4A91-AF05-C171052E973F}"/>
    <cellStyle name="Normal 4 14 5 3" xfId="14503" xr:uid="{6FEBAEFD-D88F-4EB7-B72C-78789019A780}"/>
    <cellStyle name="Normal 4 14 6" xfId="6956" xr:uid="{CF72D73A-0632-421B-BDE2-E5D27A6E7A5A}"/>
    <cellStyle name="Normal 4 14 6 2" xfId="17336" xr:uid="{B4D81D25-1620-47CB-B9AF-15F441DD38DC}"/>
    <cellStyle name="Normal 4 14 7" xfId="9789" xr:uid="{BEDF55D9-9FFB-448B-833B-BBF689AE81E0}"/>
    <cellStyle name="Normal 4 14 7 2" xfId="20169" xr:uid="{4D3BEF02-6CB7-43D0-AB6B-141BC70CEAA7}"/>
    <cellStyle name="Normal 4 14 8" xfId="24097" xr:uid="{A6114E6A-4694-4940-BCA7-3B1717FB1401}"/>
    <cellStyle name="Normal 4 14 9" xfId="12658" xr:uid="{4B4642A6-DBBF-4669-8C69-8BCA481779DA}"/>
    <cellStyle name="Normal 4 15" xfId="901" xr:uid="{00000000-0005-0000-0000-000037050000}"/>
    <cellStyle name="Normal 4 15 2" xfId="5207" xr:uid="{2152EC8C-061D-420B-9D6B-B58F12C90A49}"/>
    <cellStyle name="Normal 4 15 2 2" xfId="24363" xr:uid="{4DDE4A4D-5F2B-4F7F-A5BA-15ADDE58C8FC}"/>
    <cellStyle name="Normal 4 15 2 3" xfId="27478" xr:uid="{32D9C258-AB46-44AB-8C29-2E03E7D079E8}"/>
    <cellStyle name="Normal 4 15 2 4" xfId="14504" xr:uid="{0D8F390E-A323-4C57-A1F7-8CBC2BB21E12}"/>
    <cellStyle name="Normal 4 15 2 5" xfId="30266" xr:uid="{CDE67E4D-338D-4074-8090-7C0425AF15E8}"/>
    <cellStyle name="Normal 4 15 3" xfId="6957" xr:uid="{6F949056-3DA3-4A4D-905A-8E552E3BD423}"/>
    <cellStyle name="Normal 4 15 3 2" xfId="25310" xr:uid="{D3F1DA03-AAD8-427C-9A93-A07E7808BF9D}"/>
    <cellStyle name="Normal 4 15 3 3" xfId="28385" xr:uid="{FA57FE5A-D7CC-482F-93E0-9A985B1546BB}"/>
    <cellStyle name="Normal 4 15 3 4" xfId="17337" xr:uid="{B2F5535D-F7D8-46A1-9426-87745292EA13}"/>
    <cellStyle name="Normal 4 15 4" xfId="9790" xr:uid="{7EFFA494-332C-4FF7-A18A-C4360C8277FD}"/>
    <cellStyle name="Normal 4 15 4 2" xfId="23556" xr:uid="{F8920579-D83A-4A1C-ACCE-0CFDA508B5D8}"/>
    <cellStyle name="Normal 4 15 4 3" xfId="20170" xr:uid="{A1DA45D1-08B2-44C7-B81E-B11857218F7E}"/>
    <cellStyle name="Normal 4 15 5" xfId="23966" xr:uid="{8CE3825A-C4F9-42C0-9621-05B76667C1F6}"/>
    <cellStyle name="Normal 4 15 6" xfId="13356" xr:uid="{A4669137-42CE-4AC9-95A3-3115BD22BB14}"/>
    <cellStyle name="Normal 4 16" xfId="902" xr:uid="{00000000-0005-0000-0000-000038050000}"/>
    <cellStyle name="Normal 4 16 2" xfId="5208" xr:uid="{FED3D8FC-DAFF-40C4-8DD7-BDE8EFB0E59C}"/>
    <cellStyle name="Normal 4 16 2 2" xfId="25769" xr:uid="{A75464D4-4AA7-42A5-BE86-C487126C1AC8}"/>
    <cellStyle name="Normal 4 16 2 3" xfId="14505" xr:uid="{6F1450C7-6852-41A6-99A6-860D40DDC944}"/>
    <cellStyle name="Normal 4 16 3" xfId="6958" xr:uid="{32BD0D16-5F5E-4167-A5E7-3E9B6E5A12B2}"/>
    <cellStyle name="Normal 4 16 3 2" xfId="25721" xr:uid="{BE9FDC77-A0F5-49B4-ACAB-A6AC91492FDD}"/>
    <cellStyle name="Normal 4 16 3 3" xfId="17338" xr:uid="{5FFB2571-FC61-46DC-AED1-B16F7DBA081F}"/>
    <cellStyle name="Normal 4 16 4" xfId="9791" xr:uid="{5607ABC0-E2B7-46E2-BB78-C9823B632A67}"/>
    <cellStyle name="Normal 4 16 4 2" xfId="20171" xr:uid="{AD2B9DBC-1BBE-452C-B586-31C906581171}"/>
    <cellStyle name="Normal 4 16 5" xfId="25148" xr:uid="{AE767CAC-5D02-4A93-A7AF-0BCE2601708A}"/>
    <cellStyle name="Normal 4 16 6" xfId="12817" xr:uid="{30E9AB7D-7F47-4B82-9C96-E2CA60C87215}"/>
    <cellStyle name="Normal 4 17" xfId="903" xr:uid="{00000000-0005-0000-0000-000039050000}"/>
    <cellStyle name="Normal 4 17 2" xfId="6959" xr:uid="{4A5672F2-61BE-4A26-A933-6069F299B438}"/>
    <cellStyle name="Normal 4 17 2 2" xfId="22970" xr:uid="{47BAEC2D-A30D-47E4-9F65-430C047338C1}"/>
    <cellStyle name="Normal 4 17 2 3" xfId="17339" xr:uid="{CB82390D-6283-4C29-B770-C95BE2A9E212}"/>
    <cellStyle name="Normal 4 17 3" xfId="9792" xr:uid="{F63229C1-550B-4ECA-9EA5-A392957143B7}"/>
    <cellStyle name="Normal 4 17 3 2" xfId="25671" xr:uid="{89A62B8C-B8B9-4918-BC48-D0A81FD726B1}"/>
    <cellStyle name="Normal 4 17 3 3" xfId="20172" xr:uid="{0E4FEF04-9206-48B5-B5BC-5E74285A7EC7}"/>
    <cellStyle name="Normal 4 17 4" xfId="25172" xr:uid="{401EA57A-55C0-47C2-8C89-5D0F48CD4901}"/>
    <cellStyle name="Normal 4 17 5" xfId="14506" xr:uid="{E46752DF-F9B2-4E78-B3A7-2D1EDDB35A8C}"/>
    <cellStyle name="Normal 4 18" xfId="3781" xr:uid="{498D3F45-FE58-4FFC-9753-731FB0ECD3C7}"/>
    <cellStyle name="Normal 4 18 2" xfId="8621" xr:uid="{2A84A90A-6745-4823-8323-8E280FE19B84}"/>
    <cellStyle name="Normal 4 18 2 2" xfId="25799" xr:uid="{DF47F90B-F627-44A8-A898-BE5751EC10DE}"/>
    <cellStyle name="Normal 4 18 2 3" xfId="19001" xr:uid="{F6671693-CA65-4EF4-9FDC-1C434716A144}"/>
    <cellStyle name="Normal 4 18 3" xfId="11454" xr:uid="{3D4288CC-D7A0-4E04-8090-27E9F64B29C3}"/>
    <cellStyle name="Normal 4 18 3 2" xfId="25820" xr:uid="{D49A171E-BC4A-4F1F-B755-F85082362E30}"/>
    <cellStyle name="Normal 4 18 3 3" xfId="21834" xr:uid="{EFC46C14-B2D6-475A-BCEA-D6DA30959BBB}"/>
    <cellStyle name="Normal 4 18 4" xfId="25742" xr:uid="{F7DD7180-DF6E-4610-8D3D-C1A548134F19}"/>
    <cellStyle name="Normal 4 18 5" xfId="16168" xr:uid="{E12B28AA-2ED9-4B37-A7BA-87C97A253640}"/>
    <cellStyle name="Normal 4 19" xfId="5193" xr:uid="{A7BC2BA0-0079-4964-AC4B-AEA350E58462}"/>
    <cellStyle name="Normal 4 19 2" xfId="25675" xr:uid="{DBF43541-1C55-4BB7-AD13-4C9F15C3B47E}"/>
    <cellStyle name="Normal 4 19 3" xfId="24782" xr:uid="{903C44A5-017A-4D5E-A0BB-942EB7E8D36D}"/>
    <cellStyle name="Normal 4 19 4" xfId="23923" xr:uid="{3B4CD16E-8E3C-430D-A3D8-3B182181D5ED}"/>
    <cellStyle name="Normal 4 19 5" xfId="14490" xr:uid="{13D57E3E-453D-45DA-956B-A9DC2EB73F7A}"/>
    <cellStyle name="Normal 4 2" xfId="904" xr:uid="{00000000-0005-0000-0000-00003A050000}"/>
    <cellStyle name="Normal 4 2 10" xfId="905" xr:uid="{00000000-0005-0000-0000-00003B050000}"/>
    <cellStyle name="Normal 4 2 10 10" xfId="12582" xr:uid="{1C1F3AF7-3FC1-4AF5-9260-175B9A0608D1}"/>
    <cellStyle name="Normal 4 2 10 2" xfId="906" xr:uid="{00000000-0005-0000-0000-00003C050000}"/>
    <cellStyle name="Normal 4 2 10 2 2" xfId="2925" xr:uid="{00000000-0005-0000-0000-000049050000}"/>
    <cellStyle name="Normal 4 2 10 2 2 2" xfId="6105" xr:uid="{2CD4AF38-1293-44D3-82FD-381A4547F7B7}"/>
    <cellStyle name="Normal 4 2 10 2 2 2 2" xfId="27610" xr:uid="{887708D4-A3AB-480B-98B7-F11C45DA195B}"/>
    <cellStyle name="Normal 4 2 10 2 2 2 3" xfId="27034" xr:uid="{F192572E-FA3E-4598-99B0-F88A932A5295}"/>
    <cellStyle name="Normal 4 2 10 2 2 2 4" xfId="15583" xr:uid="{15A7E389-7689-4BDC-A601-961369D4FD92}"/>
    <cellStyle name="Normal 4 2 10 2 2 3" xfId="8036" xr:uid="{828286EA-7AA6-42BA-9E2D-104102B86FF6}"/>
    <cellStyle name="Normal 4 2 10 2 2 3 2" xfId="26874" xr:uid="{381EB044-756A-4CF6-B112-722C8D9A299C}"/>
    <cellStyle name="Normal 4 2 10 2 2 3 3" xfId="18416" xr:uid="{E1C40F26-5762-414A-B56B-8AC5973DA0ED}"/>
    <cellStyle name="Normal 4 2 10 2 2 4" xfId="10869" xr:uid="{7A892757-E0BA-4BDD-8C0A-11B8DA7F1D97}"/>
    <cellStyle name="Normal 4 2 10 2 2 4 2" xfId="21249" xr:uid="{AE99E40C-C079-43E4-972C-D74167BF3429}"/>
    <cellStyle name="Normal 4 2 10 2 2 5" xfId="23954" xr:uid="{F2243CEE-2965-4A24-872D-A2AF7333F309}"/>
    <cellStyle name="Normal 4 2 10 2 2 6" xfId="13438" xr:uid="{3E22C284-E8F9-4AA6-8BAE-4DC6B7F62D90}"/>
    <cellStyle name="Normal 4 2 10 2 3" xfId="5211" xr:uid="{9E65A668-589A-46F2-A32A-A1C562E8551F}"/>
    <cellStyle name="Normal 4 2 10 2 3 2" xfId="23900" xr:uid="{E5C68282-A426-45FB-9A48-C863A41A3E5A}"/>
    <cellStyle name="Normal 4 2 10 2 3 3" xfId="28528" xr:uid="{37344D2D-FCB4-48A5-8B55-4E29C951C58C}"/>
    <cellStyle name="Normal 4 2 10 2 3 4" xfId="14509" xr:uid="{89F5FE66-9B28-4ECC-91DC-9E14D076BA8C}"/>
    <cellStyle name="Normal 4 2 10 2 4" xfId="6962" xr:uid="{F52CCE02-B732-4BA3-8AFE-DE0AF264F111}"/>
    <cellStyle name="Normal 4 2 10 2 4 2" xfId="28210" xr:uid="{FE22950C-8E64-4B3B-A5F8-003256BBE512}"/>
    <cellStyle name="Normal 4 2 10 2 4 3" xfId="26123" xr:uid="{43697AA5-C880-44F1-B32B-03B95CC3DF49}"/>
    <cellStyle name="Normal 4 2 10 2 4 4" xfId="17342" xr:uid="{43B24351-9F6E-4914-ACB2-477734EB2CCA}"/>
    <cellStyle name="Normal 4 2 10 2 5" xfId="9795" xr:uid="{28AC10B2-7BB0-4F20-825B-41B1E2AE93C8}"/>
    <cellStyle name="Normal 4 2 10 2 5 2" xfId="29412" xr:uid="{C8A3F48B-174F-4CDF-BF57-C3C2F558B252}"/>
    <cellStyle name="Normal 4 2 10 2 5 3" xfId="20175" xr:uid="{77BBB3EB-0C3C-4801-A6E3-6DFD2E77628F}"/>
    <cellStyle name="Normal 4 2 10 2 6" xfId="22802" xr:uid="{123F473C-911A-4770-95C8-FE7C33678C1B}"/>
    <cellStyle name="Normal 4 2 10 2 7" xfId="12740" xr:uid="{71B1A28C-A5A6-420E-82C3-2A2CD5871B5B}"/>
    <cellStyle name="Normal 4 2 10 3" xfId="907" xr:uid="{00000000-0005-0000-0000-00003D050000}"/>
    <cellStyle name="Normal 4 2 10 3 2" xfId="5212" xr:uid="{8975F72F-D0D1-4725-B25D-9618BD91B371}"/>
    <cellStyle name="Normal 4 2 10 3 2 2" xfId="26363" xr:uid="{4D41C7EA-7484-4536-8C34-C5C9B4859874}"/>
    <cellStyle name="Normal 4 2 10 3 2 3" xfId="26899" xr:uid="{86E894B8-780C-4340-8693-ADE2E5899790}"/>
    <cellStyle name="Normal 4 2 10 3 2 4" xfId="14510" xr:uid="{533CA289-1D73-4347-84A1-0DFBDDD3F8FB}"/>
    <cellStyle name="Normal 4 2 10 3 3" xfId="6963" xr:uid="{B3CA0F27-F4B7-4C63-B850-5C2CE75B6DA8}"/>
    <cellStyle name="Normal 4 2 10 3 3 2" xfId="27323" xr:uid="{1A707BEF-7010-4AE4-A4BB-FA2D06D6AA2E}"/>
    <cellStyle name="Normal 4 2 10 3 3 3" xfId="26897" xr:uid="{2AAD49CE-880D-499C-ACF2-026ED1631D1F}"/>
    <cellStyle name="Normal 4 2 10 3 3 4" xfId="17343" xr:uid="{E52061AB-851B-4536-A0F8-0B5AEE32FF85}"/>
    <cellStyle name="Normal 4 2 10 3 4" xfId="9796" xr:uid="{523F02B9-2BA8-4A3A-9530-DCCDB5AA4B06}"/>
    <cellStyle name="Normal 4 2 10 3 4 2" xfId="29413" xr:uid="{60897F67-55EC-4F07-9C22-3EA69EF53A89}"/>
    <cellStyle name="Normal 4 2 10 3 4 3" xfId="20176" xr:uid="{E526AFD1-0256-43FD-B196-BED2BF3B44C9}"/>
    <cellStyle name="Normal 4 2 10 3 5" xfId="23865" xr:uid="{D093FDC0-6426-4978-A82E-0CB54027E4C6}"/>
    <cellStyle name="Normal 4 2 10 3 6" xfId="13209" xr:uid="{C6392642-0716-4D14-82FD-0E3646BAFCE1}"/>
    <cellStyle name="Normal 4 2 10 4" xfId="2348" xr:uid="{00000000-0005-0000-0000-000047050000}"/>
    <cellStyle name="Normal 4 2 10 4 2" xfId="7475" xr:uid="{5328430A-944E-49B1-AEF6-B5C2F374381D}"/>
    <cellStyle name="Normal 4 2 10 4 2 2" xfId="26225" xr:uid="{8AD8243A-60C9-4B97-B713-D73A48CC2E83}"/>
    <cellStyle name="Normal 4 2 10 4 2 3" xfId="17855" xr:uid="{F611490C-610C-4B2B-99F6-21ED2EC5EB60}"/>
    <cellStyle name="Normal 4 2 10 4 3" xfId="10308" xr:uid="{39F63380-B06A-4B83-9287-B5BD44FC19A7}"/>
    <cellStyle name="Normal 4 2 10 4 3 2" xfId="20688" xr:uid="{9E0A6208-1AD8-4912-8171-8B69711FF9BF}"/>
    <cellStyle name="Normal 4 2 10 4 4" xfId="25313" xr:uid="{CDF812E3-72A6-4230-8038-5F24CF006DAC}"/>
    <cellStyle name="Normal 4 2 10 4 5" xfId="15022" xr:uid="{4C791D4B-FE7D-489A-8C76-E4CB6E277DEF}"/>
    <cellStyle name="Normal 4 2 10 5" xfId="3969" xr:uid="{5996B1B9-A7BD-475C-AA9E-7A83E249082B}"/>
    <cellStyle name="Normal 4 2 10 5 2" xfId="8793" xr:uid="{8F0B5B0A-F029-436A-BBAD-0CFE62AF8BD5}"/>
    <cellStyle name="Normal 4 2 10 5 2 2" xfId="28985" xr:uid="{650C1DE3-5727-426D-989E-C20D2CF3A5AA}"/>
    <cellStyle name="Normal 4 2 10 5 2 3" xfId="19173" xr:uid="{A2D633B8-973E-41F1-AA16-B3AB165CF25B}"/>
    <cellStyle name="Normal 4 2 10 5 3" xfId="11626" xr:uid="{2015F5DE-56CF-436F-AB5E-A7A6158128AB}"/>
    <cellStyle name="Normal 4 2 10 5 3 2" xfId="22006" xr:uid="{30C73229-9442-4B78-8A30-595244F9DEAD}"/>
    <cellStyle name="Normal 4 2 10 5 4" xfId="22908" xr:uid="{2583863C-D271-4D90-9F52-F208277C096D}"/>
    <cellStyle name="Normal 4 2 10 5 5" xfId="16340" xr:uid="{2C97BFC6-BB76-40E9-AD18-3C85D14907A3}"/>
    <cellStyle name="Normal 4 2 10 6" xfId="5210" xr:uid="{7459E4B8-8B62-4EAA-A827-940BFBA6FF6A}"/>
    <cellStyle name="Normal 4 2 10 6 2" xfId="27440" xr:uid="{BA04A4F7-4B2A-4328-A73E-5676854BE081}"/>
    <cellStyle name="Normal 4 2 10 6 3" xfId="26795" xr:uid="{AF87D0D5-F953-41E6-B3A6-2192A80CB766}"/>
    <cellStyle name="Normal 4 2 10 6 4" xfId="14508" xr:uid="{B695B458-2531-4728-B4B1-DCE341083A59}"/>
    <cellStyle name="Normal 4 2 10 7" xfId="6961" xr:uid="{D82B3822-C6A6-4197-9644-17BB0260DAC1}"/>
    <cellStyle name="Normal 4 2 10 7 2" xfId="27340" xr:uid="{1E33A25E-5900-4252-8E58-DED04262F6E4}"/>
    <cellStyle name="Normal 4 2 10 7 3" xfId="17341" xr:uid="{F60F3B04-A426-4F69-BD42-D9B3A45E81F0}"/>
    <cellStyle name="Normal 4 2 10 8" xfId="9794" xr:uid="{42CAC7D8-8534-4BAB-A687-1326501055A5}"/>
    <cellStyle name="Normal 4 2 10 8 2" xfId="20174" xr:uid="{1DE78D67-20A2-4EFB-8D84-458E5AAFFB0D}"/>
    <cellStyle name="Normal 4 2 10 9" xfId="24419" xr:uid="{4AB66C56-8C99-443A-99F7-92D80BCF7025}"/>
    <cellStyle name="Normal 4 2 11" xfId="908" xr:uid="{00000000-0005-0000-0000-00003E050000}"/>
    <cellStyle name="Normal 4 2 11 10" xfId="12501" xr:uid="{82FE4754-DCE8-4B64-A21E-29A06E00D4CD}"/>
    <cellStyle name="Normal 4 2 11 2" xfId="3273" xr:uid="{00000000-0005-0000-0000-00004C050000}"/>
    <cellStyle name="Normal 4 2 11 2 2" xfId="6331" xr:uid="{3C203743-DF6E-4A04-8565-9755DB1F4CA6}"/>
    <cellStyle name="Normal 4 2 11 2 2 2" xfId="23686" xr:uid="{C92B1744-22AD-4EA7-AE28-431EAA341AC6}"/>
    <cellStyle name="Normal 4 2 11 2 2 3" xfId="27085" xr:uid="{35868BFB-4865-4F17-83C6-445B51E8AC96}"/>
    <cellStyle name="Normal 4 2 11 2 2 4" xfId="15900" xr:uid="{51505143-F4E8-43E3-8E67-616BEB8A118A}"/>
    <cellStyle name="Normal 4 2 11 2 3" xfId="8353" xr:uid="{B9119ACF-DBF3-42DA-9795-7AF14DD2F561}"/>
    <cellStyle name="Normal 4 2 11 2 3 2" xfId="27973" xr:uid="{F8019C84-1CFE-4052-A5AC-1E5A131E1BB1}"/>
    <cellStyle name="Normal 4 2 11 2 3 3" xfId="28897" xr:uid="{C4FAB93F-9F72-4D0D-88BF-E4D59DA23AAF}"/>
    <cellStyle name="Normal 4 2 11 2 3 4" xfId="18733" xr:uid="{E1545138-1DF5-4929-BC30-0193935CBD6F}"/>
    <cellStyle name="Normal 4 2 11 2 4" xfId="11186" xr:uid="{B52E1FAC-3E81-4BAB-AB24-976BD2396174}"/>
    <cellStyle name="Normal 4 2 11 2 4 2" xfId="29480" xr:uid="{D6314228-13D1-48DA-9E27-0F30B8D9A2F6}"/>
    <cellStyle name="Normal 4 2 11 2 4 3" xfId="21566" xr:uid="{2451CC2A-117C-430E-9DFD-DE02DE6C3D00}"/>
    <cellStyle name="Normal 4 2 11 2 5" xfId="22874" xr:uid="{3F4E4A5F-4B50-4CDE-8F3E-536A49BDAFDD}"/>
    <cellStyle name="Normal 4 2 11 2 6" xfId="13824" xr:uid="{08AD87F2-2F3B-462B-81D3-DDD4297D05CF}"/>
    <cellStyle name="Normal 4 2 11 3" xfId="2761" xr:uid="{00000000-0005-0000-0000-00004D050000}"/>
    <cellStyle name="Normal 4 2 11 3 2" xfId="5979" xr:uid="{E778F592-8C4F-4F05-B7F8-FE05CFA5DD84}"/>
    <cellStyle name="Normal 4 2 11 3 2 2" xfId="28097" xr:uid="{E6A28BE8-67A0-436F-9730-C21C920A2F19}"/>
    <cellStyle name="Normal 4 2 11 3 2 3" xfId="15432" xr:uid="{DC4F2176-65E5-4192-BD37-E5EDE12B869B}"/>
    <cellStyle name="Normal 4 2 11 3 3" xfId="7885" xr:uid="{48A8E4B2-9E08-4646-95CF-2B2AC6C4BE97}"/>
    <cellStyle name="Normal 4 2 11 3 3 2" xfId="18265" xr:uid="{4AEFFEEF-80E6-4E04-9208-5928F5FA860F}"/>
    <cellStyle name="Normal 4 2 11 3 4" xfId="10718" xr:uid="{4A3E78A9-DA38-479D-9560-2A56A42EDE2E}"/>
    <cellStyle name="Normal 4 2 11 3 4 2" xfId="21098" xr:uid="{167E9FCA-9FBC-4FAD-9C38-9F2A59DE88BF}"/>
    <cellStyle name="Normal 4 2 11 3 5" xfId="22670" xr:uid="{A876EBD5-B8C4-4845-BA45-27AAAD52BC06}"/>
    <cellStyle name="Normal 4 2 11 3 6" xfId="13208" xr:uid="{C072739A-7930-4220-816B-56D8B9F019DF}"/>
    <cellStyle name="Normal 4 2 11 4" xfId="2269" xr:uid="{00000000-0005-0000-0000-00004B050000}"/>
    <cellStyle name="Normal 4 2 11 4 2" xfId="7396" xr:uid="{D3EBD313-E8E6-498E-9C69-81C7C91B4EF9}"/>
    <cellStyle name="Normal 4 2 11 4 2 2" xfId="26958" xr:uid="{24706F7D-8E66-4631-9E2D-73CE0996E932}"/>
    <cellStyle name="Normal 4 2 11 4 2 3" xfId="17776" xr:uid="{44BEC249-2C26-4D7D-8A7B-6EA093550D06}"/>
    <cellStyle name="Normal 4 2 11 4 3" xfId="10229" xr:uid="{37145A3E-5207-4822-9371-1701F1171EAC}"/>
    <cellStyle name="Normal 4 2 11 4 3 2" xfId="20609" xr:uid="{2648A42C-AFC5-4B2A-A487-921917475C33}"/>
    <cellStyle name="Normal 4 2 11 4 4" xfId="22720" xr:uid="{04B88765-A487-4E4C-9901-A4AFCC2BEA9D}"/>
    <cellStyle name="Normal 4 2 11 4 5" xfId="14943" xr:uid="{54722A99-E9CD-42FD-ADE5-3002164BBFB0}"/>
    <cellStyle name="Normal 4 2 11 5" xfId="3968" xr:uid="{40437C33-ED0F-4C4F-A451-25B473F93DC5}"/>
    <cellStyle name="Normal 4 2 11 5 2" xfId="8792" xr:uid="{F601A150-0B31-41E0-8DA0-B0CA702CE233}"/>
    <cellStyle name="Normal 4 2 11 5 2 2" xfId="19172" xr:uid="{C055CD5A-EEA0-4E2F-9C4C-0FFA1884F164}"/>
    <cellStyle name="Normal 4 2 11 5 3" xfId="11625" xr:uid="{18C1F18F-8736-4F0E-9183-DAE598D48C29}"/>
    <cellStyle name="Normal 4 2 11 5 3 2" xfId="22005" xr:uid="{5BD16FAA-15E3-4F97-BD1F-6159CFC80DB3}"/>
    <cellStyle name="Normal 4 2 11 5 4" xfId="28478" xr:uid="{107AD78C-92F9-4F1E-8FBC-B882481E552A}"/>
    <cellStyle name="Normal 4 2 11 5 5" xfId="16339" xr:uid="{FCFE0DAB-F5F6-45F3-A5B5-EC52EB7A7B1C}"/>
    <cellStyle name="Normal 4 2 11 6" xfId="5213" xr:uid="{B46CAF38-B055-486A-8BE3-EDDA147D0CE2}"/>
    <cellStyle name="Normal 4 2 11 6 2" xfId="14511" xr:uid="{9979028E-74D2-48FA-8DDB-B0FB662A7327}"/>
    <cellStyle name="Normal 4 2 11 7" xfId="6964" xr:uid="{2103BA03-C730-48E1-8A8E-3EA6EBE0DC67}"/>
    <cellStyle name="Normal 4 2 11 7 2" xfId="17344" xr:uid="{44ED385A-2AE5-488B-9AF7-EC162777E131}"/>
    <cellStyle name="Normal 4 2 11 8" xfId="9797" xr:uid="{3D1A39C1-0F2B-4485-8F3B-282F54907637}"/>
    <cellStyle name="Normal 4 2 11 8 2" xfId="20177" xr:uid="{1462CF82-5627-415F-A5F1-5446D590116B}"/>
    <cellStyle name="Normal 4 2 11 9" xfId="25482" xr:uid="{0AACD3D2-46F8-4DA4-BBF8-728F9B0062DF}"/>
    <cellStyle name="Normal 4 2 12" xfId="909" xr:uid="{00000000-0005-0000-0000-00003F050000}"/>
    <cellStyle name="Normal 4 2 12 2" xfId="3274" xr:uid="{00000000-0005-0000-0000-00004F050000}"/>
    <cellStyle name="Normal 4 2 12 2 2" xfId="6332" xr:uid="{57243C19-697E-473A-B248-624327C4602A}"/>
    <cellStyle name="Normal 4 2 12 2 2 2" xfId="28200" xr:uid="{7AE55AE3-FE7A-4884-B9D0-FF83A0F217D0}"/>
    <cellStyle name="Normal 4 2 12 2 2 3" xfId="15901" xr:uid="{3FE29F57-3DFD-4507-B092-AE152A169DD6}"/>
    <cellStyle name="Normal 4 2 12 2 3" xfId="8354" xr:uid="{5AD9B8F9-11BB-42FD-9C0F-B2ACEF54F25E}"/>
    <cellStyle name="Normal 4 2 12 2 3 2" xfId="18734" xr:uid="{F2D6770D-4D1C-4B5F-B4AE-F933182345A3}"/>
    <cellStyle name="Normal 4 2 12 2 4" xfId="11187" xr:uid="{22DEECCE-A0CD-40ED-AACB-44B8A1591DC2}"/>
    <cellStyle name="Normal 4 2 12 2 4 2" xfId="21567" xr:uid="{057485CF-B3AB-4D7F-A7B1-06107B4DC1A2}"/>
    <cellStyle name="Normal 4 2 12 2 5" xfId="24213" xr:uid="{A62A4FA9-8C7C-48B5-9FD5-D9DBE6429A79}"/>
    <cellStyle name="Normal 4 2 12 2 6" xfId="13825" xr:uid="{6B44576E-1ADF-4AAB-8E8F-03C03CF5113B}"/>
    <cellStyle name="Normal 4 2 12 3" xfId="4116" xr:uid="{C0E2A95B-A1C1-45B5-ABD0-12419E732CDB}"/>
    <cellStyle name="Normal 4 2 12 3 2" xfId="8888" xr:uid="{64CAA0F6-7251-41FA-B955-52C98B1D866C}"/>
    <cellStyle name="Normal 4 2 12 3 2 2" xfId="29003" xr:uid="{EAA76D94-DAD4-411C-9672-FB8590B35F01}"/>
    <cellStyle name="Normal 4 2 12 3 2 3" xfId="19268" xr:uid="{8DDE7DFE-B407-4EC4-9B14-CFB8194E7F6F}"/>
    <cellStyle name="Normal 4 2 12 3 3" xfId="11721" xr:uid="{3123DE6C-788F-444D-AB15-34EE5957B888}"/>
    <cellStyle name="Normal 4 2 12 3 3 2" xfId="22101" xr:uid="{F9A360FE-0F2C-4A6A-8E01-733B824AA1D3}"/>
    <cellStyle name="Normal 4 2 12 3 4" xfId="24660" xr:uid="{05599161-2CD7-4A59-BB2B-EC7793B7AAD8}"/>
    <cellStyle name="Normal 4 2 12 3 5" xfId="16435" xr:uid="{59BD7CDC-1EE6-43DC-846C-DEB35DC39991}"/>
    <cellStyle name="Normal 4 2 12 4" xfId="5214" xr:uid="{663F3992-2E3B-4876-9DF9-D8F9D70D6972}"/>
    <cellStyle name="Normal 4 2 12 4 2" xfId="24938" xr:uid="{545761CC-FC14-4597-9478-9D21E16AE88C}"/>
    <cellStyle name="Normal 4 2 12 4 3" xfId="26149" xr:uid="{2F7F0F47-228E-4280-8856-CE0E3D9B355A}"/>
    <cellStyle name="Normal 4 2 12 4 4" xfId="14512" xr:uid="{B29831FF-22CC-4496-B741-AED3B23604FD}"/>
    <cellStyle name="Normal 4 2 12 5" xfId="6965" xr:uid="{F9954EFB-9273-41C8-9A78-25F5E8F1288A}"/>
    <cellStyle name="Normal 4 2 12 5 2" xfId="26583" xr:uid="{03D41094-D075-4F1C-BF8B-A5362ED5EBAA}"/>
    <cellStyle name="Normal 4 2 12 5 3" xfId="17345" xr:uid="{C3F3474C-C1A6-41B5-979F-298D44083AF5}"/>
    <cellStyle name="Normal 4 2 12 6" xfId="9798" xr:uid="{76B95C7D-0586-474F-B8AF-B0CCFF19C26A}"/>
    <cellStyle name="Normal 4 2 12 6 2" xfId="20178" xr:uid="{7AEFD330-56B6-4B26-B329-F828984E1315}"/>
    <cellStyle name="Normal 4 2 12 7" xfId="24446" xr:uid="{58AE3336-1CE4-4012-A7DE-217525D1A1BC}"/>
    <cellStyle name="Normal 4 2 12 8" xfId="12659" xr:uid="{7F5BCED3-8E97-496B-A83E-ED562CA0D877}"/>
    <cellStyle name="Normal 4 2 13" xfId="910" xr:uid="{00000000-0005-0000-0000-000040050000}"/>
    <cellStyle name="Normal 4 2 13 2" xfId="5215" xr:uid="{B9CFA165-2251-4903-B5AF-7F91BE12455C}"/>
    <cellStyle name="Normal 4 2 13 2 2" xfId="25277" xr:uid="{683E918D-C673-4735-B0F8-FAC7A5B01144}"/>
    <cellStyle name="Normal 4 2 13 2 3" xfId="28339" xr:uid="{6051871C-D20C-4522-BEFE-D4EBAA8EA9F8}"/>
    <cellStyle name="Normal 4 2 13 2 4" xfId="14513" xr:uid="{D6AFA65F-6472-4E8B-91C1-FBAD54B3CD4F}"/>
    <cellStyle name="Normal 4 2 13 3" xfId="6966" xr:uid="{8C09D563-2893-4843-BCD4-CC10B1168477}"/>
    <cellStyle name="Normal 4 2 13 3 2" xfId="22912" xr:uid="{DCFAB4E1-ADFB-4B54-91B7-297FFF170CCE}"/>
    <cellStyle name="Normal 4 2 13 3 3" xfId="17346" xr:uid="{81640F5B-6D16-441B-9AE6-A663077F7A59}"/>
    <cellStyle name="Normal 4 2 13 4" xfId="9799" xr:uid="{9489FE99-E323-4CE2-AB84-C2870FBC4082}"/>
    <cellStyle name="Normal 4 2 13 4 2" xfId="20179" xr:uid="{EB5230F9-A7EA-4766-9CC0-A005FECC8416}"/>
    <cellStyle name="Normal 4 2 13 5" xfId="23199" xr:uid="{1F99CF31-EECD-4601-A448-FBD0619A42A1}"/>
    <cellStyle name="Normal 4 2 13 6" xfId="13357" xr:uid="{F6163DAC-A749-4C4C-BF5B-FBD5FE08AB67}"/>
    <cellStyle name="Normal 4 2 14" xfId="2431" xr:uid="{00000000-0005-0000-0000-000051050000}"/>
    <cellStyle name="Normal 4 2 14 2" xfId="5728" xr:uid="{1944C359-D1BC-4C47-8FAE-38DD4B5810C8}"/>
    <cellStyle name="Normal 4 2 14 2 2" xfId="28568" xr:uid="{ABE07BF4-324A-46E7-A17D-09E199107C54}"/>
    <cellStyle name="Normal 4 2 14 2 3" xfId="15103" xr:uid="{C59EDB31-B160-4473-BBB4-631B98FC424F}"/>
    <cellStyle name="Normal 4 2 14 3" xfId="7556" xr:uid="{0F980473-09F3-48ED-AC29-9374C6927889}"/>
    <cellStyle name="Normal 4 2 14 3 2" xfId="17936" xr:uid="{C350FC9B-C3ED-4025-BA32-18A6180B4119}"/>
    <cellStyle name="Normal 4 2 14 4" xfId="10389" xr:uid="{34FC9352-DF33-4BA8-8F66-F791B7E33A15}"/>
    <cellStyle name="Normal 4 2 14 4 2" xfId="20769" xr:uid="{6F721377-F3A7-491A-A3F2-EB95C437E24B}"/>
    <cellStyle name="Normal 4 2 14 5" xfId="23755" xr:uid="{EA0D995E-5FF6-4F57-868E-149D4A60FA02}"/>
    <cellStyle name="Normal 4 2 14 6" xfId="12818" xr:uid="{3DCF1676-21AA-4089-A749-0BE68428EC7A}"/>
    <cellStyle name="Normal 4 2 15" xfId="2158" xr:uid="{00000000-0005-0000-0000-000046050000}"/>
    <cellStyle name="Normal 4 2 15 2" xfId="7285" xr:uid="{68D389C6-B65B-4B57-8695-00107252F18A}"/>
    <cellStyle name="Normal 4 2 15 2 2" xfId="27149" xr:uid="{17A309DB-A644-477D-9B0D-A0536F0E8417}"/>
    <cellStyle name="Normal 4 2 15 2 3" xfId="17665" xr:uid="{7C4FD314-CB10-403B-83A5-8290EBEAC479}"/>
    <cellStyle name="Normal 4 2 15 3" xfId="10118" xr:uid="{CFC204A1-6795-48DE-89AF-D3D874DAFB26}"/>
    <cellStyle name="Normal 4 2 15 3 2" xfId="20498" xr:uid="{069D1D85-8652-419E-9121-EA4F3A6D8CD0}"/>
    <cellStyle name="Normal 4 2 15 4" xfId="23115" xr:uid="{0700854F-4580-478D-B6AB-331935D9045D}"/>
    <cellStyle name="Normal 4 2 15 5" xfId="14832" xr:uid="{9E532901-D255-4CD4-A05C-2D4608C4EE1A}"/>
    <cellStyle name="Normal 4 2 16" xfId="3782" xr:uid="{27CC7272-F4E2-4520-8C54-59A332157E49}"/>
    <cellStyle name="Normal 4 2 16 2" xfId="8622" xr:uid="{4EAA9704-FCEC-48C5-8844-C9B8227FEA16}"/>
    <cellStyle name="Normal 4 2 16 2 2" xfId="19002" xr:uid="{E0F32574-3B85-4CF3-BDB9-E03BC42D58A4}"/>
    <cellStyle name="Normal 4 2 16 3" xfId="11455" xr:uid="{E9BA206A-0C6C-4F83-914B-9E2E07F02FA7}"/>
    <cellStyle name="Normal 4 2 16 3 2" xfId="21835" xr:uid="{59BB904D-D1F2-4354-B67B-DE0EA2C8F00A}"/>
    <cellStyle name="Normal 4 2 16 4" xfId="25791" xr:uid="{35B12276-71AF-461C-AE9A-427A350131B5}"/>
    <cellStyle name="Normal 4 2 16 5" xfId="16169" xr:uid="{1545F333-97CF-46AF-850C-51D5368240A3}"/>
    <cellStyle name="Normal 4 2 17" xfId="5209" xr:uid="{40A45B17-08A7-429D-8BD0-7720AD32C752}"/>
    <cellStyle name="Normal 4 2 17 2" xfId="14507" xr:uid="{5B1A016E-2D09-4B3B-98B7-731CCA32B5ED}"/>
    <cellStyle name="Normal 4 2 18" xfId="6960" xr:uid="{1F9797DC-AAF9-450A-834E-2C1BBEA5DA7A}"/>
    <cellStyle name="Normal 4 2 18 2" xfId="17340" xr:uid="{30EFEE0E-5220-4048-9358-20DAC758A838}"/>
    <cellStyle name="Normal 4 2 19" xfId="9793" xr:uid="{9B414E89-376D-43A7-AFAD-BF33BE972A2C}"/>
    <cellStyle name="Normal 4 2 19 2" xfId="20173" xr:uid="{FB5A6142-9B43-46BF-9D60-43609F1B4AAD}"/>
    <cellStyle name="Normal 4 2 2" xfId="911" xr:uid="{00000000-0005-0000-0000-000041050000}"/>
    <cellStyle name="Normal 4 2 2 10" xfId="912" xr:uid="{00000000-0005-0000-0000-000042050000}"/>
    <cellStyle name="Normal 4 2 2 10 2" xfId="3275" xr:uid="{00000000-0005-0000-0000-000054050000}"/>
    <cellStyle name="Normal 4 2 2 10 2 2" xfId="6333" xr:uid="{185D5FB2-85C2-4416-AC75-4FDE5AC6B1DF}"/>
    <cellStyle name="Normal 4 2 2 10 2 2 2" xfId="26580" xr:uid="{B42086E8-B959-4099-801F-672DEC2E0025}"/>
    <cellStyle name="Normal 4 2 2 10 2 2 3" xfId="15902" xr:uid="{452F1F5D-5074-4FD2-95C9-D04823D47F33}"/>
    <cellStyle name="Normal 4 2 2 10 2 3" xfId="8355" xr:uid="{153892A2-F93F-4E14-B3F3-08E2EA9DECD7}"/>
    <cellStyle name="Normal 4 2 2 10 2 3 2" xfId="18735" xr:uid="{E97DF94D-DCCB-4B23-B8B5-E2072511C9D1}"/>
    <cellStyle name="Normal 4 2 2 10 2 4" xfId="11188" xr:uid="{132DB61E-A0F6-40EA-8A14-D18FC83EE2CE}"/>
    <cellStyle name="Normal 4 2 2 10 2 4 2" xfId="21568" xr:uid="{B16012CC-04A6-4971-91F8-10D17303B46B}"/>
    <cellStyle name="Normal 4 2 2 10 2 5" xfId="24012" xr:uid="{77E7BDF6-8B7A-4EB6-B150-4D77A6C11D38}"/>
    <cellStyle name="Normal 4 2 2 10 2 6" xfId="13826" xr:uid="{DA35EE25-1A4B-4F9B-B2C0-C383A2CD0766}"/>
    <cellStyle name="Normal 4 2 2 10 3" xfId="4179" xr:uid="{E8F62DEC-F5C8-42CD-A259-9BE651747801}"/>
    <cellStyle name="Normal 4 2 2 10 3 2" xfId="8951" xr:uid="{75BCDBA2-0158-4D5A-9CD1-5F782654B6F2}"/>
    <cellStyle name="Normal 4 2 2 10 3 2 2" xfId="29041" xr:uid="{BC5579B2-43A0-4EA1-A35A-04487637E72F}"/>
    <cellStyle name="Normal 4 2 2 10 3 2 3" xfId="19331" xr:uid="{5F984210-6810-47A9-B5F3-B59C911EC90B}"/>
    <cellStyle name="Normal 4 2 2 10 3 3" xfId="11784" xr:uid="{3339DDCC-70EA-478E-A9F8-32DBB8D883B2}"/>
    <cellStyle name="Normal 4 2 2 10 3 3 2" xfId="22164" xr:uid="{54E497B8-380D-4ACC-8784-CD20EE42FE48}"/>
    <cellStyle name="Normal 4 2 2 10 3 4" xfId="23608" xr:uid="{2C8585E0-C069-4507-BAC1-CCDE8C3D2477}"/>
    <cellStyle name="Normal 4 2 2 10 3 5" xfId="16498" xr:uid="{000A0721-BE3F-4DE6-A670-AAE937D1F561}"/>
    <cellStyle name="Normal 4 2 2 10 4" xfId="5217" xr:uid="{4EB3040A-9666-465A-9EBA-F4CF9D32B3C0}"/>
    <cellStyle name="Normal 4 2 2 10 4 2" xfId="25598" xr:uid="{203D3871-DD7E-4628-82BB-2C2F31A1BC76}"/>
    <cellStyle name="Normal 4 2 2 10 4 3" xfId="26291" xr:uid="{43B93DD7-EA6B-4238-A94D-730A91ED13F8}"/>
    <cellStyle name="Normal 4 2 2 10 4 4" xfId="14515" xr:uid="{87915702-98F2-4892-B3E9-B71660CD3F1A}"/>
    <cellStyle name="Normal 4 2 2 10 5" xfId="6968" xr:uid="{A464D24B-E40E-4838-AB46-D234D06B716F}"/>
    <cellStyle name="Normal 4 2 2 10 5 2" xfId="26301" xr:uid="{C027921C-8B3B-430A-9639-5218B95214C9}"/>
    <cellStyle name="Normal 4 2 2 10 5 3" xfId="17348" xr:uid="{B035E0E2-CAB1-4239-95B7-D4414DE2A23A}"/>
    <cellStyle name="Normal 4 2 2 10 6" xfId="9801" xr:uid="{CDFC3378-980C-472A-910D-BFCC669BD829}"/>
    <cellStyle name="Normal 4 2 2 10 6 2" xfId="20181" xr:uid="{940DF854-35D4-4CBB-9499-CA473C6DE8FA}"/>
    <cellStyle name="Normal 4 2 2 10 7" xfId="23009" xr:uid="{959DFF94-1B52-45F5-ADCF-7A6870F80A28}"/>
    <cellStyle name="Normal 4 2 2 10 8" xfId="12741" xr:uid="{C95538CA-7F08-4DE8-9100-45949CACB198}"/>
    <cellStyle name="Normal 4 2 2 11" xfId="913" xr:uid="{00000000-0005-0000-0000-000043050000}"/>
    <cellStyle name="Normal 4 2 2 11 2" xfId="5218" xr:uid="{27E7D2F7-8A58-4417-81DC-C797F66B222E}"/>
    <cellStyle name="Normal 4 2 2 11 2 2" xfId="22940" xr:uid="{E4853C26-B6A5-4022-B8BA-094D7181B69D}"/>
    <cellStyle name="Normal 4 2 2 11 2 3" xfId="28122" xr:uid="{803779A3-B52D-4DB8-9BA3-E064CEDB4EDF}"/>
    <cellStyle name="Normal 4 2 2 11 2 4" xfId="14516" xr:uid="{607B8411-1C42-495F-A5F9-E4A8C274DF3A}"/>
    <cellStyle name="Normal 4 2 2 11 3" xfId="6969" xr:uid="{5A4AC2D8-0476-44F7-850F-EBE5B9E95294}"/>
    <cellStyle name="Normal 4 2 2 11 3 2" xfId="27038" xr:uid="{EE41EE3F-7DAB-4326-8B66-E1F148D3036C}"/>
    <cellStyle name="Normal 4 2 2 11 3 3" xfId="17349" xr:uid="{E6278A32-D60F-4D6F-BA08-E494E08F2CBE}"/>
    <cellStyle name="Normal 4 2 2 11 4" xfId="9802" xr:uid="{071AFB65-363D-4AEF-8405-D54E4F6B7A51}"/>
    <cellStyle name="Normal 4 2 2 11 4 2" xfId="20182" xr:uid="{F96BCF8A-523F-4905-8DC7-50E08DFF478B}"/>
    <cellStyle name="Normal 4 2 2 11 5" xfId="23709" xr:uid="{DC3F3100-3942-4219-BF9A-89EFA33F2CAA}"/>
    <cellStyle name="Normal 4 2 2 11 6" xfId="13439" xr:uid="{25A1D4A9-1F40-41D7-995E-CD0254D7F015}"/>
    <cellStyle name="Normal 4 2 2 12" xfId="2439" xr:uid="{00000000-0005-0000-0000-000056050000}"/>
    <cellStyle name="Normal 4 2 2 12 2" xfId="5734" xr:uid="{8547517B-8782-4609-B33A-3D63C44BF131}"/>
    <cellStyle name="Normal 4 2 2 12 2 2" xfId="26015" xr:uid="{1CB25410-FC96-496C-8EB8-798C5784FD28}"/>
    <cellStyle name="Normal 4 2 2 12 2 3" xfId="15111" xr:uid="{0FE9A20C-C962-4A7A-AD94-954A69DDA6A6}"/>
    <cellStyle name="Normal 4 2 2 12 3" xfId="7564" xr:uid="{64007956-3482-47D2-9868-CCC187CEB834}"/>
    <cellStyle name="Normal 4 2 2 12 3 2" xfId="17944" xr:uid="{5606201E-E1C2-4C8B-828E-E5CB02270946}"/>
    <cellStyle name="Normal 4 2 2 12 4" xfId="10397" xr:uid="{86A3DC0E-5108-4020-8B99-37CB5341841F}"/>
    <cellStyle name="Normal 4 2 2 12 4 2" xfId="20777" xr:uid="{696A862E-EDD7-4007-BD2B-226DF2627FFB}"/>
    <cellStyle name="Normal 4 2 2 12 5" xfId="23021" xr:uid="{BAF468B8-ED33-44EA-A05D-FDAF302D77CB}"/>
    <cellStyle name="Normal 4 2 2 12 6" xfId="12826" xr:uid="{C759DABA-98F7-4310-A754-1D0D20A4DE9F}"/>
    <cellStyle name="Normal 4 2 2 13" xfId="2169" xr:uid="{00000000-0005-0000-0000-000052050000}"/>
    <cellStyle name="Normal 4 2 2 13 2" xfId="7296" xr:uid="{6FB8E346-A4FC-4EC0-B955-F22EE28F903C}"/>
    <cellStyle name="Normal 4 2 2 13 2 2" xfId="25881" xr:uid="{89DE9C29-9D64-4A61-9946-9E17F5F858CE}"/>
    <cellStyle name="Normal 4 2 2 13 2 3" xfId="17676" xr:uid="{317C0F3D-5A95-46DC-A00F-A42DFA954F0A}"/>
    <cellStyle name="Normal 4 2 2 13 3" xfId="10129" xr:uid="{008BE103-F31A-4EE0-9CE8-279CC533AB21}"/>
    <cellStyle name="Normal 4 2 2 13 3 2" xfId="20509" xr:uid="{6B6C2BA2-CE92-4379-BE26-7E3DB75D7A30}"/>
    <cellStyle name="Normal 4 2 2 13 4" xfId="25003" xr:uid="{51999392-4F95-43AF-A5E4-7A589442CCCB}"/>
    <cellStyle name="Normal 4 2 2 13 5" xfId="14843" xr:uid="{50A31E45-B226-41F3-96D7-F7AE06317ADE}"/>
    <cellStyle name="Normal 4 2 2 14" xfId="3970" xr:uid="{506337B6-E5FF-4C3A-AC3F-7F5EB249ADE2}"/>
    <cellStyle name="Normal 4 2 2 14 2" xfId="8794" xr:uid="{6816267C-CA97-4402-BD8A-30BAE9FFD2EB}"/>
    <cellStyle name="Normal 4 2 2 14 2 2" xfId="19174" xr:uid="{FEE2672A-26C4-496E-8CCD-E2CD8439F4EE}"/>
    <cellStyle name="Normal 4 2 2 14 3" xfId="11627" xr:uid="{0412BC77-676E-48C0-B280-5E17E1F24B54}"/>
    <cellStyle name="Normal 4 2 2 14 3 2" xfId="22007" xr:uid="{C47AF24F-E0E2-4DB5-8006-6E21B6128F61}"/>
    <cellStyle name="Normal 4 2 2 14 4" xfId="28255" xr:uid="{B55D04E7-6FDE-47CC-B0E4-A2E698104F39}"/>
    <cellStyle name="Normal 4 2 2 14 5" xfId="16341" xr:uid="{6FC29E5D-3ECF-4292-BEC7-408E86683948}"/>
    <cellStyle name="Normal 4 2 2 15" xfId="5216" xr:uid="{F75B133F-711A-4428-B6C2-C87F953FE4CB}"/>
    <cellStyle name="Normal 4 2 2 15 2" xfId="14514" xr:uid="{8D7CE6F0-F1F5-4E29-A5FE-BEC7F61EA2C6}"/>
    <cellStyle name="Normal 4 2 2 16" xfId="6967" xr:uid="{227B8A98-21E7-4B31-8E84-EB7743178BF0}"/>
    <cellStyle name="Normal 4 2 2 16 2" xfId="17347" xr:uid="{059F3E2E-C8A1-4492-8C20-7D394D910061}"/>
    <cellStyle name="Normal 4 2 2 17" xfId="9800" xr:uid="{A4C1941F-E307-4CEB-983A-FA32E492783F}"/>
    <cellStyle name="Normal 4 2 2 17 2" xfId="20180" xr:uid="{DB2017BF-18F0-4687-AD41-27960EC6A76F}"/>
    <cellStyle name="Normal 4 2 2 18" xfId="23650" xr:uid="{0A8A455A-A8EF-430F-92FD-55612F61147B}"/>
    <cellStyle name="Normal 4 2 2 19" xfId="12401" xr:uid="{7232607F-40C2-428E-83EC-64C6242A32AC}"/>
    <cellStyle name="Normal 4 2 2 2" xfId="914" xr:uid="{00000000-0005-0000-0000-000044050000}"/>
    <cellStyle name="Normal 4 2 2 2 10" xfId="5219" xr:uid="{364E115F-8F58-470F-8CA2-708DF92C7DC9}"/>
    <cellStyle name="Normal 4 2 2 2 10 2" xfId="14517" xr:uid="{7160F19E-8775-4FA0-900D-158F6A3203ED}"/>
    <cellStyle name="Normal 4 2 2 2 11" xfId="6970" xr:uid="{DCD49193-39B7-416C-B686-ADE5E64F7630}"/>
    <cellStyle name="Normal 4 2 2 2 11 2" xfId="17350" xr:uid="{1056EB77-8C93-489F-A457-7C6479E8980D}"/>
    <cellStyle name="Normal 4 2 2 2 12" xfId="9803" xr:uid="{0B953A81-D92E-44F0-A54A-527F8DE97B99}"/>
    <cellStyle name="Normal 4 2 2 2 12 2" xfId="20183" xr:uid="{09116E36-69EE-4EE1-AB7C-6ED61FACEDB4}"/>
    <cellStyle name="Normal 4 2 2 2 13" xfId="24789" xr:uid="{B823D996-2878-4B0A-BD9F-8035BEA5F8C9}"/>
    <cellStyle name="Normal 4 2 2 2 14" xfId="12424" xr:uid="{EF2096D0-6203-4F9D-8317-B60DD2079030}"/>
    <cellStyle name="Normal 4 2 2 2 2" xfId="915" xr:uid="{00000000-0005-0000-0000-000045050000}"/>
    <cellStyle name="Normal 4 2 2 2 2 10" xfId="6971" xr:uid="{FBFD471C-F7A4-4045-9E45-7FC9C20E281F}"/>
    <cellStyle name="Normal 4 2 2 2 2 10 2" xfId="17351" xr:uid="{81BE71D8-3FB8-45C2-9262-D46F9334548D}"/>
    <cellStyle name="Normal 4 2 2 2 2 11" xfId="9804" xr:uid="{6B2B4B35-2608-4CF9-9808-23B644968073}"/>
    <cellStyle name="Normal 4 2 2 2 2 11 2" xfId="20184" xr:uid="{4BD94397-7859-4669-8DE7-21131FC76711}"/>
    <cellStyle name="Normal 4 2 2 2 2 12" xfId="24467" xr:uid="{2675B592-A58D-4B77-8B94-8676EAB45A3C}"/>
    <cellStyle name="Normal 4 2 2 2 2 13" xfId="12484" xr:uid="{0078570A-5EDE-4ACF-8733-E2FB68784F0C}"/>
    <cellStyle name="Normal 4 2 2 2 2 2" xfId="916" xr:uid="{00000000-0005-0000-0000-000046050000}"/>
    <cellStyle name="Normal 4 2 2 2 2 2 10" xfId="13049" xr:uid="{381C7113-683D-43E6-BCCA-0D1F2EB08DFC}"/>
    <cellStyle name="Normal 4 2 2 2 2 2 2" xfId="2765" xr:uid="{00000000-0005-0000-0000-00005A050000}"/>
    <cellStyle name="Normal 4 2 2 2 2 2 2 2" xfId="3278" xr:uid="{00000000-0005-0000-0000-00005B050000}"/>
    <cellStyle name="Normal 4 2 2 2 2 2 2 2 2" xfId="6336" xr:uid="{B8ACEB30-0CE2-4173-B279-A6A7C4B74632}"/>
    <cellStyle name="Normal 4 2 2 2 2 2 2 2 2 2" xfId="27886" xr:uid="{7BD79C04-A0A8-4BF9-BA89-7647764278B8}"/>
    <cellStyle name="Normal 4 2 2 2 2 2 2 2 2 3" xfId="15905" xr:uid="{056C4EB1-52EB-49F9-8A39-8E3104E2BD69}"/>
    <cellStyle name="Normal 4 2 2 2 2 2 2 2 3" xfId="8358" xr:uid="{09D49612-BF5E-42A4-81E7-8D0CF8A45DFB}"/>
    <cellStyle name="Normal 4 2 2 2 2 2 2 2 3 2" xfId="18738" xr:uid="{A3F72BED-15B3-4F0D-B23D-DDE223D168C3}"/>
    <cellStyle name="Normal 4 2 2 2 2 2 2 2 4" xfId="11191" xr:uid="{4F15445F-E254-4744-AFD8-98DD5955A3F6}"/>
    <cellStyle name="Normal 4 2 2 2 2 2 2 2 4 2" xfId="21571" xr:uid="{5720F82A-957C-469D-B4DE-DEA634CA4FF5}"/>
    <cellStyle name="Normal 4 2 2 2 2 2 2 2 5" xfId="25448" xr:uid="{104A3E42-31B4-4435-A191-36A34B559480}"/>
    <cellStyle name="Normal 4 2 2 2 2 2 2 2 6" xfId="13829" xr:uid="{4CB194F4-5771-4E79-8CC9-8C1142B493C0}"/>
    <cellStyle name="Normal 4 2 2 2 2 2 2 3" xfId="4323" xr:uid="{F0596E22-3024-46AE-9601-D6EC0250F4CC}"/>
    <cellStyle name="Normal 4 2 2 2 2 2 2 3 2" xfId="9095" xr:uid="{BA6C2552-E7CD-45EC-8D65-1D81C7C490FD}"/>
    <cellStyle name="Normal 4 2 2 2 2 2 2 3 2 2" xfId="29138" xr:uid="{2ED4F116-AE48-4DD7-B2DC-0FA0ED7D4D2F}"/>
    <cellStyle name="Normal 4 2 2 2 2 2 2 3 2 3" xfId="19475" xr:uid="{E2B1A06E-BC42-48EB-A399-5AD1CF4AFF9A}"/>
    <cellStyle name="Normal 4 2 2 2 2 2 2 3 3" xfId="11928" xr:uid="{7B61F769-7681-4E74-8261-76194DC96EA4}"/>
    <cellStyle name="Normal 4 2 2 2 2 2 2 3 3 2" xfId="22308" xr:uid="{4B15C1DE-14C7-47ED-B545-930AF3BE57FD}"/>
    <cellStyle name="Normal 4 2 2 2 2 2 2 3 4" xfId="23971" xr:uid="{E14D23FD-4C6E-4A17-BDB4-4BC1E4323E26}"/>
    <cellStyle name="Normal 4 2 2 2 2 2 2 3 5" xfId="16642" xr:uid="{55064A3D-6723-44F9-BCAC-D31647776C51}"/>
    <cellStyle name="Normal 4 2 2 2 2 2 2 4" xfId="5983" xr:uid="{2D391F71-8852-498E-919B-1BC4D82E05D1}"/>
    <cellStyle name="Normal 4 2 2 2 2 2 2 4 2" xfId="28159" xr:uid="{47AFD2F5-31E0-4592-8088-089B9256271A}"/>
    <cellStyle name="Normal 4 2 2 2 2 2 2 4 3" xfId="15436" xr:uid="{85ED1564-DEA1-4D4E-86E0-9F3C30586B03}"/>
    <cellStyle name="Normal 4 2 2 2 2 2 2 5" xfId="7889" xr:uid="{3BEDB544-4F3A-460B-8604-4A7F80F80213}"/>
    <cellStyle name="Normal 4 2 2 2 2 2 2 5 2" xfId="18269" xr:uid="{7403030F-0C12-4503-9663-025B88F1465A}"/>
    <cellStyle name="Normal 4 2 2 2 2 2 2 6" xfId="10722" xr:uid="{D4E14310-DBD6-45F8-8432-B1F4E22B2EE9}"/>
    <cellStyle name="Normal 4 2 2 2 2 2 2 6 2" xfId="21102" xr:uid="{863C0D28-CD95-4B89-AD02-44CE4C7F79C9}"/>
    <cellStyle name="Normal 4 2 2 2 2 2 2 7" xfId="24429" xr:uid="{51103B87-10AF-43AF-9352-1EA17A854C2C}"/>
    <cellStyle name="Normal 4 2 2 2 2 2 2 8" xfId="13213" xr:uid="{8F923523-AF98-4C51-8FCF-0A238C899859}"/>
    <cellStyle name="Normal 4 2 2 2 2 2 3" xfId="3279" xr:uid="{00000000-0005-0000-0000-00005C050000}"/>
    <cellStyle name="Normal 4 2 2 2 2 2 3 2" xfId="4504" xr:uid="{C4960D59-ABB2-4263-B98F-3ADF28BD29AD}"/>
    <cellStyle name="Normal 4 2 2 2 2 2 3 2 2" xfId="9276" xr:uid="{5E2E79B0-1FA2-4ACF-9126-695F56DFD9EE}"/>
    <cellStyle name="Normal 4 2 2 2 2 2 3 2 2 2" xfId="19656" xr:uid="{FEECDFFA-5CAD-446C-B6DB-9EC0ACAF8C97}"/>
    <cellStyle name="Normal 4 2 2 2 2 2 3 2 3" xfId="12109" xr:uid="{C4879C75-18E5-4C23-8AF2-EA7F4561FCE3}"/>
    <cellStyle name="Normal 4 2 2 2 2 2 3 2 3 2" xfId="22489" xr:uid="{B343FD7E-829C-402E-B665-34829A6EF2A0}"/>
    <cellStyle name="Normal 4 2 2 2 2 2 3 2 4" xfId="26758" xr:uid="{D8DF39DE-DEBC-4B6D-BF97-3D569CC19CCF}"/>
    <cellStyle name="Normal 4 2 2 2 2 2 3 2 5" xfId="16823" xr:uid="{8D6CD8B5-B9D3-4D1A-932C-4FDA296EAACE}"/>
    <cellStyle name="Normal 4 2 2 2 2 2 3 3" xfId="6337" xr:uid="{3D22DF39-A235-4A42-AC45-2DFC73B9B481}"/>
    <cellStyle name="Normal 4 2 2 2 2 2 3 3 2" xfId="15906" xr:uid="{20EFF842-34D6-413B-A22E-5B91EEB0AD2A}"/>
    <cellStyle name="Normal 4 2 2 2 2 2 3 4" xfId="8359" xr:uid="{B62D4CB3-E43D-4F06-8BB2-4ED8C9FE06BC}"/>
    <cellStyle name="Normal 4 2 2 2 2 2 3 4 2" xfId="18739" xr:uid="{D52C76AA-AA51-4268-BE14-158A9A6BBDFF}"/>
    <cellStyle name="Normal 4 2 2 2 2 2 3 5" xfId="11192" xr:uid="{3E981503-59DE-4E02-9232-C87B1235CD5D}"/>
    <cellStyle name="Normal 4 2 2 2 2 2 3 5 2" xfId="21572" xr:uid="{44313A65-735C-4B6F-9E3D-EC1D47FD9835}"/>
    <cellStyle name="Normal 4 2 2 2 2 2 3 6" xfId="23992" xr:uid="{A66FD1E4-2484-479A-8073-731C626FE251}"/>
    <cellStyle name="Normal 4 2 2 2 2 2 3 7" xfId="13830" xr:uid="{7F59F0FA-9FEF-403D-A242-D34BDDD37F66}"/>
    <cellStyle name="Normal 4 2 2 2 2 2 4" xfId="3277" xr:uid="{00000000-0005-0000-0000-00005D050000}"/>
    <cellStyle name="Normal 4 2 2 2 2 2 4 2" xfId="6335" xr:uid="{7A735161-B8C5-44A4-A4CE-A5FEEF41D92B}"/>
    <cellStyle name="Normal 4 2 2 2 2 2 4 2 2" xfId="26631" xr:uid="{6DAB9FC2-EFC9-4B64-AED0-A9FEE05D1429}"/>
    <cellStyle name="Normal 4 2 2 2 2 2 4 2 3" xfId="15904" xr:uid="{82A4BE76-6424-490A-BAD3-E9981441ADFF}"/>
    <cellStyle name="Normal 4 2 2 2 2 2 4 3" xfId="8357" xr:uid="{C0A69965-9CE8-4AAD-90D3-8CD6D399852A}"/>
    <cellStyle name="Normal 4 2 2 2 2 2 4 3 2" xfId="18737" xr:uid="{F02D0328-7796-4150-9617-E54D067863F7}"/>
    <cellStyle name="Normal 4 2 2 2 2 2 4 4" xfId="11190" xr:uid="{DA82A739-2A85-4F7E-93B4-0A10E74E95B8}"/>
    <cellStyle name="Normal 4 2 2 2 2 2 4 4 2" xfId="21570" xr:uid="{2ADCF35A-5C13-4FBF-9683-A53E1D794BB6}"/>
    <cellStyle name="Normal 4 2 2 2 2 2 4 5" xfId="24755" xr:uid="{E3ED486C-C073-4F6D-924E-826C33313BA5}"/>
    <cellStyle name="Normal 4 2 2 2 2 2 4 6" xfId="13828" xr:uid="{D7B5A615-11BF-4D15-A925-307EF0939938}"/>
    <cellStyle name="Normal 4 2 2 2 2 2 5" xfId="4248" xr:uid="{CC6D375D-BD4D-40F5-9C57-7D2555740F5E}"/>
    <cellStyle name="Normal 4 2 2 2 2 2 5 2" xfId="9020" xr:uid="{4DC7DB8F-38A3-4B33-A67C-CF99CC9D11EE}"/>
    <cellStyle name="Normal 4 2 2 2 2 2 5 2 2" xfId="29091" xr:uid="{91B21A91-3A94-4F37-A8DC-9EB5B6AD36FC}"/>
    <cellStyle name="Normal 4 2 2 2 2 2 5 2 3" xfId="19400" xr:uid="{5CD80ABA-E1E9-4602-8258-8E1497F69587}"/>
    <cellStyle name="Normal 4 2 2 2 2 2 5 3" xfId="11853" xr:uid="{C0EF5E50-5348-49CA-B68D-21DE54DE347E}"/>
    <cellStyle name="Normal 4 2 2 2 2 2 5 3 2" xfId="22233" xr:uid="{91C55B56-521E-473A-B31D-860E68AB3DC2}"/>
    <cellStyle name="Normal 4 2 2 2 2 2 5 4" xfId="25470" xr:uid="{28BA4A29-AD1A-4A54-AE20-AEB3BC2E7175}"/>
    <cellStyle name="Normal 4 2 2 2 2 2 5 5" xfId="16567" xr:uid="{943696B2-CEE6-4E22-B067-25005356976F}"/>
    <cellStyle name="Normal 4 2 2 2 2 2 6" xfId="5221" xr:uid="{8D425C41-DB49-4C08-8292-EEBA558AED65}"/>
    <cellStyle name="Normal 4 2 2 2 2 2 6 2" xfId="26103" xr:uid="{3797F20E-714F-47D7-AABA-4F2A42BBC04D}"/>
    <cellStyle name="Normal 4 2 2 2 2 2 6 3" xfId="14519" xr:uid="{1EF54C17-758F-4721-881E-32B942577160}"/>
    <cellStyle name="Normal 4 2 2 2 2 2 7" xfId="6972" xr:uid="{4D95FE9B-573B-4455-80C7-E879AF30CE0A}"/>
    <cellStyle name="Normal 4 2 2 2 2 2 7 2" xfId="17352" xr:uid="{5E91A820-70D7-4845-B9B2-02D632E906BC}"/>
    <cellStyle name="Normal 4 2 2 2 2 2 8" xfId="9805" xr:uid="{6435EA55-4A57-4026-BBFE-853758CC3F04}"/>
    <cellStyle name="Normal 4 2 2 2 2 2 8 2" xfId="20185" xr:uid="{0040778D-3436-4031-B47B-7043A6EDC977}"/>
    <cellStyle name="Normal 4 2 2 2 2 2 9" xfId="22805" xr:uid="{405BFEED-439C-4ECB-9DD2-C937295F820A}"/>
    <cellStyle name="Normal 4 2 2 2 2 3" xfId="2764" xr:uid="{00000000-0005-0000-0000-00005E050000}"/>
    <cellStyle name="Normal 4 2 2 2 2 3 2" xfId="3280" xr:uid="{00000000-0005-0000-0000-00005F050000}"/>
    <cellStyle name="Normal 4 2 2 2 2 3 2 2" xfId="6338" xr:uid="{6F599886-50AC-44C8-BB63-387A109B2C0C}"/>
    <cellStyle name="Normal 4 2 2 2 2 3 2 2 2" xfId="28294" xr:uid="{C3D29537-2C39-45E4-9B83-9A7C9FBB291E}"/>
    <cellStyle name="Normal 4 2 2 2 2 3 2 2 3" xfId="15907" xr:uid="{12E46451-17A2-49E9-B949-BA87973F3990}"/>
    <cellStyle name="Normal 4 2 2 2 2 3 2 3" xfId="8360" xr:uid="{CAAA5857-6B10-4F1C-BD3B-47F91B744DDD}"/>
    <cellStyle name="Normal 4 2 2 2 2 3 2 3 2" xfId="18740" xr:uid="{366D2C2C-2663-4830-93C1-A3A75DC980BA}"/>
    <cellStyle name="Normal 4 2 2 2 2 3 2 4" xfId="11193" xr:uid="{AF994CEA-8DDC-4B2D-8F5B-4191DA0CEAA3}"/>
    <cellStyle name="Normal 4 2 2 2 2 3 2 4 2" xfId="21573" xr:uid="{3E972101-8543-4643-99BC-C2BC9EA6E181}"/>
    <cellStyle name="Normal 4 2 2 2 2 3 2 5" xfId="23819" xr:uid="{8317A978-06D6-47EF-A1A5-03A902BCAEFE}"/>
    <cellStyle name="Normal 4 2 2 2 2 3 2 6" xfId="13831" xr:uid="{33CB82B1-B3D6-4C39-97FB-08508AEE9FCB}"/>
    <cellStyle name="Normal 4 2 2 2 2 3 3" xfId="4322" xr:uid="{C3395475-EFDB-4698-84AF-97E8EB448CA9}"/>
    <cellStyle name="Normal 4 2 2 2 2 3 3 2" xfId="9094" xr:uid="{064CBE81-A934-4A21-A818-105ED985EC0D}"/>
    <cellStyle name="Normal 4 2 2 2 2 3 3 2 2" xfId="29137" xr:uid="{00C57CEC-F247-4291-9634-6F04CED5819E}"/>
    <cellStyle name="Normal 4 2 2 2 2 3 3 2 3" xfId="19474" xr:uid="{B03D30EE-5FE1-497E-A5A7-ADF8B01A2439}"/>
    <cellStyle name="Normal 4 2 2 2 2 3 3 3" xfId="11927" xr:uid="{E304E41F-6D35-4010-8A1E-A3B506FC073C}"/>
    <cellStyle name="Normal 4 2 2 2 2 3 3 3 2" xfId="22307" xr:uid="{1CCC0997-75C1-4453-B046-2440FA702C06}"/>
    <cellStyle name="Normal 4 2 2 2 2 3 3 4" xfId="23905" xr:uid="{331EDECF-7D60-4CE5-A477-CF6F841D8940}"/>
    <cellStyle name="Normal 4 2 2 2 2 3 3 5" xfId="16641" xr:uid="{DC8E110D-2CDC-4699-92F3-98582196137E}"/>
    <cellStyle name="Normal 4 2 2 2 2 3 4" xfId="5982" xr:uid="{82511949-F407-4787-AB88-3B911D3733BD}"/>
    <cellStyle name="Normal 4 2 2 2 2 3 4 2" xfId="28545" xr:uid="{567136AE-C2C4-4AD1-97D8-639A684F147D}"/>
    <cellStyle name="Normal 4 2 2 2 2 3 4 3" xfId="15435" xr:uid="{74A6AA41-E4EB-43E7-9C1E-5328428D32C7}"/>
    <cellStyle name="Normal 4 2 2 2 2 3 5" xfId="7888" xr:uid="{DE58D20C-2F88-4D7D-BD01-3512CBDC095E}"/>
    <cellStyle name="Normal 4 2 2 2 2 3 5 2" xfId="18268" xr:uid="{184D57AF-D37C-42E0-A9BF-D97A730CC4A5}"/>
    <cellStyle name="Normal 4 2 2 2 2 3 6" xfId="10721" xr:uid="{0B4729B8-3E78-47E4-A1D3-CC04345AB3EF}"/>
    <cellStyle name="Normal 4 2 2 2 2 3 6 2" xfId="21101" xr:uid="{3D377C8A-6FB9-41F2-BFA6-AE9A8EB3742C}"/>
    <cellStyle name="Normal 4 2 2 2 2 3 7" xfId="23862" xr:uid="{6D28C593-A7B1-439A-855E-26108A25625D}"/>
    <cellStyle name="Normal 4 2 2 2 2 3 8" xfId="13212" xr:uid="{2F74BFD1-832B-4EDB-8525-BB152BCEF047}"/>
    <cellStyle name="Normal 4 2 2 2 2 4" xfId="3281" xr:uid="{00000000-0005-0000-0000-000060050000}"/>
    <cellStyle name="Normal 4 2 2 2 2 4 2" xfId="4505" xr:uid="{A423A57F-4B31-4ABC-94E5-261B442008F4}"/>
    <cellStyle name="Normal 4 2 2 2 2 4 2 2" xfId="9277" xr:uid="{01125D3C-A911-41C1-A52A-E9713F0CA091}"/>
    <cellStyle name="Normal 4 2 2 2 2 4 2 2 2" xfId="19657" xr:uid="{4EAFBCB5-9E0A-4E27-87FE-F6B6E7A1E05A}"/>
    <cellStyle name="Normal 4 2 2 2 2 4 2 3" xfId="12110" xr:uid="{0C9A767A-4E2E-44B8-83BE-81C71939CEFE}"/>
    <cellStyle name="Normal 4 2 2 2 2 4 2 3 2" xfId="22490" xr:uid="{2A927B39-6FD2-4FF0-AB17-9AE29384958F}"/>
    <cellStyle name="Normal 4 2 2 2 2 4 2 4" xfId="27942" xr:uid="{7426BC20-4997-46FE-BA4F-2F944E01A8DB}"/>
    <cellStyle name="Normal 4 2 2 2 2 4 2 5" xfId="16824" xr:uid="{95E11B15-F74B-4978-B820-74FD92A3F434}"/>
    <cellStyle name="Normal 4 2 2 2 2 4 3" xfId="6339" xr:uid="{FF70B162-4850-4388-B5CA-EEFAEB34D3E2}"/>
    <cellStyle name="Normal 4 2 2 2 2 4 3 2" xfId="15908" xr:uid="{C215E602-59B2-4BC4-B2B0-158367296468}"/>
    <cellStyle name="Normal 4 2 2 2 2 4 4" xfId="8361" xr:uid="{A19C8D5D-4DAD-4D76-AEEE-A5DC9E9F75B7}"/>
    <cellStyle name="Normal 4 2 2 2 2 4 4 2" xfId="18741" xr:uid="{A805E533-3D68-46DF-A972-069B1DB12A96}"/>
    <cellStyle name="Normal 4 2 2 2 2 4 5" xfId="11194" xr:uid="{1E7601FC-DD29-49F5-AE25-E5EF8894E07D}"/>
    <cellStyle name="Normal 4 2 2 2 2 4 5 2" xfId="21574" xr:uid="{78D30B21-FCE6-4C62-B0A2-8757813E3BA7}"/>
    <cellStyle name="Normal 4 2 2 2 2 4 6" xfId="23534" xr:uid="{98E53F46-CB64-45E1-84CB-035C4715276C}"/>
    <cellStyle name="Normal 4 2 2 2 2 4 7" xfId="13832" xr:uid="{F6122276-2D32-4C10-8C43-5F49D34D894B}"/>
    <cellStyle name="Normal 4 2 2 2 2 5" xfId="3276" xr:uid="{00000000-0005-0000-0000-000061050000}"/>
    <cellStyle name="Normal 4 2 2 2 2 5 2" xfId="6334" xr:uid="{60F73424-790C-46E1-B5C6-885A1AF07FF6}"/>
    <cellStyle name="Normal 4 2 2 2 2 5 2 2" xfId="28000" xr:uid="{8BC18318-709F-4054-902A-E7AE5D25BFF9}"/>
    <cellStyle name="Normal 4 2 2 2 2 5 2 3" xfId="15903" xr:uid="{9C0574D4-FB05-4BD5-826A-8C05666DCD78}"/>
    <cellStyle name="Normal 4 2 2 2 2 5 3" xfId="8356" xr:uid="{CD849E83-F7D1-4A92-955F-9C1A6644143D}"/>
    <cellStyle name="Normal 4 2 2 2 2 5 3 2" xfId="18736" xr:uid="{4F487EA7-6651-4245-BF24-630B16ED073B}"/>
    <cellStyle name="Normal 4 2 2 2 2 5 4" xfId="11189" xr:uid="{D225D92F-E41F-42B4-B89D-25457A02BFCA}"/>
    <cellStyle name="Normal 4 2 2 2 2 5 4 2" xfId="21569" xr:uid="{12619C35-F315-4D9D-A84E-273D6CC5238A}"/>
    <cellStyle name="Normal 4 2 2 2 2 5 5" xfId="24252" xr:uid="{A296CF64-4476-444F-98F6-78180AB82126}"/>
    <cellStyle name="Normal 4 2 2 2 2 5 6" xfId="13827" xr:uid="{5FE98964-64C5-40FC-87C7-397116A3E87B}"/>
    <cellStyle name="Normal 4 2 2 2 2 6" xfId="2558" xr:uid="{00000000-0005-0000-0000-000062050000}"/>
    <cellStyle name="Normal 4 2 2 2 2 6 2" xfId="5828" xr:uid="{0DF684C7-764C-4AAC-8CD8-14201A6C6590}"/>
    <cellStyle name="Normal 4 2 2 2 2 6 2 2" xfId="27216" xr:uid="{0B025752-5132-41E9-99B4-38149AF0795A}"/>
    <cellStyle name="Normal 4 2 2 2 2 6 2 3" xfId="15230" xr:uid="{58068AC9-58D3-461F-BB08-9F9B2240891D}"/>
    <cellStyle name="Normal 4 2 2 2 2 6 3" xfId="7683" xr:uid="{230B2416-A2F5-44E7-8B0D-FE6882FF5675}"/>
    <cellStyle name="Normal 4 2 2 2 2 6 3 2" xfId="18063" xr:uid="{CC6576D4-B509-4518-9ED6-F821A660E7F9}"/>
    <cellStyle name="Normal 4 2 2 2 2 6 4" xfId="10516" xr:uid="{FDB8EBD0-01F4-4E5C-A1B8-6FB6E9030363}"/>
    <cellStyle name="Normal 4 2 2 2 2 6 4 2" xfId="20896" xr:uid="{7CF60288-1231-484C-BDA0-74CA89989A7F}"/>
    <cellStyle name="Normal 4 2 2 2 2 6 5" xfId="24947" xr:uid="{20493766-E88B-4D6A-BA0E-13FDFE62A073}"/>
    <cellStyle name="Normal 4 2 2 2 2 6 6" xfId="12946" xr:uid="{8A840297-6404-4D8D-BFD8-B0944E3D8CE5}"/>
    <cellStyle name="Normal 4 2 2 2 2 7" xfId="2252" xr:uid="{00000000-0005-0000-0000-000058050000}"/>
    <cellStyle name="Normal 4 2 2 2 2 7 2" xfId="7379" xr:uid="{6254E648-DD1A-4488-82E8-25A0BE964A06}"/>
    <cellStyle name="Normal 4 2 2 2 2 7 2 2" xfId="17759" xr:uid="{52AE3BC1-BB63-4E5C-BE16-6713D509A65E}"/>
    <cellStyle name="Normal 4 2 2 2 2 7 3" xfId="10212" xr:uid="{1E482F3D-96F8-440C-BE60-A80086D8B3A8}"/>
    <cellStyle name="Normal 4 2 2 2 2 7 3 2" xfId="20592" xr:uid="{6CC03342-5797-44F3-996E-B8275468CEDF}"/>
    <cellStyle name="Normal 4 2 2 2 2 7 4" xfId="22790" xr:uid="{9BCF720B-752D-48A4-9E53-8CFF0F96D762}"/>
    <cellStyle name="Normal 4 2 2 2 2 7 5" xfId="14926" xr:uid="{0FBE1125-EB6C-4287-97AB-777916CFB58B}"/>
    <cellStyle name="Normal 4 2 2 2 2 8" xfId="3803" xr:uid="{24DA41A7-685F-424A-BFC2-2BBAB9FDCAE4}"/>
    <cellStyle name="Normal 4 2 2 2 2 8 2" xfId="8639" xr:uid="{EE91C2E1-CEEC-4FA3-B153-68C755A4A508}"/>
    <cellStyle name="Normal 4 2 2 2 2 8 2 2" xfId="19019" xr:uid="{592F2261-B02C-4FA5-B080-1625E0E8FD5F}"/>
    <cellStyle name="Normal 4 2 2 2 2 8 3" xfId="11472" xr:uid="{3B65E4CB-832D-49D9-97A9-556C3AFB1965}"/>
    <cellStyle name="Normal 4 2 2 2 2 8 3 2" xfId="21852" xr:uid="{E01C12FF-0186-410A-A58F-A8D094EE9F31}"/>
    <cellStyle name="Normal 4 2 2 2 2 8 4" xfId="16186" xr:uid="{16C9592A-6A5B-4535-B26D-DF226ACE4CCA}"/>
    <cellStyle name="Normal 4 2 2 2 2 9" xfId="5220" xr:uid="{098FB361-0977-449C-A54A-751652BABDB3}"/>
    <cellStyle name="Normal 4 2 2 2 2 9 2" xfId="14518" xr:uid="{6C2C943B-1F73-4481-B253-8FC5292D5710}"/>
    <cellStyle name="Normal 4 2 2 2 3" xfId="917" xr:uid="{00000000-0005-0000-0000-000047050000}"/>
    <cellStyle name="Normal 4 2 2 2 3 10" xfId="9806" xr:uid="{47D7B61C-4B5F-48EF-AE2A-F6164E629AC3}"/>
    <cellStyle name="Normal 4 2 2 2 3 10 2" xfId="20186" xr:uid="{D188C3D8-E33C-44DA-A6D5-05210E795B88}"/>
    <cellStyle name="Normal 4 2 2 2 3 11" xfId="23765" xr:uid="{1FA630D4-DC6C-4FED-822C-365CE5A7D548}"/>
    <cellStyle name="Normal 4 2 2 2 3 12" xfId="12584" xr:uid="{56C1FD10-DAD2-4CAA-A17F-5A72D2C2C2C9}"/>
    <cellStyle name="Normal 4 2 2 2 3 2" xfId="2766" xr:uid="{00000000-0005-0000-0000-000064050000}"/>
    <cellStyle name="Normal 4 2 2 2 3 2 2" xfId="3283" xr:uid="{00000000-0005-0000-0000-000065050000}"/>
    <cellStyle name="Normal 4 2 2 2 3 2 2 2" xfId="6341" xr:uid="{23D571E8-0208-4D73-98AA-0AAC948AC8F0}"/>
    <cellStyle name="Normal 4 2 2 2 3 2 2 2 2" xfId="28086" xr:uid="{5BC5DC13-3946-4B4D-95D2-B4BCFDD9D2AE}"/>
    <cellStyle name="Normal 4 2 2 2 3 2 2 2 3" xfId="15910" xr:uid="{08EA4DAE-CBBF-42F3-991F-65568DD9D8C9}"/>
    <cellStyle name="Normal 4 2 2 2 3 2 2 3" xfId="8363" xr:uid="{5209D608-A312-4385-A725-D938A6D35EC6}"/>
    <cellStyle name="Normal 4 2 2 2 3 2 2 3 2" xfId="18743" xr:uid="{D9A02B23-C4B8-47F7-9E8B-68A9D5E2F43D}"/>
    <cellStyle name="Normal 4 2 2 2 3 2 2 4" xfId="11196" xr:uid="{9F13AB9E-7EC7-4554-AB2B-4E151B9AA314}"/>
    <cellStyle name="Normal 4 2 2 2 3 2 2 4 2" xfId="21576" xr:uid="{4EC84CC0-3C85-4F09-8318-6F62D9478C5A}"/>
    <cellStyle name="Normal 4 2 2 2 3 2 2 5" xfId="24054" xr:uid="{CB7E155F-202C-4244-8B23-502BD8CB1D41}"/>
    <cellStyle name="Normal 4 2 2 2 3 2 2 6" xfId="13834" xr:uid="{6E75D810-67ED-4B4C-8F20-A0E3D6FECAFB}"/>
    <cellStyle name="Normal 4 2 2 2 3 2 3" xfId="4324" xr:uid="{4FABEAB4-BFF2-4733-B2E3-5947C5455FC7}"/>
    <cellStyle name="Normal 4 2 2 2 3 2 3 2" xfId="9096" xr:uid="{640A9CF6-988B-43DD-9C1D-13B8166CF6A6}"/>
    <cellStyle name="Normal 4 2 2 2 3 2 3 2 2" xfId="29139" xr:uid="{ED13436E-3563-44D4-B170-08A5FAEABBCA}"/>
    <cellStyle name="Normal 4 2 2 2 3 2 3 2 3" xfId="19476" xr:uid="{DA1B4311-E792-4739-AAF3-B687F4D4F731}"/>
    <cellStyle name="Normal 4 2 2 2 3 2 3 3" xfId="11929" xr:uid="{B2075360-9661-4E49-A14A-B7FF820019B4}"/>
    <cellStyle name="Normal 4 2 2 2 3 2 3 3 2" xfId="22309" xr:uid="{3ED2E095-0567-4CF4-A874-D928FDC61044}"/>
    <cellStyle name="Normal 4 2 2 2 3 2 3 4" xfId="24002" xr:uid="{E80D8598-27AE-4BB1-93E8-53F0FDEABD7D}"/>
    <cellStyle name="Normal 4 2 2 2 3 2 3 5" xfId="16643" xr:uid="{77361467-D4BA-4CAE-AEE8-26900A67AE3F}"/>
    <cellStyle name="Normal 4 2 2 2 3 2 4" xfId="5984" xr:uid="{C72175AA-C9EA-4F44-8B5C-0438F0FD2F0B}"/>
    <cellStyle name="Normal 4 2 2 2 3 2 4 2" xfId="26192" xr:uid="{5C3FD90B-B17F-43D9-BD17-983240DFCE39}"/>
    <cellStyle name="Normal 4 2 2 2 3 2 4 3" xfId="15437" xr:uid="{27BBE414-D942-48C6-9663-F4403ACCD803}"/>
    <cellStyle name="Normal 4 2 2 2 3 2 5" xfId="7890" xr:uid="{41896ECE-885C-4CE2-8060-2565205E09B1}"/>
    <cellStyle name="Normal 4 2 2 2 3 2 5 2" xfId="18270" xr:uid="{65AEFC6B-78E4-4DB4-A21E-9056ED9F7F28}"/>
    <cellStyle name="Normal 4 2 2 2 3 2 6" xfId="10723" xr:uid="{FCBF7084-238B-4855-B8E2-AAD00D84AC09}"/>
    <cellStyle name="Normal 4 2 2 2 3 2 6 2" xfId="21103" xr:uid="{2774C62D-697B-41CD-9CAE-8906AD8BD80D}"/>
    <cellStyle name="Normal 4 2 2 2 3 2 7" xfId="24602" xr:uid="{23407B31-2950-4252-B410-1E954824E197}"/>
    <cellStyle name="Normal 4 2 2 2 3 2 8" xfId="13214" xr:uid="{8A13A376-05AC-4A95-9E3A-B70CB94A17E3}"/>
    <cellStyle name="Normal 4 2 2 2 3 3" xfId="3284" xr:uid="{00000000-0005-0000-0000-000066050000}"/>
    <cellStyle name="Normal 4 2 2 2 3 3 2" xfId="4506" xr:uid="{B51A62CE-E34A-4E74-9C18-46C2C94512CA}"/>
    <cellStyle name="Normal 4 2 2 2 3 3 2 2" xfId="9278" xr:uid="{2CCC404B-302C-4853-908C-10864B09B373}"/>
    <cellStyle name="Normal 4 2 2 2 3 3 2 2 2" xfId="29259" xr:uid="{A03F0689-EB93-4231-8FD5-B048413C71AC}"/>
    <cellStyle name="Normal 4 2 2 2 3 3 2 2 3" xfId="19658" xr:uid="{889C5688-D942-4CF4-92A9-4775679CC015}"/>
    <cellStyle name="Normal 4 2 2 2 3 3 2 3" xfId="12111" xr:uid="{9055429D-ECF7-46AB-9299-2C04CEFF549E}"/>
    <cellStyle name="Normal 4 2 2 2 3 3 2 3 2" xfId="22491" xr:uid="{B1D25EE4-F4B9-4EEE-BBE8-2F5C3345CEF8}"/>
    <cellStyle name="Normal 4 2 2 2 3 3 2 4" xfId="25060" xr:uid="{38AD75FE-55CD-4010-BCC9-A1FAA2F90A67}"/>
    <cellStyle name="Normal 4 2 2 2 3 3 2 5" xfId="16825" xr:uid="{2A67E511-EDDD-4A20-9C27-078451C900C7}"/>
    <cellStyle name="Normal 4 2 2 2 3 3 3" xfId="6342" xr:uid="{63CF34C2-9C02-4748-BD86-E2B2E19C348A}"/>
    <cellStyle name="Normal 4 2 2 2 3 3 3 2" xfId="26159" xr:uid="{8280DF36-EEE6-491A-9D09-664698192FC7}"/>
    <cellStyle name="Normal 4 2 2 2 3 3 3 3" xfId="15911" xr:uid="{34FDF884-0B17-49C1-BACF-F02E078DE7F8}"/>
    <cellStyle name="Normal 4 2 2 2 3 3 4" xfId="8364" xr:uid="{343CF02A-958B-4B44-8833-A4B600F0E7EC}"/>
    <cellStyle name="Normal 4 2 2 2 3 3 4 2" xfId="18744" xr:uid="{C508E7EE-F3B7-434D-BEF2-A9B5219E428B}"/>
    <cellStyle name="Normal 4 2 2 2 3 3 5" xfId="11197" xr:uid="{CD0BAF0A-1603-43A8-BCA6-7C56D9B4F913}"/>
    <cellStyle name="Normal 4 2 2 2 3 3 5 2" xfId="21577" xr:uid="{EF6C10FF-43B8-4280-B1FA-DF459CAE5F5E}"/>
    <cellStyle name="Normal 4 2 2 2 3 3 6" xfId="25018" xr:uid="{12EB2416-BD58-454B-9959-18E03C063F32}"/>
    <cellStyle name="Normal 4 2 2 2 3 3 7" xfId="13835" xr:uid="{CB5DEEED-B8EE-485A-9634-C2434881B8F5}"/>
    <cellStyle name="Normal 4 2 2 2 3 4" xfId="3282" xr:uid="{00000000-0005-0000-0000-000067050000}"/>
    <cellStyle name="Normal 4 2 2 2 3 4 2" xfId="6340" xr:uid="{84906B7B-D4F1-47A1-ABC3-A02A1312675E}"/>
    <cellStyle name="Normal 4 2 2 2 3 4 2 2" xfId="26647" xr:uid="{2C145300-C97C-4971-BF83-8398451F4330}"/>
    <cellStyle name="Normal 4 2 2 2 3 4 2 3" xfId="15909" xr:uid="{75841195-DF04-4BA5-82DE-9684B1D713F6}"/>
    <cellStyle name="Normal 4 2 2 2 3 4 3" xfId="8362" xr:uid="{AC708855-A337-4B62-A848-0B24072AFEEF}"/>
    <cellStyle name="Normal 4 2 2 2 3 4 3 2" xfId="18742" xr:uid="{0E1C300D-5ABE-4497-B2C7-47C2748CE773}"/>
    <cellStyle name="Normal 4 2 2 2 3 4 4" xfId="11195" xr:uid="{92CF7EB8-8E4F-4F3D-81F3-11FF89BB63E3}"/>
    <cellStyle name="Normal 4 2 2 2 3 4 4 2" xfId="21575" xr:uid="{19C844FD-E66B-4B11-A942-0C0DFBE1AA29}"/>
    <cellStyle name="Normal 4 2 2 2 3 4 5" xfId="24917" xr:uid="{11FE66E9-72D7-4C23-867F-9FD3DA77D68A}"/>
    <cellStyle name="Normal 4 2 2 2 3 4 6" xfId="13833" xr:uid="{ADE1AFF2-8C1A-4670-BFA5-266DCD9E2748}"/>
    <cellStyle name="Normal 4 2 2 2 3 5" xfId="2601" xr:uid="{00000000-0005-0000-0000-000068050000}"/>
    <cellStyle name="Normal 4 2 2 2 3 5 2" xfId="5866" xr:uid="{83688F7B-15CE-4845-A4A9-062CEA153E02}"/>
    <cellStyle name="Normal 4 2 2 2 3 5 2 2" xfId="28039" xr:uid="{66BDFECE-8E62-482C-B315-AAC3B030A9AD}"/>
    <cellStyle name="Normal 4 2 2 2 3 5 2 3" xfId="15273" xr:uid="{DA135101-8362-4D70-B2BA-A90EDCAD79F7}"/>
    <cellStyle name="Normal 4 2 2 2 3 5 3" xfId="7726" xr:uid="{722BF4E1-1CE2-4E31-B297-1429B8FCA87C}"/>
    <cellStyle name="Normal 4 2 2 2 3 5 3 2" xfId="18106" xr:uid="{B88ECCA1-EE4B-4376-B76B-EE8330706F0A}"/>
    <cellStyle name="Normal 4 2 2 2 3 5 4" xfId="10559" xr:uid="{88BE88D3-ECFE-4943-A802-391E49668A93}"/>
    <cellStyle name="Normal 4 2 2 2 3 5 4 2" xfId="20939" xr:uid="{16CB8B2A-B38A-40C8-86CD-E0877DEE8032}"/>
    <cellStyle name="Normal 4 2 2 2 3 5 5" xfId="25357" xr:uid="{0EE88708-E060-41B8-818F-1CF83BF59345}"/>
    <cellStyle name="Normal 4 2 2 2 3 5 6" xfId="12989" xr:uid="{4073137C-AB90-4AC6-B6E9-DEA045DBF4FF}"/>
    <cellStyle name="Normal 4 2 2 2 3 6" xfId="2350" xr:uid="{00000000-0005-0000-0000-000063050000}"/>
    <cellStyle name="Normal 4 2 2 2 3 6 2" xfId="7477" xr:uid="{225E50F3-147D-4227-B435-E86D71DD914B}"/>
    <cellStyle name="Normal 4 2 2 2 3 6 2 2" xfId="17857" xr:uid="{DD96CC2C-E349-4109-910F-25D613F735DA}"/>
    <cellStyle name="Normal 4 2 2 2 3 6 3" xfId="10310" xr:uid="{67DC567D-8371-4415-9382-97D6CD20ED76}"/>
    <cellStyle name="Normal 4 2 2 2 3 6 3 2" xfId="20690" xr:uid="{A9BB8DD5-D192-499E-AC36-22D30AAA30D7}"/>
    <cellStyle name="Normal 4 2 2 2 3 6 4" xfId="25412" xr:uid="{C30C510D-244E-47DB-8CD0-D58F70CF0CB9}"/>
    <cellStyle name="Normal 4 2 2 2 3 6 5" xfId="15024" xr:uid="{4657A565-7808-4B27-A1D8-8288D0C19352}"/>
    <cellStyle name="Normal 4 2 2 2 3 7" xfId="3880" xr:uid="{E15CBF60-A602-42B3-95FB-FF35C357C80E}"/>
    <cellStyle name="Normal 4 2 2 2 3 7 2" xfId="8712" xr:uid="{ECDC04D8-486B-4194-BB3F-DEAF1FC0A0BB}"/>
    <cellStyle name="Normal 4 2 2 2 3 7 2 2" xfId="19092" xr:uid="{3795D105-2DB6-4577-A405-88F1F3197116}"/>
    <cellStyle name="Normal 4 2 2 2 3 7 3" xfId="11545" xr:uid="{0789174A-1A15-4801-B531-51CDAB9C9C5E}"/>
    <cellStyle name="Normal 4 2 2 2 3 7 3 2" xfId="21925" xr:uid="{6233EBAD-153E-450C-85F9-6C2FB7690721}"/>
    <cellStyle name="Normal 4 2 2 2 3 7 4" xfId="16259" xr:uid="{E432F5C8-8152-420F-97B2-73F079D96A03}"/>
    <cellStyle name="Normal 4 2 2 2 3 8" xfId="5222" xr:uid="{86A7BF5F-C068-4C30-B73F-407DE4B95413}"/>
    <cellStyle name="Normal 4 2 2 2 3 8 2" xfId="14520" xr:uid="{9D8A3E58-18AD-4423-877D-AEAB447B1ABE}"/>
    <cellStyle name="Normal 4 2 2 2 3 9" xfId="6973" xr:uid="{728DC7B3-75EB-41E7-B869-E512F28904D9}"/>
    <cellStyle name="Normal 4 2 2 2 3 9 2" xfId="17353" xr:uid="{9727448C-8D0A-45F4-ABF5-A72216390A5E}"/>
    <cellStyle name="Normal 4 2 2 2 4" xfId="918" xr:uid="{00000000-0005-0000-0000-000048050000}"/>
    <cellStyle name="Normal 4 2 2 2 4 2" xfId="3285" xr:uid="{00000000-0005-0000-0000-00006A050000}"/>
    <cellStyle name="Normal 4 2 2 2 4 2 2" xfId="6343" xr:uid="{C4B46A48-1CA9-4BE2-8607-B3BB86308C02}"/>
    <cellStyle name="Normal 4 2 2 2 4 2 2 2" xfId="27137" xr:uid="{9F1F8244-E3A0-411C-A856-32B4C10DF939}"/>
    <cellStyle name="Normal 4 2 2 2 4 2 2 3" xfId="15912" xr:uid="{6A91B766-9518-4FD0-A550-63A3B3381BDF}"/>
    <cellStyle name="Normal 4 2 2 2 4 2 3" xfId="8365" xr:uid="{BFEB444A-B39A-427F-B850-AD955D810C96}"/>
    <cellStyle name="Normal 4 2 2 2 4 2 3 2" xfId="18745" xr:uid="{E249B219-2AFA-47BD-8707-2135478E115B}"/>
    <cellStyle name="Normal 4 2 2 2 4 2 4" xfId="11198" xr:uid="{290D993C-746C-436D-9BCC-EB5510327F57}"/>
    <cellStyle name="Normal 4 2 2 2 4 2 4 2" xfId="21578" xr:uid="{721941F7-07FA-487B-94A7-208AF6FD6CE7}"/>
    <cellStyle name="Normal 4 2 2 2 4 2 5" xfId="25409" xr:uid="{E82479EF-244A-4211-8851-32C1278A617F}"/>
    <cellStyle name="Normal 4 2 2 2 4 2 6" xfId="13836" xr:uid="{26738D8C-7092-4F23-9798-02C9AA1BC30E}"/>
    <cellStyle name="Normal 4 2 2 2 4 3" xfId="2763" xr:uid="{00000000-0005-0000-0000-00006B050000}"/>
    <cellStyle name="Normal 4 2 2 2 4 3 2" xfId="5981" xr:uid="{F98D6499-6964-458E-9AE0-1B03993E33FA}"/>
    <cellStyle name="Normal 4 2 2 2 4 3 2 2" xfId="28500" xr:uid="{04F6BEF0-094C-48B6-8107-1B362795A795}"/>
    <cellStyle name="Normal 4 2 2 2 4 3 2 3" xfId="15434" xr:uid="{D2312F29-7028-4CF6-8554-2D350BCC4FFB}"/>
    <cellStyle name="Normal 4 2 2 2 4 3 3" xfId="7887" xr:uid="{7CDFBBFC-194A-45A6-B073-04F587ED3E3F}"/>
    <cellStyle name="Normal 4 2 2 2 4 3 3 2" xfId="18267" xr:uid="{EC834A35-9453-4CAF-8950-F802DDB5DC6F}"/>
    <cellStyle name="Normal 4 2 2 2 4 3 4" xfId="10720" xr:uid="{FFBDCC92-C1E4-4C2B-AFAF-FBBADFEBAF62}"/>
    <cellStyle name="Normal 4 2 2 2 4 3 4 2" xfId="21100" xr:uid="{16B084A0-4AE6-498C-8517-15E85C982633}"/>
    <cellStyle name="Normal 4 2 2 2 4 3 5" xfId="24260" xr:uid="{D529CCF3-D1BC-4EC1-95A5-211BF8DDAEEA}"/>
    <cellStyle name="Normal 4 2 2 2 4 3 6" xfId="13211" xr:uid="{F91EB318-9735-4FC2-A7D6-63C57C1DAE43}"/>
    <cellStyle name="Normal 4 2 2 2 4 4" xfId="4180" xr:uid="{09F09E15-871D-4244-890C-93B16B2D3BE3}"/>
    <cellStyle name="Normal 4 2 2 2 4 4 2" xfId="8952" xr:uid="{3C265B06-A5BF-48AD-89A9-2D22F9A5D61E}"/>
    <cellStyle name="Normal 4 2 2 2 4 4 2 2" xfId="19332" xr:uid="{521178AC-315A-4187-A6DA-D40BCC284914}"/>
    <cellStyle name="Normal 4 2 2 2 4 4 3" xfId="11785" xr:uid="{D142966C-F984-4520-B50F-9E4FE6BA102C}"/>
    <cellStyle name="Normal 4 2 2 2 4 4 3 2" xfId="22165" xr:uid="{BDDD4821-8C01-4D78-BB38-35D03234A43C}"/>
    <cellStyle name="Normal 4 2 2 2 4 4 4" xfId="22775" xr:uid="{6B039AF2-98CF-4B6D-96D8-00C613B9D56F}"/>
    <cellStyle name="Normal 4 2 2 2 4 4 5" xfId="16499" xr:uid="{B917C92B-E32B-457D-9BDE-48FA35C389D2}"/>
    <cellStyle name="Normal 4 2 2 2 4 5" xfId="5223" xr:uid="{5C4D6AF4-82E1-41DD-BCC0-3E46B66D7E15}"/>
    <cellStyle name="Normal 4 2 2 2 4 5 2" xfId="14521" xr:uid="{B460FFE8-EBCA-443B-A0C9-5E288F9C981F}"/>
    <cellStyle name="Normal 4 2 2 2 4 6" xfId="6974" xr:uid="{C75A9B51-C5CA-4ADE-84AB-FF4ECCBA604E}"/>
    <cellStyle name="Normal 4 2 2 2 4 6 2" xfId="17354" xr:uid="{869329D5-6304-41A1-949E-A1C36BADE2D0}"/>
    <cellStyle name="Normal 4 2 2 2 4 7" xfId="9807" xr:uid="{A3D628FC-B9AB-4888-8202-144FB0F1C438}"/>
    <cellStyle name="Normal 4 2 2 2 4 7 2" xfId="20187" xr:uid="{3DB03CB8-537F-46DC-B9B9-47CADBD84AB8}"/>
    <cellStyle name="Normal 4 2 2 2 4 8" xfId="24897" xr:uid="{91E13E85-9BCB-4769-8D67-49E29F2EAF30}"/>
    <cellStyle name="Normal 4 2 2 2 4 9" xfId="12742" xr:uid="{9C685099-7178-41A6-87FD-6B656B7C8790}"/>
    <cellStyle name="Normal 4 2 2 2 5" xfId="3286" xr:uid="{00000000-0005-0000-0000-00006C050000}"/>
    <cellStyle name="Normal 4 2 2 2 5 2" xfId="4507" xr:uid="{C38558B0-20A2-4476-87DA-6BFF6065FB72}"/>
    <cellStyle name="Normal 4 2 2 2 5 2 2" xfId="9279" xr:uid="{E0806218-B591-4968-A464-B3CFC314A602}"/>
    <cellStyle name="Normal 4 2 2 2 5 2 2 2" xfId="29260" xr:uid="{CBE4C94A-BFEF-4921-B9D4-BDF3799D9EC4}"/>
    <cellStyle name="Normal 4 2 2 2 5 2 2 3" xfId="19659" xr:uid="{7F52E468-4C7D-4963-8EFE-B305532A9E98}"/>
    <cellStyle name="Normal 4 2 2 2 5 2 3" xfId="12112" xr:uid="{3FA5C244-90D7-448B-A003-E813D33AB845}"/>
    <cellStyle name="Normal 4 2 2 2 5 2 3 2" xfId="22492" xr:uid="{33C03823-B642-4C57-8C16-AAEC2EFF685B}"/>
    <cellStyle name="Normal 4 2 2 2 5 2 4" xfId="23423" xr:uid="{D869F22B-A0AF-40DB-AAF7-0AA930C414B2}"/>
    <cellStyle name="Normal 4 2 2 2 5 2 5" xfId="16826" xr:uid="{956D3CA5-05CC-4296-A22F-A38646B755B3}"/>
    <cellStyle name="Normal 4 2 2 2 5 3" xfId="6344" xr:uid="{EEC73034-AAE7-44A5-BFE4-E5EE8526D30F}"/>
    <cellStyle name="Normal 4 2 2 2 5 3 2" xfId="27664" xr:uid="{F78D3E12-E12D-48EB-9C6A-35C5A4F5082F}"/>
    <cellStyle name="Normal 4 2 2 2 5 3 3" xfId="15913" xr:uid="{D1C4BCCB-C9E7-43E1-B5D0-57A511DF6D74}"/>
    <cellStyle name="Normal 4 2 2 2 5 4" xfId="8366" xr:uid="{654E4D6B-CABE-4867-BC98-A2411752ACCC}"/>
    <cellStyle name="Normal 4 2 2 2 5 4 2" xfId="18746" xr:uid="{A97C0CFD-ACBD-4FA9-95F8-B58DB1F0A5EB}"/>
    <cellStyle name="Normal 4 2 2 2 5 5" xfId="11199" xr:uid="{0D07C26D-2E8B-4E1B-AB67-B08E32EB68DA}"/>
    <cellStyle name="Normal 4 2 2 2 5 5 2" xfId="21579" xr:uid="{DE9345F1-CDD7-4ABB-AC3F-44D7879809BD}"/>
    <cellStyle name="Normal 4 2 2 2 5 6" xfId="23626" xr:uid="{94716677-757A-4C82-AEF7-D595FF518AED}"/>
    <cellStyle name="Normal 4 2 2 2 5 7" xfId="13837" xr:uid="{F629A4FF-E862-472E-A6DE-BF2634491564}"/>
    <cellStyle name="Normal 4 2 2 2 6" xfId="2926" xr:uid="{00000000-0005-0000-0000-00006D050000}"/>
    <cellStyle name="Normal 4 2 2 2 6 2" xfId="6106" xr:uid="{EC6B6115-246A-4E2D-A4D0-BCBFD219C349}"/>
    <cellStyle name="Normal 4 2 2 2 6 2 2" xfId="27552" xr:uid="{E87F3D8D-DCB9-4655-8DE1-DCDB851F043B}"/>
    <cellStyle name="Normal 4 2 2 2 6 2 3" xfId="15584" xr:uid="{64957473-5187-4040-BCE6-86D8A7C2F96B}"/>
    <cellStyle name="Normal 4 2 2 2 6 3" xfId="8037" xr:uid="{4E390FF0-81EF-4B05-A5D5-D107E8BA8641}"/>
    <cellStyle name="Normal 4 2 2 2 6 3 2" xfId="18417" xr:uid="{4C9FF954-9B95-4E4F-94CC-9D81B58025F3}"/>
    <cellStyle name="Normal 4 2 2 2 6 4" xfId="10870" xr:uid="{C7D9EEDE-59CB-4892-A90E-D6CBAA776294}"/>
    <cellStyle name="Normal 4 2 2 2 6 4 2" xfId="21250" xr:uid="{013422BF-270B-44C7-AC44-3A278CD4DF6B}"/>
    <cellStyle name="Normal 4 2 2 2 6 5" xfId="22644" xr:uid="{E1543EFA-274E-4B41-AC5A-2033AED55C16}"/>
    <cellStyle name="Normal 4 2 2 2 6 6" xfId="13440" xr:uid="{1B856EAC-F127-4C13-9933-1ED8CDE6CD7F}"/>
    <cellStyle name="Normal 4 2 2 2 7" xfId="2498" xr:uid="{00000000-0005-0000-0000-00006E050000}"/>
    <cellStyle name="Normal 4 2 2 2 7 2" xfId="5781" xr:uid="{2155F36A-BC96-4357-8425-D920261F69FF}"/>
    <cellStyle name="Normal 4 2 2 2 7 2 2" xfId="26762" xr:uid="{ADAD11F8-F25F-4855-BAE8-EFC94FBD37D3}"/>
    <cellStyle name="Normal 4 2 2 2 7 2 3" xfId="15170" xr:uid="{E80883C3-46A1-47FD-B5AC-8A846D7591A9}"/>
    <cellStyle name="Normal 4 2 2 2 7 3" xfId="7623" xr:uid="{6DD1F1C5-4FF3-43BB-8726-56F22B3580A5}"/>
    <cellStyle name="Normal 4 2 2 2 7 3 2" xfId="18003" xr:uid="{543D6EC0-4DF1-47AB-A541-7269906FF7A8}"/>
    <cellStyle name="Normal 4 2 2 2 7 4" xfId="10456" xr:uid="{7B541D81-392E-494B-9E52-B84DFE8720F2}"/>
    <cellStyle name="Normal 4 2 2 2 7 4 2" xfId="20836" xr:uid="{9B9851DE-6809-4B6A-A05F-EFB36E3F281E}"/>
    <cellStyle name="Normal 4 2 2 2 7 5" xfId="25184" xr:uid="{1A35A034-AFBA-4F4A-875C-3A3926CBB46C}"/>
    <cellStyle name="Normal 4 2 2 2 7 6" xfId="12886" xr:uid="{973CBE25-492A-4DEE-9351-36187EA70F9D}"/>
    <cellStyle name="Normal 4 2 2 2 8" xfId="2192" xr:uid="{00000000-0005-0000-0000-000057050000}"/>
    <cellStyle name="Normal 4 2 2 2 8 2" xfId="7319" xr:uid="{202650CD-28B0-4E67-8827-41E01F03D3C2}"/>
    <cellStyle name="Normal 4 2 2 2 8 2 2" xfId="17699" xr:uid="{22E13DBB-C16D-40EB-A3AE-92B11712B437}"/>
    <cellStyle name="Normal 4 2 2 2 8 3" xfId="10152" xr:uid="{DDC1FFF8-DCB9-41A1-AD22-A544A04EC073}"/>
    <cellStyle name="Normal 4 2 2 2 8 3 2" xfId="20532" xr:uid="{282BB72D-2582-4555-8080-50D626A4473B}"/>
    <cellStyle name="Normal 4 2 2 2 8 4" xfId="22873" xr:uid="{18F331D2-7DF0-4D44-AC68-C52BAE4D538F}"/>
    <cellStyle name="Normal 4 2 2 2 8 5" xfId="14866" xr:uid="{C4251E7B-F494-4BCD-A000-9A36D0D12557}"/>
    <cellStyle name="Normal 4 2 2 2 9" xfId="3971" xr:uid="{E3924D78-0A6A-4160-954B-7BDD5285864D}"/>
    <cellStyle name="Normal 4 2 2 2 9 2" xfId="8795" xr:uid="{AB6CF9CE-B9D0-4210-B8E0-DC6533CA4258}"/>
    <cellStyle name="Normal 4 2 2 2 9 2 2" xfId="19175" xr:uid="{71695F3D-89F5-4DE4-B18F-DCFA154EECDC}"/>
    <cellStyle name="Normal 4 2 2 2 9 3" xfId="11628" xr:uid="{7AC8E88D-7772-433F-995A-E060E7D40B17}"/>
    <cellStyle name="Normal 4 2 2 2 9 3 2" xfId="22008" xr:uid="{881B4292-B64F-467F-B0F4-E3DBBC28FE57}"/>
    <cellStyle name="Normal 4 2 2 2 9 4" xfId="16342" xr:uid="{1D3749AB-17A1-4775-9954-ED2D5FA48BCC}"/>
    <cellStyle name="Normal 4 2 2 3" xfId="919" xr:uid="{00000000-0005-0000-0000-000049050000}"/>
    <cellStyle name="Normal 4 2 2 3 10" xfId="5224" xr:uid="{4C8EB03A-B9E6-4ADB-83F2-4632A0FD4A2B}"/>
    <cellStyle name="Normal 4 2 2 3 10 2" xfId="14522" xr:uid="{7B904648-2E13-475E-8929-1CAFDB91392D}"/>
    <cellStyle name="Normal 4 2 2 3 11" xfId="6975" xr:uid="{A6B2F5C6-3548-4D10-BB4C-0DD9C94E11B5}"/>
    <cellStyle name="Normal 4 2 2 3 11 2" xfId="17355" xr:uid="{81E6248D-E257-462A-8568-10D278AD3795}"/>
    <cellStyle name="Normal 4 2 2 3 12" xfId="9808" xr:uid="{27B0B000-06A1-4CF3-AE41-AC14DEA3D8C1}"/>
    <cellStyle name="Normal 4 2 2 3 12 2" xfId="20188" xr:uid="{F709525A-B072-44F6-B4E0-E5E26CF316E0}"/>
    <cellStyle name="Normal 4 2 2 3 13" xfId="23661" xr:uid="{5661E3C3-41EC-4747-A0C2-DAC047C18CE2}"/>
    <cellStyle name="Normal 4 2 2 3 14" xfId="12461" xr:uid="{45C8C42A-A7F7-4A77-9F12-E8B7335646F6}"/>
    <cellStyle name="Normal 4 2 2 3 2" xfId="920" xr:uid="{00000000-0005-0000-0000-00004A050000}"/>
    <cellStyle name="Normal 4 2 2 3 2 10" xfId="9809" xr:uid="{DE249236-C757-4834-993F-5C73C75AA67F}"/>
    <cellStyle name="Normal 4 2 2 3 2 10 2" xfId="20189" xr:uid="{F789E804-F60C-4EE6-897A-5E66BF106061}"/>
    <cellStyle name="Normal 4 2 2 3 2 11" xfId="25501" xr:uid="{CE144F7C-62F7-4442-9C6C-8946645A422A}"/>
    <cellStyle name="Normal 4 2 2 3 2 12" xfId="12585" xr:uid="{EDE6596E-3C0A-4452-99A5-DAF699009E35}"/>
    <cellStyle name="Normal 4 2 2 3 2 2" xfId="921" xr:uid="{00000000-0005-0000-0000-00004B050000}"/>
    <cellStyle name="Normal 4 2 2 3 2 2 2" xfId="3288" xr:uid="{00000000-0005-0000-0000-000072050000}"/>
    <cellStyle name="Normal 4 2 2 3 2 2 2 2" xfId="6346" xr:uid="{6A54CE14-D909-4302-97CD-DFEA3C63DEFE}"/>
    <cellStyle name="Normal 4 2 2 3 2 2 2 2 2" xfId="27288" xr:uid="{74314792-9A52-4FD3-83EA-A9758D019597}"/>
    <cellStyle name="Normal 4 2 2 3 2 2 2 2 3" xfId="26809" xr:uid="{B31CB6F5-F9A0-42C4-91F0-13935C43AE2C}"/>
    <cellStyle name="Normal 4 2 2 3 2 2 2 2 4" xfId="15915" xr:uid="{A27C0814-8A83-4DDB-8F7C-B1439C12E70C}"/>
    <cellStyle name="Normal 4 2 2 3 2 2 2 3" xfId="8368" xr:uid="{CF2509EC-CF3A-42B5-AB21-5E4FA426CA7D}"/>
    <cellStyle name="Normal 4 2 2 3 2 2 2 3 2" xfId="28898" xr:uid="{E9459B4A-E860-4D0C-B117-ECDB048044CA}"/>
    <cellStyle name="Normal 4 2 2 3 2 2 2 3 3" xfId="18748" xr:uid="{83C0937A-826D-42BF-9A56-14B96ACA789F}"/>
    <cellStyle name="Normal 4 2 2 3 2 2 2 4" xfId="11201" xr:uid="{B1333805-23F5-42D1-A06A-B10B1039CC81}"/>
    <cellStyle name="Normal 4 2 2 3 2 2 2 4 2" xfId="21581" xr:uid="{3B9F75CD-5554-435A-BE1A-EC7F02967A5D}"/>
    <cellStyle name="Normal 4 2 2 3 2 2 2 5" xfId="23527" xr:uid="{41D0B654-967F-4713-B25A-9593268AA2D9}"/>
    <cellStyle name="Normal 4 2 2 3 2 2 2 6" xfId="13839" xr:uid="{FC3937F6-94BF-45BD-BFF6-3D475EA41BE5}"/>
    <cellStyle name="Normal 4 2 2 3 2 2 3" xfId="4326" xr:uid="{B2787D4B-7961-437E-9E35-5D6DDF9D9A8E}"/>
    <cellStyle name="Normal 4 2 2 3 2 2 3 2" xfId="9098" xr:uid="{E9AC06A7-A309-4A91-99B9-7D5C2085F1AC}"/>
    <cellStyle name="Normal 4 2 2 3 2 2 3 2 2" xfId="29141" xr:uid="{75F295F7-4C31-466A-82B8-B55628C300EF}"/>
    <cellStyle name="Normal 4 2 2 3 2 2 3 2 3" xfId="19478" xr:uid="{E9EE146E-DB2D-4132-9FCC-ADA79ADCFB0B}"/>
    <cellStyle name="Normal 4 2 2 3 2 2 3 3" xfId="11931" xr:uid="{EA49450A-8459-4CB3-8CA4-26B90595B325}"/>
    <cellStyle name="Normal 4 2 2 3 2 2 3 3 2" xfId="22311" xr:uid="{86C4B435-7388-4D54-82D1-41ACDEF81221}"/>
    <cellStyle name="Normal 4 2 2 3 2 2 3 4" xfId="25508" xr:uid="{0D38197A-44CC-4C81-B138-82303A9591BC}"/>
    <cellStyle name="Normal 4 2 2 3 2 2 3 5" xfId="16645" xr:uid="{23980CF4-E09C-4D13-B87E-5CCFA853EF8E}"/>
    <cellStyle name="Normal 4 2 2 3 2 2 4" xfId="5226" xr:uid="{C90F8EC9-0711-4445-A27F-548BD7ABFFF8}"/>
    <cellStyle name="Normal 4 2 2 3 2 2 4 2" xfId="26825" xr:uid="{8A36930A-77D3-4494-8377-A6B36B48A0AA}"/>
    <cellStyle name="Normal 4 2 2 3 2 2 4 3" xfId="14524" xr:uid="{591D5692-58AF-4158-844E-AF60AA0FCE90}"/>
    <cellStyle name="Normal 4 2 2 3 2 2 5" xfId="6977" xr:uid="{E6250537-DD63-4B3A-BA35-405BF6064E52}"/>
    <cellStyle name="Normal 4 2 2 3 2 2 5 2" xfId="17357" xr:uid="{702F81DF-B704-48B8-85F6-1713D67E71D8}"/>
    <cellStyle name="Normal 4 2 2 3 2 2 6" xfId="9810" xr:uid="{C4E51B45-3297-4D8A-9EED-5C6B21E518ED}"/>
    <cellStyle name="Normal 4 2 2 3 2 2 6 2" xfId="20190" xr:uid="{1EFB45F9-AA05-429D-A87D-98B6282F9883}"/>
    <cellStyle name="Normal 4 2 2 3 2 2 7" xfId="24423" xr:uid="{CC96FF20-3507-443E-844E-77D6A8BEC4D1}"/>
    <cellStyle name="Normal 4 2 2 3 2 2 8" xfId="13216" xr:uid="{0E02A5E9-2AF7-4929-B622-2CFCBE6193BB}"/>
    <cellStyle name="Normal 4 2 2 3 2 3" xfId="3289" xr:uid="{00000000-0005-0000-0000-000073050000}"/>
    <cellStyle name="Normal 4 2 2 3 2 3 2" xfId="4508" xr:uid="{C36D94FA-6760-4288-AB2F-C8BAEE966C3F}"/>
    <cellStyle name="Normal 4 2 2 3 2 3 2 2" xfId="9280" xr:uid="{6303850A-18D2-40CD-83FF-372915C50C2A}"/>
    <cellStyle name="Normal 4 2 2 3 2 3 2 2 2" xfId="29261" xr:uid="{6EE79945-357E-4B97-8754-EA1A514ED2DD}"/>
    <cellStyle name="Normal 4 2 2 3 2 3 2 2 3" xfId="19660" xr:uid="{38C642DD-E7D8-458B-94A1-D590D07B8655}"/>
    <cellStyle name="Normal 4 2 2 3 2 3 2 3" xfId="12113" xr:uid="{B18BB930-11BE-45B0-A95D-58F13AC6782B}"/>
    <cellStyle name="Normal 4 2 2 3 2 3 2 3 2" xfId="22493" xr:uid="{5C6F0A01-4396-4DDA-817B-0CB09248E996}"/>
    <cellStyle name="Normal 4 2 2 3 2 3 2 4" xfId="24867" xr:uid="{729C037F-17CF-48D9-81BE-F87240CF6698}"/>
    <cellStyle name="Normal 4 2 2 3 2 3 2 5" xfId="16827" xr:uid="{EE1BA9C0-5CBB-4AB9-BBDE-109F29F2BBF9}"/>
    <cellStyle name="Normal 4 2 2 3 2 3 3" xfId="6347" xr:uid="{89E13BB4-452B-4B4E-B512-6F4C7AB53434}"/>
    <cellStyle name="Normal 4 2 2 3 2 3 3 2" xfId="28336" xr:uid="{41BDAC96-9A6F-49BB-8160-E581AB4DDD33}"/>
    <cellStyle name="Normal 4 2 2 3 2 3 3 3" xfId="15916" xr:uid="{61890395-B9E6-41F5-9477-2927DBD163D7}"/>
    <cellStyle name="Normal 4 2 2 3 2 3 4" xfId="8369" xr:uid="{7B3AB6B3-5718-43AF-973E-91A1BEB64A71}"/>
    <cellStyle name="Normal 4 2 2 3 2 3 4 2" xfId="18749" xr:uid="{46A5317C-FB63-4E74-8202-BFD9F96392BA}"/>
    <cellStyle name="Normal 4 2 2 3 2 3 5" xfId="11202" xr:uid="{062485BB-F023-41D3-95F6-7DFC4C3DDB9B}"/>
    <cellStyle name="Normal 4 2 2 3 2 3 5 2" xfId="21582" xr:uid="{50F5A99C-A45E-4535-B4A3-3AE894577F2B}"/>
    <cellStyle name="Normal 4 2 2 3 2 3 6" xfId="22705" xr:uid="{4B8116B2-847D-4D06-9AD9-012C0CA83F0C}"/>
    <cellStyle name="Normal 4 2 2 3 2 3 7" xfId="13840" xr:uid="{E5627E8D-234A-4478-BD39-83DA09E9BC12}"/>
    <cellStyle name="Normal 4 2 2 3 2 4" xfId="3287" xr:uid="{00000000-0005-0000-0000-000074050000}"/>
    <cellStyle name="Normal 4 2 2 3 2 4 2" xfId="6345" xr:uid="{D240B1F4-A6D0-448A-8BDF-63F85E91C8F8}"/>
    <cellStyle name="Normal 4 2 2 3 2 4 2 2" xfId="28474" xr:uid="{18314E4A-AE67-4B6F-B508-912FB11A91DB}"/>
    <cellStyle name="Normal 4 2 2 3 2 4 2 3" xfId="15914" xr:uid="{57CB71E1-FF78-4EF7-8785-8F6EDFBCB33B}"/>
    <cellStyle name="Normal 4 2 2 3 2 4 3" xfId="8367" xr:uid="{92240B2D-38C1-454D-B56E-7E3D0956F970}"/>
    <cellStyle name="Normal 4 2 2 3 2 4 3 2" xfId="18747" xr:uid="{55706EA9-509C-4177-8277-C7D144419419}"/>
    <cellStyle name="Normal 4 2 2 3 2 4 4" xfId="11200" xr:uid="{020EB1DA-255C-4C76-AB91-43E46051CB40}"/>
    <cellStyle name="Normal 4 2 2 3 2 4 4 2" xfId="21580" xr:uid="{211767A5-3246-4480-9B39-F538EC29A29B}"/>
    <cellStyle name="Normal 4 2 2 3 2 4 5" xfId="24204" xr:uid="{9082D8DB-4C96-4830-BD21-A262EBAE688D}"/>
    <cellStyle name="Normal 4 2 2 3 2 4 6" xfId="13838" xr:uid="{F70D6774-E243-4164-A7AF-951DE2E9E02A}"/>
    <cellStyle name="Normal 4 2 2 3 2 5" xfId="2535" xr:uid="{00000000-0005-0000-0000-000075050000}"/>
    <cellStyle name="Normal 4 2 2 3 2 5 2" xfId="5809" xr:uid="{FDCA5AD5-95DA-412D-8D47-258CC2B41DD1}"/>
    <cellStyle name="Normal 4 2 2 3 2 5 2 2" xfId="26978" xr:uid="{DD5C1E70-C5F2-4324-8FC2-7D920610937F}"/>
    <cellStyle name="Normal 4 2 2 3 2 5 2 3" xfId="15207" xr:uid="{80C0A50B-A75B-41D2-8A38-2CD2CE4DFE08}"/>
    <cellStyle name="Normal 4 2 2 3 2 5 3" xfId="7660" xr:uid="{4EEB0860-2372-458C-B5F9-A0CC253A1AE3}"/>
    <cellStyle name="Normal 4 2 2 3 2 5 3 2" xfId="18040" xr:uid="{EC5DD510-18CA-4DBC-A34C-F3120B2B44E6}"/>
    <cellStyle name="Normal 4 2 2 3 2 5 4" xfId="10493" xr:uid="{BA2AC357-34BA-4763-A738-292D2A44C02D}"/>
    <cellStyle name="Normal 4 2 2 3 2 5 4 2" xfId="20873" xr:uid="{97F0FD2C-82B5-497E-BD95-3C5AF1BAADE6}"/>
    <cellStyle name="Normal 4 2 2 3 2 5 5" xfId="23287" xr:uid="{AD5C5887-0803-4E20-9BB9-7BB57DB48E1C}"/>
    <cellStyle name="Normal 4 2 2 3 2 5 6" xfId="12923" xr:uid="{68E2A869-D5B2-42EE-8820-A9D0C6D71C9E}"/>
    <cellStyle name="Normal 4 2 2 3 2 6" xfId="2351" xr:uid="{00000000-0005-0000-0000-000070050000}"/>
    <cellStyle name="Normal 4 2 2 3 2 6 2" xfId="7478" xr:uid="{B3F065FD-3BF3-41C5-98FB-7285E0CEF677}"/>
    <cellStyle name="Normal 4 2 2 3 2 6 2 2" xfId="17858" xr:uid="{BDC82D49-BB9F-499F-BD8E-F48F4542180F}"/>
    <cellStyle name="Normal 4 2 2 3 2 6 3" xfId="10311" xr:uid="{7F6C7885-EA64-4EDE-A8FA-6AAF050F0977}"/>
    <cellStyle name="Normal 4 2 2 3 2 6 3 2" xfId="20691" xr:uid="{6FE03C0A-13E8-4886-927D-BBE3FE3D81F0}"/>
    <cellStyle name="Normal 4 2 2 3 2 6 4" xfId="24130" xr:uid="{E708F31D-9929-434E-A242-2DCD60721706}"/>
    <cellStyle name="Normal 4 2 2 3 2 6 5" xfId="15025" xr:uid="{DB145D00-6261-49DE-B2D9-6277AC08AB4C}"/>
    <cellStyle name="Normal 4 2 2 3 2 7" xfId="3892" xr:uid="{D96A2613-E50C-4D2C-900D-398FAFA7F405}"/>
    <cellStyle name="Normal 4 2 2 3 2 7 2" xfId="8724" xr:uid="{6B9C5CFA-735E-40A8-BC44-5B567045E3DA}"/>
    <cellStyle name="Normal 4 2 2 3 2 7 2 2" xfId="19104" xr:uid="{F878870E-6795-4137-B63C-DC6965F96EA3}"/>
    <cellStyle name="Normal 4 2 2 3 2 7 3" xfId="11557" xr:uid="{313CA58C-0C94-491D-8B0D-3F823C796A86}"/>
    <cellStyle name="Normal 4 2 2 3 2 7 3 2" xfId="21937" xr:uid="{7B76D477-D22B-41C2-AD72-52B2987A93E9}"/>
    <cellStyle name="Normal 4 2 2 3 2 7 4" xfId="16271" xr:uid="{2AF31336-C692-4258-A919-C034B70AC8E1}"/>
    <cellStyle name="Normal 4 2 2 3 2 8" xfId="5225" xr:uid="{11FEB477-B239-4E41-BF3C-424859C341A2}"/>
    <cellStyle name="Normal 4 2 2 3 2 8 2" xfId="14523" xr:uid="{1C01992E-5370-4D5F-9595-794570A6E419}"/>
    <cellStyle name="Normal 4 2 2 3 2 9" xfId="6976" xr:uid="{CD0EAC3F-8B8F-4C1C-9E73-3D82BD185AD1}"/>
    <cellStyle name="Normal 4 2 2 3 2 9 2" xfId="17356" xr:uid="{24878BB0-662F-4A83-B137-81A7CAFD42EF}"/>
    <cellStyle name="Normal 4 2 2 3 3" xfId="922" xr:uid="{00000000-0005-0000-0000-00004C050000}"/>
    <cellStyle name="Normal 4 2 2 3 3 10" xfId="24833" xr:uid="{4EECE424-3A63-471E-922A-1E15FA2706A9}"/>
    <cellStyle name="Normal 4 2 2 3 3 11" xfId="12743" xr:uid="{5741375C-0DE7-4CD2-9B1D-266696C61809}"/>
    <cellStyle name="Normal 4 2 2 3 3 2" xfId="2767" xr:uid="{00000000-0005-0000-0000-000077050000}"/>
    <cellStyle name="Normal 4 2 2 3 3 2 2" xfId="3291" xr:uid="{00000000-0005-0000-0000-000078050000}"/>
    <cellStyle name="Normal 4 2 2 3 3 2 2 2" xfId="6349" xr:uid="{434E8FF1-E3A1-4A7A-9D1D-E422117A86E0}"/>
    <cellStyle name="Normal 4 2 2 3 3 2 2 2 2" xfId="26280" xr:uid="{FB0C84E7-0B72-4918-9970-2FC3865AE175}"/>
    <cellStyle name="Normal 4 2 2 3 3 2 2 2 3" xfId="15918" xr:uid="{85CEAFD0-7320-4AB2-80CA-F5BBF7272431}"/>
    <cellStyle name="Normal 4 2 2 3 3 2 2 3" xfId="8371" xr:uid="{5658B379-62E3-4B78-A892-615E0DBF142B}"/>
    <cellStyle name="Normal 4 2 2 3 3 2 2 3 2" xfId="18751" xr:uid="{36ECC6A3-E66B-48C9-98EC-F0563C4FCFAC}"/>
    <cellStyle name="Normal 4 2 2 3 3 2 2 4" xfId="11204" xr:uid="{670C891C-FEE6-465B-9F49-17016E61A29A}"/>
    <cellStyle name="Normal 4 2 2 3 3 2 2 4 2" xfId="21584" xr:uid="{D8613B90-EF87-4E98-9B45-90E0CED13444}"/>
    <cellStyle name="Normal 4 2 2 3 3 2 2 5" xfId="24183" xr:uid="{B1BC3264-4C98-4DA8-852B-AF3043EB1577}"/>
    <cellStyle name="Normal 4 2 2 3 3 2 2 6" xfId="13842" xr:uid="{DB97B712-1A9D-4DC8-8486-4307375B2E4A}"/>
    <cellStyle name="Normal 4 2 2 3 3 2 3" xfId="4327" xr:uid="{C5AA2334-1273-4173-B3B8-B5CB37BE8962}"/>
    <cellStyle name="Normal 4 2 2 3 3 2 3 2" xfId="9099" xr:uid="{44C37417-6B57-4553-AC9B-D229E9B997B9}"/>
    <cellStyle name="Normal 4 2 2 3 3 2 3 2 2" xfId="29142" xr:uid="{D40A5EC6-241A-409E-91AE-4819692CFC03}"/>
    <cellStyle name="Normal 4 2 2 3 3 2 3 2 3" xfId="19479" xr:uid="{CEB719ED-63A8-4C8C-A753-FF73A8613B6A}"/>
    <cellStyle name="Normal 4 2 2 3 3 2 3 3" xfId="11932" xr:uid="{38255705-73A4-431D-9719-044B4F097BEE}"/>
    <cellStyle name="Normal 4 2 2 3 3 2 3 3 2" xfId="22312" xr:uid="{B81C1962-FF7F-4612-8257-B61BE007B819}"/>
    <cellStyle name="Normal 4 2 2 3 3 2 3 4" xfId="23172" xr:uid="{42F1F596-555E-403E-AB74-6EB1CAF57960}"/>
    <cellStyle name="Normal 4 2 2 3 3 2 3 5" xfId="16646" xr:uid="{86BE4334-F088-405C-A088-DDE12CDBF8A8}"/>
    <cellStyle name="Normal 4 2 2 3 3 2 4" xfId="5985" xr:uid="{6CD26D58-AE40-4F2C-9636-48FA196B1729}"/>
    <cellStyle name="Normal 4 2 2 3 3 2 4 2" xfId="26936" xr:uid="{EFA6AA2A-AF5C-45A6-A72E-1404566ABC42}"/>
    <cellStyle name="Normal 4 2 2 3 3 2 4 3" xfId="15438" xr:uid="{285B8E85-9421-4D07-9D13-478ADF68C046}"/>
    <cellStyle name="Normal 4 2 2 3 3 2 5" xfId="7891" xr:uid="{DB69350F-17D3-47EA-8934-579359DD09E7}"/>
    <cellStyle name="Normal 4 2 2 3 3 2 5 2" xfId="18271" xr:uid="{19F0100D-EDEA-431D-AC57-2928E2AF4EA9}"/>
    <cellStyle name="Normal 4 2 2 3 3 2 6" xfId="10724" xr:uid="{8D1D27BC-5F8E-4036-A1FD-5FB484E3065D}"/>
    <cellStyle name="Normal 4 2 2 3 3 2 6 2" xfId="21104" xr:uid="{8504755E-2C9A-444D-B39B-5EDE58B524F6}"/>
    <cellStyle name="Normal 4 2 2 3 3 2 7" xfId="23629" xr:uid="{6EDC3B47-764A-4865-B633-DFCF9A7B1D0B}"/>
    <cellStyle name="Normal 4 2 2 3 3 2 8" xfId="13217" xr:uid="{FE14FB89-FCA9-4C38-86FA-EE6B4E306967}"/>
    <cellStyle name="Normal 4 2 2 3 3 3" xfId="3292" xr:uid="{00000000-0005-0000-0000-000079050000}"/>
    <cellStyle name="Normal 4 2 2 3 3 3 2" xfId="4509" xr:uid="{BFC336D4-79D3-4CAA-B822-E16C2E6AE884}"/>
    <cellStyle name="Normal 4 2 2 3 3 3 2 2" xfId="9281" xr:uid="{69DB0E82-7231-4EF9-8E5F-CF704D83CF63}"/>
    <cellStyle name="Normal 4 2 2 3 3 3 2 2 2" xfId="29262" xr:uid="{0F0D3CEC-3DB5-4FAC-AC4A-01334006FD4B}"/>
    <cellStyle name="Normal 4 2 2 3 3 3 2 2 3" xfId="19661" xr:uid="{CFAF9355-601D-4DE1-89FD-013215428D57}"/>
    <cellStyle name="Normal 4 2 2 3 3 3 2 3" xfId="12114" xr:uid="{366E67AA-5270-44E8-84F4-C6842E565697}"/>
    <cellStyle name="Normal 4 2 2 3 3 3 2 3 2" xfId="22494" xr:uid="{0500BF19-E3B2-49DE-8FEF-1901F44CB56F}"/>
    <cellStyle name="Normal 4 2 2 3 3 3 2 4" xfId="25755" xr:uid="{6D702D5A-D6DB-4458-8921-97DB530C6936}"/>
    <cellStyle name="Normal 4 2 2 3 3 3 2 5" xfId="16828" xr:uid="{2923CDDE-CA22-4AEA-8B4A-88A1559BE632}"/>
    <cellStyle name="Normal 4 2 2 3 3 3 3" xfId="6350" xr:uid="{8F703B92-FDC1-4FDC-9B8E-05ACB1B45D6E}"/>
    <cellStyle name="Normal 4 2 2 3 3 3 3 2" xfId="25965" xr:uid="{3F45C47A-2625-4291-B192-E78EA09675B3}"/>
    <cellStyle name="Normal 4 2 2 3 3 3 3 3" xfId="15919" xr:uid="{A0BF842F-4A42-4357-9C5B-00165141087F}"/>
    <cellStyle name="Normal 4 2 2 3 3 3 4" xfId="8372" xr:uid="{B0888013-3562-4F65-95A4-9E67D43E46AC}"/>
    <cellStyle name="Normal 4 2 2 3 3 3 4 2" xfId="18752" xr:uid="{21D2A06D-0C57-4B89-8E20-DDF5DE4C50D7}"/>
    <cellStyle name="Normal 4 2 2 3 3 3 5" xfId="11205" xr:uid="{263D0205-7975-4EC4-A778-7A0F41CF251E}"/>
    <cellStyle name="Normal 4 2 2 3 3 3 5 2" xfId="21585" xr:uid="{C7BEB32D-BD0A-49D8-90C0-5C0856A866F3}"/>
    <cellStyle name="Normal 4 2 2 3 3 3 6" xfId="24965" xr:uid="{6E8C3C21-6818-4122-918C-BC5DFBBDDB90}"/>
    <cellStyle name="Normal 4 2 2 3 3 3 7" xfId="13843" xr:uid="{910A00BA-AC07-4195-839B-F5610560FFD8}"/>
    <cellStyle name="Normal 4 2 2 3 3 4" xfId="3290" xr:uid="{00000000-0005-0000-0000-00007A050000}"/>
    <cellStyle name="Normal 4 2 2 3 3 4 2" xfId="6348" xr:uid="{9D7252F3-DDE2-4834-AB9B-3929F2551B73}"/>
    <cellStyle name="Normal 4 2 2 3 3 4 2 2" xfId="28218" xr:uid="{F6B88384-9DF5-4FA3-A23A-94A0036F0EF3}"/>
    <cellStyle name="Normal 4 2 2 3 3 4 2 3" xfId="15917" xr:uid="{D2CFF331-E80F-464C-8BD8-60BF12FB9868}"/>
    <cellStyle name="Normal 4 2 2 3 3 4 3" xfId="8370" xr:uid="{AB962451-27B1-4F41-907F-B83B4F094BB9}"/>
    <cellStyle name="Normal 4 2 2 3 3 4 3 2" xfId="18750" xr:uid="{4E5B0C8C-151E-4AE7-979F-2824FF775781}"/>
    <cellStyle name="Normal 4 2 2 3 3 4 4" xfId="11203" xr:uid="{CCFEC741-96B6-4F2B-861C-63947B09A4A2}"/>
    <cellStyle name="Normal 4 2 2 3 3 4 4 2" xfId="21583" xr:uid="{8075C9AE-18BC-4386-A1D9-B2B11FD4B470}"/>
    <cellStyle name="Normal 4 2 2 3 3 4 5" xfId="23625" xr:uid="{820FAFF3-85BA-46F3-AAD0-40AD2B2749BE}"/>
    <cellStyle name="Normal 4 2 2 3 3 4 6" xfId="13841" xr:uid="{4DCF245E-C65B-4C56-9A5E-0585997F88EA}"/>
    <cellStyle name="Normal 4 2 2 3 3 5" xfId="2637" xr:uid="{00000000-0005-0000-0000-00007B050000}"/>
    <cellStyle name="Normal 4 2 2 3 3 5 2" xfId="5899" xr:uid="{17B37AA6-44D7-4370-98C4-D7ADFAD06DBC}"/>
    <cellStyle name="Normal 4 2 2 3 3 5 2 2" xfId="27039" xr:uid="{AB735D45-9A65-4A06-8525-2BE8A5B2CA4E}"/>
    <cellStyle name="Normal 4 2 2 3 3 5 2 3" xfId="15309" xr:uid="{03EF8E35-A3A1-40B1-A0AA-3274B08F9661}"/>
    <cellStyle name="Normal 4 2 2 3 3 5 3" xfId="7762" xr:uid="{730417C8-A719-4F27-B372-024378348F48}"/>
    <cellStyle name="Normal 4 2 2 3 3 5 3 2" xfId="18142" xr:uid="{9FF1DF2C-01F2-4D8B-9F5C-4E775CC9B449}"/>
    <cellStyle name="Normal 4 2 2 3 3 5 4" xfId="10595" xr:uid="{294E3DBE-82FE-404A-A616-C1D88ED52E16}"/>
    <cellStyle name="Normal 4 2 2 3 3 5 4 2" xfId="20975" xr:uid="{7A13C033-EFA9-4D00-9684-980FCECCD704}"/>
    <cellStyle name="Normal 4 2 2 3 3 5 5" xfId="23757" xr:uid="{432E6AD6-4EAB-492F-A35F-066FE9DD9890}"/>
    <cellStyle name="Normal 4 2 2 3 3 5 6" xfId="13026" xr:uid="{0E272F77-BD25-4C27-874E-AAC8C858BB75}"/>
    <cellStyle name="Normal 4 2 2 3 3 6" xfId="4181" xr:uid="{68A65460-D581-4268-8738-E9DAC0BA2ACE}"/>
    <cellStyle name="Normal 4 2 2 3 3 6 2" xfId="8953" xr:uid="{72870363-4ED9-436B-8DEE-F3E4DCA9B767}"/>
    <cellStyle name="Normal 4 2 2 3 3 6 2 2" xfId="19333" xr:uid="{F882F131-A388-4A1E-A9EB-7BDB8A9DEB8B}"/>
    <cellStyle name="Normal 4 2 2 3 3 6 3" xfId="11786" xr:uid="{3BE2E3DF-31AB-4D27-8776-8E7A73C85BFD}"/>
    <cellStyle name="Normal 4 2 2 3 3 6 3 2" xfId="22166" xr:uid="{3E8C096E-150E-4CA9-8FF5-55CFDBD96955}"/>
    <cellStyle name="Normal 4 2 2 3 3 6 4" xfId="25529" xr:uid="{6CC007BE-C920-424C-8722-5B87DEBD6519}"/>
    <cellStyle name="Normal 4 2 2 3 3 6 5" xfId="16500" xr:uid="{6B8E4524-C743-4582-8A35-0455456AEA2D}"/>
    <cellStyle name="Normal 4 2 2 3 3 7" xfId="5227" xr:uid="{654DADEF-5BEE-4A70-B479-EA4DF0B5269A}"/>
    <cellStyle name="Normal 4 2 2 3 3 7 2" xfId="14525" xr:uid="{214E56C4-AA70-4B46-8A87-F958FFAF30CE}"/>
    <cellStyle name="Normal 4 2 2 3 3 8" xfId="6978" xr:uid="{390F904A-24B0-4B71-B52A-F039CB888172}"/>
    <cellStyle name="Normal 4 2 2 3 3 8 2" xfId="17358" xr:uid="{FD5706EA-289E-4389-8085-F4B3DF5D361C}"/>
    <cellStyle name="Normal 4 2 2 3 3 9" xfId="9811" xr:uid="{9DAC1ADE-E604-40E8-B25C-8AE52CB94EF7}"/>
    <cellStyle name="Normal 4 2 2 3 3 9 2" xfId="20191" xr:uid="{EE60523C-88E7-4D9D-A06E-BF65E4676508}"/>
    <cellStyle name="Normal 4 2 2 3 4" xfId="923" xr:uid="{00000000-0005-0000-0000-00004D050000}"/>
    <cellStyle name="Normal 4 2 2 3 4 2" xfId="3293" xr:uid="{00000000-0005-0000-0000-00007D050000}"/>
    <cellStyle name="Normal 4 2 2 3 4 2 2" xfId="6351" xr:uid="{903EC303-10FC-411F-B382-8CA196B0FA9E}"/>
    <cellStyle name="Normal 4 2 2 3 4 2 2 2" xfId="26394" xr:uid="{2E55253E-8D44-49E1-A081-9E916C148A99}"/>
    <cellStyle name="Normal 4 2 2 3 4 2 2 3" xfId="15920" xr:uid="{A099347E-D2C8-429B-9BAA-3E2A90202DBF}"/>
    <cellStyle name="Normal 4 2 2 3 4 2 3" xfId="8373" xr:uid="{5D141035-696A-4E11-878E-EBD242DE40E9}"/>
    <cellStyle name="Normal 4 2 2 3 4 2 3 2" xfId="18753" xr:uid="{E53136B3-33EB-4D74-B5D8-661977FAD2C2}"/>
    <cellStyle name="Normal 4 2 2 3 4 2 4" xfId="11206" xr:uid="{60653EEB-44E4-4338-A45A-F98B38267337}"/>
    <cellStyle name="Normal 4 2 2 3 4 2 4 2" xfId="21586" xr:uid="{6E290F7F-7490-44E8-8D1D-849FA539D956}"/>
    <cellStyle name="Normal 4 2 2 3 4 2 5" xfId="25067" xr:uid="{4B20A928-3BF0-4131-9850-99DBE8EFBC68}"/>
    <cellStyle name="Normal 4 2 2 3 4 2 6" xfId="13844" xr:uid="{95F8A9EF-9FB0-41A9-B6CE-9892A4E3E2E1}"/>
    <cellStyle name="Normal 4 2 2 3 4 3" xfId="4325" xr:uid="{CFA2580C-8217-414C-9859-71B9E67B7CAC}"/>
    <cellStyle name="Normal 4 2 2 3 4 3 2" xfId="9097" xr:uid="{CC5DD4F7-4287-46E7-B743-0798B1E276C8}"/>
    <cellStyle name="Normal 4 2 2 3 4 3 2 2" xfId="29140" xr:uid="{A6F36CBA-F00B-4B19-A6C4-D9E5F3632040}"/>
    <cellStyle name="Normal 4 2 2 3 4 3 2 3" xfId="19477" xr:uid="{DA4AA475-C3E8-4EFE-A1B6-E2E5B8F0A4AD}"/>
    <cellStyle name="Normal 4 2 2 3 4 3 3" xfId="11930" xr:uid="{44D23ACD-5634-446E-BD46-8522CCB2B94C}"/>
    <cellStyle name="Normal 4 2 2 3 4 3 3 2" xfId="22310" xr:uid="{495D3382-AF99-4460-A947-CE81718D8307}"/>
    <cellStyle name="Normal 4 2 2 3 4 3 4" xfId="23364" xr:uid="{D1C35386-1376-4B27-B1B7-1514218E98E7}"/>
    <cellStyle name="Normal 4 2 2 3 4 3 5" xfId="16644" xr:uid="{46F62C47-74B7-4BFF-9FB8-0CA1E0F68596}"/>
    <cellStyle name="Normal 4 2 2 3 4 4" xfId="5228" xr:uid="{B06EC196-D623-41BB-9755-7F3CAFA7877F}"/>
    <cellStyle name="Normal 4 2 2 3 4 4 2" xfId="27061" xr:uid="{D2008287-8AB6-4294-98BF-F42428FDFB1F}"/>
    <cellStyle name="Normal 4 2 2 3 4 4 3" xfId="14526" xr:uid="{ED31B2A9-EB38-4D6F-B778-406C4AA72E44}"/>
    <cellStyle name="Normal 4 2 2 3 4 5" xfId="6979" xr:uid="{BCF7E8DF-2D67-4C25-AD26-C7642BF978DD}"/>
    <cellStyle name="Normal 4 2 2 3 4 5 2" xfId="17359" xr:uid="{23DFBA90-FA5C-47BC-8F39-12985AF4A672}"/>
    <cellStyle name="Normal 4 2 2 3 4 6" xfId="9812" xr:uid="{49073248-F7CD-4E09-AC9C-9F9DD844E98F}"/>
    <cellStyle name="Normal 4 2 2 3 4 6 2" xfId="20192" xr:uid="{7EF81C41-C72F-47F2-8707-1A56334CA33A}"/>
    <cellStyle name="Normal 4 2 2 3 4 7" xfId="24454" xr:uid="{DDEAE3DF-9B4E-4BFF-996F-73C4E7C1C643}"/>
    <cellStyle name="Normal 4 2 2 3 4 8" xfId="13215" xr:uid="{38D7521A-ACA3-4633-9CD1-86380A409521}"/>
    <cellStyle name="Normal 4 2 2 3 5" xfId="3294" xr:uid="{00000000-0005-0000-0000-00007E050000}"/>
    <cellStyle name="Normal 4 2 2 3 5 2" xfId="4510" xr:uid="{EDD4B0BD-21AD-4575-B0BB-6E5584BA8968}"/>
    <cellStyle name="Normal 4 2 2 3 5 2 2" xfId="9282" xr:uid="{0C10E1BC-B471-4F26-B951-4FBEE845F0BF}"/>
    <cellStyle name="Normal 4 2 2 3 5 2 2 2" xfId="29263" xr:uid="{6F325DE0-354A-4F89-BB12-BC82C49ED3C2}"/>
    <cellStyle name="Normal 4 2 2 3 5 2 2 3" xfId="19662" xr:uid="{E4450B45-E98A-494F-B564-0E51C692795D}"/>
    <cellStyle name="Normal 4 2 2 3 5 2 3" xfId="12115" xr:uid="{03F9FCD8-517E-4619-B5ED-92190ADB52B7}"/>
    <cellStyle name="Normal 4 2 2 3 5 2 3 2" xfId="22495" xr:uid="{E8762A68-8649-4416-B5BE-17AD1E4B5093}"/>
    <cellStyle name="Normal 4 2 2 3 5 2 4" xfId="23388" xr:uid="{426B393D-1C8B-46A7-948C-4EBB83DAF223}"/>
    <cellStyle name="Normal 4 2 2 3 5 2 5" xfId="16829" xr:uid="{D154F8CF-A302-4A23-9698-C405646370A4}"/>
    <cellStyle name="Normal 4 2 2 3 5 3" xfId="6352" xr:uid="{CA67D7C3-161B-41BD-8E71-FC9DC48DD57B}"/>
    <cellStyle name="Normal 4 2 2 3 5 3 2" xfId="27006" xr:uid="{AC6B385D-7441-4676-BB30-362DA48ABD73}"/>
    <cellStyle name="Normal 4 2 2 3 5 3 3" xfId="15921" xr:uid="{294CEA23-2C85-4770-89C3-EFD50B0A0C71}"/>
    <cellStyle name="Normal 4 2 2 3 5 4" xfId="8374" xr:uid="{429CF405-1390-403A-B8DD-D74AEEEE382B}"/>
    <cellStyle name="Normal 4 2 2 3 5 4 2" xfId="18754" xr:uid="{F0567FDE-6F5E-4EFC-B339-D3D8F41EAC59}"/>
    <cellStyle name="Normal 4 2 2 3 5 5" xfId="11207" xr:uid="{B4123C7D-1D5B-4683-9284-7DF1184A0883}"/>
    <cellStyle name="Normal 4 2 2 3 5 5 2" xfId="21587" xr:uid="{06EA28BA-E65A-4A86-9AA2-F77EB29C3F6B}"/>
    <cellStyle name="Normal 4 2 2 3 5 6" xfId="25322" xr:uid="{727BCEBE-3334-4D89-8771-987FA425547D}"/>
    <cellStyle name="Normal 4 2 2 3 5 7" xfId="13845" xr:uid="{DEFA00F6-18FB-427B-B130-728411644C83}"/>
    <cellStyle name="Normal 4 2 2 3 6" xfId="2927" xr:uid="{00000000-0005-0000-0000-00007F050000}"/>
    <cellStyle name="Normal 4 2 2 3 6 2" xfId="6107" xr:uid="{9F3C0357-5F61-4F3B-8096-0CF0F6AC8D66}"/>
    <cellStyle name="Normal 4 2 2 3 6 2 2" xfId="27470" xr:uid="{2E14018F-0E47-45B2-97A9-91B205A340B5}"/>
    <cellStyle name="Normal 4 2 2 3 6 2 3" xfId="15585" xr:uid="{64C90382-7B55-45A0-BEEB-8B0C1A2287BB}"/>
    <cellStyle name="Normal 4 2 2 3 6 3" xfId="8038" xr:uid="{723D2E27-132C-4556-87F6-C96E666DA9E2}"/>
    <cellStyle name="Normal 4 2 2 3 6 3 2" xfId="18418" xr:uid="{01B60CE9-C58F-40AD-B2ED-E2917838A755}"/>
    <cellStyle name="Normal 4 2 2 3 6 4" xfId="10871" xr:uid="{331A1D25-1E24-4484-BA91-7328824DCA98}"/>
    <cellStyle name="Normal 4 2 2 3 6 4 2" xfId="21251" xr:uid="{88F54577-95BD-42A6-85D4-E866A4006185}"/>
    <cellStyle name="Normal 4 2 2 3 6 5" xfId="25421" xr:uid="{8FF3C58E-8BD4-46B2-8C6F-993942D0C36F}"/>
    <cellStyle name="Normal 4 2 2 3 6 6" xfId="13441" xr:uid="{82146FBA-DF5A-403F-A8F8-AB19096A80A2}"/>
    <cellStyle name="Normal 4 2 2 3 7" xfId="2475" xr:uid="{00000000-0005-0000-0000-000080050000}"/>
    <cellStyle name="Normal 4 2 2 3 7 2" xfId="5763" xr:uid="{EC9D5935-AF72-4A26-A29D-51DAFC622B55}"/>
    <cellStyle name="Normal 4 2 2 3 7 2 2" xfId="27989" xr:uid="{E237374A-B761-4C1C-982F-F03C3356940D}"/>
    <cellStyle name="Normal 4 2 2 3 7 2 3" xfId="15147" xr:uid="{846F4005-524B-4E01-9B61-46CAB7B98D9C}"/>
    <cellStyle name="Normal 4 2 2 3 7 3" xfId="7600" xr:uid="{2DB1E442-9720-4757-BAC5-E023FA285D05}"/>
    <cellStyle name="Normal 4 2 2 3 7 3 2" xfId="17980" xr:uid="{F54C884B-2F83-4B33-B9F3-5FCE05C53621}"/>
    <cellStyle name="Normal 4 2 2 3 7 4" xfId="10433" xr:uid="{FEFE2369-68AF-434E-BCD2-AD61EC64D19A}"/>
    <cellStyle name="Normal 4 2 2 3 7 4 2" xfId="20813" xr:uid="{9C38CEA3-60C5-4E85-A799-A8CCAF3CBCF0}"/>
    <cellStyle name="Normal 4 2 2 3 7 5" xfId="23479" xr:uid="{667CD572-A39D-4242-BDBE-6BD6CBDADC26}"/>
    <cellStyle name="Normal 4 2 2 3 7 6" xfId="12863" xr:uid="{B3F4EDBB-7567-4018-802F-FF91A3DACCD9}"/>
    <cellStyle name="Normal 4 2 2 3 8" xfId="2229" xr:uid="{00000000-0005-0000-0000-00006F050000}"/>
    <cellStyle name="Normal 4 2 2 3 8 2" xfId="7356" xr:uid="{251AE1BE-6A83-459C-AEFA-B7D341745D18}"/>
    <cellStyle name="Normal 4 2 2 3 8 2 2" xfId="17736" xr:uid="{725D5F2A-A59D-4980-976E-3DAD4C780A9A}"/>
    <cellStyle name="Normal 4 2 2 3 8 3" xfId="10189" xr:uid="{CEA25CFD-DE8E-42A7-A923-AE34B8E6132F}"/>
    <cellStyle name="Normal 4 2 2 3 8 3 2" xfId="20569" xr:uid="{3701C557-99FE-4970-9E68-4ADB8F989C0B}"/>
    <cellStyle name="Normal 4 2 2 3 8 4" xfId="22664" xr:uid="{9BF09DFD-D193-4044-B1FF-E169C922CF43}"/>
    <cellStyle name="Normal 4 2 2 3 8 5" xfId="14903" xr:uid="{6ACCD0C8-4CE4-4F2E-8108-56149E92E85E}"/>
    <cellStyle name="Normal 4 2 2 3 9" xfId="3972" xr:uid="{0782F743-45C0-44C0-AEAC-8FCADDB238D7}"/>
    <cellStyle name="Normal 4 2 2 3 9 2" xfId="8796" xr:uid="{4AA8DE3C-01B3-4E95-9784-D962C9D85806}"/>
    <cellStyle name="Normal 4 2 2 3 9 2 2" xfId="19176" xr:uid="{F6E00A14-FBCC-4F12-9770-F7BEB8332FD4}"/>
    <cellStyle name="Normal 4 2 2 3 9 3" xfId="11629" xr:uid="{39C37010-AD2B-4D73-A546-B0C121666EB7}"/>
    <cellStyle name="Normal 4 2 2 3 9 3 2" xfId="22009" xr:uid="{59BB1F7F-F732-4642-B32D-D5C9FB5DAD06}"/>
    <cellStyle name="Normal 4 2 2 3 9 4" xfId="16343" xr:uid="{4EFDA8A4-00E8-4C1A-9A8D-8A09CE090A7D}"/>
    <cellStyle name="Normal 4 2 2 4" xfId="924" xr:uid="{00000000-0005-0000-0000-00004E050000}"/>
    <cellStyle name="Normal 4 2 2 4 10" xfId="6980" xr:uid="{43E72B32-F5E5-4D7A-8456-82088F87763A}"/>
    <cellStyle name="Normal 4 2 2 4 10 2" xfId="17360" xr:uid="{04BDADEE-CE3C-48F0-9BF5-EEC502683A20}"/>
    <cellStyle name="Normal 4 2 2 4 11" xfId="9813" xr:uid="{096BC897-755D-4269-9E65-AD651079D9D0}"/>
    <cellStyle name="Normal 4 2 2 4 11 2" xfId="20193" xr:uid="{A6A89815-2657-4104-BB75-987E6C39D265}"/>
    <cellStyle name="Normal 4 2 2 4 12" xfId="23878" xr:uid="{DB376193-8776-4576-A119-EDD2E75704CF}"/>
    <cellStyle name="Normal 4 2 2 4 13" xfId="12441" xr:uid="{73433729-7ABE-457A-8D58-3712B623EA70}"/>
    <cellStyle name="Normal 4 2 2 4 2" xfId="925" xr:uid="{00000000-0005-0000-0000-00004F050000}"/>
    <cellStyle name="Normal 4 2 2 4 2 10" xfId="9814" xr:uid="{74B6838E-3A0E-4581-8315-134652AC2605}"/>
    <cellStyle name="Normal 4 2 2 4 2 10 2" xfId="20194" xr:uid="{FA79C592-F3E4-45B7-8425-361543C0209D}"/>
    <cellStyle name="Normal 4 2 2 4 2 11" xfId="25135" xr:uid="{FE895F79-E79E-42EB-9468-F7EA69AAFCBD}"/>
    <cellStyle name="Normal 4 2 2 4 2 12" xfId="12586" xr:uid="{65891DFD-AC75-4EF2-BE1B-E12741DF5688}"/>
    <cellStyle name="Normal 4 2 2 4 2 2" xfId="926" xr:uid="{00000000-0005-0000-0000-000050050000}"/>
    <cellStyle name="Normal 4 2 2 4 2 2 2" xfId="3296" xr:uid="{00000000-0005-0000-0000-000084050000}"/>
    <cellStyle name="Normal 4 2 2 4 2 2 2 2" xfId="6354" xr:uid="{57213AAF-F5C4-44D0-A2B0-97F183471ECE}"/>
    <cellStyle name="Normal 4 2 2 4 2 2 2 2 2" xfId="27080" xr:uid="{FA7FA6CA-809C-434A-98F6-EFA80E8E9178}"/>
    <cellStyle name="Normal 4 2 2 4 2 2 2 2 3" xfId="27740" xr:uid="{F68157DE-0A3F-47CF-9F36-F86C136DC849}"/>
    <cellStyle name="Normal 4 2 2 4 2 2 2 2 4" xfId="15923" xr:uid="{B20FDE2B-52F5-42DE-AA97-018AFF58F137}"/>
    <cellStyle name="Normal 4 2 2 4 2 2 2 3" xfId="8376" xr:uid="{94A78240-CA92-4263-8B92-90DC69479D83}"/>
    <cellStyle name="Normal 4 2 2 4 2 2 2 3 2" xfId="28899" xr:uid="{1E60605B-AFC0-40FC-BDC4-0FBEA0E3394C}"/>
    <cellStyle name="Normal 4 2 2 4 2 2 2 3 3" xfId="18756" xr:uid="{07EB8F78-4D54-41C2-9ADD-00AC7DE8CF58}"/>
    <cellStyle name="Normal 4 2 2 4 2 2 2 4" xfId="11209" xr:uid="{7D57D94D-2B60-458D-BA6C-47C53AE0F291}"/>
    <cellStyle name="Normal 4 2 2 4 2 2 2 4 2" xfId="21589" xr:uid="{7271D98C-9040-49C3-9D7A-7C7D325CC6FB}"/>
    <cellStyle name="Normal 4 2 2 4 2 2 2 5" xfId="23384" xr:uid="{AA79B49B-DA04-48DE-850B-55B9AFF31B3F}"/>
    <cellStyle name="Normal 4 2 2 4 2 2 2 6" xfId="13847" xr:uid="{A33995DC-CE48-435F-9431-9C4EE806C447}"/>
    <cellStyle name="Normal 4 2 2 4 2 2 3" xfId="4328" xr:uid="{88AADD46-078C-4A1A-86CD-8C746649C1D3}"/>
    <cellStyle name="Normal 4 2 2 4 2 2 3 2" xfId="9100" xr:uid="{5AAA42F9-F8DA-4B91-9EB6-E9FE37649223}"/>
    <cellStyle name="Normal 4 2 2 4 2 2 3 2 2" xfId="29143" xr:uid="{B9E1C12C-87CA-4909-B0CC-617106AB27B7}"/>
    <cellStyle name="Normal 4 2 2 4 2 2 3 2 3" xfId="19480" xr:uid="{9F7414B7-8F52-4B89-BCA5-DE0EAD9F4546}"/>
    <cellStyle name="Normal 4 2 2 4 2 2 3 3" xfId="11933" xr:uid="{4502D610-E4EF-4C5E-9328-75FA8F718928}"/>
    <cellStyle name="Normal 4 2 2 4 2 2 3 3 2" xfId="22313" xr:uid="{11411F55-E273-4FE0-A186-04C1753E8C00}"/>
    <cellStyle name="Normal 4 2 2 4 2 2 3 4" xfId="25541" xr:uid="{954FFE69-45B1-4E9A-BDCD-E82D809935BA}"/>
    <cellStyle name="Normal 4 2 2 4 2 2 3 5" xfId="16647" xr:uid="{5B7A3110-2BE7-496F-AC9D-2E711862E030}"/>
    <cellStyle name="Normal 4 2 2 4 2 2 4" xfId="5231" xr:uid="{71A08C51-E181-4520-A87B-EB59AC28F586}"/>
    <cellStyle name="Normal 4 2 2 4 2 2 4 2" xfId="27675" xr:uid="{45FB5C57-856C-454C-9E6A-DB8981F59C9F}"/>
    <cellStyle name="Normal 4 2 2 4 2 2 4 3" xfId="14529" xr:uid="{9693F6C0-C7B6-4EB2-AC80-24099C13C0B3}"/>
    <cellStyle name="Normal 4 2 2 4 2 2 5" xfId="6982" xr:uid="{C34822D5-4980-4FB2-A8AB-9A66281BCD4A}"/>
    <cellStyle name="Normal 4 2 2 4 2 2 5 2" xfId="17362" xr:uid="{5B29B84B-2882-495A-A6A1-674BEE0C4A87}"/>
    <cellStyle name="Normal 4 2 2 4 2 2 6" xfId="9815" xr:uid="{B3D2A0E6-EF4F-442A-A3F6-CF3EBD577BB0}"/>
    <cellStyle name="Normal 4 2 2 4 2 2 6 2" xfId="20195" xr:uid="{8A7864B9-710E-45C3-B548-9810DBD6652D}"/>
    <cellStyle name="Normal 4 2 2 4 2 2 7" xfId="24869" xr:uid="{A3223941-99C9-4708-A4D9-962243FD31A6}"/>
    <cellStyle name="Normal 4 2 2 4 2 2 8" xfId="13219" xr:uid="{C4FAC374-CD0C-427D-9D1F-54A139A334CB}"/>
    <cellStyle name="Normal 4 2 2 4 2 3" xfId="3297" xr:uid="{00000000-0005-0000-0000-000085050000}"/>
    <cellStyle name="Normal 4 2 2 4 2 3 2" xfId="4511" xr:uid="{0818EA2E-927A-481A-859A-BCB273EFD974}"/>
    <cellStyle name="Normal 4 2 2 4 2 3 2 2" xfId="9283" xr:uid="{CCB918E8-A93E-4B16-84D4-AC3489B98F89}"/>
    <cellStyle name="Normal 4 2 2 4 2 3 2 2 2" xfId="29264" xr:uid="{EEDF7A42-8E48-4406-B6EE-1FF2A7C945F6}"/>
    <cellStyle name="Normal 4 2 2 4 2 3 2 2 3" xfId="19663" xr:uid="{AFB95E2C-728A-4693-BDBD-8364CF8A08B1}"/>
    <cellStyle name="Normal 4 2 2 4 2 3 2 3" xfId="12116" xr:uid="{93B9522D-5B6A-40E6-84CC-70C7765501C8}"/>
    <cellStyle name="Normal 4 2 2 4 2 3 2 3 2" xfId="22496" xr:uid="{67AD3FC9-E43D-458A-A5E2-6BC6C9BE5C24}"/>
    <cellStyle name="Normal 4 2 2 4 2 3 2 4" xfId="25272" xr:uid="{2DC845AD-6C37-486A-A7B8-01497128D10F}"/>
    <cellStyle name="Normal 4 2 2 4 2 3 2 5" xfId="16830" xr:uid="{0633965A-7B30-4EC2-8C0E-2C8A62B26074}"/>
    <cellStyle name="Normal 4 2 2 4 2 3 3" xfId="6355" xr:uid="{FDDB43A5-ABEA-49F9-8B54-B851083D45D7}"/>
    <cellStyle name="Normal 4 2 2 4 2 3 3 2" xfId="28219" xr:uid="{86F5E978-9FED-4FBE-BC62-5099C0089DEE}"/>
    <cellStyle name="Normal 4 2 2 4 2 3 3 3" xfId="15924" xr:uid="{55403D2F-1CF3-4059-A788-591AE8339692}"/>
    <cellStyle name="Normal 4 2 2 4 2 3 4" xfId="8377" xr:uid="{543F9E0E-EB2C-4DB4-8FC4-7742DCCA1393}"/>
    <cellStyle name="Normal 4 2 2 4 2 3 4 2" xfId="18757" xr:uid="{083473DA-79F7-4E5D-9210-F776595C2A0E}"/>
    <cellStyle name="Normal 4 2 2 4 2 3 5" xfId="11210" xr:uid="{A96EA365-06FB-400A-A0A0-F3301435CF8D}"/>
    <cellStyle name="Normal 4 2 2 4 2 3 5 2" xfId="21590" xr:uid="{2702454B-AC90-417A-B4E6-1021B0A56BC9}"/>
    <cellStyle name="Normal 4 2 2 4 2 3 6" xfId="23089" xr:uid="{DE759B16-35D1-44DC-BFF4-D8C2C2A31E68}"/>
    <cellStyle name="Normal 4 2 2 4 2 3 7" xfId="13848" xr:uid="{0ADE618F-B6AE-4C45-95BD-9B1583E34E61}"/>
    <cellStyle name="Normal 4 2 2 4 2 4" xfId="3295" xr:uid="{00000000-0005-0000-0000-000086050000}"/>
    <cellStyle name="Normal 4 2 2 4 2 4 2" xfId="6353" xr:uid="{AAF72A24-F1C6-480B-98DC-4A89960A15A5}"/>
    <cellStyle name="Normal 4 2 2 4 2 4 2 2" xfId="26249" xr:uid="{7442A6A0-3EDD-4480-B062-C50A51984114}"/>
    <cellStyle name="Normal 4 2 2 4 2 4 2 3" xfId="15922" xr:uid="{DA566C5C-2C16-4232-AE10-7BEF4D950917}"/>
    <cellStyle name="Normal 4 2 2 4 2 4 3" xfId="8375" xr:uid="{20768569-174D-40A4-9A7F-25676938BB96}"/>
    <cellStyle name="Normal 4 2 2 4 2 4 3 2" xfId="18755" xr:uid="{20CE6C7A-761A-46D0-96C2-AD0FF85A7D94}"/>
    <cellStyle name="Normal 4 2 2 4 2 4 4" xfId="11208" xr:uid="{DA374353-C8F8-4AE2-8C96-8538D52C51F7}"/>
    <cellStyle name="Normal 4 2 2 4 2 4 4 2" xfId="21588" xr:uid="{CFF0B452-282C-4DD8-9127-B61CE55EEAA7}"/>
    <cellStyle name="Normal 4 2 2 4 2 4 5" xfId="25395" xr:uid="{E892D505-0A99-41BD-8E5A-1F3F82763A3C}"/>
    <cellStyle name="Normal 4 2 2 4 2 4 6" xfId="13846" xr:uid="{06B5F8F0-3CB7-4B3F-9C0A-9D8FF13D20B1}"/>
    <cellStyle name="Normal 4 2 2 4 2 5" xfId="2618" xr:uid="{00000000-0005-0000-0000-000087050000}"/>
    <cellStyle name="Normal 4 2 2 4 2 5 2" xfId="5880" xr:uid="{171A5BF7-BC41-4681-85A6-995E693AE31B}"/>
    <cellStyle name="Normal 4 2 2 4 2 5 2 2" xfId="25852" xr:uid="{BE7B5EEC-EA53-42AF-B95F-D971A9CF9890}"/>
    <cellStyle name="Normal 4 2 2 4 2 5 2 3" xfId="15290" xr:uid="{85F14D3C-8ABE-4C7B-8EB9-96863347B539}"/>
    <cellStyle name="Normal 4 2 2 4 2 5 3" xfId="7743" xr:uid="{26A12828-DFE0-4715-9316-629A4B9DBE36}"/>
    <cellStyle name="Normal 4 2 2 4 2 5 3 2" xfId="18123" xr:uid="{AE099D59-17E4-4E4F-AA29-D90E573E0551}"/>
    <cellStyle name="Normal 4 2 2 4 2 5 4" xfId="10576" xr:uid="{3D7714DE-F127-4500-8005-EFFB419DAD0C}"/>
    <cellStyle name="Normal 4 2 2 4 2 5 4 2" xfId="20956" xr:uid="{38B96024-71F1-4D35-B8AD-4060713747C2}"/>
    <cellStyle name="Normal 4 2 2 4 2 5 5" xfId="25468" xr:uid="{39726886-B996-427D-9878-F32605EC1946}"/>
    <cellStyle name="Normal 4 2 2 4 2 5 6" xfId="13006" xr:uid="{F1E4B336-E499-4981-8108-CA3BBF41F09A}"/>
    <cellStyle name="Normal 4 2 2 4 2 6" xfId="2352" xr:uid="{00000000-0005-0000-0000-000082050000}"/>
    <cellStyle name="Normal 4 2 2 4 2 6 2" xfId="7479" xr:uid="{B1557CEC-49F6-4432-A9B6-3FA38E9ECDD5}"/>
    <cellStyle name="Normal 4 2 2 4 2 6 2 2" xfId="17859" xr:uid="{0E89E44A-523E-472B-943B-FA6A00816B8D}"/>
    <cellStyle name="Normal 4 2 2 4 2 6 3" xfId="10312" xr:uid="{8C71FD11-9122-4445-B3C1-70AB7805FDB4}"/>
    <cellStyle name="Normal 4 2 2 4 2 6 3 2" xfId="20692" xr:uid="{80D63F16-10E5-4DA3-A974-0043DAC15398}"/>
    <cellStyle name="Normal 4 2 2 4 2 6 4" xfId="24883" xr:uid="{3D4B304D-F455-457D-A90B-E2E5A08C7EA4}"/>
    <cellStyle name="Normal 4 2 2 4 2 6 5" xfId="15026" xr:uid="{B669BB6C-6997-4AD8-8732-EA1A33D9B286}"/>
    <cellStyle name="Normal 4 2 2 4 2 7" xfId="3893" xr:uid="{B1EFC525-476C-434F-9E37-E08229CCCE26}"/>
    <cellStyle name="Normal 4 2 2 4 2 7 2" xfId="8725" xr:uid="{FCE14AAF-D21D-4506-9395-355BAD6D8146}"/>
    <cellStyle name="Normal 4 2 2 4 2 7 2 2" xfId="19105" xr:uid="{F27D2E40-C611-4140-9B54-38E2E2EE971B}"/>
    <cellStyle name="Normal 4 2 2 4 2 7 3" xfId="11558" xr:uid="{AA35E4C3-6C6B-47D8-B322-4B463ED45D22}"/>
    <cellStyle name="Normal 4 2 2 4 2 7 3 2" xfId="21938" xr:uid="{23C4568E-9550-4B68-846A-7D11E933FE72}"/>
    <cellStyle name="Normal 4 2 2 4 2 7 4" xfId="16272" xr:uid="{6E29289B-C7EC-4ECC-B39D-909A5086C9CB}"/>
    <cellStyle name="Normal 4 2 2 4 2 8" xfId="5230" xr:uid="{50D16BA2-8008-491C-BC3B-413F344C97FB}"/>
    <cellStyle name="Normal 4 2 2 4 2 8 2" xfId="14528" xr:uid="{4C3EE0CF-CA2D-48BF-95C6-4BF5421807AC}"/>
    <cellStyle name="Normal 4 2 2 4 2 9" xfId="6981" xr:uid="{875A6027-B59C-4A05-9E65-B3598367CBD9}"/>
    <cellStyle name="Normal 4 2 2 4 2 9 2" xfId="17361" xr:uid="{31A635BB-04AE-4C97-823E-027693102A10}"/>
    <cellStyle name="Normal 4 2 2 4 3" xfId="927" xr:uid="{00000000-0005-0000-0000-000051050000}"/>
    <cellStyle name="Normal 4 2 2 4 3 2" xfId="3298" xr:uid="{00000000-0005-0000-0000-000089050000}"/>
    <cellStyle name="Normal 4 2 2 4 3 2 2" xfId="6356" xr:uid="{DB7ED969-706E-4EF0-8AEF-B44F27724A10}"/>
    <cellStyle name="Normal 4 2 2 4 3 2 2 2" xfId="23127" xr:uid="{9FE4B55D-C27F-4451-A7C1-C9A4141F9F8A}"/>
    <cellStyle name="Normal 4 2 2 4 3 2 2 3" xfId="27252" xr:uid="{CA430E71-5522-4843-98CF-6155ACFE8AD5}"/>
    <cellStyle name="Normal 4 2 2 4 3 2 2 4" xfId="15925" xr:uid="{C8B4B23E-964D-45F0-BD2E-16FB4962FA6A}"/>
    <cellStyle name="Normal 4 2 2 4 3 2 3" xfId="8378" xr:uid="{E71EE9B8-8A89-4351-94DC-B421A5A739E6}"/>
    <cellStyle name="Normal 4 2 2 4 3 2 3 2" xfId="28900" xr:uid="{8A9BB08A-E1CA-405D-AAF2-CCC73066E3DE}"/>
    <cellStyle name="Normal 4 2 2 4 3 2 3 3" xfId="18758" xr:uid="{39935B28-D386-4C98-8C09-EB303EB0DF92}"/>
    <cellStyle name="Normal 4 2 2 4 3 2 4" xfId="11211" xr:uid="{2C0893F6-16AC-4C83-9939-1FC44AAE1A9C}"/>
    <cellStyle name="Normal 4 2 2 4 3 2 4 2" xfId="21591" xr:uid="{A416532E-34D5-4011-986D-89B29049DD01}"/>
    <cellStyle name="Normal 4 2 2 4 3 2 5" xfId="23639" xr:uid="{ADB69F83-0DC2-4AB2-A25E-152CDECDF452}"/>
    <cellStyle name="Normal 4 2 2 4 3 2 6" xfId="13849" xr:uid="{A4050B32-F993-42F5-8D2A-3EA26B22D6A8}"/>
    <cellStyle name="Normal 4 2 2 4 3 3" xfId="2768" xr:uid="{00000000-0005-0000-0000-00008A050000}"/>
    <cellStyle name="Normal 4 2 2 4 3 3 2" xfId="5986" xr:uid="{D714554F-13C7-4848-82DA-F99578ED663A}"/>
    <cellStyle name="Normal 4 2 2 4 3 3 2 2" xfId="26168" xr:uid="{4A8A2886-3655-4331-8314-C7D89A290E72}"/>
    <cellStyle name="Normal 4 2 2 4 3 3 2 3" xfId="15439" xr:uid="{BC108CB3-8816-4F88-B024-2E3BE8906A44}"/>
    <cellStyle name="Normal 4 2 2 4 3 3 3" xfId="7892" xr:uid="{F9E1BE4C-D1B0-4252-8D15-CA52ECD0B49B}"/>
    <cellStyle name="Normal 4 2 2 4 3 3 3 2" xfId="18272" xr:uid="{9D3BCCF4-1B4A-4E65-BE42-0D0D7784F0B5}"/>
    <cellStyle name="Normal 4 2 2 4 3 3 4" xfId="10725" xr:uid="{F08D7AC6-7D0D-40B5-9DBE-C91C9CF97BB7}"/>
    <cellStyle name="Normal 4 2 2 4 3 3 4 2" xfId="21105" xr:uid="{8FB6AC6A-4B64-430D-A14E-25FF3B69A30F}"/>
    <cellStyle name="Normal 4 2 2 4 3 3 5" xfId="23730" xr:uid="{CF92C751-6CFD-4CA8-A398-128DAAC974AF}"/>
    <cellStyle name="Normal 4 2 2 4 3 3 6" xfId="13218" xr:uid="{E7F360B1-F7E5-46C2-A001-A68EAD7EDD58}"/>
    <cellStyle name="Normal 4 2 2 4 3 4" xfId="4182" xr:uid="{C41374AA-398E-49B6-93FD-E1A9331CDFBC}"/>
    <cellStyle name="Normal 4 2 2 4 3 4 2" xfId="8954" xr:uid="{2AE103A5-42BD-4788-B14D-BCB8209021C1}"/>
    <cellStyle name="Normal 4 2 2 4 3 4 2 2" xfId="29042" xr:uid="{1A00E0E5-F5CE-451B-9F9A-DA9C7B5273AD}"/>
    <cellStyle name="Normal 4 2 2 4 3 4 2 3" xfId="19334" xr:uid="{110560D6-4830-4636-B47C-84D0AA400F01}"/>
    <cellStyle name="Normal 4 2 2 4 3 4 3" xfId="11787" xr:uid="{4AB957CD-0568-492F-99FA-8AA901196C47}"/>
    <cellStyle name="Normal 4 2 2 4 3 4 3 2" xfId="22167" xr:uid="{959B2846-8940-444B-9242-3D2D882B8289}"/>
    <cellStyle name="Normal 4 2 2 4 3 4 4" xfId="23594" xr:uid="{85AB795E-D515-4FF1-B160-6B8D05B87815}"/>
    <cellStyle name="Normal 4 2 2 4 3 4 5" xfId="16501" xr:uid="{041B70B4-5B7D-41AE-8F55-49F80D50D331}"/>
    <cellStyle name="Normal 4 2 2 4 3 5" xfId="5232" xr:uid="{C79EFE5B-41C6-462D-B4AC-220D9794CBC6}"/>
    <cellStyle name="Normal 4 2 2 4 3 5 2" xfId="28285" xr:uid="{A131D15C-124D-4DEB-BDDF-DD0D370252B0}"/>
    <cellStyle name="Normal 4 2 2 4 3 5 3" xfId="14530" xr:uid="{239FF3B8-81F4-4B1E-8621-980706B91857}"/>
    <cellStyle name="Normal 4 2 2 4 3 6" xfId="6983" xr:uid="{13FAE052-AAAF-4089-9B8C-AC0A9A30A793}"/>
    <cellStyle name="Normal 4 2 2 4 3 6 2" xfId="17363" xr:uid="{798452EE-FFD2-46AE-A248-D50DB1B3F953}"/>
    <cellStyle name="Normal 4 2 2 4 3 7" xfId="9816" xr:uid="{F6094285-A40A-4F54-8464-644AB105B121}"/>
    <cellStyle name="Normal 4 2 2 4 3 7 2" xfId="20196" xr:uid="{E0FCD560-82AA-48F0-8626-A9CDB155C7F6}"/>
    <cellStyle name="Normal 4 2 2 4 3 8" xfId="23928" xr:uid="{B8BD615D-BCC6-44CB-97AB-FCFF8CC4069D}"/>
    <cellStyle name="Normal 4 2 2 4 3 9" xfId="12744" xr:uid="{EF6AB516-E6BA-436B-8008-52FF10DC7C72}"/>
    <cellStyle name="Normal 4 2 2 4 4" xfId="928" xr:uid="{00000000-0005-0000-0000-000052050000}"/>
    <cellStyle name="Normal 4 2 2 4 4 2" xfId="4512" xr:uid="{7F0BAE6F-8248-4C02-BF04-CC0E1E710B11}"/>
    <cellStyle name="Normal 4 2 2 4 4 2 2" xfId="9284" xr:uid="{C5A7C9DC-C510-4E40-89A9-1A786C2F8733}"/>
    <cellStyle name="Normal 4 2 2 4 4 2 2 2" xfId="29265" xr:uid="{9B6D7F25-F703-4899-B377-A6929FFA8706}"/>
    <cellStyle name="Normal 4 2 2 4 4 2 2 3" xfId="19664" xr:uid="{75DA1B32-F879-4F31-9D4A-AE0B31D392BA}"/>
    <cellStyle name="Normal 4 2 2 4 4 2 3" xfId="12117" xr:uid="{90B7D2CC-CB4E-4D61-8F2C-37CD29D6B66B}"/>
    <cellStyle name="Normal 4 2 2 4 4 2 3 2" xfId="22497" xr:uid="{12E16E5C-8897-4BE6-B2B0-329C403E707D}"/>
    <cellStyle name="Normal 4 2 2 4 4 2 4" xfId="25605" xr:uid="{95370623-BF1A-416E-987A-4E99F4F097B5}"/>
    <cellStyle name="Normal 4 2 2 4 4 2 5" xfId="16831" xr:uid="{5AF74597-6190-4DBE-B557-1DC9EE8ABB2C}"/>
    <cellStyle name="Normal 4 2 2 4 4 3" xfId="5233" xr:uid="{DC98DC4E-5DC0-4CF2-B1E2-0640CA7891F1}"/>
    <cellStyle name="Normal 4 2 2 4 4 3 2" xfId="25859" xr:uid="{39A713B4-432B-4920-8061-C58CD61DE077}"/>
    <cellStyle name="Normal 4 2 2 4 4 3 3" xfId="14531" xr:uid="{E125828D-806B-441F-8960-87D5B184F968}"/>
    <cellStyle name="Normal 4 2 2 4 4 4" xfId="6984" xr:uid="{B589063A-5A25-4BE9-873F-199C25D2C403}"/>
    <cellStyle name="Normal 4 2 2 4 4 4 2" xfId="17364" xr:uid="{5DA7FAB8-26C6-4D3C-AD00-27D33ACB7DE0}"/>
    <cellStyle name="Normal 4 2 2 4 4 5" xfId="9817" xr:uid="{5FDF8056-D649-42E6-86D3-515DFA2885AE}"/>
    <cellStyle name="Normal 4 2 2 4 4 5 2" xfId="20197" xr:uid="{9694BB31-BBB1-4DE5-AE33-972C3DB25A66}"/>
    <cellStyle name="Normal 4 2 2 4 4 6" xfId="22923" xr:uid="{38504A9F-730E-4AFE-84EC-6873EF8F377A}"/>
    <cellStyle name="Normal 4 2 2 4 4 7" xfId="13850" xr:uid="{48C4D6CF-5E56-4CE8-BED3-BA3B24319385}"/>
    <cellStyle name="Normal 4 2 2 4 5" xfId="2928" xr:uid="{00000000-0005-0000-0000-00008C050000}"/>
    <cellStyle name="Normal 4 2 2 4 5 2" xfId="6108" xr:uid="{94E986A0-9D03-4141-BAA9-6B86CD95BC63}"/>
    <cellStyle name="Normal 4 2 2 4 5 2 2" xfId="25713" xr:uid="{E5329199-FF78-4B4A-8B5D-D953DEA46CC1}"/>
    <cellStyle name="Normal 4 2 2 4 5 2 3" xfId="27966" xr:uid="{2BA4E496-5583-47CD-A334-E7ADA2E23914}"/>
    <cellStyle name="Normal 4 2 2 4 5 2 4" xfId="15586" xr:uid="{C60D9B1A-07BB-4E09-9939-2FD56421173C}"/>
    <cellStyle name="Normal 4 2 2 4 5 3" xfId="8039" xr:uid="{7DA0102F-5996-450F-A2F8-FD7CA9B9A43A}"/>
    <cellStyle name="Normal 4 2 2 4 5 3 2" xfId="28242" xr:uid="{4B0F276F-F12C-461C-96E8-541A24B9A97B}"/>
    <cellStyle name="Normal 4 2 2 4 5 3 3" xfId="18419" xr:uid="{66C3041F-BB06-46A9-8916-6826EF97BC08}"/>
    <cellStyle name="Normal 4 2 2 4 5 4" xfId="10872" xr:uid="{D17C5C4B-F940-4D53-86D1-51EE1CD3A322}"/>
    <cellStyle name="Normal 4 2 2 4 5 4 2" xfId="21252" xr:uid="{529D701B-8938-44F3-9B41-8B7D3475A218}"/>
    <cellStyle name="Normal 4 2 2 4 5 5" xfId="25271" xr:uid="{89D46EA6-8B48-4DE6-96C0-708E1778CD65}"/>
    <cellStyle name="Normal 4 2 2 4 5 6" xfId="13442" xr:uid="{0433115D-CD86-4F97-9A69-0CD7588BD6CA}"/>
    <cellStyle name="Normal 4 2 2 4 6" xfId="2455" xr:uid="{00000000-0005-0000-0000-00008D050000}"/>
    <cellStyle name="Normal 4 2 2 4 6 2" xfId="5747" xr:uid="{6B248BF3-FE3E-4975-ACF5-E79D0C31AE6B}"/>
    <cellStyle name="Normal 4 2 2 4 6 2 2" xfId="27109" xr:uid="{6D5AABAF-7EA6-482E-A3D3-B00D19E543D5}"/>
    <cellStyle name="Normal 4 2 2 4 6 2 3" xfId="15127" xr:uid="{472856FF-6085-4563-98BB-CE62A8294F52}"/>
    <cellStyle name="Normal 4 2 2 4 6 3" xfId="7580" xr:uid="{F76A5DB4-AE73-4355-9086-9B46F7852BB8}"/>
    <cellStyle name="Normal 4 2 2 4 6 3 2" xfId="17960" xr:uid="{735D299E-C6F1-4BB1-8DDD-5D65C0A2C320}"/>
    <cellStyle name="Normal 4 2 2 4 6 4" xfId="10413" xr:uid="{9021F540-409A-4C40-A5B4-87DF8A106FF3}"/>
    <cellStyle name="Normal 4 2 2 4 6 4 2" xfId="20793" xr:uid="{7220C185-106B-4FC8-9093-434972A947E8}"/>
    <cellStyle name="Normal 4 2 2 4 6 5" xfId="22677" xr:uid="{A71608BB-3685-495F-8A97-BC62EF5BA3EA}"/>
    <cellStyle name="Normal 4 2 2 4 6 6" xfId="12843" xr:uid="{0DD415B8-547E-4632-B007-51AFF8BE85A1}"/>
    <cellStyle name="Normal 4 2 2 4 7" xfId="2209" xr:uid="{00000000-0005-0000-0000-000081050000}"/>
    <cellStyle name="Normal 4 2 2 4 7 2" xfId="7336" xr:uid="{3BF7C5D6-6D70-4BAB-9DE4-9D0AB1537E19}"/>
    <cellStyle name="Normal 4 2 2 4 7 2 2" xfId="17716" xr:uid="{A5A87725-B542-456C-8C24-5938A5086B56}"/>
    <cellStyle name="Normal 4 2 2 4 7 3" xfId="10169" xr:uid="{4DC94CEA-72D3-4462-AEBD-33D0D4D37B08}"/>
    <cellStyle name="Normal 4 2 2 4 7 3 2" xfId="20549" xr:uid="{812DAA69-B456-4A1B-A0AE-237CBC55FE00}"/>
    <cellStyle name="Normal 4 2 2 4 7 4" xfId="25097" xr:uid="{59F58065-4199-4106-9A15-BD2C5391B7B0}"/>
    <cellStyle name="Normal 4 2 2 4 7 5" xfId="14883" xr:uid="{0112D7EC-2D98-4DEC-B91B-F1F848280BB9}"/>
    <cellStyle name="Normal 4 2 2 4 8" xfId="3973" xr:uid="{0ED48F26-5E12-4166-A72C-6C4C5EBBF6E1}"/>
    <cellStyle name="Normal 4 2 2 4 8 2" xfId="8797" xr:uid="{B54FB584-BA06-4EA1-8EA4-E90091879801}"/>
    <cellStyle name="Normal 4 2 2 4 8 2 2" xfId="19177" xr:uid="{43D71011-D7FA-43E6-AE67-38BB7485609A}"/>
    <cellStyle name="Normal 4 2 2 4 8 3" xfId="11630" xr:uid="{768F07F0-1087-4E61-808E-A14C0851C388}"/>
    <cellStyle name="Normal 4 2 2 4 8 3 2" xfId="22010" xr:uid="{46234296-031E-4FFD-AB74-AEB0A33D65BC}"/>
    <cellStyle name="Normal 4 2 2 4 8 4" xfId="16344" xr:uid="{EBCA9866-59FB-4AE0-99FD-11E1A4B490BA}"/>
    <cellStyle name="Normal 4 2 2 4 9" xfId="5229" xr:uid="{141EB3B9-3DBB-46EA-A0E2-EEA3709D310A}"/>
    <cellStyle name="Normal 4 2 2 4 9 2" xfId="14527" xr:uid="{5959E2D1-4D58-4EA5-A4A4-9B85D8ADCB59}"/>
    <cellStyle name="Normal 4 2 2 5" xfId="929" xr:uid="{00000000-0005-0000-0000-000053050000}"/>
    <cellStyle name="Normal 4 2 2 5 10" xfId="9818" xr:uid="{58171749-EBE0-41BC-A70E-179CEEF4D561}"/>
    <cellStyle name="Normal 4 2 2 5 10 2" xfId="20198" xr:uid="{F2D3F1B8-6D2E-44D4-A005-7B245604EB93}"/>
    <cellStyle name="Normal 4 2 2 5 11" xfId="23640" xr:uid="{4F6A9DC8-DC4E-49AC-9523-A707C70EEC77}"/>
    <cellStyle name="Normal 4 2 2 5 12" xfId="12587" xr:uid="{4A902344-3DCA-4B79-8C03-DAFE5EFE6440}"/>
    <cellStyle name="Normal 4 2 2 5 2" xfId="930" xr:uid="{00000000-0005-0000-0000-000054050000}"/>
    <cellStyle name="Normal 4 2 2 5 2 2" xfId="931" xr:uid="{00000000-0005-0000-0000-000055050000}"/>
    <cellStyle name="Normal 4 2 2 5 2 2 2" xfId="5236" xr:uid="{BB2A55E1-3D3F-4778-BABA-3D7670BAE9A7}"/>
    <cellStyle name="Normal 4 2 2 5 2 2 2 2" xfId="24781" xr:uid="{74E8F1D5-1987-43CF-86B6-92E1C1DC5CAE}"/>
    <cellStyle name="Normal 4 2 2 5 2 2 2 3" xfId="27416" xr:uid="{91A993C5-8F2D-4A39-B491-DF055DE86D3F}"/>
    <cellStyle name="Normal 4 2 2 5 2 2 2 4" xfId="14534" xr:uid="{A58CF70A-7684-468F-AF9E-72F91CDEE923}"/>
    <cellStyle name="Normal 4 2 2 5 2 2 3" xfId="6987" xr:uid="{B06B3D5D-2FFD-47A5-9374-E7A749D7EB10}"/>
    <cellStyle name="Normal 4 2 2 5 2 2 3 2" xfId="27618" xr:uid="{686F00C0-92AF-48EF-8F7F-341E1897A390}"/>
    <cellStyle name="Normal 4 2 2 5 2 2 3 3" xfId="27355" xr:uid="{702B176F-70B9-4C22-9475-A180B82C544E}"/>
    <cellStyle name="Normal 4 2 2 5 2 2 3 4" xfId="17367" xr:uid="{7DE463CC-A07F-486F-BB45-A1F85BEC3835}"/>
    <cellStyle name="Normal 4 2 2 5 2 2 4" xfId="9820" xr:uid="{D5FE8D46-57A1-4FC6-9783-A476A8A2C32E}"/>
    <cellStyle name="Normal 4 2 2 5 2 2 4 2" xfId="29414" xr:uid="{68BE820C-826A-4F57-ADEA-F7F33A39BF0A}"/>
    <cellStyle name="Normal 4 2 2 5 2 2 4 3" xfId="20200" xr:uid="{F308CD53-9FA7-4232-AE58-24B2EA28331A}"/>
    <cellStyle name="Normal 4 2 2 5 2 2 5" xfId="24680" xr:uid="{1AB2CD9D-E3DE-4EBE-B49B-256598088DFA}"/>
    <cellStyle name="Normal 4 2 2 5 2 2 6" xfId="13851" xr:uid="{D5346BBC-C88F-434A-BAD1-F6962974956D}"/>
    <cellStyle name="Normal 4 2 2 5 2 3" xfId="2769" xr:uid="{00000000-0005-0000-0000-000091050000}"/>
    <cellStyle name="Normal 4 2 2 5 2 3 2" xfId="5987" xr:uid="{4F79CE1D-FD04-4C1D-A924-F43EB3944698}"/>
    <cellStyle name="Normal 4 2 2 5 2 3 2 2" xfId="27661" xr:uid="{78AB8423-D389-4A4C-AA7F-9649141E7E78}"/>
    <cellStyle name="Normal 4 2 2 5 2 3 2 3" xfId="15440" xr:uid="{531E4F4E-25E5-4752-B345-7AB1E9CE93D1}"/>
    <cellStyle name="Normal 4 2 2 5 2 3 3" xfId="7893" xr:uid="{CF0B3C64-E9A4-45CB-A1FE-9AC51949BCF2}"/>
    <cellStyle name="Normal 4 2 2 5 2 3 3 2" xfId="18273" xr:uid="{2B965257-6DF8-4838-AC3B-96710552853B}"/>
    <cellStyle name="Normal 4 2 2 5 2 3 4" xfId="10726" xr:uid="{9D62CC09-3D0C-4422-B8FC-85CA6C106737}"/>
    <cellStyle name="Normal 4 2 2 5 2 3 4 2" xfId="21106" xr:uid="{BFCBB2F2-3BD5-4435-B291-1D9922CF1C77}"/>
    <cellStyle name="Normal 4 2 2 5 2 3 5" xfId="24431" xr:uid="{B81F789B-A9FC-42A8-8330-5722F5ED092D}"/>
    <cellStyle name="Normal 4 2 2 5 2 3 6" xfId="13220" xr:uid="{0AE12896-55C9-400E-B3AD-39B52619F1E1}"/>
    <cellStyle name="Normal 4 2 2 5 2 4" xfId="4183" xr:uid="{C65CDB0D-6C14-4C4C-87D1-96C498932E52}"/>
    <cellStyle name="Normal 4 2 2 5 2 4 2" xfId="8955" xr:uid="{AEBCDB12-132A-452C-88C9-3FC1C24CFE4E}"/>
    <cellStyle name="Normal 4 2 2 5 2 4 2 2" xfId="29043" xr:uid="{26AD6E36-E1A2-433D-A82E-BC36F2F67C15}"/>
    <cellStyle name="Normal 4 2 2 5 2 4 2 3" xfId="19335" xr:uid="{C7C432BD-09CF-4123-8F42-D072425FBBA1}"/>
    <cellStyle name="Normal 4 2 2 5 2 4 3" xfId="11788" xr:uid="{A55D2D27-6739-4D76-82E6-630FED310E41}"/>
    <cellStyle name="Normal 4 2 2 5 2 4 3 2" xfId="22168" xr:uid="{321A2C97-4639-4556-BBDC-487AF3689163}"/>
    <cellStyle name="Normal 4 2 2 5 2 4 4" xfId="25059" xr:uid="{1F29A50C-4EA9-4D04-AC66-CEF83CD20367}"/>
    <cellStyle name="Normal 4 2 2 5 2 4 5" xfId="16502" xr:uid="{440D7215-C38F-4516-A4CE-2A597E91CD6C}"/>
    <cellStyle name="Normal 4 2 2 5 2 5" xfId="5235" xr:uid="{5B25C12D-A192-48CA-AC6B-FE90824957C4}"/>
    <cellStyle name="Normal 4 2 2 5 2 5 2" xfId="26477" xr:uid="{783D4596-487B-4E3C-BB7C-A9BBBD3AC4AA}"/>
    <cellStyle name="Normal 4 2 2 5 2 5 3" xfId="14533" xr:uid="{3D001904-949B-4072-A028-E4CB6746FFCE}"/>
    <cellStyle name="Normal 4 2 2 5 2 6" xfId="6986" xr:uid="{45EC6BC5-5E6F-4537-B521-428A8AFBB9A5}"/>
    <cellStyle name="Normal 4 2 2 5 2 6 2" xfId="17366" xr:uid="{862A1209-6E22-4B39-845A-AFB905B8255E}"/>
    <cellStyle name="Normal 4 2 2 5 2 7" xfId="9819" xr:uid="{AAC5116F-CB34-4B2F-8E39-FFF7ED7A0A97}"/>
    <cellStyle name="Normal 4 2 2 5 2 7 2" xfId="20199" xr:uid="{7412C043-D4CC-480B-86F4-33890837420C}"/>
    <cellStyle name="Normal 4 2 2 5 2 8" xfId="24651" xr:uid="{88F5A006-EB78-4F59-BF5B-E07823D4D7C3}"/>
    <cellStyle name="Normal 4 2 2 5 2 9" xfId="12745" xr:uid="{431D2F21-2C4D-4F5F-BA8F-7DD2E2FAB5CD}"/>
    <cellStyle name="Normal 4 2 2 5 3" xfId="932" xr:uid="{00000000-0005-0000-0000-000056050000}"/>
    <cellStyle name="Normal 4 2 2 5 3 2" xfId="4513" xr:uid="{E049B8BE-D8B3-4C11-B71A-CECFADEA9B46}"/>
    <cellStyle name="Normal 4 2 2 5 3 2 2" xfId="9285" xr:uid="{59266FD9-2CBC-409D-BE2A-DADD88089D21}"/>
    <cellStyle name="Normal 4 2 2 5 3 2 2 2" xfId="29266" xr:uid="{8F65F3E8-198E-4DC9-B2F5-2F429F94C8C2}"/>
    <cellStyle name="Normal 4 2 2 5 3 2 2 3" xfId="19665" xr:uid="{171404A7-91D5-4668-BD99-3D813849E06B}"/>
    <cellStyle name="Normal 4 2 2 5 3 2 3" xfId="12118" xr:uid="{729A547F-B580-400E-A1FF-6F5B18CD426C}"/>
    <cellStyle name="Normal 4 2 2 5 3 2 3 2" xfId="22498" xr:uid="{0D8505EA-1315-4A5E-B875-2CCF2ABF7183}"/>
    <cellStyle name="Normal 4 2 2 5 3 2 4" xfId="23438" xr:uid="{05B6868B-10CB-4611-8174-C49205B1C086}"/>
    <cellStyle name="Normal 4 2 2 5 3 2 5" xfId="16832" xr:uid="{04DF7987-3D04-4196-95B7-14D3FE0348E2}"/>
    <cellStyle name="Normal 4 2 2 5 3 3" xfId="5237" xr:uid="{D0DC0D79-6B0D-42F4-8359-B63BD6B67808}"/>
    <cellStyle name="Normal 4 2 2 5 3 3 2" xfId="23030" xr:uid="{6C72D273-C781-4929-9BDC-EC14BA3726CA}"/>
    <cellStyle name="Normal 4 2 2 5 3 3 3" xfId="27283" xr:uid="{FEC6DF22-1838-4905-B289-846F6F736681}"/>
    <cellStyle name="Normal 4 2 2 5 3 3 4" xfId="14535" xr:uid="{9362DCF5-4498-4EE8-8D1C-A467273DD596}"/>
    <cellStyle name="Normal 4 2 2 5 3 4" xfId="6988" xr:uid="{901345E2-1587-469C-939D-B36370FF6A42}"/>
    <cellStyle name="Normal 4 2 2 5 3 4 2" xfId="25626" xr:uid="{3D7F0D0C-9321-4763-AD34-9EF0AE3FF06C}"/>
    <cellStyle name="Normal 4 2 2 5 3 4 3" xfId="28581" xr:uid="{63F75DC7-B827-4F4B-831E-0EB2CFD23B86}"/>
    <cellStyle name="Normal 4 2 2 5 3 4 4" xfId="17368" xr:uid="{8DCB8E37-B49A-46AC-82EB-538434DD6566}"/>
    <cellStyle name="Normal 4 2 2 5 3 5" xfId="9821" xr:uid="{22B8E61A-940A-44EF-A67B-1FEF8E888503}"/>
    <cellStyle name="Normal 4 2 2 5 3 5 2" xfId="29415" xr:uid="{8E69B30C-E9F1-4BF1-A24F-F3AC703D1500}"/>
    <cellStyle name="Normal 4 2 2 5 3 5 3" xfId="20201" xr:uid="{AC92B244-EF5E-4695-B110-FEA706E96ED0}"/>
    <cellStyle name="Normal 4 2 2 5 3 6" xfId="23037" xr:uid="{B1C54EFA-4EE1-4FC3-8C1B-3F4ED1734102}"/>
    <cellStyle name="Normal 4 2 2 5 3 7" xfId="13852" xr:uid="{BAFA886D-9DEC-4C30-B41C-4298CE465B14}"/>
    <cellStyle name="Normal 4 2 2 5 4" xfId="933" xr:uid="{00000000-0005-0000-0000-000057050000}"/>
    <cellStyle name="Normal 4 2 2 5 4 2" xfId="5238" xr:uid="{FBF7B6F4-DCA5-464C-A60C-8751E1E408E9}"/>
    <cellStyle name="Normal 4 2 2 5 4 2 2" xfId="24704" xr:uid="{C7485AA5-B669-4551-9315-FC080ED8CFEA}"/>
    <cellStyle name="Normal 4 2 2 5 4 2 3" xfId="26234" xr:uid="{6AD5F11A-EA59-4309-8090-DC567E72943C}"/>
    <cellStyle name="Normal 4 2 2 5 4 2 4" xfId="14536" xr:uid="{7ECE356E-313B-42CB-A1D3-FCC2375DFF9A}"/>
    <cellStyle name="Normal 4 2 2 5 4 3" xfId="6989" xr:uid="{E84AAD02-12D7-498D-988A-7DE82B4F9F15}"/>
    <cellStyle name="Normal 4 2 2 5 4 3 2" xfId="27046" xr:uid="{699BE569-BFB6-4A74-9F07-4D458083C0BC}"/>
    <cellStyle name="Normal 4 2 2 5 4 3 3" xfId="17369" xr:uid="{A1361F66-D4AA-4CF8-9DAD-7AD2D9E3D438}"/>
    <cellStyle name="Normal 4 2 2 5 4 4" xfId="9822" xr:uid="{BE39222B-A1CF-424C-B8B8-0E83D50105AB}"/>
    <cellStyle name="Normal 4 2 2 5 4 4 2" xfId="20202" xr:uid="{E020F430-1093-46F8-9E00-662975A4E683}"/>
    <cellStyle name="Normal 4 2 2 5 4 5" xfId="24316" xr:uid="{31FBF425-6E7C-4A0E-B0B8-02059FDD6E19}"/>
    <cellStyle name="Normal 4 2 2 5 4 6" xfId="13443" xr:uid="{1695C9F3-8203-4C46-A191-BA26B2A9EFE9}"/>
    <cellStyle name="Normal 4 2 2 5 5" xfId="2515" xr:uid="{00000000-0005-0000-0000-000094050000}"/>
    <cellStyle name="Normal 4 2 2 5 5 2" xfId="5793" xr:uid="{77BAEC64-5E37-4042-98C2-8298A57D0226}"/>
    <cellStyle name="Normal 4 2 2 5 5 2 2" xfId="27530" xr:uid="{AD85F3C9-B223-4255-90FB-AD6300F365A0}"/>
    <cellStyle name="Normal 4 2 2 5 5 2 3" xfId="15187" xr:uid="{3C121F72-D4F8-4D10-8449-508995BBCF3A}"/>
    <cellStyle name="Normal 4 2 2 5 5 3" xfId="7640" xr:uid="{F8DB22E3-7B6D-4144-802D-7AA035B0A0EE}"/>
    <cellStyle name="Normal 4 2 2 5 5 3 2" xfId="18020" xr:uid="{A4DF8C86-0048-4F64-8F80-FAD5B89C41FF}"/>
    <cellStyle name="Normal 4 2 2 5 5 4" xfId="10473" xr:uid="{8C3DC2F1-19B5-4410-B4B5-C002ABC268E2}"/>
    <cellStyle name="Normal 4 2 2 5 5 4 2" xfId="20853" xr:uid="{CF407E97-4759-4A15-ABD7-8BBA39E492D5}"/>
    <cellStyle name="Normal 4 2 2 5 5 5" xfId="24482" xr:uid="{8D7EE892-8887-495A-A9A0-AD53852F641B}"/>
    <cellStyle name="Normal 4 2 2 5 5 6" xfId="12903" xr:uid="{D6A48E63-4E4B-45EA-A18E-8440363B7741}"/>
    <cellStyle name="Normal 4 2 2 5 6" xfId="2353" xr:uid="{00000000-0005-0000-0000-00008E050000}"/>
    <cellStyle name="Normal 4 2 2 5 6 2" xfId="7480" xr:uid="{DB22DD5E-9B79-40A0-9C8D-3FA9C2E3A5B5}"/>
    <cellStyle name="Normal 4 2 2 5 6 2 2" xfId="28093" xr:uid="{71BE59F2-93C1-40BC-814A-90D10CD9E6F6}"/>
    <cellStyle name="Normal 4 2 2 5 6 2 3" xfId="17860" xr:uid="{F9370712-E4E1-4873-B0F5-71AD2E79E593}"/>
    <cellStyle name="Normal 4 2 2 5 6 3" xfId="10313" xr:uid="{EFD862F5-19BF-4263-BCA2-5A933F86B82B}"/>
    <cellStyle name="Normal 4 2 2 5 6 3 2" xfId="20693" xr:uid="{41724785-511B-42F5-800E-97FAF9D83914}"/>
    <cellStyle name="Normal 4 2 2 5 6 4" xfId="23718" xr:uid="{D1BE1319-0532-4686-98EF-6512B4ADDEDD}"/>
    <cellStyle name="Normal 4 2 2 5 6 5" xfId="15027" xr:uid="{7E22B584-62AC-47F9-A90D-CB5E498CB451}"/>
    <cellStyle name="Normal 4 2 2 5 7" xfId="3974" xr:uid="{C4ACFCEF-14B3-40AE-ABFF-B000279843F1}"/>
    <cellStyle name="Normal 4 2 2 5 7 2" xfId="8798" xr:uid="{C5D84EDB-E9B5-4072-9365-B9F8F88EE448}"/>
    <cellStyle name="Normal 4 2 2 5 7 2 2" xfId="19178" xr:uid="{9E213812-8C20-4C0B-BA78-7AFC9E58DEB3}"/>
    <cellStyle name="Normal 4 2 2 5 7 3" xfId="11631" xr:uid="{C23ADEDA-2837-47F1-9E98-FDE60199FEC2}"/>
    <cellStyle name="Normal 4 2 2 5 7 3 2" xfId="22011" xr:uid="{2254D8D2-FDA5-4C97-B63B-61350D6E97E8}"/>
    <cellStyle name="Normal 4 2 2 5 7 4" xfId="28328" xr:uid="{9E80C560-B7C3-4DF8-8EF7-1A19A15D5A9C}"/>
    <cellStyle name="Normal 4 2 2 5 7 5" xfId="16345" xr:uid="{4A3E1B43-F1F0-4F84-A199-892F3592355D}"/>
    <cellStyle name="Normal 4 2 2 5 8" xfId="5234" xr:uid="{99EDCC47-7759-4792-8EE3-30957819F237}"/>
    <cellStyle name="Normal 4 2 2 5 8 2" xfId="14532" xr:uid="{05C04DB2-3738-498B-8248-64DBEBF26A1B}"/>
    <cellStyle name="Normal 4 2 2 5 9" xfId="6985" xr:uid="{7234C7C5-2619-42B4-9EBE-929194430821}"/>
    <cellStyle name="Normal 4 2 2 5 9 2" xfId="17365" xr:uid="{5C19578B-13BB-4230-930C-8CB16E58F99E}"/>
    <cellStyle name="Normal 4 2 2 6" xfId="934" xr:uid="{00000000-0005-0000-0000-000058050000}"/>
    <cellStyle name="Normal 4 2 2 6 10" xfId="9823" xr:uid="{2561D18D-4E72-4AE6-AA97-22DF5CAF4D20}"/>
    <cellStyle name="Normal 4 2 2 6 10 2" xfId="20203" xr:uid="{DD89E622-D3D6-4B3E-B7AD-5A25DA26FF2A}"/>
    <cellStyle name="Normal 4 2 2 6 11" xfId="23591" xr:uid="{11A9B7DB-80B6-4EA4-A830-7E6CBC498292}"/>
    <cellStyle name="Normal 4 2 2 6 12" xfId="12588" xr:uid="{E2F84217-4F6D-4768-A087-B3CEB335A4E4}"/>
    <cellStyle name="Normal 4 2 2 6 2" xfId="935" xr:uid="{00000000-0005-0000-0000-000059050000}"/>
    <cellStyle name="Normal 4 2 2 6 2 2" xfId="936" xr:uid="{00000000-0005-0000-0000-00005A050000}"/>
    <cellStyle name="Normal 4 2 2 6 2 2 2" xfId="5241" xr:uid="{6F5B2623-C032-414D-8BC1-BDCFC1F6835C}"/>
    <cellStyle name="Normal 4 2 2 6 2 2 2 2" xfId="22744" xr:uid="{09CD513C-488E-4419-97B1-B67AF03D62BA}"/>
    <cellStyle name="Normal 4 2 2 6 2 2 2 3" xfId="27581" xr:uid="{DFB8FFD9-D5C8-4DA4-8614-F96625D45145}"/>
    <cellStyle name="Normal 4 2 2 6 2 2 2 4" xfId="14539" xr:uid="{A5EF2391-BEAF-477E-8940-36D03BE1E800}"/>
    <cellStyle name="Normal 4 2 2 6 2 2 3" xfId="6992" xr:uid="{95F4974A-894F-4860-8699-13AB1BEB70AB}"/>
    <cellStyle name="Normal 4 2 2 6 2 2 3 2" xfId="27619" xr:uid="{ED699511-B2B0-4ECF-BFA3-495CB59F5F4E}"/>
    <cellStyle name="Normal 4 2 2 6 2 2 3 3" xfId="26661" xr:uid="{EF9AA21E-2E22-4858-8F3D-7B1CA787E389}"/>
    <cellStyle name="Normal 4 2 2 6 2 2 3 4" xfId="17372" xr:uid="{5F93B48C-62FE-4CC8-ADE3-9E2B782D49B9}"/>
    <cellStyle name="Normal 4 2 2 6 2 2 4" xfId="9825" xr:uid="{1D8DD49B-3C79-41E4-9C8F-9484788576C5}"/>
    <cellStyle name="Normal 4 2 2 6 2 2 4 2" xfId="29416" xr:uid="{CCD0D234-5A2B-4730-A0F9-0150433F8D5E}"/>
    <cellStyle name="Normal 4 2 2 6 2 2 4 3" xfId="20205" xr:uid="{C31C3F99-CC06-43B0-A424-4AF2C4049761}"/>
    <cellStyle name="Normal 4 2 2 6 2 2 5" xfId="24362" xr:uid="{4C68074B-E687-4033-8FEB-9F77E550AE00}"/>
    <cellStyle name="Normal 4 2 2 6 2 2 6" xfId="13853" xr:uid="{DAA0A645-9EEE-48A8-AF04-A76D1DCAD4DD}"/>
    <cellStyle name="Normal 4 2 2 6 2 3" xfId="2770" xr:uid="{00000000-0005-0000-0000-000098050000}"/>
    <cellStyle name="Normal 4 2 2 6 2 3 2" xfId="5988" xr:uid="{77158A41-DC44-4BAC-82C0-46E3F59185DA}"/>
    <cellStyle name="Normal 4 2 2 6 2 3 2 2" xfId="26908" xr:uid="{B6EF9791-E7B2-44FD-ACE6-D90AB1367990}"/>
    <cellStyle name="Normal 4 2 2 6 2 3 2 3" xfId="15441" xr:uid="{3320EA68-7558-45B0-AFEC-B1ADC52F4049}"/>
    <cellStyle name="Normal 4 2 2 6 2 3 3" xfId="7894" xr:uid="{44AC1D0C-A867-43BA-A801-5D1DFE078152}"/>
    <cellStyle name="Normal 4 2 2 6 2 3 3 2" xfId="18274" xr:uid="{8879CEAB-EFBF-4490-9446-1A37C0675D06}"/>
    <cellStyle name="Normal 4 2 2 6 2 3 4" xfId="10727" xr:uid="{FC74A597-35EC-4AFA-97DC-58E59BEF5AB2}"/>
    <cellStyle name="Normal 4 2 2 6 2 3 4 2" xfId="21107" xr:uid="{6F74B78A-DFE0-4366-8219-445536C6F776}"/>
    <cellStyle name="Normal 4 2 2 6 2 3 5" xfId="25359" xr:uid="{5DD0AF5D-8B3F-444E-AA6A-9DCDDE37FF46}"/>
    <cellStyle name="Normal 4 2 2 6 2 3 6" xfId="13221" xr:uid="{9A48E49D-3543-4A53-84C3-D924CEF31E0D}"/>
    <cellStyle name="Normal 4 2 2 6 2 4" xfId="4184" xr:uid="{4A600C20-B7B2-4CC1-8893-32A614127785}"/>
    <cellStyle name="Normal 4 2 2 6 2 4 2" xfId="8956" xr:uid="{EA0D9F9D-E07C-4CB9-BE3E-87351E77F228}"/>
    <cellStyle name="Normal 4 2 2 6 2 4 2 2" xfId="29044" xr:uid="{2DBA315C-5C30-47D3-A2FB-DEF876A68A13}"/>
    <cellStyle name="Normal 4 2 2 6 2 4 2 3" xfId="19336" xr:uid="{975FDC66-83DC-45C1-BC2E-40F9A9AC5561}"/>
    <cellStyle name="Normal 4 2 2 6 2 4 3" xfId="11789" xr:uid="{CA5CD5B8-C598-4FC7-9B17-45027E2B06BD}"/>
    <cellStyle name="Normal 4 2 2 6 2 4 3 2" xfId="22169" xr:uid="{A0187298-99B6-4651-BD1A-6C1C79138CB1}"/>
    <cellStyle name="Normal 4 2 2 6 2 4 4" xfId="23965" xr:uid="{388895BE-FD39-4AF5-B105-8FDC92A42E0B}"/>
    <cellStyle name="Normal 4 2 2 6 2 4 5" xfId="16503" xr:uid="{C5169F37-8B69-4859-8714-687CB20A635B}"/>
    <cellStyle name="Normal 4 2 2 6 2 5" xfId="5240" xr:uid="{662E116E-9EC3-4A06-979B-4EFE42AE6890}"/>
    <cellStyle name="Normal 4 2 2 6 2 5 2" xfId="28373" xr:uid="{70454BAD-28A9-4101-AE6B-D9ED288DDA2B}"/>
    <cellStyle name="Normal 4 2 2 6 2 5 3" xfId="14538" xr:uid="{5187D604-5B23-4136-BC05-65A19767659B}"/>
    <cellStyle name="Normal 4 2 2 6 2 6" xfId="6991" xr:uid="{FF310834-285A-481B-9925-936D55C32865}"/>
    <cellStyle name="Normal 4 2 2 6 2 6 2" xfId="17371" xr:uid="{3DB2F12C-026A-4A45-B982-D32BF14048DC}"/>
    <cellStyle name="Normal 4 2 2 6 2 7" xfId="9824" xr:uid="{ECA44F94-06E9-4180-9BDD-88E77CCD4115}"/>
    <cellStyle name="Normal 4 2 2 6 2 7 2" xfId="20204" xr:uid="{E0440E39-4A6D-45F4-8B3C-3D4577E20CFE}"/>
    <cellStyle name="Normal 4 2 2 6 2 8" xfId="22933" xr:uid="{1FA73B3E-1D31-499C-8A57-0C8195DC023A}"/>
    <cellStyle name="Normal 4 2 2 6 2 9" xfId="12746" xr:uid="{F073804B-386A-4A13-9194-C1CB16759E4B}"/>
    <cellStyle name="Normal 4 2 2 6 3" xfId="937" xr:uid="{00000000-0005-0000-0000-00005B050000}"/>
    <cellStyle name="Normal 4 2 2 6 3 2" xfId="4514" xr:uid="{3C535D30-4F3D-46CB-AFA7-72D4C11D4890}"/>
    <cellStyle name="Normal 4 2 2 6 3 2 2" xfId="9286" xr:uid="{9A792B1F-E3F2-44F4-BC2C-B5A5BE9CC4A8}"/>
    <cellStyle name="Normal 4 2 2 6 3 2 2 2" xfId="29267" xr:uid="{8CF39A1A-A244-4345-BA53-8293D37B0FDB}"/>
    <cellStyle name="Normal 4 2 2 6 3 2 2 3" xfId="19666" xr:uid="{2A9B5CC3-3017-488E-97D0-098DAD78554D}"/>
    <cellStyle name="Normal 4 2 2 6 3 2 3" xfId="12119" xr:uid="{1A834563-6AB8-48AC-BECC-0CB2AF0093DD}"/>
    <cellStyle name="Normal 4 2 2 6 3 2 3 2" xfId="22499" xr:uid="{7C83541A-4FC0-4BB7-82C5-06FE99E97000}"/>
    <cellStyle name="Normal 4 2 2 6 3 2 4" xfId="24963" xr:uid="{F3290EC6-C128-4396-83B4-C190E6F07075}"/>
    <cellStyle name="Normal 4 2 2 6 3 2 5" xfId="16833" xr:uid="{2607B29E-3790-41F8-B887-50EC8B36D73A}"/>
    <cellStyle name="Normal 4 2 2 6 3 3" xfId="5242" xr:uid="{90D8FC7C-E81B-4DA4-BA7F-0935FFDDE95B}"/>
    <cellStyle name="Normal 4 2 2 6 3 3 2" xfId="26823" xr:uid="{4FF99E2A-6C61-4C03-ACCE-44D4D0A6E67D}"/>
    <cellStyle name="Normal 4 2 2 6 3 3 3" xfId="27487" xr:uid="{2C8E640E-2B5A-4837-A3E7-41231A33D013}"/>
    <cellStyle name="Normal 4 2 2 6 3 3 4" xfId="14540" xr:uid="{AE953FB9-649F-4C31-9347-AD2DA4997FA0}"/>
    <cellStyle name="Normal 4 2 2 6 3 4" xfId="6993" xr:uid="{3C5B5C16-8376-49F8-B0CB-5AB1F34D0DFB}"/>
    <cellStyle name="Normal 4 2 2 6 3 4 2" xfId="27286" xr:uid="{3980CFEC-2FE6-4C5C-BED4-9B7570AFD8E2}"/>
    <cellStyle name="Normal 4 2 2 6 3 4 3" xfId="27273" xr:uid="{862D206E-6C31-4D59-A121-52856B57CFD7}"/>
    <cellStyle name="Normal 4 2 2 6 3 4 4" xfId="17373" xr:uid="{550094BF-19E4-4FD0-8B2B-5979CB7F0FF3}"/>
    <cellStyle name="Normal 4 2 2 6 3 5" xfId="9826" xr:uid="{CEB9C7F4-F0A1-4722-B955-5F2C1D176CBB}"/>
    <cellStyle name="Normal 4 2 2 6 3 5 2" xfId="29417" xr:uid="{26618566-766D-4872-8583-5618A3E842C7}"/>
    <cellStyle name="Normal 4 2 2 6 3 5 3" xfId="20206" xr:uid="{B3B95895-399D-4E1D-BF34-EA2962EEC19E}"/>
    <cellStyle name="Normal 4 2 2 6 3 6" xfId="24231" xr:uid="{514BFD68-60B8-4E2A-BEBA-EB6872B3289A}"/>
    <cellStyle name="Normal 4 2 2 6 3 7" xfId="13854" xr:uid="{5C8A8026-B8CF-48C7-B291-F159243D9733}"/>
    <cellStyle name="Normal 4 2 2 6 4" xfId="938" xr:uid="{00000000-0005-0000-0000-00005C050000}"/>
    <cellStyle name="Normal 4 2 2 6 4 2" xfId="5243" xr:uid="{8B7500D1-1045-40FB-A876-21499B7F35D7}"/>
    <cellStyle name="Normal 4 2 2 6 4 2 2" xfId="23327" xr:uid="{9F3982A5-F9A4-42BF-94FD-1144EC865199}"/>
    <cellStyle name="Normal 4 2 2 6 4 2 3" xfId="26271" xr:uid="{0A351F3D-29E9-459A-BE2F-2BDA2C34C3E0}"/>
    <cellStyle name="Normal 4 2 2 6 4 2 4" xfId="14541" xr:uid="{E29ABD2C-8DF0-401D-B148-402D0B0DBC6B}"/>
    <cellStyle name="Normal 4 2 2 6 4 3" xfId="6994" xr:uid="{4F566D0D-B754-4C10-8F65-41EB9DAD07DA}"/>
    <cellStyle name="Normal 4 2 2 6 4 3 2" xfId="27220" xr:uid="{A972ADBB-CA94-4267-9428-02104DFCED14}"/>
    <cellStyle name="Normal 4 2 2 6 4 3 3" xfId="17374" xr:uid="{F7CBC127-F930-4B83-8A23-AF06F29B60B2}"/>
    <cellStyle name="Normal 4 2 2 6 4 4" xfId="9827" xr:uid="{EA920DFB-FD30-4FB8-BCE4-997A3CE84931}"/>
    <cellStyle name="Normal 4 2 2 6 4 4 2" xfId="20207" xr:uid="{FAE1C70A-5106-450B-8D57-D90B25E4D0FB}"/>
    <cellStyle name="Normal 4 2 2 6 4 5" xfId="23583" xr:uid="{ECD4C5CC-E49D-4568-8896-C362906263EC}"/>
    <cellStyle name="Normal 4 2 2 6 4 6" xfId="13444" xr:uid="{6CB2BAB9-19E6-4059-BDB0-2427D88FA990}"/>
    <cellStyle name="Normal 4 2 2 6 5" xfId="2578" xr:uid="{00000000-0005-0000-0000-00009B050000}"/>
    <cellStyle name="Normal 4 2 2 6 5 2" xfId="5843" xr:uid="{BB13DED3-5EA3-43B9-963D-8ACB59D162CF}"/>
    <cellStyle name="Normal 4 2 2 6 5 2 2" xfId="26840" xr:uid="{437FD476-A855-46B3-934E-248641D8A05B}"/>
    <cellStyle name="Normal 4 2 2 6 5 2 3" xfId="15250" xr:uid="{693E8A13-DBC6-4777-94D9-DF3033BB3255}"/>
    <cellStyle name="Normal 4 2 2 6 5 3" xfId="7703" xr:uid="{D062841D-12D1-4B74-8218-F4536D4677E6}"/>
    <cellStyle name="Normal 4 2 2 6 5 3 2" xfId="18083" xr:uid="{F8220E91-E151-48CE-B448-569CB90D494F}"/>
    <cellStyle name="Normal 4 2 2 6 5 4" xfId="10536" xr:uid="{DD7E7BC7-C813-4AA2-801A-51231DD1A7A6}"/>
    <cellStyle name="Normal 4 2 2 6 5 4 2" xfId="20916" xr:uid="{16A8D1CD-5EC0-4376-BDD5-9CC83AA89412}"/>
    <cellStyle name="Normal 4 2 2 6 5 5" xfId="24971" xr:uid="{6D93BF68-17F3-41CB-9DDA-E8C0E8DEE6BD}"/>
    <cellStyle name="Normal 4 2 2 6 5 6" xfId="12966" xr:uid="{1B54A201-D8DB-4CA1-9906-E4EF9C822C61}"/>
    <cellStyle name="Normal 4 2 2 6 6" xfId="2354" xr:uid="{00000000-0005-0000-0000-000095050000}"/>
    <cellStyle name="Normal 4 2 2 6 6 2" xfId="7481" xr:uid="{FAEF91AF-9211-4435-A837-B87E36160B8C}"/>
    <cellStyle name="Normal 4 2 2 6 6 2 2" xfId="26931" xr:uid="{5B19A4BC-3F78-4EE6-8F92-C8895AE3E6EA}"/>
    <cellStyle name="Normal 4 2 2 6 6 2 3" xfId="17861" xr:uid="{5525B37D-CB38-447D-85B6-6EE5E847F0DC}"/>
    <cellStyle name="Normal 4 2 2 6 6 3" xfId="10314" xr:uid="{DA2AEF52-F208-4F89-A091-302F21486427}"/>
    <cellStyle name="Normal 4 2 2 6 6 3 2" xfId="20694" xr:uid="{B4B6196F-62E2-4FDD-996A-245C9E1D4C98}"/>
    <cellStyle name="Normal 4 2 2 6 6 4" xfId="23032" xr:uid="{09ED6ABB-BDED-4F80-B8BB-8E7246681CA1}"/>
    <cellStyle name="Normal 4 2 2 6 6 5" xfId="15028" xr:uid="{C22F411D-7C67-4A71-B13B-8EE2229526A0}"/>
    <cellStyle name="Normal 4 2 2 6 7" xfId="3975" xr:uid="{3C44D71E-0ED7-4B64-B21F-FB171EDB30F8}"/>
    <cellStyle name="Normal 4 2 2 6 7 2" xfId="8799" xr:uid="{CDB8CAFA-399C-4118-97FE-5516055D49DA}"/>
    <cellStyle name="Normal 4 2 2 6 7 2 2" xfId="19179" xr:uid="{285168F4-5223-4535-A0CE-271C75819637}"/>
    <cellStyle name="Normal 4 2 2 6 7 3" xfId="11632" xr:uid="{A488E30D-91C2-44D5-AB3E-7785E8398C46}"/>
    <cellStyle name="Normal 4 2 2 6 7 3 2" xfId="22012" xr:uid="{F707871D-780D-4C95-B221-B241EF4E1839}"/>
    <cellStyle name="Normal 4 2 2 6 7 4" xfId="27576" xr:uid="{36575FDE-8F80-4BA2-AC5B-6CB7E45CBDEC}"/>
    <cellStyle name="Normal 4 2 2 6 7 5" xfId="16346" xr:uid="{AFC830DC-84AB-4ED2-BEE4-C2ADF3452D36}"/>
    <cellStyle name="Normal 4 2 2 6 8" xfId="5239" xr:uid="{5BDB20EC-E8E3-44DF-84B7-9AFAC17D679F}"/>
    <cellStyle name="Normal 4 2 2 6 8 2" xfId="14537" xr:uid="{7843AA79-BD79-4A07-84FF-0BAB2ADCF180}"/>
    <cellStyle name="Normal 4 2 2 6 9" xfId="6990" xr:uid="{7A743304-F793-4464-8858-A840A2C99EAD}"/>
    <cellStyle name="Normal 4 2 2 6 9 2" xfId="17370" xr:uid="{2C470E94-78DF-49F4-ADD7-DE0028853463}"/>
    <cellStyle name="Normal 4 2 2 7" xfId="939" xr:uid="{00000000-0005-0000-0000-00005D050000}"/>
    <cellStyle name="Normal 4 2 2 7 10" xfId="12589" xr:uid="{F487EBE3-2457-4BE7-A555-B738C8F4B1CC}"/>
    <cellStyle name="Normal 4 2 2 7 2" xfId="940" xr:uid="{00000000-0005-0000-0000-00005E050000}"/>
    <cellStyle name="Normal 4 2 2 7 2 2" xfId="2929" xr:uid="{00000000-0005-0000-0000-00009E050000}"/>
    <cellStyle name="Normal 4 2 2 7 2 2 2" xfId="6109" xr:uid="{57C0A4CB-A731-4894-954B-67C4835C67DD}"/>
    <cellStyle name="Normal 4 2 2 7 2 2 2 2" xfId="28551" xr:uid="{00EB9B60-60AE-47DF-87FC-A929CF3ECBC9}"/>
    <cellStyle name="Normal 4 2 2 7 2 2 2 3" xfId="28560" xr:uid="{0D04EC90-A42A-42BA-BEC8-C572A8A71233}"/>
    <cellStyle name="Normal 4 2 2 7 2 2 2 4" xfId="15587" xr:uid="{989D8687-E2BC-414E-B06B-B1EEA33901DE}"/>
    <cellStyle name="Normal 4 2 2 7 2 2 3" xfId="8040" xr:uid="{E11D03F5-4B64-441A-B3A8-AF846F4FD19D}"/>
    <cellStyle name="Normal 4 2 2 7 2 2 3 2" xfId="28546" xr:uid="{B1383DD4-151F-44B8-845C-866CCE70ABA6}"/>
    <cellStyle name="Normal 4 2 2 7 2 2 3 3" xfId="18420" xr:uid="{0D9E908E-557F-4CB0-8D4D-439C683CD112}"/>
    <cellStyle name="Normal 4 2 2 7 2 2 4" xfId="10873" xr:uid="{CD1F0151-0780-4C32-A907-04B6AC3F91C0}"/>
    <cellStyle name="Normal 4 2 2 7 2 2 4 2" xfId="21253" xr:uid="{E173457F-7059-4390-9D22-FBD5B29E91A9}"/>
    <cellStyle name="Normal 4 2 2 7 2 2 5" xfId="24335" xr:uid="{9B020136-7BA9-4ECA-901B-0B93B9691C85}"/>
    <cellStyle name="Normal 4 2 2 7 2 2 6" xfId="13445" xr:uid="{CB385DE0-E6B5-435B-8AB0-FC43CF144F09}"/>
    <cellStyle name="Normal 4 2 2 7 2 3" xfId="5245" xr:uid="{D04BEBCB-D9B3-46E7-9F67-2B62050C65D8}"/>
    <cellStyle name="Normal 4 2 2 7 2 3 2" xfId="22815" xr:uid="{6EC1EBB6-14EB-46B1-B179-3A987D46FA48}"/>
    <cellStyle name="Normal 4 2 2 7 2 3 3" xfId="27003" xr:uid="{BABBEF22-2173-49D7-B125-D2184A702964}"/>
    <cellStyle name="Normal 4 2 2 7 2 3 4" xfId="14543" xr:uid="{BD1DD18D-ADD1-4FCB-9B93-1322F539C844}"/>
    <cellStyle name="Normal 4 2 2 7 2 4" xfId="6996" xr:uid="{86F6412A-F37C-4495-A69A-3EA4E32F3A34}"/>
    <cellStyle name="Normal 4 2 2 7 2 4 2" xfId="26235" xr:uid="{FEE8BE2B-87B2-4DAA-9A76-C334EC6AE9DB}"/>
    <cellStyle name="Normal 4 2 2 7 2 4 3" xfId="28379" xr:uid="{EA9DC767-E875-4F33-9676-DFF1AE133D23}"/>
    <cellStyle name="Normal 4 2 2 7 2 4 4" xfId="17376" xr:uid="{DFCFE355-5189-466F-8882-4EDE43DCB1DD}"/>
    <cellStyle name="Normal 4 2 2 7 2 5" xfId="9829" xr:uid="{7F2563CD-AD6A-483B-8E73-61E5882B47DA}"/>
    <cellStyle name="Normal 4 2 2 7 2 5 2" xfId="29418" xr:uid="{441BBF49-982E-411F-A346-AEDD884F8C83}"/>
    <cellStyle name="Normal 4 2 2 7 2 5 3" xfId="20209" xr:uid="{7AB1868C-4F40-4E23-939E-075A2BBFBB20}"/>
    <cellStyle name="Normal 4 2 2 7 2 6" xfId="25432" xr:uid="{31D5A380-4290-46FB-957A-611FB36B4545}"/>
    <cellStyle name="Normal 4 2 2 7 2 7" xfId="12747" xr:uid="{22704B4E-8FE0-49EF-A78F-8EA5E20E7E73}"/>
    <cellStyle name="Normal 4 2 2 7 3" xfId="941" xr:uid="{00000000-0005-0000-0000-00005F050000}"/>
    <cellStyle name="Normal 4 2 2 7 3 2" xfId="5246" xr:uid="{B40BB902-CB0E-40C3-A0CD-B7F27874C6B2}"/>
    <cellStyle name="Normal 4 2 2 7 3 2 2" xfId="27669" xr:uid="{17E9F41F-C4CD-4EDE-ABF5-8174F052771D}"/>
    <cellStyle name="Normal 4 2 2 7 3 2 3" xfId="27517" xr:uid="{FD804A08-F8CC-4A4A-A913-C66336A6B8B3}"/>
    <cellStyle name="Normal 4 2 2 7 3 2 4" xfId="14544" xr:uid="{DBF67581-FF04-4376-8D32-9033CD4C85DC}"/>
    <cellStyle name="Normal 4 2 2 7 3 3" xfId="6997" xr:uid="{43D0183A-0402-46DC-A9A6-746377F5DC85}"/>
    <cellStyle name="Normal 4 2 2 7 3 3 2" xfId="27613" xr:uid="{877A84E7-BEAE-42D5-98EC-569717F4AA35}"/>
    <cellStyle name="Normal 4 2 2 7 3 3 3" xfId="27755" xr:uid="{1AA65364-8454-410A-83E3-AA9DDBDD96C7}"/>
    <cellStyle name="Normal 4 2 2 7 3 3 4" xfId="17377" xr:uid="{BBDB9507-B01F-4BEC-AB97-141A5F057185}"/>
    <cellStyle name="Normal 4 2 2 7 3 4" xfId="9830" xr:uid="{CB5FE095-E508-4487-95A1-4C0A4FB94C21}"/>
    <cellStyle name="Normal 4 2 2 7 3 4 2" xfId="29419" xr:uid="{F8ED6E61-114B-4280-81CA-949C17B9017D}"/>
    <cellStyle name="Normal 4 2 2 7 3 4 3" xfId="20210" xr:uid="{F73018EA-2BD9-4911-861A-F3E27C3C8E03}"/>
    <cellStyle name="Normal 4 2 2 7 3 5" xfId="22781" xr:uid="{3C1090F0-CECB-4396-8D62-6EE60CEF2CBA}"/>
    <cellStyle name="Normal 4 2 2 7 3 6" xfId="13222" xr:uid="{F238A0EC-F728-491D-AB52-3CBDDEEC0F2B}"/>
    <cellStyle name="Normal 4 2 2 7 4" xfId="2355" xr:uid="{00000000-0005-0000-0000-00009C050000}"/>
    <cellStyle name="Normal 4 2 2 7 4 2" xfId="7482" xr:uid="{AF381B43-6F28-42FB-ADF6-39881F3664B6}"/>
    <cellStyle name="Normal 4 2 2 7 4 2 2" xfId="27341" xr:uid="{4C124964-6D75-43BD-87A3-DB5968AB63FC}"/>
    <cellStyle name="Normal 4 2 2 7 4 2 3" xfId="17862" xr:uid="{1AA920BF-D970-4DB5-96D4-82BE17E020E1}"/>
    <cellStyle name="Normal 4 2 2 7 4 3" xfId="10315" xr:uid="{17223411-B143-474A-9153-83094A1A8D56}"/>
    <cellStyle name="Normal 4 2 2 7 4 3 2" xfId="20695" xr:uid="{578AB773-C1CD-4F3D-AAA2-422DB0737571}"/>
    <cellStyle name="Normal 4 2 2 7 4 4" xfId="24351" xr:uid="{3E4651B1-E0F7-4322-977E-C1E96A9EB270}"/>
    <cellStyle name="Normal 4 2 2 7 4 5" xfId="15029" xr:uid="{C73873C5-A60C-4636-A163-84B1757B618D}"/>
    <cellStyle name="Normal 4 2 2 7 5" xfId="3976" xr:uid="{934EA604-89F8-4E07-B3A6-51317F9C39B3}"/>
    <cellStyle name="Normal 4 2 2 7 5 2" xfId="8800" xr:uid="{E97C1750-D686-46D2-90C1-4907475BF21F}"/>
    <cellStyle name="Normal 4 2 2 7 5 2 2" xfId="28986" xr:uid="{16F49C96-6BD1-419D-918F-631C11AFE1DC}"/>
    <cellStyle name="Normal 4 2 2 7 5 2 3" xfId="19180" xr:uid="{911759E1-9787-40A1-8AE4-7B1622E8E587}"/>
    <cellStyle name="Normal 4 2 2 7 5 3" xfId="11633" xr:uid="{3CEC2403-4157-40CA-9E59-0F5F1916D13A}"/>
    <cellStyle name="Normal 4 2 2 7 5 3 2" xfId="22013" xr:uid="{A5C5B410-8379-4663-B995-C71596118E97}"/>
    <cellStyle name="Normal 4 2 2 7 5 4" xfId="22972" xr:uid="{4BDC54B1-DED7-41CA-BED8-E15591FD4457}"/>
    <cellStyle name="Normal 4 2 2 7 5 5" xfId="16347" xr:uid="{2A1BC78A-509C-4FA4-9AE8-1B2CDACF40D9}"/>
    <cellStyle name="Normal 4 2 2 7 6" xfId="5244" xr:uid="{258B6F67-E5EF-4F01-8939-97492B16C45F}"/>
    <cellStyle name="Normal 4 2 2 7 6 2" xfId="27172" xr:uid="{4124BC3B-E978-4BFE-B8F2-6D9FFD167813}"/>
    <cellStyle name="Normal 4 2 2 7 6 3" xfId="28734" xr:uid="{58230EF1-BA5D-4231-AA59-4E83E22C59CC}"/>
    <cellStyle name="Normal 4 2 2 7 6 4" xfId="14542" xr:uid="{F4F19B9C-E86A-4A6A-B6B4-A7727EA94E00}"/>
    <cellStyle name="Normal 4 2 2 7 7" xfId="6995" xr:uid="{AA130C79-5346-4DC8-A7EA-6C1A6065897D}"/>
    <cellStyle name="Normal 4 2 2 7 7 2" xfId="26940" xr:uid="{612954AE-D8B5-49B2-89B9-2B002DFA3236}"/>
    <cellStyle name="Normal 4 2 2 7 7 3" xfId="17375" xr:uid="{A97E16E6-D345-4653-842F-738BB3BAE9E2}"/>
    <cellStyle name="Normal 4 2 2 7 8" xfId="9828" xr:uid="{184DB9DC-A051-4499-9310-FBC8AE4FAFAB}"/>
    <cellStyle name="Normal 4 2 2 7 8 2" xfId="20208" xr:uid="{0D6BC51B-4DDB-4E0B-AD2F-F96D6CB6D943}"/>
    <cellStyle name="Normal 4 2 2 7 9" xfId="23192" xr:uid="{188E0066-9312-4677-B353-400A1C65B06B}"/>
    <cellStyle name="Normal 4 2 2 8" xfId="942" xr:uid="{00000000-0005-0000-0000-000060050000}"/>
    <cellStyle name="Normal 4 2 2 8 10" xfId="12590" xr:uid="{B079923D-5E20-4831-A1EE-294B4200D102}"/>
    <cellStyle name="Normal 4 2 2 8 2" xfId="943" xr:uid="{00000000-0005-0000-0000-000061050000}"/>
    <cellStyle name="Normal 4 2 2 8 2 2" xfId="2930" xr:uid="{00000000-0005-0000-0000-0000A2050000}"/>
    <cellStyle name="Normal 4 2 2 8 2 2 2" xfId="6110" xr:uid="{09581792-6878-4251-A402-1BF73B90A971}"/>
    <cellStyle name="Normal 4 2 2 8 2 2 2 2" xfId="27835" xr:uid="{FE74F500-C292-4503-BFFC-57F6AAF580A9}"/>
    <cellStyle name="Normal 4 2 2 8 2 2 2 3" xfId="25970" xr:uid="{1EC5700D-4A61-4448-AD6F-E00583B5722B}"/>
    <cellStyle name="Normal 4 2 2 8 2 2 2 4" xfId="15588" xr:uid="{69769A35-F4BD-42E6-B479-E5B6925471AA}"/>
    <cellStyle name="Normal 4 2 2 8 2 2 3" xfId="8041" xr:uid="{64C8C9E2-9C80-4C86-96BF-735E47896E8C}"/>
    <cellStyle name="Normal 4 2 2 8 2 2 3 2" xfId="26182" xr:uid="{C1C144FB-D2B9-41FE-823D-8E407FAFD562}"/>
    <cellStyle name="Normal 4 2 2 8 2 2 3 3" xfId="18421" xr:uid="{AB733DD3-59EB-44FD-88FE-C553D0930AAA}"/>
    <cellStyle name="Normal 4 2 2 8 2 2 4" xfId="10874" xr:uid="{2EAAE8FA-6A0E-43DF-9D0F-6BE18F13AB63}"/>
    <cellStyle name="Normal 4 2 2 8 2 2 4 2" xfId="21254" xr:uid="{18E1EACE-9DC3-4EB3-AFCB-C3BB85F96F7E}"/>
    <cellStyle name="Normal 4 2 2 8 2 2 5" xfId="22785" xr:uid="{B6D41360-5303-4439-9539-3A457D6A800A}"/>
    <cellStyle name="Normal 4 2 2 8 2 2 6" xfId="13446" xr:uid="{D0DBE192-C6E1-426F-AF69-9E13AE9C728B}"/>
    <cellStyle name="Normal 4 2 2 8 2 3" xfId="5248" xr:uid="{289C0D3D-8600-4311-B6E6-04C89FA3FACF}"/>
    <cellStyle name="Normal 4 2 2 8 2 3 2" xfId="24678" xr:uid="{30638458-4653-4069-B1A0-FAB5B964E877}"/>
    <cellStyle name="Normal 4 2 2 8 2 3 3" xfId="28554" xr:uid="{52728E3E-1CE5-4205-BB37-C736E33D8CFB}"/>
    <cellStyle name="Normal 4 2 2 8 2 3 4" xfId="14546" xr:uid="{5F5559E7-9E8E-4F3C-921F-83265B2F862F}"/>
    <cellStyle name="Normal 4 2 2 8 2 4" xfId="6999" xr:uid="{98938B21-9FC9-4129-B01A-6E0E21BDE738}"/>
    <cellStyle name="Normal 4 2 2 8 2 4 2" xfId="26485" xr:uid="{DC37F2DE-BCCF-4A97-9840-6F251271A387}"/>
    <cellStyle name="Normal 4 2 2 8 2 4 3" xfId="25854" xr:uid="{77C348A3-9279-4F9E-979F-2E574ED2C001}"/>
    <cellStyle name="Normal 4 2 2 8 2 4 4" xfId="17379" xr:uid="{E33761A8-9F00-4268-951C-63294C6FA910}"/>
    <cellStyle name="Normal 4 2 2 8 2 5" xfId="9832" xr:uid="{A5738BC8-A75D-4FBB-887B-14D7995DCF5F}"/>
    <cellStyle name="Normal 4 2 2 8 2 5 2" xfId="29420" xr:uid="{F5410C9A-1AA5-45A9-AF2D-08D2E333369C}"/>
    <cellStyle name="Normal 4 2 2 8 2 5 3" xfId="20212" xr:uid="{E4AA0D4E-B5A6-4F5A-8840-62CE0C869968}"/>
    <cellStyle name="Normal 4 2 2 8 2 6" xfId="23798" xr:uid="{00FC52DA-01F4-4867-AD5C-93D2839C800E}"/>
    <cellStyle name="Normal 4 2 2 8 2 7" xfId="12748" xr:uid="{94FB40D9-BF27-4CB1-A214-31A4E496E876}"/>
    <cellStyle name="Normal 4 2 2 8 3" xfId="944" xr:uid="{00000000-0005-0000-0000-000062050000}"/>
    <cellStyle name="Normal 4 2 2 8 3 2" xfId="5249" xr:uid="{4D9BC826-49DF-4AF2-88B9-97A48C6BF2E8}"/>
    <cellStyle name="Normal 4 2 2 8 3 2 2" xfId="28392" xr:uid="{3AC4B514-BA35-4187-9298-F5195983ED60}"/>
    <cellStyle name="Normal 4 2 2 8 3 2 3" xfId="27147" xr:uid="{DADAAF39-1753-4664-BB00-A256FBA3CE3B}"/>
    <cellStyle name="Normal 4 2 2 8 3 2 4" xfId="14547" xr:uid="{BFEDBC4C-51DC-489D-AFEF-2749A13AABAB}"/>
    <cellStyle name="Normal 4 2 2 8 3 3" xfId="7000" xr:uid="{7F52BAFA-DE2F-4D6A-BEE8-CD7532851F97}"/>
    <cellStyle name="Normal 4 2 2 8 3 3 2" xfId="26438" xr:uid="{0FDE18EF-223E-4F9E-BB32-181FFF94D91A}"/>
    <cellStyle name="Normal 4 2 2 8 3 3 3" xfId="26749" xr:uid="{B6B9B256-7109-4468-8C1C-C130722DBA2B}"/>
    <cellStyle name="Normal 4 2 2 8 3 3 4" xfId="17380" xr:uid="{2B25E608-5F2C-423F-8C80-1375E2FAA2E4}"/>
    <cellStyle name="Normal 4 2 2 8 3 4" xfId="9833" xr:uid="{08A94F09-7809-4B28-882D-1B0F769EEEBD}"/>
    <cellStyle name="Normal 4 2 2 8 3 4 2" xfId="29421" xr:uid="{F109C8A4-44EC-41D2-92AB-8AC5B9E76DF1}"/>
    <cellStyle name="Normal 4 2 2 8 3 4 3" xfId="20213" xr:uid="{C5866C1F-E534-4979-B683-7A6B8D29D865}"/>
    <cellStyle name="Normal 4 2 2 8 3 5" xfId="22905" xr:uid="{A1855F6E-7621-41E9-B405-D45D8B422CE2}"/>
    <cellStyle name="Normal 4 2 2 8 3 6" xfId="13223" xr:uid="{261B8577-FDAC-4371-A1E3-01F7881F1F22}"/>
    <cellStyle name="Normal 4 2 2 8 4" xfId="2356" xr:uid="{00000000-0005-0000-0000-0000A0050000}"/>
    <cellStyle name="Normal 4 2 2 8 4 2" xfId="7483" xr:uid="{78E28C14-4BF2-45E6-90B6-51A0B78E35A8}"/>
    <cellStyle name="Normal 4 2 2 8 4 2 2" xfId="27648" xr:uid="{5D9CE891-17CD-4AA8-87DC-A95426A137B3}"/>
    <cellStyle name="Normal 4 2 2 8 4 2 3" xfId="17863" xr:uid="{5EA0968A-AC38-4283-8C58-897FF3CD151A}"/>
    <cellStyle name="Normal 4 2 2 8 4 3" xfId="10316" xr:uid="{B156299D-1585-4445-91F5-30774E13C2E2}"/>
    <cellStyle name="Normal 4 2 2 8 4 3 2" xfId="20696" xr:uid="{F3E85103-AE30-4527-A3BE-52C908370154}"/>
    <cellStyle name="Normal 4 2 2 8 4 4" xfId="25494" xr:uid="{1CC4CB99-89F5-432B-B534-392FA34B5B4B}"/>
    <cellStyle name="Normal 4 2 2 8 4 5" xfId="15030" xr:uid="{8CB859D4-7AE7-42E7-8605-196CC4590EC4}"/>
    <cellStyle name="Normal 4 2 2 8 5" xfId="3977" xr:uid="{1CC1E78C-F7DE-4130-A584-0982B132CF8E}"/>
    <cellStyle name="Normal 4 2 2 8 5 2" xfId="8801" xr:uid="{BA955A1A-5670-4FC0-99AD-5A2856B5D440}"/>
    <cellStyle name="Normal 4 2 2 8 5 2 2" xfId="28987" xr:uid="{34079C3E-CB67-4FC5-806A-7653903E694E}"/>
    <cellStyle name="Normal 4 2 2 8 5 2 3" xfId="19181" xr:uid="{44DB25A4-5BF0-40DB-8D02-41DD4CB5D720}"/>
    <cellStyle name="Normal 4 2 2 8 5 3" xfId="11634" xr:uid="{7E0DE244-4DBA-4549-ACCF-6E1DACEE34DD}"/>
    <cellStyle name="Normal 4 2 2 8 5 3 2" xfId="22014" xr:uid="{FF8FDA02-F622-47D5-89FC-F44A0ED0CF69}"/>
    <cellStyle name="Normal 4 2 2 8 5 4" xfId="23983" xr:uid="{37E8991E-E7DC-475D-A227-1F381F3327D3}"/>
    <cellStyle name="Normal 4 2 2 8 5 5" xfId="16348" xr:uid="{2226C1CB-C3F7-4DA7-A464-EC9956605E01}"/>
    <cellStyle name="Normal 4 2 2 8 6" xfId="5247" xr:uid="{872CE609-91EB-4200-84DC-9E4CAEF16719}"/>
    <cellStyle name="Normal 4 2 2 8 6 2" xfId="26521" xr:uid="{E356F0AA-9DB5-42C0-A8A8-D027EA83DE7F}"/>
    <cellStyle name="Normal 4 2 2 8 6 3" xfId="27056" xr:uid="{A4791983-7DC8-4FC4-9115-A49572A6DAB9}"/>
    <cellStyle name="Normal 4 2 2 8 6 4" xfId="14545" xr:uid="{660A899C-A2B3-44D5-A0AE-70E3028FA2FC}"/>
    <cellStyle name="Normal 4 2 2 8 7" xfId="6998" xr:uid="{F5CE00E5-403B-4776-BAF1-667226287A9D}"/>
    <cellStyle name="Normal 4 2 2 8 7 2" xfId="28724" xr:uid="{75DAF2BA-C780-463B-B47B-59D04D56A534}"/>
    <cellStyle name="Normal 4 2 2 8 7 3" xfId="17378" xr:uid="{7BBB0A78-A78B-4E47-A061-57FD249F2CAB}"/>
    <cellStyle name="Normal 4 2 2 8 8" xfId="9831" xr:uid="{3FCAB39E-5391-4F05-990F-45A67FFFFF88}"/>
    <cellStyle name="Normal 4 2 2 8 8 2" xfId="20211" xr:uid="{605D1BF4-2DAB-48AE-AA26-C94C99E2D0C0}"/>
    <cellStyle name="Normal 4 2 2 8 9" xfId="23105" xr:uid="{FA722071-1ED3-40CD-A15E-0F1B6755E765}"/>
    <cellStyle name="Normal 4 2 2 9" xfId="945" xr:uid="{00000000-0005-0000-0000-000063050000}"/>
    <cellStyle name="Normal 4 2 2 9 10" xfId="12583" xr:uid="{DE514E55-F128-4711-B21D-61AFB7B8B980}"/>
    <cellStyle name="Normal 4 2 2 9 2" xfId="3299" xr:uid="{00000000-0005-0000-0000-0000A5050000}"/>
    <cellStyle name="Normal 4 2 2 9 2 2" xfId="6357" xr:uid="{6E4E1E2D-8A1F-4B24-9424-9540C19E367E}"/>
    <cellStyle name="Normal 4 2 2 9 2 2 2" xfId="24063" xr:uid="{45CEF859-7BCD-43A7-9DF0-135D1D6D9722}"/>
    <cellStyle name="Normal 4 2 2 9 2 2 3" xfId="26598" xr:uid="{9106F3BF-F128-4A95-B1CD-60CF1E93C852}"/>
    <cellStyle name="Normal 4 2 2 9 2 2 4" xfId="15926" xr:uid="{594B141C-1131-44FA-9644-D29B5916A6AA}"/>
    <cellStyle name="Normal 4 2 2 9 2 3" xfId="8379" xr:uid="{680DAFC1-10CF-4115-A50B-E062B27340DB}"/>
    <cellStyle name="Normal 4 2 2 9 2 3 2" xfId="27082" xr:uid="{F65F60EC-4525-406B-B346-1CC28797EB54}"/>
    <cellStyle name="Normal 4 2 2 9 2 3 3" xfId="28901" xr:uid="{A099C605-7E55-41EE-943A-37B7A9E230B0}"/>
    <cellStyle name="Normal 4 2 2 9 2 3 4" xfId="18759" xr:uid="{BE8CF6AF-34B7-4897-A3C5-ABCA19E9F174}"/>
    <cellStyle name="Normal 4 2 2 9 2 4" xfId="11212" xr:uid="{4A039120-EAC4-4732-B509-DF19BC2B8961}"/>
    <cellStyle name="Normal 4 2 2 9 2 4 2" xfId="29481" xr:uid="{3EECB917-46C5-426D-B71C-9CAD5E36E357}"/>
    <cellStyle name="Normal 4 2 2 9 2 4 3" xfId="21592" xr:uid="{043FC9C7-426D-49F9-9931-347D933E02D0}"/>
    <cellStyle name="Normal 4 2 2 9 2 5" xfId="23212" xr:uid="{935A0560-C5B2-4465-8504-275C632C1F9F}"/>
    <cellStyle name="Normal 4 2 2 9 2 6" xfId="13855" xr:uid="{F186F80C-532F-4235-A090-3A81DB8588C4}"/>
    <cellStyle name="Normal 4 2 2 9 3" xfId="2762" xr:uid="{00000000-0005-0000-0000-0000A6050000}"/>
    <cellStyle name="Normal 4 2 2 9 3 2" xfId="5980" xr:uid="{2AF29E17-0413-428C-BBF0-234F517D09CF}"/>
    <cellStyle name="Normal 4 2 2 9 3 2 2" xfId="26729" xr:uid="{CBD8DB94-08B9-4486-9B8A-70ABEDF9C196}"/>
    <cellStyle name="Normal 4 2 2 9 3 2 3" xfId="15433" xr:uid="{58F35442-55F3-4803-AFFB-C5B9DA17A21B}"/>
    <cellStyle name="Normal 4 2 2 9 3 3" xfId="7886" xr:uid="{AD2FD54C-B7B0-483B-84C4-9315D79E4958}"/>
    <cellStyle name="Normal 4 2 2 9 3 3 2" xfId="18266" xr:uid="{8E6CD3BB-045E-4361-A340-E92C1684F0E3}"/>
    <cellStyle name="Normal 4 2 2 9 3 4" xfId="10719" xr:uid="{22042846-8DA7-4EFF-AF99-F515EC8385E3}"/>
    <cellStyle name="Normal 4 2 2 9 3 4 2" xfId="21099" xr:uid="{B4348F17-6C32-4A25-BAB2-9572A3923888}"/>
    <cellStyle name="Normal 4 2 2 9 3 5" xfId="24452" xr:uid="{5593175C-5566-4DF7-A66F-443ED8A91F7A}"/>
    <cellStyle name="Normal 4 2 2 9 3 6" xfId="13210" xr:uid="{D542F37B-7C2B-405F-B27E-0A0D239496E8}"/>
    <cellStyle name="Normal 4 2 2 9 4" xfId="2349" xr:uid="{00000000-0005-0000-0000-0000A4050000}"/>
    <cellStyle name="Normal 4 2 2 9 4 2" xfId="7476" xr:uid="{8319465A-71C1-44B2-86C2-66BC9E2147B4}"/>
    <cellStyle name="Normal 4 2 2 9 4 2 2" xfId="28679" xr:uid="{FC39BD23-F123-4A99-81DC-DB5D583C8804}"/>
    <cellStyle name="Normal 4 2 2 9 4 2 3" xfId="17856" xr:uid="{DD2E3797-C5E2-486C-9C3E-C72BADED4EAE}"/>
    <cellStyle name="Normal 4 2 2 9 4 3" xfId="10309" xr:uid="{2202193C-5B0D-41BD-BF6A-D20065EA68DF}"/>
    <cellStyle name="Normal 4 2 2 9 4 3 2" xfId="20689" xr:uid="{E46D9796-DE38-44E1-B95E-34EA2AC7FE65}"/>
    <cellStyle name="Normal 4 2 2 9 4 4" xfId="23962" xr:uid="{E211FAC1-22F6-4376-BF8E-9B6235C4893B}"/>
    <cellStyle name="Normal 4 2 2 9 4 5" xfId="15023" xr:uid="{84A360AA-ACC9-47BE-A916-17EADE44D08D}"/>
    <cellStyle name="Normal 4 2 2 9 5" xfId="3858" xr:uid="{0DFD9279-66F4-49BF-8ABE-BC45BE9D3279}"/>
    <cellStyle name="Normal 4 2 2 9 5 2" xfId="8690" xr:uid="{22B78481-BFA1-4D5C-BE0A-88DA74F04189}"/>
    <cellStyle name="Normal 4 2 2 9 5 2 2" xfId="19070" xr:uid="{D855CF00-E479-4DC7-A6F1-A54F0034438A}"/>
    <cellStyle name="Normal 4 2 2 9 5 3" xfId="11523" xr:uid="{84137D52-6A9A-45E9-822B-5688EA979476}"/>
    <cellStyle name="Normal 4 2 2 9 5 3 2" xfId="21903" xr:uid="{57BCF616-2B4E-42BA-BADD-ED4A680DF9F5}"/>
    <cellStyle name="Normal 4 2 2 9 5 4" xfId="26843" xr:uid="{3833537E-321F-4F08-8CD8-D4323549DA52}"/>
    <cellStyle name="Normal 4 2 2 9 5 5" xfId="16237" xr:uid="{7AD6093B-7B22-41CD-B28E-14C576F4FB21}"/>
    <cellStyle name="Normal 4 2 2 9 6" xfId="5250" xr:uid="{5F5B01DA-BF19-4D3F-9F37-461CE1DBE838}"/>
    <cellStyle name="Normal 4 2 2 9 6 2" xfId="14548" xr:uid="{CD01CB4D-BD54-4DA9-A0D7-6B36D8D57A7B}"/>
    <cellStyle name="Normal 4 2 2 9 7" xfId="7001" xr:uid="{0CE4F7C6-4118-43BE-A668-888ED1884BDB}"/>
    <cellStyle name="Normal 4 2 2 9 7 2" xfId="17381" xr:uid="{75471894-3CE6-4529-BE28-CAA3D6503453}"/>
    <cellStyle name="Normal 4 2 2 9 8" xfId="9834" xr:uid="{E0C65649-4008-44CA-BB86-D5E7ACF05731}"/>
    <cellStyle name="Normal 4 2 2 9 8 2" xfId="20214" xr:uid="{C03B357F-14E5-4DE0-BF16-B52EACF1B891}"/>
    <cellStyle name="Normal 4 2 2 9 9" xfId="24588" xr:uid="{B8116788-610A-4EF1-98E6-02B0A43EF3E3}"/>
    <cellStyle name="Normal 4 2 20" xfId="24905" xr:uid="{7CC5CC8E-A63E-44A8-9265-588E7557C3B6}"/>
    <cellStyle name="Normal 4 2 21" xfId="12390" xr:uid="{DF718B35-7351-4E69-B0D4-B23D8E6301EC}"/>
    <cellStyle name="Normal 4 2 3" xfId="946" xr:uid="{00000000-0005-0000-0000-000064050000}"/>
    <cellStyle name="Normal 4 2 3 10" xfId="5251" xr:uid="{2BD7E16D-467E-4203-BADC-0CC44CE1E35D}"/>
    <cellStyle name="Normal 4 2 3 10 2" xfId="14549" xr:uid="{7E3E2729-B3B9-497B-9C2D-2A6EA9BCF7EF}"/>
    <cellStyle name="Normal 4 2 3 11" xfId="7002" xr:uid="{0F8E82CF-DA38-44A7-9BAB-8EAF0FCC0A4D}"/>
    <cellStyle name="Normal 4 2 3 11 2" xfId="17382" xr:uid="{DE1D59A2-929D-42C0-BC66-443196226E3C}"/>
    <cellStyle name="Normal 4 2 3 12" xfId="9835" xr:uid="{9EED1AAC-1B2A-4562-ACE5-EE2F4E445031}"/>
    <cellStyle name="Normal 4 2 3 12 2" xfId="20215" xr:uid="{5B5515BB-C269-49F4-B6E4-B5A0733E303D}"/>
    <cellStyle name="Normal 4 2 3 13" xfId="24783" xr:uid="{A50685D2-0C11-46DF-A4A3-25F902E1626C}"/>
    <cellStyle name="Normal 4 2 3 14" xfId="12410" xr:uid="{B9A8D04E-3872-4C08-963B-4B8410F1CD3C}"/>
    <cellStyle name="Normal 4 2 3 2" xfId="947" xr:uid="{00000000-0005-0000-0000-000065050000}"/>
    <cellStyle name="Normal 4 2 3 2 10" xfId="7003" xr:uid="{F478E16C-4463-449F-9221-67C12BABAE90}"/>
    <cellStyle name="Normal 4 2 3 2 10 2" xfId="17383" xr:uid="{C78D9F6F-5C52-48CF-B7AA-8014ADBBEB0A}"/>
    <cellStyle name="Normal 4 2 3 2 11" xfId="9836" xr:uid="{E70F5F20-0996-46D8-B0A2-42AC2D61A96F}"/>
    <cellStyle name="Normal 4 2 3 2 11 2" xfId="20216" xr:uid="{2C568235-566C-418C-BCE9-C55DC896AC01}"/>
    <cellStyle name="Normal 4 2 3 2 12" xfId="25210" xr:uid="{50186835-642E-4C8F-BE3D-DA803AC18C20}"/>
    <cellStyle name="Normal 4 2 3 2 13" xfId="12470" xr:uid="{2BC600A7-7EE7-4979-8C49-A434A72939B8}"/>
    <cellStyle name="Normal 4 2 3 2 2" xfId="948" xr:uid="{00000000-0005-0000-0000-000066050000}"/>
    <cellStyle name="Normal 4 2 3 2 2 10" xfId="9837" xr:uid="{01B031BC-6941-4B26-920C-332DEB14A125}"/>
    <cellStyle name="Normal 4 2 3 2 2 10 2" xfId="20217" xr:uid="{2C21B5A5-C225-4DEB-AA3B-DADBCFFE6C9F}"/>
    <cellStyle name="Normal 4 2 3 2 2 11" xfId="23490" xr:uid="{29759637-3DD4-4B69-9EB4-0B6F77170251}"/>
    <cellStyle name="Normal 4 2 3 2 2 12" xfId="12592" xr:uid="{882EF21D-6320-4356-B7D3-F83F9DD7C4F1}"/>
    <cellStyle name="Normal 4 2 3 2 2 2" xfId="2773" xr:uid="{00000000-0005-0000-0000-0000AA050000}"/>
    <cellStyle name="Normal 4 2 3 2 2 2 2" xfId="3301" xr:uid="{00000000-0005-0000-0000-0000AB050000}"/>
    <cellStyle name="Normal 4 2 3 2 2 2 2 2" xfId="6359" xr:uid="{89C8923C-17D9-4D31-A862-C14CE5CDE0D1}"/>
    <cellStyle name="Normal 4 2 3 2 2 2 2 2 2" xfId="27087" xr:uid="{9413C2A7-B792-46C6-B470-36EAB6526A64}"/>
    <cellStyle name="Normal 4 2 3 2 2 2 2 2 3" xfId="27368" xr:uid="{8D83968A-3E50-434B-8AD6-D9FDCBC984C3}"/>
    <cellStyle name="Normal 4 2 3 2 2 2 2 2 4" xfId="15928" xr:uid="{C58D3C4E-58B5-4615-BF7F-AB772A204B50}"/>
    <cellStyle name="Normal 4 2 3 2 2 2 2 3" xfId="8381" xr:uid="{E7C5AB54-797F-4A79-9674-94828B119DB3}"/>
    <cellStyle name="Normal 4 2 3 2 2 2 2 3 2" xfId="28902" xr:uid="{6831838B-07E0-47FC-8E04-3542DE05B01C}"/>
    <cellStyle name="Normal 4 2 3 2 2 2 2 3 3" xfId="18761" xr:uid="{CF0DDA58-F101-49AE-B8A9-46CB315448F3}"/>
    <cellStyle name="Normal 4 2 3 2 2 2 2 4" xfId="11214" xr:uid="{68A94025-047D-46F7-A5BA-D75DB98B96E7}"/>
    <cellStyle name="Normal 4 2 3 2 2 2 2 4 2" xfId="21594" xr:uid="{2C15B6F5-4265-4456-9222-C45B17C039E0}"/>
    <cellStyle name="Normal 4 2 3 2 2 2 2 5" xfId="24684" xr:uid="{C5E5FD7D-6ABB-4102-91D2-EC65BB6FFFD7}"/>
    <cellStyle name="Normal 4 2 3 2 2 2 2 6" xfId="13857" xr:uid="{5C226E65-CF46-4114-8E35-A29BF53894EB}"/>
    <cellStyle name="Normal 4 2 3 2 2 2 3" xfId="4329" xr:uid="{27964B00-F2D5-4596-8451-9BDBD56C8BA5}"/>
    <cellStyle name="Normal 4 2 3 2 2 2 3 2" xfId="9101" xr:uid="{331C5B4E-823D-40A5-9607-5D646183B846}"/>
    <cellStyle name="Normal 4 2 3 2 2 2 3 2 2" xfId="29144" xr:uid="{8B4C61EA-15E4-415C-B554-8D03E2FA2398}"/>
    <cellStyle name="Normal 4 2 3 2 2 2 3 2 3" xfId="19481" xr:uid="{A90DAA79-9986-42C1-AF04-803FAF98A659}"/>
    <cellStyle name="Normal 4 2 3 2 2 2 3 3" xfId="11934" xr:uid="{6AB7CE6B-BE9F-4E5F-9313-B4981AD8D99C}"/>
    <cellStyle name="Normal 4 2 3 2 2 2 3 3 2" xfId="22314" xr:uid="{2D89B00A-FC2B-4D78-9F4A-7403D079C90C}"/>
    <cellStyle name="Normal 4 2 3 2 2 2 3 4" xfId="24018" xr:uid="{0E925F37-F8D0-4034-9A48-975C7D9B5AC4}"/>
    <cellStyle name="Normal 4 2 3 2 2 2 3 5" xfId="16648" xr:uid="{6741DDB6-C341-459C-97DE-702DF4E29657}"/>
    <cellStyle name="Normal 4 2 3 2 2 2 4" xfId="5991" xr:uid="{2C18F543-E27B-44AB-AA06-5A23FBB080E9}"/>
    <cellStyle name="Normal 4 2 3 2 2 2 4 2" xfId="26945" xr:uid="{C72013DD-CCEE-42D1-B77D-D0BB95452F1E}"/>
    <cellStyle name="Normal 4 2 3 2 2 2 4 3" xfId="15444" xr:uid="{0172374D-8479-418D-A352-D52BDF8306D6}"/>
    <cellStyle name="Normal 4 2 3 2 2 2 5" xfId="7897" xr:uid="{BD4BBE6C-17C2-4BAD-9B37-8819241E2577}"/>
    <cellStyle name="Normal 4 2 3 2 2 2 5 2" xfId="18277" xr:uid="{C8293643-2729-45A0-BD7A-83B397918AA0}"/>
    <cellStyle name="Normal 4 2 3 2 2 2 6" xfId="10730" xr:uid="{D6A86BD5-84AE-4B43-BFB3-076C681E8B27}"/>
    <cellStyle name="Normal 4 2 3 2 2 2 6 2" xfId="21110" xr:uid="{75728E5D-5DA3-4043-B9D4-F03ABC5DC432}"/>
    <cellStyle name="Normal 4 2 3 2 2 2 7" xfId="25032" xr:uid="{4321F765-EAF6-481E-A724-328A23CA2969}"/>
    <cellStyle name="Normal 4 2 3 2 2 2 8" xfId="13226" xr:uid="{7904ED2D-EE61-4575-9F4B-C331B77A69FA}"/>
    <cellStyle name="Normal 4 2 3 2 2 3" xfId="3302" xr:uid="{00000000-0005-0000-0000-0000AC050000}"/>
    <cellStyle name="Normal 4 2 3 2 2 3 2" xfId="4515" xr:uid="{6D50011B-C532-44D6-B43D-E87F903FA790}"/>
    <cellStyle name="Normal 4 2 3 2 2 3 2 2" xfId="9287" xr:uid="{8D03004E-54FE-42EA-BBF9-DAC429B21F80}"/>
    <cellStyle name="Normal 4 2 3 2 2 3 2 2 2" xfId="29268" xr:uid="{C3570ED0-8F16-4676-A172-7EB71B59F115}"/>
    <cellStyle name="Normal 4 2 3 2 2 3 2 2 3" xfId="19667" xr:uid="{C83973C4-CA0B-4189-BF9C-4B2DF2D97896}"/>
    <cellStyle name="Normal 4 2 3 2 2 3 2 3" xfId="12120" xr:uid="{B45241BD-47E5-41DD-8F19-D2A2C33AA965}"/>
    <cellStyle name="Normal 4 2 3 2 2 3 2 3 2" xfId="22500" xr:uid="{00B22D51-F239-41D7-93A6-EDFBDBCA48CE}"/>
    <cellStyle name="Normal 4 2 3 2 2 3 2 4" xfId="27016" xr:uid="{ACAC9304-7BC3-4B7A-B5D3-8DDDC874B00D}"/>
    <cellStyle name="Normal 4 2 3 2 2 3 2 5" xfId="16834" xr:uid="{0A25D8D4-2ACB-40B7-9679-7ADBBFEE6610}"/>
    <cellStyle name="Normal 4 2 3 2 2 3 3" xfId="6360" xr:uid="{31E8356A-95F4-4A6F-8EA7-687AD58AFD19}"/>
    <cellStyle name="Normal 4 2 3 2 2 3 3 2" xfId="28321" xr:uid="{636BBC61-C6A5-426B-9BD5-D5F6145FE51D}"/>
    <cellStyle name="Normal 4 2 3 2 2 3 3 3" xfId="15929" xr:uid="{C1A5858E-96D1-4ADF-AFED-1104CA10BD0D}"/>
    <cellStyle name="Normal 4 2 3 2 2 3 4" xfId="8382" xr:uid="{F588F986-11CF-4770-8E5C-3AAFFD6146FC}"/>
    <cellStyle name="Normal 4 2 3 2 2 3 4 2" xfId="18762" xr:uid="{877D9809-B8DD-4D96-BDBB-73B4F76E6343}"/>
    <cellStyle name="Normal 4 2 3 2 2 3 5" xfId="11215" xr:uid="{6C284A0A-0DC0-41B9-AFD7-BB3873B1608C}"/>
    <cellStyle name="Normal 4 2 3 2 2 3 5 2" xfId="21595" xr:uid="{1EB8083D-F766-404A-9589-599184D0F8A6}"/>
    <cellStyle name="Normal 4 2 3 2 2 3 6" xfId="22989" xr:uid="{ABF29836-2AA1-48B7-A366-FE398257733C}"/>
    <cellStyle name="Normal 4 2 3 2 2 3 7" xfId="13858" xr:uid="{37BD2BD6-6E1C-4EA9-821F-99B055D3BA2A}"/>
    <cellStyle name="Normal 4 2 3 2 2 4" xfId="3300" xr:uid="{00000000-0005-0000-0000-0000AD050000}"/>
    <cellStyle name="Normal 4 2 3 2 2 4 2" xfId="6358" xr:uid="{C1E464F8-AD39-4D30-9CFC-7E54408ACAD2}"/>
    <cellStyle name="Normal 4 2 3 2 2 4 2 2" xfId="28148" xr:uid="{895B60BC-4B23-490E-8F89-B62CD9351C4B}"/>
    <cellStyle name="Normal 4 2 3 2 2 4 2 3" xfId="15927" xr:uid="{C3F78B7A-B76F-42F1-A0C8-740D407FEDCB}"/>
    <cellStyle name="Normal 4 2 3 2 2 4 3" xfId="8380" xr:uid="{6FA2E360-57D4-424A-A42E-97DB80382D28}"/>
    <cellStyle name="Normal 4 2 3 2 2 4 3 2" xfId="18760" xr:uid="{8E534455-B4D4-4109-80B2-D739C51C212E}"/>
    <cellStyle name="Normal 4 2 3 2 2 4 4" xfId="11213" xr:uid="{30F27D84-F851-40B0-9D8D-BA613509A3E2}"/>
    <cellStyle name="Normal 4 2 3 2 2 4 4 2" xfId="21593" xr:uid="{6FD68503-E85E-4487-AB1B-B7DF3D8B2CA8}"/>
    <cellStyle name="Normal 4 2 3 2 2 4 5" xfId="24494" xr:uid="{9398B8F6-1C04-4B30-BFD4-86091FC23EB6}"/>
    <cellStyle name="Normal 4 2 3 2 2 4 6" xfId="13856" xr:uid="{AFA105AB-BB52-4C3D-BD2F-99B293002E2D}"/>
    <cellStyle name="Normal 4 2 3 2 2 5" xfId="2646" xr:uid="{00000000-0005-0000-0000-0000AE050000}"/>
    <cellStyle name="Normal 4 2 3 2 2 5 2" xfId="5908" xr:uid="{A3FC01D2-D45A-456E-9AC5-41FF7184AB71}"/>
    <cellStyle name="Normal 4 2 3 2 2 5 2 2" xfId="28291" xr:uid="{168AFBF8-E05A-463D-9143-C9F6C7EEC90D}"/>
    <cellStyle name="Normal 4 2 3 2 2 5 2 3" xfId="15318" xr:uid="{7017F6D0-2B0F-410C-AF05-2E7D82D05083}"/>
    <cellStyle name="Normal 4 2 3 2 2 5 3" xfId="7771" xr:uid="{EC396275-686B-4429-B869-F947FD668551}"/>
    <cellStyle name="Normal 4 2 3 2 2 5 3 2" xfId="18151" xr:uid="{5805ACAA-2B3B-4747-8109-FA18F1B78B4F}"/>
    <cellStyle name="Normal 4 2 3 2 2 5 4" xfId="10604" xr:uid="{5520C602-4FB1-4F6C-980B-28E47F4C9F0D}"/>
    <cellStyle name="Normal 4 2 3 2 2 5 4 2" xfId="20984" xr:uid="{64D02580-9128-44F4-8D2A-A1D7F5788E88}"/>
    <cellStyle name="Normal 4 2 3 2 2 5 5" xfId="24694" xr:uid="{E8B465D9-82D9-4919-811F-327B99579B46}"/>
    <cellStyle name="Normal 4 2 3 2 2 5 6" xfId="13035" xr:uid="{AA6CA743-EE39-466F-B850-6BC8A8B217C6}"/>
    <cellStyle name="Normal 4 2 3 2 2 6" xfId="2358" xr:uid="{00000000-0005-0000-0000-0000A9050000}"/>
    <cellStyle name="Normal 4 2 3 2 2 6 2" xfId="7485" xr:uid="{140F805A-541E-43C4-951D-18A360B72EC2}"/>
    <cellStyle name="Normal 4 2 3 2 2 6 2 2" xfId="17865" xr:uid="{6B0A4DE7-4013-4690-A577-A913A2F03A51}"/>
    <cellStyle name="Normal 4 2 3 2 2 6 3" xfId="10318" xr:uid="{1A9B45D9-F693-4EDD-A7FC-60EABD2FDB3F}"/>
    <cellStyle name="Normal 4 2 3 2 2 6 3 2" xfId="20698" xr:uid="{B208B857-17A3-4C04-A607-D312BE9DF30A}"/>
    <cellStyle name="Normal 4 2 3 2 2 6 4" xfId="24044" xr:uid="{24AB5370-DA9D-4625-959B-D5A0319939BC}"/>
    <cellStyle name="Normal 4 2 3 2 2 6 5" xfId="15032" xr:uid="{E66AFB57-8F73-4358-A693-4779C3AE1A89}"/>
    <cellStyle name="Normal 4 2 3 2 2 7" xfId="3895" xr:uid="{201BE687-BFB5-471C-A6BF-20D48642CE65}"/>
    <cellStyle name="Normal 4 2 3 2 2 7 2" xfId="8727" xr:uid="{6B7A5A98-A6EE-4599-91CD-E248789F73D3}"/>
    <cellStyle name="Normal 4 2 3 2 2 7 2 2" xfId="19107" xr:uid="{28446D4C-D83B-4EF5-99AE-7D201A018481}"/>
    <cellStyle name="Normal 4 2 3 2 2 7 3" xfId="11560" xr:uid="{5E360618-2024-470E-8639-5E6E01524EF8}"/>
    <cellStyle name="Normal 4 2 3 2 2 7 3 2" xfId="21940" xr:uid="{38436333-B084-437E-89B5-61DA0343ED2B}"/>
    <cellStyle name="Normal 4 2 3 2 2 7 4" xfId="16274" xr:uid="{E4A4DB8E-6B8E-494C-B7EE-57E61DD45AFC}"/>
    <cellStyle name="Normal 4 2 3 2 2 8" xfId="5253" xr:uid="{A0D37A58-A5CE-4436-A5BA-AA581978EEF0}"/>
    <cellStyle name="Normal 4 2 3 2 2 8 2" xfId="14551" xr:uid="{E92DD833-C60D-4522-B768-1B23C313C5C1}"/>
    <cellStyle name="Normal 4 2 3 2 2 9" xfId="7004" xr:uid="{A1A12B1C-79E2-4292-A8DF-9E447994414D}"/>
    <cellStyle name="Normal 4 2 3 2 2 9 2" xfId="17384" xr:uid="{08055018-930A-4323-A1B6-7CA228461C3D}"/>
    <cellStyle name="Normal 4 2 3 2 3" xfId="949" xr:uid="{00000000-0005-0000-0000-000067050000}"/>
    <cellStyle name="Normal 4 2 3 2 3 2" xfId="3303" xr:uid="{00000000-0005-0000-0000-0000B0050000}"/>
    <cellStyle name="Normal 4 2 3 2 3 2 2" xfId="6361" xr:uid="{1DC87285-0E28-413E-8C88-23F2F54535AE}"/>
    <cellStyle name="Normal 4 2 3 2 3 2 2 2" xfId="28334" xr:uid="{F131C03A-78F1-4AA3-803E-095AC8C2BCE5}"/>
    <cellStyle name="Normal 4 2 3 2 3 2 2 3" xfId="28340" xr:uid="{F15967C9-914A-40B1-AE8D-3A04A5D89435}"/>
    <cellStyle name="Normal 4 2 3 2 3 2 2 4" xfId="15930" xr:uid="{A0E735FF-EF44-431E-8F4A-5BEA4BBE314F}"/>
    <cellStyle name="Normal 4 2 3 2 3 2 3" xfId="8383" xr:uid="{0D16436B-43B1-4701-AE20-562C8D2723FA}"/>
    <cellStyle name="Normal 4 2 3 2 3 2 3 2" xfId="28903" xr:uid="{DC4F5CF2-0BCB-475F-8754-C18E7002E24E}"/>
    <cellStyle name="Normal 4 2 3 2 3 2 3 3" xfId="18763" xr:uid="{EB8A1894-2ECB-4438-B172-0D5CC3623BCE}"/>
    <cellStyle name="Normal 4 2 3 2 3 2 4" xfId="11216" xr:uid="{8AA50733-FEA7-44DA-A0D2-249F1802EE85}"/>
    <cellStyle name="Normal 4 2 3 2 3 2 4 2" xfId="21596" xr:uid="{AD49165A-94CF-4684-A9E8-62561DFC9419}"/>
    <cellStyle name="Normal 4 2 3 2 3 2 5" xfId="22870" xr:uid="{002A3DE3-8149-4791-9736-8E2B5599730A}"/>
    <cellStyle name="Normal 4 2 3 2 3 2 6" xfId="13859" xr:uid="{58D514D3-D6F4-41FF-B495-C30AA68E8D35}"/>
    <cellStyle name="Normal 4 2 3 2 3 3" xfId="2772" xr:uid="{00000000-0005-0000-0000-0000B1050000}"/>
    <cellStyle name="Normal 4 2 3 2 3 3 2" xfId="5990" xr:uid="{8EDC80F3-BB18-4116-839C-24DC107942DB}"/>
    <cellStyle name="Normal 4 2 3 2 3 3 2 2" xfId="26261" xr:uid="{867E8E3F-0666-4250-8DB7-7B567C4BCF8A}"/>
    <cellStyle name="Normal 4 2 3 2 3 3 2 3" xfId="15443" xr:uid="{51B34A18-73E8-4CC0-8B49-CCB35097E2D7}"/>
    <cellStyle name="Normal 4 2 3 2 3 3 3" xfId="7896" xr:uid="{56C41649-7049-4178-8B09-EA4F8628B3FF}"/>
    <cellStyle name="Normal 4 2 3 2 3 3 3 2" xfId="18276" xr:uid="{73B3F451-57B1-4100-BC37-6E7BF8770B14}"/>
    <cellStyle name="Normal 4 2 3 2 3 3 4" xfId="10729" xr:uid="{9E0578E9-AC8C-442E-8BBD-318D8230F97F}"/>
    <cellStyle name="Normal 4 2 3 2 3 3 4 2" xfId="21109" xr:uid="{A455727F-EC3B-477D-AA65-D9F9B6D3A6D7}"/>
    <cellStyle name="Normal 4 2 3 2 3 3 5" xfId="23976" xr:uid="{71D7DFB1-FD17-45FC-9DAF-7EEBC8A1FDF0}"/>
    <cellStyle name="Normal 4 2 3 2 3 3 6" xfId="13225" xr:uid="{0125291F-2C52-47D9-B6FF-93F5D4843EBA}"/>
    <cellStyle name="Normal 4 2 3 2 3 4" xfId="4186" xr:uid="{1DEFBAE0-A0A3-432C-A9F0-42580848E4E3}"/>
    <cellStyle name="Normal 4 2 3 2 3 4 2" xfId="8958" xr:uid="{2CE25E94-B24F-47E3-B36F-915FC78AF815}"/>
    <cellStyle name="Normal 4 2 3 2 3 4 2 2" xfId="29046" xr:uid="{56B3A386-38B6-4496-A9F5-076351356B47}"/>
    <cellStyle name="Normal 4 2 3 2 3 4 2 3" xfId="19338" xr:uid="{52C3D09E-D789-46D0-AF42-8DADEA265E27}"/>
    <cellStyle name="Normal 4 2 3 2 3 4 3" xfId="11791" xr:uid="{E4AA35A6-6AA7-4362-9E90-6C2936F3F133}"/>
    <cellStyle name="Normal 4 2 3 2 3 4 3 2" xfId="22171" xr:uid="{EF60385F-7448-4608-871D-B3FFAF694B51}"/>
    <cellStyle name="Normal 4 2 3 2 3 4 4" xfId="24949" xr:uid="{A4C522DF-B142-4EDE-8BF4-D44C81DAD4B8}"/>
    <cellStyle name="Normal 4 2 3 2 3 4 5" xfId="16505" xr:uid="{66085C31-CC84-4EB7-AB8A-120650E692A0}"/>
    <cellStyle name="Normal 4 2 3 2 3 5" xfId="5254" xr:uid="{9CEF59E5-F63B-43F6-8764-B25EF6C72324}"/>
    <cellStyle name="Normal 4 2 3 2 3 5 2" xfId="26862" xr:uid="{D0D7369A-B1F8-49C2-BF13-4CE12D00315A}"/>
    <cellStyle name="Normal 4 2 3 2 3 5 3" xfId="14552" xr:uid="{407CB54E-EC64-446F-8A2E-79F52CB746A4}"/>
    <cellStyle name="Normal 4 2 3 2 3 6" xfId="7005" xr:uid="{D036AE8A-60CC-4471-B10D-D2D5F097C2E2}"/>
    <cellStyle name="Normal 4 2 3 2 3 6 2" xfId="17385" xr:uid="{312546B7-C2EE-4F4D-9E26-9827A40EDFC1}"/>
    <cellStyle name="Normal 4 2 3 2 3 7" xfId="9838" xr:uid="{9E5AA68B-6EF3-4A19-B637-4A7F39B6DD8A}"/>
    <cellStyle name="Normal 4 2 3 2 3 7 2" xfId="20218" xr:uid="{BF15622C-D1C2-4A1D-913D-74CA0331F1F5}"/>
    <cellStyle name="Normal 4 2 3 2 3 8" xfId="25281" xr:uid="{D1F3FED7-DA20-4543-9147-972C7FD1A832}"/>
    <cellStyle name="Normal 4 2 3 2 3 9" xfId="12750" xr:uid="{A7A86424-DB42-45CE-9B3C-4830D0D72C9E}"/>
    <cellStyle name="Normal 4 2 3 2 4" xfId="3304" xr:uid="{00000000-0005-0000-0000-0000B2050000}"/>
    <cellStyle name="Normal 4 2 3 2 4 2" xfId="4516" xr:uid="{CC245521-A2AC-4403-9DBB-2B958F5DD097}"/>
    <cellStyle name="Normal 4 2 3 2 4 2 2" xfId="9288" xr:uid="{08FDC34A-6A5C-4A47-8F82-5B4324C8952A}"/>
    <cellStyle name="Normal 4 2 3 2 4 2 2 2" xfId="29269" xr:uid="{F55B0AE7-0F44-4986-B904-EB5A6313EDFA}"/>
    <cellStyle name="Normal 4 2 3 2 4 2 2 3" xfId="19668" xr:uid="{D7C76DF2-C637-432C-A52F-A79C20205DCE}"/>
    <cellStyle name="Normal 4 2 3 2 4 2 3" xfId="12121" xr:uid="{C904939E-AA7A-4366-B7AE-0EC5A39F67DE}"/>
    <cellStyle name="Normal 4 2 3 2 4 2 3 2" xfId="22501" xr:uid="{E01C7A6A-D51A-41E0-9D6A-16388F585402}"/>
    <cellStyle name="Normal 4 2 3 2 4 2 4" xfId="23346" xr:uid="{8BD4559B-4551-4936-92B9-C1B49A254CE3}"/>
    <cellStyle name="Normal 4 2 3 2 4 2 5" xfId="16835" xr:uid="{A66A5541-0154-492A-A1DF-3DEB613431E2}"/>
    <cellStyle name="Normal 4 2 3 2 4 3" xfId="6362" xr:uid="{EFA12493-F5FD-40B4-922B-403F198A4304}"/>
    <cellStyle name="Normal 4 2 3 2 4 3 2" xfId="26371" xr:uid="{6821BBD7-193D-49E1-A55A-C90B2C39E0B1}"/>
    <cellStyle name="Normal 4 2 3 2 4 3 3" xfId="15931" xr:uid="{1225C357-DC62-4259-90D6-E17258668A84}"/>
    <cellStyle name="Normal 4 2 3 2 4 4" xfId="8384" xr:uid="{C8CC2FE3-0278-4EBA-A280-6ECBA6B8B0A2}"/>
    <cellStyle name="Normal 4 2 3 2 4 4 2" xfId="18764" xr:uid="{B3567CBE-B310-4F26-A778-B9771B386D27}"/>
    <cellStyle name="Normal 4 2 3 2 4 5" xfId="11217" xr:uid="{1BB41705-20E0-409C-BD64-ABB46268D385}"/>
    <cellStyle name="Normal 4 2 3 2 4 5 2" xfId="21597" xr:uid="{BDFBD6A6-3646-4816-935F-631C49FCFD95}"/>
    <cellStyle name="Normal 4 2 3 2 4 6" xfId="24826" xr:uid="{AE3AA3E4-9541-4B09-9F86-C5D934D3E664}"/>
    <cellStyle name="Normal 4 2 3 2 4 7" xfId="13860" xr:uid="{72206FC7-0B96-4509-889B-0E5EF82238B5}"/>
    <cellStyle name="Normal 4 2 3 2 5" xfId="2932" xr:uid="{00000000-0005-0000-0000-0000B3050000}"/>
    <cellStyle name="Normal 4 2 3 2 5 2" xfId="6112" xr:uid="{EF13CB29-EC77-4A1D-88AE-CAE52F2FC3B3}"/>
    <cellStyle name="Normal 4 2 3 2 5 2 2" xfId="28661" xr:uid="{7FDDA227-0F7C-4717-8083-31E3C4B59D6B}"/>
    <cellStyle name="Normal 4 2 3 2 5 2 3" xfId="27366" xr:uid="{F83B9E79-4EF2-4F17-8A88-6CB3A0D6F5C5}"/>
    <cellStyle name="Normal 4 2 3 2 5 2 4" xfId="15590" xr:uid="{53CFB214-7340-4827-9A6F-BDE0BF13CBB9}"/>
    <cellStyle name="Normal 4 2 3 2 5 3" xfId="8043" xr:uid="{347405AE-F7E2-4DD0-BA1B-F9A73032B4C7}"/>
    <cellStyle name="Normal 4 2 3 2 5 3 2" xfId="28306" xr:uid="{75F39DE5-DF17-4FE6-AF6E-915A60CB5CC9}"/>
    <cellStyle name="Normal 4 2 3 2 5 3 3" xfId="18423" xr:uid="{1FFD5126-76AE-472E-A6C8-2CD846D10A2E}"/>
    <cellStyle name="Normal 4 2 3 2 5 4" xfId="10876" xr:uid="{A21240A8-3425-459D-AF7A-C9D596F96081}"/>
    <cellStyle name="Normal 4 2 3 2 5 4 2" xfId="21256" xr:uid="{0B0B6316-5ECB-4927-A0F0-F4C72259B9D7}"/>
    <cellStyle name="Normal 4 2 3 2 5 5" xfId="24258" xr:uid="{B62637BC-DF2E-4927-89BE-19F4E21E80B3}"/>
    <cellStyle name="Normal 4 2 3 2 5 6" xfId="13448" xr:uid="{00C74991-E7D3-4282-85AC-90BD2FEBBDC3}"/>
    <cellStyle name="Normal 4 2 3 2 6" xfId="2544" xr:uid="{00000000-0005-0000-0000-0000B4050000}"/>
    <cellStyle name="Normal 4 2 3 2 6 2" xfId="5816" xr:uid="{293E0C98-CA98-4DC3-95C7-2B18B15748A0}"/>
    <cellStyle name="Normal 4 2 3 2 6 2 2" xfId="26774" xr:uid="{9A034F82-9F94-4ECB-859C-CEA7A0663522}"/>
    <cellStyle name="Normal 4 2 3 2 6 2 3" xfId="15216" xr:uid="{8760C568-CBB1-4F6B-93C2-E327735E125D}"/>
    <cellStyle name="Normal 4 2 3 2 6 3" xfId="7669" xr:uid="{ECD6D6BF-7F36-4DC7-9056-51D43448CFF4}"/>
    <cellStyle name="Normal 4 2 3 2 6 3 2" xfId="18049" xr:uid="{EDC4F534-B97F-4705-BBC8-F6DFD30BAFE9}"/>
    <cellStyle name="Normal 4 2 3 2 6 4" xfId="10502" xr:uid="{B8CB40EC-3BE5-425D-B580-8F666E98AC96}"/>
    <cellStyle name="Normal 4 2 3 2 6 4 2" xfId="20882" xr:uid="{FE33DD13-8CD9-453C-9183-1343E8CB61AB}"/>
    <cellStyle name="Normal 4 2 3 2 6 5" xfId="22678" xr:uid="{EB2771FF-83DB-4BE8-A70D-8195FE8EBA09}"/>
    <cellStyle name="Normal 4 2 3 2 6 6" xfId="12932" xr:uid="{D8998256-A5DA-4B45-ADDC-1254E901F31A}"/>
    <cellStyle name="Normal 4 2 3 2 7" xfId="2238" xr:uid="{00000000-0005-0000-0000-0000A8050000}"/>
    <cellStyle name="Normal 4 2 3 2 7 2" xfId="7365" xr:uid="{8972484A-F219-462A-B65C-E92E4BCE5B24}"/>
    <cellStyle name="Normal 4 2 3 2 7 2 2" xfId="17745" xr:uid="{5400C91C-C59A-4A59-BFAE-AD35B9953A4B}"/>
    <cellStyle name="Normal 4 2 3 2 7 3" xfId="10198" xr:uid="{1834C5A4-DF54-4ACD-B293-AA63E8F7B8A8}"/>
    <cellStyle name="Normal 4 2 3 2 7 3 2" xfId="20578" xr:uid="{4EFD0C23-D13F-4498-9E25-5DFA90E608A0}"/>
    <cellStyle name="Normal 4 2 3 2 7 4" xfId="25079" xr:uid="{2AC24674-5A1C-4C89-9E80-72D1B23C7B66}"/>
    <cellStyle name="Normal 4 2 3 2 7 5" xfId="14912" xr:uid="{D54D9855-96DB-4DFE-9369-CBFBE4A30470}"/>
    <cellStyle name="Normal 4 2 3 2 8" xfId="3979" xr:uid="{46C4FFC8-6B57-4E1D-9AB5-47E04C856F6C}"/>
    <cellStyle name="Normal 4 2 3 2 8 2" xfId="8803" xr:uid="{4249F5BD-5F3F-4FD7-9E7A-C74EFE76F35D}"/>
    <cellStyle name="Normal 4 2 3 2 8 2 2" xfId="19183" xr:uid="{BAF09C08-6348-4832-B716-BB9E0DEEF79D}"/>
    <cellStyle name="Normal 4 2 3 2 8 3" xfId="11636" xr:uid="{CF34461F-5565-4C10-9587-05B8EA19FE1E}"/>
    <cellStyle name="Normal 4 2 3 2 8 3 2" xfId="22016" xr:uid="{20FCD6BC-C0B5-4954-B835-407699632997}"/>
    <cellStyle name="Normal 4 2 3 2 8 4" xfId="16350" xr:uid="{16C5E8BC-4143-47D9-9547-8053EA412692}"/>
    <cellStyle name="Normal 4 2 3 2 9" xfId="5252" xr:uid="{C4DC83C7-5871-4468-8486-F18B902F0D8C}"/>
    <cellStyle name="Normal 4 2 3 2 9 2" xfId="14550" xr:uid="{06E05F03-E05C-4EE0-B763-08078DB2805A}"/>
    <cellStyle name="Normal 4 2 3 3" xfId="950" xr:uid="{00000000-0005-0000-0000-000068050000}"/>
    <cellStyle name="Normal 4 2 3 3 10" xfId="9839" xr:uid="{25EC58C3-493E-406E-9427-BDB78C0B423E}"/>
    <cellStyle name="Normal 4 2 3 3 10 2" xfId="20219" xr:uid="{58AA0474-729E-4792-A811-73D61CB923D0}"/>
    <cellStyle name="Normal 4 2 3 3 11" xfId="24420" xr:uid="{E5DA6052-0696-452F-B06B-5C15C8DF8469}"/>
    <cellStyle name="Normal 4 2 3 3 12" xfId="12591" xr:uid="{3473E772-2AF7-46BA-A18B-3FBEDCDF24EE}"/>
    <cellStyle name="Normal 4 2 3 3 2" xfId="2774" xr:uid="{00000000-0005-0000-0000-0000B6050000}"/>
    <cellStyle name="Normal 4 2 3 3 2 2" xfId="3306" xr:uid="{00000000-0005-0000-0000-0000B7050000}"/>
    <cellStyle name="Normal 4 2 3 3 2 2 2" xfId="6364" xr:uid="{1CD81F59-7311-4C80-8F59-FA3959D45C6D}"/>
    <cellStyle name="Normal 4 2 3 3 2 2 2 2" xfId="26838" xr:uid="{729D81C3-FBFE-4689-A24D-F8590F273366}"/>
    <cellStyle name="Normal 4 2 3 3 2 2 2 3" xfId="26512" xr:uid="{A3A5386B-1A73-44F3-83F4-93626DC275F4}"/>
    <cellStyle name="Normal 4 2 3 3 2 2 2 4" xfId="15933" xr:uid="{00B7F0D6-92A1-4ED3-92F7-88BA358D614F}"/>
    <cellStyle name="Normal 4 2 3 3 2 2 3" xfId="8386" xr:uid="{748B9053-2A21-47A1-984C-38961D1872F4}"/>
    <cellStyle name="Normal 4 2 3 3 2 2 3 2" xfId="28904" xr:uid="{5852EDAE-9229-44E9-9A01-E6402EBC8D99}"/>
    <cellStyle name="Normal 4 2 3 3 2 2 3 3" xfId="18766" xr:uid="{27E3F9E4-1B75-4C4B-AA8D-3A9730581E47}"/>
    <cellStyle name="Normal 4 2 3 3 2 2 4" xfId="11219" xr:uid="{EA7DAFF5-A74A-426B-8108-9FB71F75132A}"/>
    <cellStyle name="Normal 4 2 3 3 2 2 4 2" xfId="21599" xr:uid="{7EDEEF2A-3542-4197-8FD6-9FA4B3BC94A7}"/>
    <cellStyle name="Normal 4 2 3 3 2 2 5" xfId="24426" xr:uid="{621059D3-C646-4807-9D3C-53A7E5B31D1B}"/>
    <cellStyle name="Normal 4 2 3 3 2 2 6" xfId="13862" xr:uid="{CEAF4B72-FBA7-454E-8D40-FD66885426E4}"/>
    <cellStyle name="Normal 4 2 3 3 2 3" xfId="4330" xr:uid="{05CAFDE6-C50A-4589-AD93-6071FC671BE7}"/>
    <cellStyle name="Normal 4 2 3 3 2 3 2" xfId="9102" xr:uid="{53504C1E-5403-49B7-885A-7F774A86E723}"/>
    <cellStyle name="Normal 4 2 3 3 2 3 2 2" xfId="29145" xr:uid="{221F318D-85CC-436E-B3FC-9C23CB56A426}"/>
    <cellStyle name="Normal 4 2 3 3 2 3 2 3" xfId="19482" xr:uid="{7AA7ABA4-CF2E-4DC2-9BFB-C7D2BBBE2E34}"/>
    <cellStyle name="Normal 4 2 3 3 2 3 3" xfId="11935" xr:uid="{855938AF-DA06-4CBF-8344-B869F971499C}"/>
    <cellStyle name="Normal 4 2 3 3 2 3 3 2" xfId="22315" xr:uid="{DCE2DCA2-3880-4FDD-A21B-992878DB8C8C}"/>
    <cellStyle name="Normal 4 2 3 3 2 3 4" xfId="24631" xr:uid="{31BFE68F-5225-47AC-B413-6F9B1FA70CB6}"/>
    <cellStyle name="Normal 4 2 3 3 2 3 5" xfId="16649" xr:uid="{C8E3014B-3479-4810-A4B6-11EFC4FC6373}"/>
    <cellStyle name="Normal 4 2 3 3 2 4" xfId="5992" xr:uid="{4A083A20-F2B9-4B42-9C6C-2B5F9C35C786}"/>
    <cellStyle name="Normal 4 2 3 3 2 4 2" xfId="28530" xr:uid="{6509E96D-230F-4003-8AFF-B9FDDB608DA4}"/>
    <cellStyle name="Normal 4 2 3 3 2 4 3" xfId="15445" xr:uid="{6C00E0FF-7983-403D-ADDB-8492E9A85854}"/>
    <cellStyle name="Normal 4 2 3 3 2 5" xfId="7898" xr:uid="{FA3EA1E6-DF14-446C-8C6A-7F6484382840}"/>
    <cellStyle name="Normal 4 2 3 3 2 5 2" xfId="18278" xr:uid="{C88802F8-DB09-441A-8344-7FFE42018A16}"/>
    <cellStyle name="Normal 4 2 3 3 2 6" xfId="10731" xr:uid="{D226724E-27D9-46CA-8390-7EF0A1056DF1}"/>
    <cellStyle name="Normal 4 2 3 3 2 6 2" xfId="21111" xr:uid="{D4B45722-41BB-4EB2-87B5-9BF3F3D98ADA}"/>
    <cellStyle name="Normal 4 2 3 3 2 7" xfId="23778" xr:uid="{72E4F31F-6C76-4827-B67C-DE9FFF561400}"/>
    <cellStyle name="Normal 4 2 3 3 2 8" xfId="13227" xr:uid="{10621F8B-1202-4589-B35D-FC72626CA259}"/>
    <cellStyle name="Normal 4 2 3 3 3" xfId="3307" xr:uid="{00000000-0005-0000-0000-0000B8050000}"/>
    <cellStyle name="Normal 4 2 3 3 3 2" xfId="4517" xr:uid="{6A4DCA90-A371-4656-9F2C-A2BDC2A6E07E}"/>
    <cellStyle name="Normal 4 2 3 3 3 2 2" xfId="9289" xr:uid="{6696BC9B-BBBD-4529-A2F4-FA8F579DD210}"/>
    <cellStyle name="Normal 4 2 3 3 3 2 2 2" xfId="29270" xr:uid="{E1FBAC63-15C8-410D-A466-36AF06B1ABAB}"/>
    <cellStyle name="Normal 4 2 3 3 3 2 2 3" xfId="19669" xr:uid="{5ED27F23-74DC-4247-875C-17F5FF39ACD8}"/>
    <cellStyle name="Normal 4 2 3 3 3 2 3" xfId="12122" xr:uid="{70A5F0E8-F95E-43FC-A12A-136F0DCD80A2}"/>
    <cellStyle name="Normal 4 2 3 3 3 2 3 2" xfId="22502" xr:uid="{5C352434-C6EA-430B-BB36-DE50FA1E7877}"/>
    <cellStyle name="Normal 4 2 3 3 3 2 4" xfId="25766" xr:uid="{5D5807B8-C6E2-4DDA-8FB4-D0E1EAD322A2}"/>
    <cellStyle name="Normal 4 2 3 3 3 2 5" xfId="16836" xr:uid="{E457555B-79B1-4831-A149-E9AD6EBAD87E}"/>
    <cellStyle name="Normal 4 2 3 3 3 3" xfId="6365" xr:uid="{D742FCCB-FC4F-41F2-BB18-70C256890AC6}"/>
    <cellStyle name="Normal 4 2 3 3 3 3 2" xfId="28739" xr:uid="{FB0F97AE-4E29-46C0-9017-9E207224AAF9}"/>
    <cellStyle name="Normal 4 2 3 3 3 3 3" xfId="15934" xr:uid="{B8B4A67E-5B91-47B3-8FEB-6941B5C87163}"/>
    <cellStyle name="Normal 4 2 3 3 3 4" xfId="8387" xr:uid="{6160E50C-8FB4-4FCC-BCCC-76AAA6C492E0}"/>
    <cellStyle name="Normal 4 2 3 3 3 4 2" xfId="18767" xr:uid="{13F72318-6A94-4295-83EA-AD682ED409AB}"/>
    <cellStyle name="Normal 4 2 3 3 3 5" xfId="11220" xr:uid="{A367C1C9-3790-43E4-8419-1CC1DE1B226C}"/>
    <cellStyle name="Normal 4 2 3 3 3 5 2" xfId="21600" xr:uid="{EAA6C400-7A9E-40E3-A705-620CD434DCBF}"/>
    <cellStyle name="Normal 4 2 3 3 3 6" xfId="22746" xr:uid="{E1F60546-EC14-433B-9FDD-85E285577137}"/>
    <cellStyle name="Normal 4 2 3 3 3 7" xfId="13863" xr:uid="{D936FFB1-B32F-4448-955D-C731B03C3AE5}"/>
    <cellStyle name="Normal 4 2 3 3 4" xfId="3305" xr:uid="{00000000-0005-0000-0000-0000B9050000}"/>
    <cellStyle name="Normal 4 2 3 3 4 2" xfId="6363" xr:uid="{30C827C5-2CB7-4BC0-BFD5-76805C33FFE3}"/>
    <cellStyle name="Normal 4 2 3 3 4 2 2" xfId="26649" xr:uid="{02E9A7EC-19AB-41B7-81E7-5CC820E9A12C}"/>
    <cellStyle name="Normal 4 2 3 3 4 2 3" xfId="15932" xr:uid="{3F283C22-AD3C-4861-B3F9-958A11C50E18}"/>
    <cellStyle name="Normal 4 2 3 3 4 3" xfId="8385" xr:uid="{BA647B05-0B4A-478B-A3C2-83934F5B1711}"/>
    <cellStyle name="Normal 4 2 3 3 4 3 2" xfId="18765" xr:uid="{2DA0F929-F647-4B86-BDA4-3941F920FF48}"/>
    <cellStyle name="Normal 4 2 3 3 4 4" xfId="11218" xr:uid="{314E0CC9-533F-4CE4-90BB-D31C8E9329D9}"/>
    <cellStyle name="Normal 4 2 3 3 4 4 2" xfId="21598" xr:uid="{1EA1C35A-8471-4577-B748-62F55A1B3D00}"/>
    <cellStyle name="Normal 4 2 3 3 4 5" xfId="25458" xr:uid="{73B82462-F451-4208-880C-A1F4B204F064}"/>
    <cellStyle name="Normal 4 2 3 3 4 6" xfId="13861" xr:uid="{E7BD0201-9B39-48E2-9735-4501A70B220C}"/>
    <cellStyle name="Normal 4 2 3 3 5" xfId="2587" xr:uid="{00000000-0005-0000-0000-0000BA050000}"/>
    <cellStyle name="Normal 4 2 3 3 5 2" xfId="5852" xr:uid="{8600F437-F318-40A9-853F-30090BC6E1B0}"/>
    <cellStyle name="Normal 4 2 3 3 5 2 2" xfId="28345" xr:uid="{02921BA6-4E50-482B-9BD4-81F5B53598B8}"/>
    <cellStyle name="Normal 4 2 3 3 5 2 3" xfId="15259" xr:uid="{18221306-AFAC-4DA7-B87A-9C58515CB900}"/>
    <cellStyle name="Normal 4 2 3 3 5 3" xfId="7712" xr:uid="{5F2B10FC-B0EA-42A9-9A6A-313FFA47B160}"/>
    <cellStyle name="Normal 4 2 3 3 5 3 2" xfId="18092" xr:uid="{88A28A0F-5B43-43B2-8BDD-3EE9879C34E4}"/>
    <cellStyle name="Normal 4 2 3 3 5 4" xfId="10545" xr:uid="{A1424A49-014E-4746-A827-C11BAA5DE421}"/>
    <cellStyle name="Normal 4 2 3 3 5 4 2" xfId="20925" xr:uid="{C4B02CBA-BBA7-446F-9367-3CABF4C2E6A1}"/>
    <cellStyle name="Normal 4 2 3 3 5 5" xfId="25528" xr:uid="{283AA715-620D-45CA-8179-4D82E62BE102}"/>
    <cellStyle name="Normal 4 2 3 3 5 6" xfId="12975" xr:uid="{BA51BFBE-5042-4DFB-8D87-728311F73588}"/>
    <cellStyle name="Normal 4 2 3 3 6" xfId="2357" xr:uid="{00000000-0005-0000-0000-0000B5050000}"/>
    <cellStyle name="Normal 4 2 3 3 6 2" xfId="7484" xr:uid="{CFCE80E9-BE88-44D5-94F3-67D08275F55A}"/>
    <cellStyle name="Normal 4 2 3 3 6 2 2" xfId="17864" xr:uid="{8B93EE89-852A-4CEA-A44F-44CE7F43AFFC}"/>
    <cellStyle name="Normal 4 2 3 3 6 3" xfId="10317" xr:uid="{42D561D3-C464-42ED-B3E6-9BD5E46FBCE1}"/>
    <cellStyle name="Normal 4 2 3 3 6 3 2" xfId="20697" xr:uid="{2F9CC1EE-1342-43F7-A6F0-B696DB089CA9}"/>
    <cellStyle name="Normal 4 2 3 3 6 4" xfId="23179" xr:uid="{CF85037C-BA88-49FF-94D5-224F9ACE17E7}"/>
    <cellStyle name="Normal 4 2 3 3 6 5" xfId="15031" xr:uid="{524619C0-8F27-4B96-ADCA-377414F4603C}"/>
    <cellStyle name="Normal 4 2 3 3 7" xfId="3894" xr:uid="{9FA658B2-0CD2-44BB-93CB-908D10C28D28}"/>
    <cellStyle name="Normal 4 2 3 3 7 2" xfId="8726" xr:uid="{0027EAC9-44D8-40A9-B4C2-10D13AE413C5}"/>
    <cellStyle name="Normal 4 2 3 3 7 2 2" xfId="19106" xr:uid="{B2C7124D-EEFF-4D90-9921-5B7E5FF6CB40}"/>
    <cellStyle name="Normal 4 2 3 3 7 3" xfId="11559" xr:uid="{85C81E62-23DD-4DBB-90AF-911629682FB0}"/>
    <cellStyle name="Normal 4 2 3 3 7 3 2" xfId="21939" xr:uid="{747F3EE8-D18B-4691-AF48-12BF0211BB3A}"/>
    <cellStyle name="Normal 4 2 3 3 7 4" xfId="16273" xr:uid="{B4975713-7DDF-4D95-A163-79EEBF40DD73}"/>
    <cellStyle name="Normal 4 2 3 3 8" xfId="5255" xr:uid="{C825A153-7A6F-448C-BD12-5CD9A2172765}"/>
    <cellStyle name="Normal 4 2 3 3 8 2" xfId="14553" xr:uid="{6FF81324-D179-4090-971F-FA778C240155}"/>
    <cellStyle name="Normal 4 2 3 3 9" xfId="7006" xr:uid="{0F80BCE5-D41C-4C50-9E02-DC90E42D3A42}"/>
    <cellStyle name="Normal 4 2 3 3 9 2" xfId="17386" xr:uid="{9DB66723-671B-4FA2-82E4-F01D3F77FABC}"/>
    <cellStyle name="Normal 4 2 3 4" xfId="951" xr:uid="{00000000-0005-0000-0000-000069050000}"/>
    <cellStyle name="Normal 4 2 3 4 2" xfId="3308" xr:uid="{00000000-0005-0000-0000-0000BC050000}"/>
    <cellStyle name="Normal 4 2 3 4 2 2" xfId="6366" xr:uid="{15885116-FA71-4A90-A75B-3F076EA644CD}"/>
    <cellStyle name="Normal 4 2 3 4 2 2 2" xfId="23393" xr:uid="{66009578-905B-4570-A71A-3FD44C5C0E5C}"/>
    <cellStyle name="Normal 4 2 3 4 2 2 3" xfId="26051" xr:uid="{F3B831F5-176A-4CB0-B3CF-DF8EA10CC7D8}"/>
    <cellStyle name="Normal 4 2 3 4 2 2 4" xfId="15935" xr:uid="{2F9AD8D0-D03E-4CD9-9C68-0AC8D31E95B6}"/>
    <cellStyle name="Normal 4 2 3 4 2 3" xfId="8388" xr:uid="{7764CF8C-0268-4BB4-972C-E444BCA261A8}"/>
    <cellStyle name="Normal 4 2 3 4 2 3 2" xfId="28905" xr:uid="{D36AFA7C-32FB-4232-A06E-892CD04B86A6}"/>
    <cellStyle name="Normal 4 2 3 4 2 3 3" xfId="18768" xr:uid="{8D9D8AA9-35A1-4D8D-88E4-9F8EEDB17C57}"/>
    <cellStyle name="Normal 4 2 3 4 2 4" xfId="11221" xr:uid="{9EFA8B02-449A-49EC-A945-AD1EE6AB5C80}"/>
    <cellStyle name="Normal 4 2 3 4 2 4 2" xfId="21601" xr:uid="{EB21F535-F292-4B26-A798-028930C99D81}"/>
    <cellStyle name="Normal 4 2 3 4 2 5" xfId="23072" xr:uid="{F8FFBBA4-8152-47B0-9D71-FEA29ABDAEAE}"/>
    <cellStyle name="Normal 4 2 3 4 2 6" xfId="13864" xr:uid="{21A75129-1CE7-427E-8DF6-1A9767C2842D}"/>
    <cellStyle name="Normal 4 2 3 4 3" xfId="2771" xr:uid="{00000000-0005-0000-0000-0000BD050000}"/>
    <cellStyle name="Normal 4 2 3 4 3 2" xfId="5989" xr:uid="{E2680F38-B585-4DC0-B2C6-9A27103D3997}"/>
    <cellStyle name="Normal 4 2 3 4 3 2 2" xfId="26824" xr:uid="{18882200-BFC7-42E2-88CF-85BD31EEE036}"/>
    <cellStyle name="Normal 4 2 3 4 3 2 3" xfId="15442" xr:uid="{38C3E382-4FB3-4F4C-B2DB-ED232731AE46}"/>
    <cellStyle name="Normal 4 2 3 4 3 3" xfId="7895" xr:uid="{41E82A28-46F4-449C-BD43-86E81CD4F6E1}"/>
    <cellStyle name="Normal 4 2 3 4 3 3 2" xfId="18275" xr:uid="{781466C1-8E2B-4D70-A405-474B6799E0AE}"/>
    <cellStyle name="Normal 4 2 3 4 3 4" xfId="10728" xr:uid="{FF171E7E-21DD-4186-BFA0-C0FDC4F1D159}"/>
    <cellStyle name="Normal 4 2 3 4 3 4 2" xfId="21108" xr:uid="{A88CFF59-1E1E-4C8D-9D05-B6D999DB226E}"/>
    <cellStyle name="Normal 4 2 3 4 3 5" xfId="22892" xr:uid="{74F1C319-2A39-4A13-BD63-641BD69B3F50}"/>
    <cellStyle name="Normal 4 2 3 4 3 6" xfId="13224" xr:uid="{35154037-21B1-4EFD-9FE0-89D44781CB67}"/>
    <cellStyle name="Normal 4 2 3 4 4" xfId="4185" xr:uid="{677A8D55-C78B-4372-9CCE-17A940B9914E}"/>
    <cellStyle name="Normal 4 2 3 4 4 2" xfId="8957" xr:uid="{7E885884-59BB-4B78-B243-9D257FF8CC04}"/>
    <cellStyle name="Normal 4 2 3 4 4 2 2" xfId="29045" xr:uid="{61A6C1D5-8F16-4CC6-9D49-5014EC7A95B3}"/>
    <cellStyle name="Normal 4 2 3 4 4 2 3" xfId="19337" xr:uid="{406E4F20-38A8-478E-82AB-991C1FDD3868}"/>
    <cellStyle name="Normal 4 2 3 4 4 3" xfId="11790" xr:uid="{DA45C73A-14CB-473A-9D6C-EBAFC3F9EDD8}"/>
    <cellStyle name="Normal 4 2 3 4 4 3 2" xfId="22170" xr:uid="{0D04C51E-441E-4B20-B961-65F8017070B8}"/>
    <cellStyle name="Normal 4 2 3 4 4 4" xfId="24708" xr:uid="{2261FEC8-4A5A-4445-9FE4-C5A480F122B5}"/>
    <cellStyle name="Normal 4 2 3 4 4 5" xfId="16504" xr:uid="{214CB978-CEDA-4045-A914-8AAF6B152B01}"/>
    <cellStyle name="Normal 4 2 3 4 5" xfId="5256" xr:uid="{6B7659AE-173E-427E-80E3-F83930005EB9}"/>
    <cellStyle name="Normal 4 2 3 4 5 2" xfId="26197" xr:uid="{C4CD90A9-9AC9-4AAA-9DD5-66469D0F5C02}"/>
    <cellStyle name="Normal 4 2 3 4 5 3" xfId="14554" xr:uid="{CA229418-26F0-4924-99F4-B7745655967E}"/>
    <cellStyle name="Normal 4 2 3 4 6" xfId="7007" xr:uid="{4A190C7E-CA6F-4FDD-9C9D-9E6AF75E39F4}"/>
    <cellStyle name="Normal 4 2 3 4 6 2" xfId="17387" xr:uid="{8BCECC1B-C486-4F49-AAEA-FE27C8A84A4A}"/>
    <cellStyle name="Normal 4 2 3 4 7" xfId="9840" xr:uid="{6B4666AB-6BD3-45FE-988D-A4432552852B}"/>
    <cellStyle name="Normal 4 2 3 4 7 2" xfId="20220" xr:uid="{2AB87C0F-0D72-46BE-B503-049391DECB0B}"/>
    <cellStyle name="Normal 4 2 3 4 8" xfId="24045" xr:uid="{8496056C-5F7A-4783-BE4F-4D1CDE1E88A8}"/>
    <cellStyle name="Normal 4 2 3 4 9" xfId="12749" xr:uid="{D879B53D-03A7-421F-926A-7C7F27CFB1EB}"/>
    <cellStyle name="Normal 4 2 3 5" xfId="952" xr:uid="{00000000-0005-0000-0000-00006A050000}"/>
    <cellStyle name="Normal 4 2 3 5 2" xfId="4518" xr:uid="{4656EF47-2BD5-4483-8BFA-04B1850E55AE}"/>
    <cellStyle name="Normal 4 2 3 5 2 2" xfId="9290" xr:uid="{2B386E9D-B1B9-4E1D-BA7C-01B1EDFB051A}"/>
    <cellStyle name="Normal 4 2 3 5 2 2 2" xfId="29271" xr:uid="{A7637314-6F51-4FED-819F-042454F4C41F}"/>
    <cellStyle name="Normal 4 2 3 5 2 2 3" xfId="19670" xr:uid="{51701C86-A7D7-4F9C-9536-1B7BA0A22FD5}"/>
    <cellStyle name="Normal 4 2 3 5 2 3" xfId="12123" xr:uid="{573B4A00-59BC-47E7-B6BB-4C2F67C2A1F4}"/>
    <cellStyle name="Normal 4 2 3 5 2 3 2" xfId="22503" xr:uid="{30C8EF28-C1F2-4282-981B-CD5A597746E1}"/>
    <cellStyle name="Normal 4 2 3 5 2 4" xfId="24715" xr:uid="{2A754CB1-007A-4F5B-91B5-EED4802A381E}"/>
    <cellStyle name="Normal 4 2 3 5 2 5" xfId="16837" xr:uid="{4FF1ABBF-2E9E-42E5-8193-FC78B514B1B4}"/>
    <cellStyle name="Normal 4 2 3 5 3" xfId="5257" xr:uid="{0F54D9FF-DC19-49A4-8495-82236AB0606A}"/>
    <cellStyle name="Normal 4 2 3 5 3 2" xfId="27585" xr:uid="{525EDE61-2BC9-4F10-B427-4CE0CD04B50F}"/>
    <cellStyle name="Normal 4 2 3 5 3 3" xfId="14555" xr:uid="{35796630-1041-4014-9D5A-87EB276C3477}"/>
    <cellStyle name="Normal 4 2 3 5 4" xfId="7008" xr:uid="{8CF81234-63BF-40BF-9EA6-1CDFD899DB31}"/>
    <cellStyle name="Normal 4 2 3 5 4 2" xfId="17388" xr:uid="{BA189343-9CA4-4276-9188-1B3B861D1F3B}"/>
    <cellStyle name="Normal 4 2 3 5 5" xfId="9841" xr:uid="{1D591E55-031E-4F44-B24C-F11C9D68E9B2}"/>
    <cellStyle name="Normal 4 2 3 5 5 2" xfId="20221" xr:uid="{8E5CDEBF-5808-4D1C-90FB-14AA86F96FA6}"/>
    <cellStyle name="Normal 4 2 3 5 6" xfId="23040" xr:uid="{E2B3C8B6-91D6-4008-8B66-921D62637234}"/>
    <cellStyle name="Normal 4 2 3 5 7" xfId="13865" xr:uid="{14965001-C387-42B6-836B-8AFE06586FE5}"/>
    <cellStyle name="Normal 4 2 3 6" xfId="2931" xr:uid="{00000000-0005-0000-0000-0000BF050000}"/>
    <cellStyle name="Normal 4 2 3 6 2" xfId="6111" xr:uid="{446165BE-328B-44C8-BC15-FB79F76ED3D9}"/>
    <cellStyle name="Normal 4 2 3 6 2 2" xfId="25665" xr:uid="{83A359C9-2336-419C-AED0-B1E6C7ADE2E8}"/>
    <cellStyle name="Normal 4 2 3 6 2 3" xfId="28261" xr:uid="{B0AD0ECD-F641-4279-B08F-41B1D1038CE9}"/>
    <cellStyle name="Normal 4 2 3 6 2 4" xfId="15589" xr:uid="{0E0ED630-CABF-4DD8-ABA9-CEF30DFEA6BF}"/>
    <cellStyle name="Normal 4 2 3 6 3" xfId="8042" xr:uid="{FDEF862E-B81A-41E9-8BE9-99343B878974}"/>
    <cellStyle name="Normal 4 2 3 6 3 2" xfId="26107" xr:uid="{C978C064-4C7E-4CED-9004-622384883182}"/>
    <cellStyle name="Normal 4 2 3 6 3 3" xfId="18422" xr:uid="{D90FBCF7-0408-4492-8E8B-05AC1B94A270}"/>
    <cellStyle name="Normal 4 2 3 6 4" xfId="10875" xr:uid="{6BC091B2-B780-4BC4-A5AF-BA3A2D12F4F8}"/>
    <cellStyle name="Normal 4 2 3 6 4 2" xfId="21255" xr:uid="{05D21080-D7B8-4B54-9613-D0E1C1F22DD4}"/>
    <cellStyle name="Normal 4 2 3 6 5" xfId="24677" xr:uid="{38FC6B86-80D9-4670-960F-8730C0CFC4C4}"/>
    <cellStyle name="Normal 4 2 3 6 6" xfId="13447" xr:uid="{16A609A2-FE49-43CB-BB3E-F2262B30A475}"/>
    <cellStyle name="Normal 4 2 3 7" xfId="2484" xr:uid="{00000000-0005-0000-0000-0000C0050000}"/>
    <cellStyle name="Normal 4 2 3 7 2" xfId="5770" xr:uid="{F4A12FC9-BED2-42A5-BCFE-7B22AB063CA7}"/>
    <cellStyle name="Normal 4 2 3 7 2 2" xfId="28123" xr:uid="{2E024300-D0E0-41D1-91A3-3749EA92F464}"/>
    <cellStyle name="Normal 4 2 3 7 2 3" xfId="15156" xr:uid="{5FDF95AF-F9CB-4C85-8ED8-1E7BFACCB765}"/>
    <cellStyle name="Normal 4 2 3 7 3" xfId="7609" xr:uid="{F335C29A-EA68-4417-BE03-E7024A1ADE71}"/>
    <cellStyle name="Normal 4 2 3 7 3 2" xfId="17989" xr:uid="{CDE19C8D-7B38-483D-B4BF-2E34F83D91F9}"/>
    <cellStyle name="Normal 4 2 3 7 4" xfId="10442" xr:uid="{C0DFBBA3-8AC1-44DE-941A-9074A9D381B9}"/>
    <cellStyle name="Normal 4 2 3 7 4 2" xfId="20822" xr:uid="{08D247D1-525B-4DBB-9278-847036D3334D}"/>
    <cellStyle name="Normal 4 2 3 7 5" xfId="22676" xr:uid="{E59BC248-21DD-4CA6-8C42-120C4A42E3D2}"/>
    <cellStyle name="Normal 4 2 3 7 6" xfId="12872" xr:uid="{0914C74F-D3F8-4A3C-8F28-E02E0FA47CA2}"/>
    <cellStyle name="Normal 4 2 3 8" xfId="2178" xr:uid="{00000000-0005-0000-0000-0000A7050000}"/>
    <cellStyle name="Normal 4 2 3 8 2" xfId="7305" xr:uid="{EF585BE3-52CF-4A9C-B6EB-C56CD98A4930}"/>
    <cellStyle name="Normal 4 2 3 8 2 2" xfId="17685" xr:uid="{05F10ABB-C7A8-4DAF-B37D-4495F74C9B2E}"/>
    <cellStyle name="Normal 4 2 3 8 3" xfId="10138" xr:uid="{17119CE7-9826-4EB9-A82D-A92672FF273E}"/>
    <cellStyle name="Normal 4 2 3 8 3 2" xfId="20518" xr:uid="{90BBE726-0B56-42FB-963E-A2DB570C4DAC}"/>
    <cellStyle name="Normal 4 2 3 8 4" xfId="24122" xr:uid="{6A19462F-AFFE-4E51-9668-9EDB2B36017B}"/>
    <cellStyle name="Normal 4 2 3 8 5" xfId="14852" xr:uid="{EED6880F-F7E4-4B99-8530-CBEB91354EB0}"/>
    <cellStyle name="Normal 4 2 3 9" xfId="3978" xr:uid="{7818914E-813A-42B3-A95F-7A98C3EB8C89}"/>
    <cellStyle name="Normal 4 2 3 9 2" xfId="8802" xr:uid="{5B3B7504-11EE-438E-99B2-7CC4C7B6A29C}"/>
    <cellStyle name="Normal 4 2 3 9 2 2" xfId="19182" xr:uid="{EB5EC1D6-71C1-4505-B131-A9764C468763}"/>
    <cellStyle name="Normal 4 2 3 9 3" xfId="11635" xr:uid="{0231D9F0-98E3-48FE-A32C-E5F266DB8F08}"/>
    <cellStyle name="Normal 4 2 3 9 3 2" xfId="22015" xr:uid="{02F3A305-D4E3-402F-A954-D00A09EA835A}"/>
    <cellStyle name="Normal 4 2 3 9 4" xfId="16349" xr:uid="{15FFFFCF-8FC4-4468-AC0B-775E7AB98BF2}"/>
    <cellStyle name="Normal 4 2 4" xfId="953" xr:uid="{00000000-0005-0000-0000-00006B050000}"/>
    <cellStyle name="Normal 4 2 4 10" xfId="5258" xr:uid="{92557A2A-6922-415A-915C-DC7EBA6DC24E}"/>
    <cellStyle name="Normal 4 2 4 10 2" xfId="14556" xr:uid="{4DA1E953-C235-4F77-811B-235A94CD7C1C}"/>
    <cellStyle name="Normal 4 2 4 11" xfId="7009" xr:uid="{E287E4C4-88A8-4146-9B3E-DEAB030FA39B}"/>
    <cellStyle name="Normal 4 2 4 11 2" xfId="17389" xr:uid="{5D3E21C3-6CB3-4E3A-9BDF-15A54915CED8}"/>
    <cellStyle name="Normal 4 2 4 12" xfId="9842" xr:uid="{53F88A13-5143-45C1-8FE3-AA389BB93023}"/>
    <cellStyle name="Normal 4 2 4 12 2" xfId="20222" xr:uid="{DFEBD4B4-3DC5-4B4C-AC56-D72D0D9DC9F6}"/>
    <cellStyle name="Normal 4 2 4 13" xfId="25127" xr:uid="{914E5B49-75AF-4E14-8809-E53FB4E312D0}"/>
    <cellStyle name="Normal 4 2 4 14" xfId="12416" xr:uid="{4EC55601-18DD-4A6B-ABFF-18BC1EB06292}"/>
    <cellStyle name="Normal 4 2 4 2" xfId="954" xr:uid="{00000000-0005-0000-0000-00006C050000}"/>
    <cellStyle name="Normal 4 2 4 2 10" xfId="7010" xr:uid="{1B33CC15-95FC-4B88-B900-A5A070CDF8CE}"/>
    <cellStyle name="Normal 4 2 4 2 10 2" xfId="17390" xr:uid="{D9C72AD7-7534-4359-8C9D-EC3093305EF7}"/>
    <cellStyle name="Normal 4 2 4 2 11" xfId="9843" xr:uid="{327F9A4D-7C9F-4596-A209-3C53C77B10F7}"/>
    <cellStyle name="Normal 4 2 4 2 11 2" xfId="20223" xr:uid="{ED97466E-5897-48B5-A257-A8C01C9B7D3D}"/>
    <cellStyle name="Normal 4 2 4 2 12" xfId="25405" xr:uid="{7BE420BF-B3C3-49CC-8877-309657D14EC0}"/>
    <cellStyle name="Normal 4 2 4 2 13" xfId="12476" xr:uid="{9AAAE6D2-BDFE-4D25-A37D-C614586DC883}"/>
    <cellStyle name="Normal 4 2 4 2 2" xfId="955" xr:uid="{00000000-0005-0000-0000-00006D050000}"/>
    <cellStyle name="Normal 4 2 4 2 2 10" xfId="13041" xr:uid="{0518ADBA-EAE1-44C9-BD9C-5C095DBC040B}"/>
    <cellStyle name="Normal 4 2 4 2 2 2" xfId="2777" xr:uid="{00000000-0005-0000-0000-0000C4050000}"/>
    <cellStyle name="Normal 4 2 4 2 2 2 2" xfId="3311" xr:uid="{00000000-0005-0000-0000-0000C5050000}"/>
    <cellStyle name="Normal 4 2 4 2 2 2 2 2" xfId="6369" xr:uid="{F7F46212-965D-443A-BC2B-8EF3D4E7B6E4}"/>
    <cellStyle name="Normal 4 2 4 2 2 2 2 2 2" xfId="28489" xr:uid="{F27A126C-BAC6-4865-B2A7-C59E5C630FC1}"/>
    <cellStyle name="Normal 4 2 4 2 2 2 2 2 3" xfId="15938" xr:uid="{CF796483-6C59-458A-B0D3-CF3607D2D278}"/>
    <cellStyle name="Normal 4 2 4 2 2 2 2 3" xfId="8391" xr:uid="{02B35389-3627-4F92-8F2E-F4E26D2545B4}"/>
    <cellStyle name="Normal 4 2 4 2 2 2 2 3 2" xfId="18771" xr:uid="{72A46A02-D935-4C9F-A630-70B89D1277EA}"/>
    <cellStyle name="Normal 4 2 4 2 2 2 2 4" xfId="11224" xr:uid="{D6261DBD-B929-4065-B8D2-98236B18BA5D}"/>
    <cellStyle name="Normal 4 2 4 2 2 2 2 4 2" xfId="21604" xr:uid="{E0D20DC9-2DD0-47EB-8B99-FA7962417642}"/>
    <cellStyle name="Normal 4 2 4 2 2 2 2 5" xfId="25287" xr:uid="{79B17386-25AF-4533-BB2D-E27F54B6F6C9}"/>
    <cellStyle name="Normal 4 2 4 2 2 2 2 6" xfId="13868" xr:uid="{F35C7E5F-69FA-446D-9166-6E3F72F158FB}"/>
    <cellStyle name="Normal 4 2 4 2 2 2 3" xfId="4332" xr:uid="{962AEA59-F20B-410D-B9C7-AE0EB4985D35}"/>
    <cellStyle name="Normal 4 2 4 2 2 2 3 2" xfId="9104" xr:uid="{D6825B2B-352F-463F-BF6B-9A946D68C952}"/>
    <cellStyle name="Normal 4 2 4 2 2 2 3 2 2" xfId="29147" xr:uid="{748526D6-91CD-4708-BEEB-DF016A2128D5}"/>
    <cellStyle name="Normal 4 2 4 2 2 2 3 2 3" xfId="19484" xr:uid="{32966831-1FDA-4A3F-A819-3B84E1552744}"/>
    <cellStyle name="Normal 4 2 4 2 2 2 3 3" xfId="11937" xr:uid="{4E76D198-2015-488C-8EDD-AECFC07D6198}"/>
    <cellStyle name="Normal 4 2 4 2 2 2 3 3 2" xfId="22317" xr:uid="{C7D158B7-F744-434B-A515-35CADF5090FC}"/>
    <cellStyle name="Normal 4 2 4 2 2 2 3 4" xfId="23288" xr:uid="{24CDC4A8-6E19-4F8C-B89D-82F45A458965}"/>
    <cellStyle name="Normal 4 2 4 2 2 2 3 5" xfId="16651" xr:uid="{746A0C6C-721F-41CB-B94D-A0F160F2C2B5}"/>
    <cellStyle name="Normal 4 2 4 2 2 2 4" xfId="5995" xr:uid="{0C60D263-E577-4612-B43C-D2384F51FA2A}"/>
    <cellStyle name="Normal 4 2 4 2 2 2 4 2" xfId="27101" xr:uid="{D3ED555A-8C77-4222-A8A7-6D61AB6ADC8B}"/>
    <cellStyle name="Normal 4 2 4 2 2 2 4 3" xfId="15448" xr:uid="{C1BE2F4E-2212-42A8-BC0B-9788EA180924}"/>
    <cellStyle name="Normal 4 2 4 2 2 2 5" xfId="7901" xr:uid="{BAECB433-03CF-4A94-8327-A5F1E50AC443}"/>
    <cellStyle name="Normal 4 2 4 2 2 2 5 2" xfId="18281" xr:uid="{AF4AACD1-6E5C-4C26-9158-465C893271F8}"/>
    <cellStyle name="Normal 4 2 4 2 2 2 6" xfId="10734" xr:uid="{7579DA1D-51EB-403F-8267-0189AEB5DC1D}"/>
    <cellStyle name="Normal 4 2 4 2 2 2 6 2" xfId="21114" xr:uid="{0E774EBC-C085-4829-821B-A528B72D724D}"/>
    <cellStyle name="Normal 4 2 4 2 2 2 7" xfId="24084" xr:uid="{73281CDE-EC60-44AC-A9D4-25E152DFDF7D}"/>
    <cellStyle name="Normal 4 2 4 2 2 2 8" xfId="13230" xr:uid="{65423134-FD4E-4F49-A63E-35B75C1BC091}"/>
    <cellStyle name="Normal 4 2 4 2 2 3" xfId="3312" xr:uid="{00000000-0005-0000-0000-0000C6050000}"/>
    <cellStyle name="Normal 4 2 4 2 2 3 2" xfId="4519" xr:uid="{8785A69D-3EE6-4D8B-93FB-1937C1B62C27}"/>
    <cellStyle name="Normal 4 2 4 2 2 3 2 2" xfId="9291" xr:uid="{0CE73404-82F4-45BB-A3C1-EE240E66AF64}"/>
    <cellStyle name="Normal 4 2 4 2 2 3 2 2 2" xfId="19671" xr:uid="{2D31876F-5C19-471D-9CB3-84A3016DE877}"/>
    <cellStyle name="Normal 4 2 4 2 2 3 2 3" xfId="12124" xr:uid="{EF807780-426F-4880-BB7D-7F818E4480F2}"/>
    <cellStyle name="Normal 4 2 4 2 2 3 2 3 2" xfId="22504" xr:uid="{64838BF5-17B6-4C61-A36B-832640FF7334}"/>
    <cellStyle name="Normal 4 2 4 2 2 3 2 4" xfId="26546" xr:uid="{2F8CD3E1-4934-4E26-9941-D6217A646EDC}"/>
    <cellStyle name="Normal 4 2 4 2 2 3 2 5" xfId="16838" xr:uid="{4B27BEDA-DFE1-4D06-81F0-214FA72DD545}"/>
    <cellStyle name="Normal 4 2 4 2 2 3 3" xfId="6370" xr:uid="{DE2B9C1A-7D2C-4E97-A9E9-FA07BA1D056A}"/>
    <cellStyle name="Normal 4 2 4 2 2 3 3 2" xfId="15939" xr:uid="{037C1F9C-AFAD-4BFD-8509-067930C5B2E5}"/>
    <cellStyle name="Normal 4 2 4 2 2 3 4" xfId="8392" xr:uid="{93F7310A-E24F-470B-865E-8F0FA2BDF80A}"/>
    <cellStyle name="Normal 4 2 4 2 2 3 4 2" xfId="18772" xr:uid="{0FE431C9-DEA2-4068-B33E-F71B35EA269A}"/>
    <cellStyle name="Normal 4 2 4 2 2 3 5" xfId="11225" xr:uid="{FA16BA0A-8D55-44C9-AD70-122FC48F14CE}"/>
    <cellStyle name="Normal 4 2 4 2 2 3 5 2" xfId="21605" xr:uid="{B37FAB07-9E6E-42DD-B067-BBB4D564F671}"/>
    <cellStyle name="Normal 4 2 4 2 2 3 6" xfId="23424" xr:uid="{D1976568-D927-41C7-9358-2AD2A9196E78}"/>
    <cellStyle name="Normal 4 2 4 2 2 3 7" xfId="13869" xr:uid="{4370A27A-01EB-48DE-B0CC-5E8DBC2BEFDC}"/>
    <cellStyle name="Normal 4 2 4 2 2 4" xfId="3310" xr:uid="{00000000-0005-0000-0000-0000C7050000}"/>
    <cellStyle name="Normal 4 2 4 2 2 4 2" xfId="6368" xr:uid="{7A44404F-AA80-4570-8CDB-9231464368EF}"/>
    <cellStyle name="Normal 4 2 4 2 2 4 2 2" xfId="26932" xr:uid="{B273AB90-00EF-4FBF-BE01-C8EBF67866F2}"/>
    <cellStyle name="Normal 4 2 4 2 2 4 2 3" xfId="15937" xr:uid="{28CB331E-9E5B-4D0F-988F-3C4F109C63F6}"/>
    <cellStyle name="Normal 4 2 4 2 2 4 3" xfId="8390" xr:uid="{0172FC6E-FC4E-4F13-96F8-1607BE35AEEB}"/>
    <cellStyle name="Normal 4 2 4 2 2 4 3 2" xfId="18770" xr:uid="{76737887-7890-46BC-B264-607C3D6E499B}"/>
    <cellStyle name="Normal 4 2 4 2 2 4 4" xfId="11223" xr:uid="{2D578303-F774-4DB9-A7CD-9CDC432616E6}"/>
    <cellStyle name="Normal 4 2 4 2 2 4 4 2" xfId="21603" xr:uid="{47EFD2C0-9AE5-4458-A1E1-8046DAB75A2C}"/>
    <cellStyle name="Normal 4 2 4 2 2 4 5" xfId="24015" xr:uid="{F2A8BBA6-C5D5-49B6-B0DC-99C672104553}"/>
    <cellStyle name="Normal 4 2 4 2 2 4 6" xfId="13867" xr:uid="{F836A739-A2AB-4BB8-AAF8-5D4AF36B6200}"/>
    <cellStyle name="Normal 4 2 4 2 2 5" xfId="4242" xr:uid="{080A2A35-79CB-43D1-BE90-8CDF17E2F6E3}"/>
    <cellStyle name="Normal 4 2 4 2 2 5 2" xfId="9014" xr:uid="{DAAFFD7E-0CCD-49A9-942D-210CFCF066B2}"/>
    <cellStyle name="Normal 4 2 4 2 2 5 2 2" xfId="29085" xr:uid="{042BA6CC-D052-4310-B171-689D1E606A0D}"/>
    <cellStyle name="Normal 4 2 4 2 2 5 2 3" xfId="19394" xr:uid="{4822A939-ABCE-45AB-A315-428FFFB8BB69}"/>
    <cellStyle name="Normal 4 2 4 2 2 5 3" xfId="11847" xr:uid="{683F1369-E79F-46C0-AD14-15C0B0BC8D4C}"/>
    <cellStyle name="Normal 4 2 4 2 2 5 3 2" xfId="22227" xr:uid="{E5817707-8332-443A-9A27-C6DE16A5E818}"/>
    <cellStyle name="Normal 4 2 4 2 2 5 4" xfId="23877" xr:uid="{1E86306A-C4AE-4B58-9D5C-ECBA812BB9EE}"/>
    <cellStyle name="Normal 4 2 4 2 2 5 5" xfId="16561" xr:uid="{6867C43A-9BE3-4D83-AF41-2B08BA695F8D}"/>
    <cellStyle name="Normal 4 2 4 2 2 6" xfId="5260" xr:uid="{926A9510-1618-4DE8-AE32-0C9D5C1DC7BA}"/>
    <cellStyle name="Normal 4 2 4 2 2 6 2" xfId="28023" xr:uid="{C920E4B9-51D9-4B10-BFEB-0E9B2B6DD5B0}"/>
    <cellStyle name="Normal 4 2 4 2 2 6 3" xfId="14558" xr:uid="{E0B42F2F-9A83-450B-BFD0-BE9F73EBE884}"/>
    <cellStyle name="Normal 4 2 4 2 2 7" xfId="7011" xr:uid="{9C06AE77-04AE-4BE3-B528-0CD51FE2D7DA}"/>
    <cellStyle name="Normal 4 2 4 2 2 7 2" xfId="17391" xr:uid="{0D9F1507-2644-4F0F-AF87-7E6471B57AD0}"/>
    <cellStyle name="Normal 4 2 4 2 2 8" xfId="9844" xr:uid="{3BB55576-924D-46BE-B9A0-A56BE8FCAD76}"/>
    <cellStyle name="Normal 4 2 4 2 2 8 2" xfId="20224" xr:uid="{ACE81BFD-BC41-493A-B7C4-C130180CB59F}"/>
    <cellStyle name="Normal 4 2 4 2 2 9" xfId="23719" xr:uid="{D3D4FF7D-323D-45D6-90EF-54DD0DC62D32}"/>
    <cellStyle name="Normal 4 2 4 2 3" xfId="2776" xr:uid="{00000000-0005-0000-0000-0000C8050000}"/>
    <cellStyle name="Normal 4 2 4 2 3 2" xfId="3313" xr:uid="{00000000-0005-0000-0000-0000C9050000}"/>
    <cellStyle name="Normal 4 2 4 2 3 2 2" xfId="6371" xr:uid="{3034CCE6-2921-4E19-B6FD-B1D298CB8E59}"/>
    <cellStyle name="Normal 4 2 4 2 3 2 2 2" xfId="27620" xr:uid="{225BA693-0DA8-4F0B-A53B-B11194CFE94D}"/>
    <cellStyle name="Normal 4 2 4 2 3 2 2 3" xfId="15940" xr:uid="{FF16E160-FC3D-464B-B18D-4D3E46F71D68}"/>
    <cellStyle name="Normal 4 2 4 2 3 2 3" xfId="8393" xr:uid="{8FB1FC54-74E8-4DA3-8655-887DA7849E99}"/>
    <cellStyle name="Normal 4 2 4 2 3 2 3 2" xfId="18773" xr:uid="{550E4618-083D-477F-86F6-4039DA182DE9}"/>
    <cellStyle name="Normal 4 2 4 2 3 2 4" xfId="11226" xr:uid="{2FF5B702-1560-46AD-BB2C-45570E0258DF}"/>
    <cellStyle name="Normal 4 2 4 2 3 2 4 2" xfId="21606" xr:uid="{AC194AAA-EE0A-4439-93ED-269F8CCCABC7}"/>
    <cellStyle name="Normal 4 2 4 2 3 2 5" xfId="22673" xr:uid="{6623DC24-859C-4C35-A09A-414CDFD69DB4}"/>
    <cellStyle name="Normal 4 2 4 2 3 2 6" xfId="13870" xr:uid="{BDE09925-C603-461C-94CB-8A7B94EF6F41}"/>
    <cellStyle name="Normal 4 2 4 2 3 3" xfId="4331" xr:uid="{812642AA-2F67-4D04-9730-19298251B28E}"/>
    <cellStyle name="Normal 4 2 4 2 3 3 2" xfId="9103" xr:uid="{30592C62-F469-4BB5-A47B-645FDFC4B6BF}"/>
    <cellStyle name="Normal 4 2 4 2 3 3 2 2" xfId="29146" xr:uid="{A43D4E21-EA3A-4B0C-8483-C847C1CCF7CF}"/>
    <cellStyle name="Normal 4 2 4 2 3 3 2 3" xfId="19483" xr:uid="{FFE8A291-82FB-4590-9360-9D10B30EBE60}"/>
    <cellStyle name="Normal 4 2 4 2 3 3 3" xfId="11936" xr:uid="{11B5E0CA-C911-41C9-8225-BB28855B304D}"/>
    <cellStyle name="Normal 4 2 4 2 3 3 3 2" xfId="22316" xr:uid="{D0D9BE2E-E845-408F-A1FE-0975102FD49A}"/>
    <cellStyle name="Normal 4 2 4 2 3 3 4" xfId="22891" xr:uid="{92ABD060-088C-4B16-86E2-C32F8F1874F1}"/>
    <cellStyle name="Normal 4 2 4 2 3 3 5" xfId="16650" xr:uid="{32EDD925-5E33-4629-B8F7-906615A7D0D9}"/>
    <cellStyle name="Normal 4 2 4 2 3 4" xfId="5994" xr:uid="{7E0FEAE9-697D-4CAB-8C77-FE5F637AB917}"/>
    <cellStyle name="Normal 4 2 4 2 3 4 2" xfId="26418" xr:uid="{6AF32965-CB40-4E1B-A384-F6859406EF9D}"/>
    <cellStyle name="Normal 4 2 4 2 3 4 3" xfId="15447" xr:uid="{E4AB833E-CC38-4790-9DF9-373431051397}"/>
    <cellStyle name="Normal 4 2 4 2 3 5" xfId="7900" xr:uid="{CEA57206-BF81-4A5C-B62A-E54E6CF77200}"/>
    <cellStyle name="Normal 4 2 4 2 3 5 2" xfId="18280" xr:uid="{2486CE3D-79C5-4516-99C1-FD27BC917075}"/>
    <cellStyle name="Normal 4 2 4 2 3 6" xfId="10733" xr:uid="{50EE12FB-49FF-476E-BE79-8D8770D0E190}"/>
    <cellStyle name="Normal 4 2 4 2 3 6 2" xfId="21113" xr:uid="{AF64C935-7421-4998-8763-FC34486390AD}"/>
    <cellStyle name="Normal 4 2 4 2 3 7" xfId="22649" xr:uid="{ED92971D-D461-49A0-A131-B7FD85763F17}"/>
    <cellStyle name="Normal 4 2 4 2 3 8" xfId="13229" xr:uid="{A611D601-F0E9-425F-AB32-0EA5A12CFE9A}"/>
    <cellStyle name="Normal 4 2 4 2 4" xfId="3314" xr:uid="{00000000-0005-0000-0000-0000CA050000}"/>
    <cellStyle name="Normal 4 2 4 2 4 2" xfId="4520" xr:uid="{EBF02899-363D-4B62-A808-B3044BC09E29}"/>
    <cellStyle name="Normal 4 2 4 2 4 2 2" xfId="9292" xr:uid="{7ACC878A-16A9-4172-977D-81BF61D19206}"/>
    <cellStyle name="Normal 4 2 4 2 4 2 2 2" xfId="19672" xr:uid="{D1872F77-AB94-42A4-84AE-EDBC51F3A6E0}"/>
    <cellStyle name="Normal 4 2 4 2 4 2 3" xfId="12125" xr:uid="{569EAB24-B76E-46E9-B726-5291FDA0C70C}"/>
    <cellStyle name="Normal 4 2 4 2 4 2 3 2" xfId="22505" xr:uid="{061AF932-B759-4066-8606-FAF0806E618A}"/>
    <cellStyle name="Normal 4 2 4 2 4 2 4" xfId="28075" xr:uid="{EA672EFD-D258-430E-937C-4BC693A8DE0C}"/>
    <cellStyle name="Normal 4 2 4 2 4 2 5" xfId="16839" xr:uid="{0631AB2A-381A-4A8C-9275-1424D19CBF58}"/>
    <cellStyle name="Normal 4 2 4 2 4 3" xfId="6372" xr:uid="{2ACB0DEE-7F68-473F-B9E7-87CE39C00104}"/>
    <cellStyle name="Normal 4 2 4 2 4 3 2" xfId="15941" xr:uid="{E99ED3F9-6E3E-4662-B33C-DAA5B06A64E4}"/>
    <cellStyle name="Normal 4 2 4 2 4 4" xfId="8394" xr:uid="{3B6FE961-AF3D-46E2-A45B-901CD3B1A982}"/>
    <cellStyle name="Normal 4 2 4 2 4 4 2" xfId="18774" xr:uid="{C2741261-5B1E-4A3E-9111-6B97C33F7416}"/>
    <cellStyle name="Normal 4 2 4 2 4 5" xfId="11227" xr:uid="{6BC4CB2D-BD78-4E8F-8FDD-8EE21A39A908}"/>
    <cellStyle name="Normal 4 2 4 2 4 5 2" xfId="21607" xr:uid="{0024434E-5028-4B47-ACCB-860E25A35D66}"/>
    <cellStyle name="Normal 4 2 4 2 4 6" xfId="23780" xr:uid="{5546BA34-C2F9-4A3D-911A-801708B8FC18}"/>
    <cellStyle name="Normal 4 2 4 2 4 7" xfId="13871" xr:uid="{9843B0F1-36BB-4B59-AD97-144F1B1C1F0E}"/>
    <cellStyle name="Normal 4 2 4 2 5" xfId="3309" xr:uid="{00000000-0005-0000-0000-0000CB050000}"/>
    <cellStyle name="Normal 4 2 4 2 5 2" xfId="6367" xr:uid="{2902E2AC-1B99-4252-B238-5086F32D4E9D}"/>
    <cellStyle name="Normal 4 2 4 2 5 2 2" xfId="28618" xr:uid="{362A7BD1-C6C4-4B09-9554-DD0D52E657B6}"/>
    <cellStyle name="Normal 4 2 4 2 5 2 3" xfId="15936" xr:uid="{CF7AAE41-0500-49DB-8EF9-B8C509FE47E8}"/>
    <cellStyle name="Normal 4 2 4 2 5 3" xfId="8389" xr:uid="{E296C98D-5351-40B8-834F-F7AE11C3AFCC}"/>
    <cellStyle name="Normal 4 2 4 2 5 3 2" xfId="18769" xr:uid="{BDF2FD51-EECC-41A5-B8D8-A06F223DB737}"/>
    <cellStyle name="Normal 4 2 4 2 5 4" xfId="11222" xr:uid="{32C67B06-4400-4139-937F-33EA1CEA39C1}"/>
    <cellStyle name="Normal 4 2 4 2 5 4 2" xfId="21602" xr:uid="{581DDE93-88FD-41F2-9948-C412E49B9C8A}"/>
    <cellStyle name="Normal 4 2 4 2 5 5" xfId="25567" xr:uid="{FF97EFD9-CC4F-472D-98A1-329FB1323446}"/>
    <cellStyle name="Normal 4 2 4 2 5 6" xfId="13866" xr:uid="{D43EB5C4-067F-45E0-A802-03405DAC100D}"/>
    <cellStyle name="Normal 4 2 4 2 6" xfId="2550" xr:uid="{00000000-0005-0000-0000-0000CC050000}"/>
    <cellStyle name="Normal 4 2 4 2 6 2" xfId="5822" xr:uid="{425935FD-0E62-4907-911C-E41F2F006040}"/>
    <cellStyle name="Normal 4 2 4 2 6 2 2" xfId="28037" xr:uid="{A5513BCD-E24A-4DB2-AE03-44F9719771AE}"/>
    <cellStyle name="Normal 4 2 4 2 6 2 3" xfId="15222" xr:uid="{07F338FD-F839-4E3C-99C4-6AB2B21E5AED}"/>
    <cellStyle name="Normal 4 2 4 2 6 3" xfId="7675" xr:uid="{B06AE91E-263D-4B4E-AF68-43E9E5BF1265}"/>
    <cellStyle name="Normal 4 2 4 2 6 3 2" xfId="18055" xr:uid="{2EE5CE7C-94FE-46D3-A05B-B306C33CF854}"/>
    <cellStyle name="Normal 4 2 4 2 6 4" xfId="10508" xr:uid="{16FC5834-2F35-4B6E-9609-B79E58FA3039}"/>
    <cellStyle name="Normal 4 2 4 2 6 4 2" xfId="20888" xr:uid="{2F41DFA0-7255-4962-9DC0-3E2586712447}"/>
    <cellStyle name="Normal 4 2 4 2 6 5" xfId="22851" xr:uid="{D2F25CE2-2851-4F73-8812-EB629C46D578}"/>
    <cellStyle name="Normal 4 2 4 2 6 6" xfId="12938" xr:uid="{80EFA000-D408-4BDD-83A4-401B63CA3E02}"/>
    <cellStyle name="Normal 4 2 4 2 7" xfId="2244" xr:uid="{00000000-0005-0000-0000-0000C2050000}"/>
    <cellStyle name="Normal 4 2 4 2 7 2" xfId="7371" xr:uid="{F7F1B275-66AB-4022-8265-651F51F5C17B}"/>
    <cellStyle name="Normal 4 2 4 2 7 2 2" xfId="17751" xr:uid="{7074B6A5-E76B-41F1-A4ED-D6E1DA724EE7}"/>
    <cellStyle name="Normal 4 2 4 2 7 3" xfId="10204" xr:uid="{AA56B796-9B68-4D2F-A740-E2B35951BE7A}"/>
    <cellStyle name="Normal 4 2 4 2 7 3 2" xfId="20584" xr:uid="{45CB5D69-4C00-4515-AA34-2C35CD5498F3}"/>
    <cellStyle name="Normal 4 2 4 2 7 4" xfId="25382" xr:uid="{5C36B8E6-AD19-4220-8F11-1089BFCC3729}"/>
    <cellStyle name="Normal 4 2 4 2 7 5" xfId="14918" xr:uid="{89F83DB4-8451-40E4-880F-82AA340D582C}"/>
    <cellStyle name="Normal 4 2 4 2 8" xfId="3797" xr:uid="{92B94B7A-8A75-4181-A5F0-12A617A71729}"/>
    <cellStyle name="Normal 4 2 4 2 8 2" xfId="8633" xr:uid="{3295DEAA-3E4C-40F1-94A6-40A5E974671F}"/>
    <cellStyle name="Normal 4 2 4 2 8 2 2" xfId="19013" xr:uid="{A4A7CBC2-6FB2-4F80-8CCB-A189AA545466}"/>
    <cellStyle name="Normal 4 2 4 2 8 3" xfId="11466" xr:uid="{092FD2DF-FDAA-4AFC-ADD4-54A07F16BDDE}"/>
    <cellStyle name="Normal 4 2 4 2 8 3 2" xfId="21846" xr:uid="{CF964CEC-DF7C-4824-9B75-8E453D2C7A6C}"/>
    <cellStyle name="Normal 4 2 4 2 8 4" xfId="16180" xr:uid="{708598F8-338C-40AB-9EBB-E35B994521DF}"/>
    <cellStyle name="Normal 4 2 4 2 9" xfId="5259" xr:uid="{19C31006-CBFA-424E-879C-38FA46CC37EE}"/>
    <cellStyle name="Normal 4 2 4 2 9 2" xfId="14557" xr:uid="{198AD25B-9C39-4DCE-B323-71648C5F7486}"/>
    <cellStyle name="Normal 4 2 4 3" xfId="956" xr:uid="{00000000-0005-0000-0000-00006E050000}"/>
    <cellStyle name="Normal 4 2 4 3 10" xfId="9845" xr:uid="{7980634C-EEAA-4B39-8FFA-914BAAF0CC29}"/>
    <cellStyle name="Normal 4 2 4 3 10 2" xfId="20225" xr:uid="{6B728514-C6A1-40AB-99FD-B709BFEBC66E}"/>
    <cellStyle name="Normal 4 2 4 3 11" xfId="23247" xr:uid="{2890303F-A444-48F4-997B-2BDA5BBD2609}"/>
    <cellStyle name="Normal 4 2 4 3 12" xfId="12593" xr:uid="{EB4DE55D-FA03-4AD2-9DA8-31FB62808FAF}"/>
    <cellStyle name="Normal 4 2 4 3 2" xfId="2778" xr:uid="{00000000-0005-0000-0000-0000CE050000}"/>
    <cellStyle name="Normal 4 2 4 3 2 2" xfId="3316" xr:uid="{00000000-0005-0000-0000-0000CF050000}"/>
    <cellStyle name="Normal 4 2 4 3 2 2 2" xfId="6374" xr:uid="{E50A07B0-BEE2-489E-9328-83695D23809A}"/>
    <cellStyle name="Normal 4 2 4 3 2 2 2 2" xfId="25842" xr:uid="{472F1B4B-D996-42A5-AE97-D0B5975D1982}"/>
    <cellStyle name="Normal 4 2 4 3 2 2 2 3" xfId="15943" xr:uid="{F4A97B65-CBBB-4D81-840C-1203349D4D8C}"/>
    <cellStyle name="Normal 4 2 4 3 2 2 3" xfId="8396" xr:uid="{61B68C81-9A57-46C7-AC09-69E53D88C48D}"/>
    <cellStyle name="Normal 4 2 4 3 2 2 3 2" xfId="18776" xr:uid="{68B13D81-919E-4D55-800C-81439CD569C6}"/>
    <cellStyle name="Normal 4 2 4 3 2 2 4" xfId="11229" xr:uid="{0BD21476-923E-4824-AE68-1108E11C47D3}"/>
    <cellStyle name="Normal 4 2 4 3 2 2 4 2" xfId="21609" xr:uid="{4BD11946-4B3B-4DC7-9A8B-1A09CDDBFB32}"/>
    <cellStyle name="Normal 4 2 4 3 2 2 5" xfId="22995" xr:uid="{20FBB001-AEB4-4236-8AE0-B9172F175F21}"/>
    <cellStyle name="Normal 4 2 4 3 2 2 6" xfId="13873" xr:uid="{BEA246CD-FA76-4EEA-BA5E-0099DC825D91}"/>
    <cellStyle name="Normal 4 2 4 3 2 3" xfId="4333" xr:uid="{70FD9E69-BE70-4E32-ADCD-F26EF1031737}"/>
    <cellStyle name="Normal 4 2 4 3 2 3 2" xfId="9105" xr:uid="{100E7661-CCFA-499C-BB8E-570D9B3A707D}"/>
    <cellStyle name="Normal 4 2 4 3 2 3 2 2" xfId="29148" xr:uid="{29E033BA-1F02-4D6D-814F-B5190BB6A064}"/>
    <cellStyle name="Normal 4 2 4 3 2 3 2 3" xfId="19485" xr:uid="{A6C3521C-E9B0-4EFC-A02D-68BCB64C3270}"/>
    <cellStyle name="Normal 4 2 4 3 2 3 3" xfId="11938" xr:uid="{7D859E24-DC83-412D-A9F2-3B346F54493F}"/>
    <cellStyle name="Normal 4 2 4 3 2 3 3 2" xfId="22318" xr:uid="{51A16266-628D-4559-8096-4A7C5716C82E}"/>
    <cellStyle name="Normal 4 2 4 3 2 3 4" xfId="25252" xr:uid="{8DA9FE6F-EC62-464D-9C2A-257FAB75C469}"/>
    <cellStyle name="Normal 4 2 4 3 2 3 5" xfId="16652" xr:uid="{3CF6BB31-513A-4429-A908-3D4465B49ACF}"/>
    <cellStyle name="Normal 4 2 4 3 2 4" xfId="5996" xr:uid="{C585EE5C-0C7E-4E8A-9EBC-9D4EF2C48856}"/>
    <cellStyle name="Normal 4 2 4 3 2 4 2" xfId="26670" xr:uid="{47545DB1-A879-44A8-A9D7-C66E01693FF4}"/>
    <cellStyle name="Normal 4 2 4 3 2 4 3" xfId="15449" xr:uid="{8FA7142E-13FD-4095-B363-FEBBA079393F}"/>
    <cellStyle name="Normal 4 2 4 3 2 5" xfId="7902" xr:uid="{E59910C0-C8CE-45D7-8BB1-921365E4C248}"/>
    <cellStyle name="Normal 4 2 4 3 2 5 2" xfId="18282" xr:uid="{61889791-4194-436A-AFA4-EA738B9CB93A}"/>
    <cellStyle name="Normal 4 2 4 3 2 6" xfId="10735" xr:uid="{FFB2F7C2-6EE7-42F3-9FF2-8DC2D385AAA6}"/>
    <cellStyle name="Normal 4 2 4 3 2 6 2" xfId="21115" xr:uid="{8A2E294C-E80C-446E-89C6-617A1C88DD9E}"/>
    <cellStyle name="Normal 4 2 4 3 2 7" xfId="25368" xr:uid="{3C979E4B-0444-4BCB-8C20-F21BF7A98A39}"/>
    <cellStyle name="Normal 4 2 4 3 2 8" xfId="13231" xr:uid="{6955B6A0-96C5-49EC-AECE-9F1DC348D231}"/>
    <cellStyle name="Normal 4 2 4 3 3" xfId="3317" xr:uid="{00000000-0005-0000-0000-0000D0050000}"/>
    <cellStyle name="Normal 4 2 4 3 3 2" xfId="4521" xr:uid="{452F2669-B5DC-43ED-B942-D6EBDB042C62}"/>
    <cellStyle name="Normal 4 2 4 3 3 2 2" xfId="9293" xr:uid="{3FBD5F5F-665F-452F-93EF-157A2DBBF1A6}"/>
    <cellStyle name="Normal 4 2 4 3 3 2 2 2" xfId="29272" xr:uid="{7E93B808-D226-4A8E-B51A-B82780826BD8}"/>
    <cellStyle name="Normal 4 2 4 3 3 2 2 3" xfId="19673" xr:uid="{E694131A-4781-43A4-A698-72ABD9B8FA16}"/>
    <cellStyle name="Normal 4 2 4 3 3 2 3" xfId="12126" xr:uid="{D1BCF4B3-80F5-4106-9F87-F4DC69AC2871}"/>
    <cellStyle name="Normal 4 2 4 3 3 2 3 2" xfId="22506" xr:uid="{E7DB2DAD-96C3-4485-AD62-16D728226575}"/>
    <cellStyle name="Normal 4 2 4 3 3 2 4" xfId="24879" xr:uid="{875B205B-2264-4E6B-8CD0-E13992B167CA}"/>
    <cellStyle name="Normal 4 2 4 3 3 2 5" xfId="16840" xr:uid="{24E0BF4E-6AED-40AF-A46E-61B426B2C917}"/>
    <cellStyle name="Normal 4 2 4 3 3 3" xfId="6375" xr:uid="{ECA3A690-95F0-4B75-B420-41EDABD93669}"/>
    <cellStyle name="Normal 4 2 4 3 3 3 2" xfId="26693" xr:uid="{B3F5872F-FD91-4319-B1D5-D871FE0E9206}"/>
    <cellStyle name="Normal 4 2 4 3 3 3 3" xfId="15944" xr:uid="{47A21E3D-874D-401A-9839-50F84F8E920E}"/>
    <cellStyle name="Normal 4 2 4 3 3 4" xfId="8397" xr:uid="{F19C02D7-8DC5-4E0D-BA09-0471247CCC2C}"/>
    <cellStyle name="Normal 4 2 4 3 3 4 2" xfId="18777" xr:uid="{543CCA03-FCB4-473C-AA4F-B71195258A1A}"/>
    <cellStyle name="Normal 4 2 4 3 3 5" xfId="11230" xr:uid="{48AC09F0-BAB9-4B80-A3CE-E17B4D1C7BA0}"/>
    <cellStyle name="Normal 4 2 4 3 3 5 2" xfId="21610" xr:uid="{8E76B7AC-06C0-4221-981D-E581F58FC62F}"/>
    <cellStyle name="Normal 4 2 4 3 3 6" xfId="23896" xr:uid="{7BF36CE9-B073-43AB-9892-A0943BCB676A}"/>
    <cellStyle name="Normal 4 2 4 3 3 7" xfId="13874" xr:uid="{8029D831-5042-4AD6-A5E1-0CED18B1F5B1}"/>
    <cellStyle name="Normal 4 2 4 3 4" xfId="3315" xr:uid="{00000000-0005-0000-0000-0000D1050000}"/>
    <cellStyle name="Normal 4 2 4 3 4 2" xfId="6373" xr:uid="{9DFC3F29-3736-430A-B542-2324A0EA1F82}"/>
    <cellStyle name="Normal 4 2 4 3 4 2 2" xfId="27826" xr:uid="{0A4B0E17-AEFA-4D43-9BC3-A991821EE378}"/>
    <cellStyle name="Normal 4 2 4 3 4 2 3" xfId="15942" xr:uid="{EAF7A55A-280E-4753-905E-BC552F1928D2}"/>
    <cellStyle name="Normal 4 2 4 3 4 3" xfId="8395" xr:uid="{E86F7CF2-CD6F-4DB7-9ABB-E9E1EEFC979F}"/>
    <cellStyle name="Normal 4 2 4 3 4 3 2" xfId="18775" xr:uid="{7A4A18A8-B832-4AEB-8D35-C27912FCFA5B}"/>
    <cellStyle name="Normal 4 2 4 3 4 4" xfId="11228" xr:uid="{3A26AD30-EC9F-463E-A463-C23AF88236A3}"/>
    <cellStyle name="Normal 4 2 4 3 4 4 2" xfId="21608" xr:uid="{4BEE525C-BAEF-4447-8C43-4AD1DBBC7ABF}"/>
    <cellStyle name="Normal 4 2 4 3 4 5" xfId="23204" xr:uid="{387481E8-0217-4D9E-ACC1-0A0134F28288}"/>
    <cellStyle name="Normal 4 2 4 3 4 6" xfId="13872" xr:uid="{B3D46E0D-F9A7-4D5A-8CE8-D2AAB8E1B247}"/>
    <cellStyle name="Normal 4 2 4 3 5" xfId="2593" xr:uid="{00000000-0005-0000-0000-0000D2050000}"/>
    <cellStyle name="Normal 4 2 4 3 5 2" xfId="5858" xr:uid="{6540DA4C-6EF8-475E-B40F-063D43474F28}"/>
    <cellStyle name="Normal 4 2 4 3 5 2 2" xfId="25909" xr:uid="{BE00B786-DECC-4F16-B902-A37A54F38A67}"/>
    <cellStyle name="Normal 4 2 4 3 5 2 3" xfId="15265" xr:uid="{02D90CFF-227E-4DA4-89FB-D4473886255B}"/>
    <cellStyle name="Normal 4 2 4 3 5 3" xfId="7718" xr:uid="{73D32EFB-44BA-467F-89E4-C29677B39BEE}"/>
    <cellStyle name="Normal 4 2 4 3 5 3 2" xfId="18098" xr:uid="{2D339902-8E18-40CA-AB08-92129A3BFFB9}"/>
    <cellStyle name="Normal 4 2 4 3 5 4" xfId="10551" xr:uid="{69470CF8-E37E-47CF-B505-27957D5B8C8C}"/>
    <cellStyle name="Normal 4 2 4 3 5 4 2" xfId="20931" xr:uid="{4AA63951-640B-4C91-AC44-4D9057252DB3}"/>
    <cellStyle name="Normal 4 2 4 3 5 5" xfId="24572" xr:uid="{5574917E-5A39-4BAB-89DC-E95C233A8071}"/>
    <cellStyle name="Normal 4 2 4 3 5 6" xfId="12981" xr:uid="{A5A747CE-AD30-4B2E-AC5B-55284CF6B1FF}"/>
    <cellStyle name="Normal 4 2 4 3 6" xfId="2359" xr:uid="{00000000-0005-0000-0000-0000CD050000}"/>
    <cellStyle name="Normal 4 2 4 3 6 2" xfId="7486" xr:uid="{258536EB-589C-4882-95FC-7FE7C3FB078A}"/>
    <cellStyle name="Normal 4 2 4 3 6 2 2" xfId="17866" xr:uid="{78D6E1BC-F4AD-471C-869D-9B211C8274AD}"/>
    <cellStyle name="Normal 4 2 4 3 6 3" xfId="10319" xr:uid="{1795E98D-1858-4E51-8516-5CA312E08E91}"/>
    <cellStyle name="Normal 4 2 4 3 6 3 2" xfId="20699" xr:uid="{BFFF2118-A297-4E22-8250-8D3F309BBCDC}"/>
    <cellStyle name="Normal 4 2 4 3 6 4" xfId="24042" xr:uid="{4B2ECA22-7162-4B4E-9675-47FF2997767C}"/>
    <cellStyle name="Normal 4 2 4 3 6 5" xfId="15033" xr:uid="{2E5F23A7-93B1-46BB-B5A6-52CF70AFEEC1}"/>
    <cellStyle name="Normal 4 2 4 3 7" xfId="3896" xr:uid="{407F759E-344C-46F4-B726-31C28228A117}"/>
    <cellStyle name="Normal 4 2 4 3 7 2" xfId="8728" xr:uid="{29F472D2-E110-4D88-9F61-E13E5FA9C81B}"/>
    <cellStyle name="Normal 4 2 4 3 7 2 2" xfId="19108" xr:uid="{2284EC89-07AC-411D-82FE-34F09DF7D6CB}"/>
    <cellStyle name="Normal 4 2 4 3 7 3" xfId="11561" xr:uid="{CD4DEB1D-45A5-48C7-9769-59B46F61D03D}"/>
    <cellStyle name="Normal 4 2 4 3 7 3 2" xfId="21941" xr:uid="{770ADE17-99E5-4AFE-B579-1A98EE501125}"/>
    <cellStyle name="Normal 4 2 4 3 7 4" xfId="16275" xr:uid="{6FB5E671-849F-4DE7-8BF9-30A2B731599F}"/>
    <cellStyle name="Normal 4 2 4 3 8" xfId="5261" xr:uid="{5AB2208D-2ECB-46B1-A1AD-1C10EFA86D2C}"/>
    <cellStyle name="Normal 4 2 4 3 8 2" xfId="14559" xr:uid="{4386F813-09E8-4B41-BDF4-20EFB92A3414}"/>
    <cellStyle name="Normal 4 2 4 3 9" xfId="7012" xr:uid="{789A5CDE-7332-4F6B-BBF3-E319B9A8D71B}"/>
    <cellStyle name="Normal 4 2 4 3 9 2" xfId="17392" xr:uid="{0280FBB0-A649-4BD5-9490-08CDC4E0C773}"/>
    <cellStyle name="Normal 4 2 4 4" xfId="957" xr:uid="{00000000-0005-0000-0000-00006F050000}"/>
    <cellStyle name="Normal 4 2 4 4 2" xfId="3318" xr:uid="{00000000-0005-0000-0000-0000D4050000}"/>
    <cellStyle name="Normal 4 2 4 4 2 2" xfId="6376" xr:uid="{8F0A29D2-D7B3-4E56-8B87-AD49C0CD0FE5}"/>
    <cellStyle name="Normal 4 2 4 4 2 2 2" xfId="28145" xr:uid="{15F7E190-0EFB-4B46-AA08-B9FC031F951D}"/>
    <cellStyle name="Normal 4 2 4 4 2 2 3" xfId="15945" xr:uid="{487857BB-B8D6-44AB-AAD0-1E227A507C31}"/>
    <cellStyle name="Normal 4 2 4 4 2 3" xfId="8398" xr:uid="{3C143CBE-B596-4111-8A73-325C4AE99A01}"/>
    <cellStyle name="Normal 4 2 4 4 2 3 2" xfId="18778" xr:uid="{E3F37898-0DDA-4A76-BB45-32C1418C3704}"/>
    <cellStyle name="Normal 4 2 4 4 2 4" xfId="11231" xr:uid="{E3F73AD3-0682-43FA-B6BE-B1AC0C81098B}"/>
    <cellStyle name="Normal 4 2 4 4 2 4 2" xfId="21611" xr:uid="{A4317B59-8ACE-4D43-99A5-700EF431C073}"/>
    <cellStyle name="Normal 4 2 4 4 2 5" xfId="23511" xr:uid="{5D01FDC3-A29C-4A13-BF5E-B5E597BBEDD5}"/>
    <cellStyle name="Normal 4 2 4 4 2 6" xfId="13875" xr:uid="{EF4703E9-A033-4E67-A333-D632E5176286}"/>
    <cellStyle name="Normal 4 2 4 4 3" xfId="2775" xr:uid="{00000000-0005-0000-0000-0000D5050000}"/>
    <cellStyle name="Normal 4 2 4 4 3 2" xfId="5993" xr:uid="{E39637DE-8B66-4185-BED9-6C2E3B488169}"/>
    <cellStyle name="Normal 4 2 4 4 3 2 2" xfId="26672" xr:uid="{4E299BC9-8DB1-4608-9829-A2D535EA19CC}"/>
    <cellStyle name="Normal 4 2 4 4 3 2 3" xfId="15446" xr:uid="{A86BE9B4-5BF6-4AC2-845B-0F93735DE431}"/>
    <cellStyle name="Normal 4 2 4 4 3 3" xfId="7899" xr:uid="{49FB707D-5367-445B-843A-C1E85E660FEB}"/>
    <cellStyle name="Normal 4 2 4 4 3 3 2" xfId="18279" xr:uid="{CB8FFE37-A4C6-48A6-96A9-2AF7AF0CA451}"/>
    <cellStyle name="Normal 4 2 4 4 3 4" xfId="10732" xr:uid="{3CC66CFE-E550-4D08-A1AB-2B1B4982A0A6}"/>
    <cellStyle name="Normal 4 2 4 4 3 4 2" xfId="21112" xr:uid="{7E5A6ECD-BFCC-41EB-82DF-4C12E332DF0E}"/>
    <cellStyle name="Normal 4 2 4 4 3 5" xfId="23582" xr:uid="{D9A6BF4D-F8C7-42C0-8A5E-D7AA8EA7777E}"/>
    <cellStyle name="Normal 4 2 4 4 3 6" xfId="13228" xr:uid="{A90A061A-B369-4680-847B-0A783306D795}"/>
    <cellStyle name="Normal 4 2 4 4 4" xfId="4187" xr:uid="{37541807-A374-4414-A8FC-CA3014A4BA8C}"/>
    <cellStyle name="Normal 4 2 4 4 4 2" xfId="8959" xr:uid="{E638087D-DBF0-408F-9269-238EAE4FDAD1}"/>
    <cellStyle name="Normal 4 2 4 4 4 2 2" xfId="19339" xr:uid="{82C4527E-C1FD-4226-B7E8-DBAACF9A92D8}"/>
    <cellStyle name="Normal 4 2 4 4 4 3" xfId="11792" xr:uid="{C2E290E2-01AD-4948-8E08-B7B63F83A8DE}"/>
    <cellStyle name="Normal 4 2 4 4 4 3 2" xfId="22172" xr:uid="{C48759BE-054B-4476-9F46-1DE0B3D590AF}"/>
    <cellStyle name="Normal 4 2 4 4 4 4" xfId="23088" xr:uid="{49F7775F-FA77-45F2-A31A-5733512B8D0F}"/>
    <cellStyle name="Normal 4 2 4 4 4 5" xfId="16506" xr:uid="{602C9A63-5940-4C18-8981-5534B09B89AD}"/>
    <cellStyle name="Normal 4 2 4 4 5" xfId="5262" xr:uid="{1319BDE0-2551-4B68-9802-4AF23C378265}"/>
    <cellStyle name="Normal 4 2 4 4 5 2" xfId="14560" xr:uid="{506F6334-74C2-4EB3-B6D2-460CE5A593E1}"/>
    <cellStyle name="Normal 4 2 4 4 6" xfId="7013" xr:uid="{1FD27AA7-1AC6-427C-87A2-0A63C3C06FDA}"/>
    <cellStyle name="Normal 4 2 4 4 6 2" xfId="17393" xr:uid="{B84107C5-AF48-4DF1-B84D-7E20783158E9}"/>
    <cellStyle name="Normal 4 2 4 4 7" xfId="9846" xr:uid="{F632BA21-DE08-4DDC-BDE3-5FFF9D26B162}"/>
    <cellStyle name="Normal 4 2 4 4 7 2" xfId="20226" xr:uid="{BDE3FB14-5D7D-4075-8FDC-057441F77C7D}"/>
    <cellStyle name="Normal 4 2 4 4 8" xfId="23799" xr:uid="{4AD55E4F-86CD-4A1A-86B9-10820CEB76B6}"/>
    <cellStyle name="Normal 4 2 4 4 9" xfId="12751" xr:uid="{DC1691DB-C08E-4886-BA52-B7506B2A424A}"/>
    <cellStyle name="Normal 4 2 4 5" xfId="3319" xr:uid="{00000000-0005-0000-0000-0000D6050000}"/>
    <cellStyle name="Normal 4 2 4 5 2" xfId="4522" xr:uid="{0E8E5B39-AFE5-4CA4-91C7-A3464D3F00BB}"/>
    <cellStyle name="Normal 4 2 4 5 2 2" xfId="9294" xr:uid="{D591BF78-F04D-47D5-928F-52D8E541F8AB}"/>
    <cellStyle name="Normal 4 2 4 5 2 2 2" xfId="29273" xr:uid="{E258C256-3FE8-4006-AD74-D535CAB304C6}"/>
    <cellStyle name="Normal 4 2 4 5 2 2 3" xfId="19674" xr:uid="{F7F64A4D-2122-45F6-82E2-5BE09EFD026C}"/>
    <cellStyle name="Normal 4 2 4 5 2 3" xfId="12127" xr:uid="{5847B0E9-E996-4C29-941D-70FE8A368C53}"/>
    <cellStyle name="Normal 4 2 4 5 2 3 2" xfId="22507" xr:uid="{B14B6018-F271-4684-8764-3ACE4519415E}"/>
    <cellStyle name="Normal 4 2 4 5 2 4" xfId="23307" xr:uid="{CCA219FC-92C2-4C0C-BF3E-6F6BEBE0DE9F}"/>
    <cellStyle name="Normal 4 2 4 5 2 5" xfId="16841" xr:uid="{CF25A3E3-5418-4DC1-9C6E-A406DC03D001}"/>
    <cellStyle name="Normal 4 2 4 5 3" xfId="6377" xr:uid="{256B6FAA-C2C9-4ACE-B9C7-6FC9B51CDB96}"/>
    <cellStyle name="Normal 4 2 4 5 3 2" xfId="27142" xr:uid="{70BFEA5C-4E6C-4F46-95C9-B5C80A30C9F4}"/>
    <cellStyle name="Normal 4 2 4 5 3 3" xfId="15946" xr:uid="{743BA6B8-A56E-4CBB-9753-736E70BD010B}"/>
    <cellStyle name="Normal 4 2 4 5 4" xfId="8399" xr:uid="{3570482D-F52B-470B-89CD-2CD3F4ABBB04}"/>
    <cellStyle name="Normal 4 2 4 5 4 2" xfId="18779" xr:uid="{2BC47C64-585F-462F-AF3E-C7AF3A226651}"/>
    <cellStyle name="Normal 4 2 4 5 5" xfId="11232" xr:uid="{1C6947AC-084A-43D7-9915-2206CA974BD9}"/>
    <cellStyle name="Normal 4 2 4 5 5 2" xfId="21612" xr:uid="{559AE209-05D8-4985-B557-0D438344104A}"/>
    <cellStyle name="Normal 4 2 4 5 6" xfId="23981" xr:uid="{664207EE-4914-4965-9834-53028B4545F1}"/>
    <cellStyle name="Normal 4 2 4 5 7" xfId="13876" xr:uid="{0277DFB1-73A2-4180-A054-EB5BD2A38890}"/>
    <cellStyle name="Normal 4 2 4 6" xfId="2933" xr:uid="{00000000-0005-0000-0000-0000D7050000}"/>
    <cellStyle name="Normal 4 2 4 6 2" xfId="6113" xr:uid="{C3DED480-E875-415D-B2C5-2357CB13D6CB}"/>
    <cellStyle name="Normal 4 2 4 6 2 2" xfId="28597" xr:uid="{E6CCCEB0-5E6C-474F-83E3-B0858B991066}"/>
    <cellStyle name="Normal 4 2 4 6 2 3" xfId="15591" xr:uid="{4E4B3070-74E1-4F0F-AA9D-7F9455C98DCE}"/>
    <cellStyle name="Normal 4 2 4 6 3" xfId="8044" xr:uid="{CF045047-FE2E-438C-A3AF-36CFCCD81394}"/>
    <cellStyle name="Normal 4 2 4 6 3 2" xfId="18424" xr:uid="{6974ED14-239E-4C96-B588-6D4C3D4FAC53}"/>
    <cellStyle name="Normal 4 2 4 6 4" xfId="10877" xr:uid="{271A16A4-2E4D-4EDB-B60B-F37169EF597F}"/>
    <cellStyle name="Normal 4 2 4 6 4 2" xfId="21257" xr:uid="{E48D12CF-779A-4ED9-8B8B-FF952051B37A}"/>
    <cellStyle name="Normal 4 2 4 6 5" xfId="24062" xr:uid="{B8F51B56-D343-4566-AA4C-10BF28E83B0A}"/>
    <cellStyle name="Normal 4 2 4 6 6" xfId="13449" xr:uid="{77F5DE15-377E-43E2-AD6E-5E17F1ADD0A4}"/>
    <cellStyle name="Normal 4 2 4 7" xfId="2490" xr:uid="{00000000-0005-0000-0000-0000D8050000}"/>
    <cellStyle name="Normal 4 2 4 7 2" xfId="5775" xr:uid="{F018ECED-5A6F-4447-9A54-9EE76DDBE63F}"/>
    <cellStyle name="Normal 4 2 4 7 2 2" xfId="26494" xr:uid="{20CD0C60-F007-4614-9B70-9A17FB6DFF1D}"/>
    <cellStyle name="Normal 4 2 4 7 2 3" xfId="15162" xr:uid="{E1E7917D-0F93-4527-AE06-FB2AF4482F01}"/>
    <cellStyle name="Normal 4 2 4 7 3" xfId="7615" xr:uid="{6514BE92-1F04-4928-8709-D85A419C7015}"/>
    <cellStyle name="Normal 4 2 4 7 3 2" xfId="17995" xr:uid="{9CEE5451-D453-4DDB-9594-21DEED4014B7}"/>
    <cellStyle name="Normal 4 2 4 7 4" xfId="10448" xr:uid="{38B26B3D-726D-459F-AF2C-ECD1E29A4E39}"/>
    <cellStyle name="Normal 4 2 4 7 4 2" xfId="20828" xr:uid="{1E7E024D-C69D-493A-99B3-BA694475E263}"/>
    <cellStyle name="Normal 4 2 4 7 5" xfId="23758" xr:uid="{3E8674F5-2E40-4193-BA4B-289E887374FE}"/>
    <cellStyle name="Normal 4 2 4 7 6" xfId="12878" xr:uid="{36D69116-BF77-4B1C-AEC5-5834A30DC7E7}"/>
    <cellStyle name="Normal 4 2 4 8" xfId="2184" xr:uid="{00000000-0005-0000-0000-0000C1050000}"/>
    <cellStyle name="Normal 4 2 4 8 2" xfId="7311" xr:uid="{F12A16AD-7B72-415C-9FDB-084D86B3C010}"/>
    <cellStyle name="Normal 4 2 4 8 2 2" xfId="17691" xr:uid="{5429233F-C9A4-4E27-A5B1-9C96FFE0F1DC}"/>
    <cellStyle name="Normal 4 2 4 8 3" xfId="10144" xr:uid="{81ABF9DE-FCB1-4960-BBE8-9EDEB58738B3}"/>
    <cellStyle name="Normal 4 2 4 8 3 2" xfId="20524" xr:uid="{CEF406A1-D7FF-40FB-86B1-E3777551BBAD}"/>
    <cellStyle name="Normal 4 2 4 8 4" xfId="23696" xr:uid="{991D425F-ED78-4AF1-A784-690BB22855BD}"/>
    <cellStyle name="Normal 4 2 4 8 5" xfId="14858" xr:uid="{F13E48C5-0826-4DBF-9B5F-E3424307332A}"/>
    <cellStyle name="Normal 4 2 4 9" xfId="3980" xr:uid="{45AF6E9E-6287-4168-9448-70EA475F6D56}"/>
    <cellStyle name="Normal 4 2 4 9 2" xfId="8804" xr:uid="{96A98EB3-8991-4181-A17C-6603F625A4A6}"/>
    <cellStyle name="Normal 4 2 4 9 2 2" xfId="19184" xr:uid="{8BBAFF3B-41EF-46F1-A4FD-B9358D20F12A}"/>
    <cellStyle name="Normal 4 2 4 9 3" xfId="11637" xr:uid="{23034033-ACF7-4415-A7E9-1BCB1E9700BD}"/>
    <cellStyle name="Normal 4 2 4 9 3 2" xfId="22017" xr:uid="{B28099F8-D03B-4A07-9886-76653D588664}"/>
    <cellStyle name="Normal 4 2 4 9 4" xfId="16351" xr:uid="{A710A958-0260-4144-B2F9-F9DE1EBA01CF}"/>
    <cellStyle name="Normal 4 2 5" xfId="958" xr:uid="{00000000-0005-0000-0000-000070050000}"/>
    <cellStyle name="Normal 4 2 5 10" xfId="5263" xr:uid="{0CBE73A5-7193-4D2C-A908-00C86B036AD4}"/>
    <cellStyle name="Normal 4 2 5 10 2" xfId="14561" xr:uid="{A731E1B3-3F9F-4889-B99A-0145435E747A}"/>
    <cellStyle name="Normal 4 2 5 11" xfId="7014" xr:uid="{3967B753-E8EF-48AC-83DE-54B8730320A3}"/>
    <cellStyle name="Normal 4 2 5 11 2" xfId="17394" xr:uid="{490C3C79-1905-444B-A011-4DBCF704CF26}"/>
    <cellStyle name="Normal 4 2 5 12" xfId="9847" xr:uid="{33654FB9-4B74-41A2-813A-B8AE1BDE3AB7}"/>
    <cellStyle name="Normal 4 2 5 12 2" xfId="20227" xr:uid="{5AF73625-CF6A-48A5-916A-015C667A23E4}"/>
    <cellStyle name="Normal 4 2 5 13" xfId="25430" xr:uid="{8BAE80AC-F656-4AEE-B7FB-D550FE15D202}"/>
    <cellStyle name="Normal 4 2 5 14" xfId="12450" xr:uid="{146E16A4-1DDA-401D-A374-6B4A02EC93AD}"/>
    <cellStyle name="Normal 4 2 5 2" xfId="959" xr:uid="{00000000-0005-0000-0000-000071050000}"/>
    <cellStyle name="Normal 4 2 5 2 10" xfId="9848" xr:uid="{B26CF3D7-1113-434C-8C60-5E5772F9ADCC}"/>
    <cellStyle name="Normal 4 2 5 2 10 2" xfId="20228" xr:uid="{15613978-8531-43E1-8060-4069E3668F7C}"/>
    <cellStyle name="Normal 4 2 5 2 11" xfId="23551" xr:uid="{E140D3AB-46F1-4E88-94C1-1F97E001E18E}"/>
    <cellStyle name="Normal 4 2 5 2 12" xfId="12594" xr:uid="{3E88260C-B2CB-41BC-91B2-A4DF1C1B4BA0}"/>
    <cellStyle name="Normal 4 2 5 2 2" xfId="960" xr:uid="{00000000-0005-0000-0000-000072050000}"/>
    <cellStyle name="Normal 4 2 5 2 2 2" xfId="3321" xr:uid="{00000000-0005-0000-0000-0000DC050000}"/>
    <cellStyle name="Normal 4 2 5 2 2 2 2" xfId="6379" xr:uid="{B770ADED-9101-408A-83A1-B924951FF274}"/>
    <cellStyle name="Normal 4 2 5 2 2 2 2 2" xfId="28266" xr:uid="{C74EC279-60EC-4E28-A305-0DCD07AF538C}"/>
    <cellStyle name="Normal 4 2 5 2 2 2 2 3" xfId="26684" xr:uid="{C3478ABA-1720-4FAC-8FED-923AEB8466D0}"/>
    <cellStyle name="Normal 4 2 5 2 2 2 2 4" xfId="15948" xr:uid="{7C2475F4-8D89-4CA3-8E9E-C24BB1B3C501}"/>
    <cellStyle name="Normal 4 2 5 2 2 2 3" xfId="8401" xr:uid="{C22CFE14-56FC-4F3C-AF93-DD42ECF197AC}"/>
    <cellStyle name="Normal 4 2 5 2 2 2 3 2" xfId="28906" xr:uid="{57FFE5EE-767B-4502-97BB-CDFC96E7FA7D}"/>
    <cellStyle name="Normal 4 2 5 2 2 2 3 3" xfId="18781" xr:uid="{EC3C5B6E-4CC2-4105-9791-A067BF9E0F15}"/>
    <cellStyle name="Normal 4 2 5 2 2 2 4" xfId="11234" xr:uid="{E2E5DE9D-117A-48A6-81CD-2FA1A7C81124}"/>
    <cellStyle name="Normal 4 2 5 2 2 2 4 2" xfId="21614" xr:uid="{2AA75FDA-06FB-4904-BDD8-843D86CA359A}"/>
    <cellStyle name="Normal 4 2 5 2 2 2 5" xfId="22738" xr:uid="{BE7C205A-0BA3-4733-A7F0-821BF620A085}"/>
    <cellStyle name="Normal 4 2 5 2 2 2 6" xfId="13878" xr:uid="{D2F893E2-3F1E-4A3F-9EB0-404D65F01C6D}"/>
    <cellStyle name="Normal 4 2 5 2 2 3" xfId="4335" xr:uid="{5BE6B68A-7B10-4B7E-854E-6FFB4FFE172B}"/>
    <cellStyle name="Normal 4 2 5 2 2 3 2" xfId="9107" xr:uid="{1302051A-ABE6-4175-AA37-19EB6E160850}"/>
    <cellStyle name="Normal 4 2 5 2 2 3 2 2" xfId="29150" xr:uid="{99041798-5A95-422D-AE30-E4AE237CFDBC}"/>
    <cellStyle name="Normal 4 2 5 2 2 3 2 3" xfId="19487" xr:uid="{3C106315-F70B-4A49-A801-9FBE3D5B27D2}"/>
    <cellStyle name="Normal 4 2 5 2 2 3 3" xfId="11940" xr:uid="{86EFA8A8-BEE4-47A3-AF34-8FFF9C28A589}"/>
    <cellStyle name="Normal 4 2 5 2 2 3 3 2" xfId="22320" xr:uid="{EF63205B-BB47-4CBB-BE9E-5BC10AEF294F}"/>
    <cellStyle name="Normal 4 2 5 2 2 3 4" xfId="25217" xr:uid="{19DF6725-F748-4B6D-90AD-46D9D3FFDDBE}"/>
    <cellStyle name="Normal 4 2 5 2 2 3 5" xfId="16654" xr:uid="{92D965AF-E9A9-4832-A5CA-A4A2669210C2}"/>
    <cellStyle name="Normal 4 2 5 2 2 4" xfId="5265" xr:uid="{2276ACD1-E7D6-4418-A080-980DEAE92B44}"/>
    <cellStyle name="Normal 4 2 5 2 2 4 2" xfId="25997" xr:uid="{CE44DA71-1C40-4684-8046-9C67712C9040}"/>
    <cellStyle name="Normal 4 2 5 2 2 4 3" xfId="14563" xr:uid="{EC1BC237-9119-4647-97ED-878B17EF3299}"/>
    <cellStyle name="Normal 4 2 5 2 2 5" xfId="7016" xr:uid="{19BD68A2-67CA-4449-AA4B-DDBA978C8675}"/>
    <cellStyle name="Normal 4 2 5 2 2 5 2" xfId="17396" xr:uid="{F9B737A5-8B7A-461F-8D10-F24CC8DCE17C}"/>
    <cellStyle name="Normal 4 2 5 2 2 6" xfId="9849" xr:uid="{1CBAEAD7-2B41-4B13-B4C6-ACEE43A54F72}"/>
    <cellStyle name="Normal 4 2 5 2 2 6 2" xfId="20229" xr:uid="{173F5588-FDB3-4B71-B930-4E0584D44597}"/>
    <cellStyle name="Normal 4 2 5 2 2 7" xfId="25503" xr:uid="{D33929E5-E0B8-4C10-91F3-31EBD339EBD4}"/>
    <cellStyle name="Normal 4 2 5 2 2 8" xfId="13233" xr:uid="{4F9CECE8-EB50-49F4-9389-259541B4B9EF}"/>
    <cellStyle name="Normal 4 2 5 2 3" xfId="3322" xr:uid="{00000000-0005-0000-0000-0000DD050000}"/>
    <cellStyle name="Normal 4 2 5 2 3 2" xfId="4523" xr:uid="{347C5674-4DFD-40C4-B12F-56BE80C5BE4E}"/>
    <cellStyle name="Normal 4 2 5 2 3 2 2" xfId="9295" xr:uid="{3F581F5C-90FA-474F-BF10-5137BEAE4725}"/>
    <cellStyle name="Normal 4 2 5 2 3 2 2 2" xfId="29274" xr:uid="{0CBB4331-0319-490B-B15B-9200E81CA6A4}"/>
    <cellStyle name="Normal 4 2 5 2 3 2 2 3" xfId="19675" xr:uid="{838DF7E9-BA6F-4FBF-B781-FB2858570C60}"/>
    <cellStyle name="Normal 4 2 5 2 3 2 3" xfId="12128" xr:uid="{7FABD496-6C93-4FDA-A3DD-F96ABDEEAAC0}"/>
    <cellStyle name="Normal 4 2 5 2 3 2 3 2" xfId="22508" xr:uid="{35BD0BB6-0B4C-4E1B-A833-D8A806597684}"/>
    <cellStyle name="Normal 4 2 5 2 3 2 4" xfId="25655" xr:uid="{F9AED57B-FB20-4B83-AFC5-9B9BF17A3DBE}"/>
    <cellStyle name="Normal 4 2 5 2 3 2 5" xfId="16842" xr:uid="{2D5ADDA7-B3A4-4C7D-939C-F6084C4E276A}"/>
    <cellStyle name="Normal 4 2 5 2 3 3" xfId="6380" xr:uid="{CD6C82C8-A74A-433D-B39F-B9C161BA02EE}"/>
    <cellStyle name="Normal 4 2 5 2 3 3 2" xfId="28290" xr:uid="{B9A18EF6-7C90-4427-ADEF-358CCBDACFD6}"/>
    <cellStyle name="Normal 4 2 5 2 3 3 3" xfId="15949" xr:uid="{BE577C5B-C10E-446F-8688-350CADE73FEF}"/>
    <cellStyle name="Normal 4 2 5 2 3 4" xfId="8402" xr:uid="{9718EDC0-0073-4EC3-B6B9-540CB1B96F41}"/>
    <cellStyle name="Normal 4 2 5 2 3 4 2" xfId="18782" xr:uid="{ACEE0FCB-F137-469D-8B77-9CB741FA1AC7}"/>
    <cellStyle name="Normal 4 2 5 2 3 5" xfId="11235" xr:uid="{5AE48A34-F6DB-4551-BA3E-857436778BD5}"/>
    <cellStyle name="Normal 4 2 5 2 3 5 2" xfId="21615" xr:uid="{A40392E5-DC6A-4C8D-8E01-AF1046A67A4D}"/>
    <cellStyle name="Normal 4 2 5 2 3 6" xfId="22757" xr:uid="{C5EB7D95-B669-4759-BF56-E246B3848CF9}"/>
    <cellStyle name="Normal 4 2 5 2 3 7" xfId="13879" xr:uid="{6DBC202F-6DB1-4F1E-A066-512B436B0C98}"/>
    <cellStyle name="Normal 4 2 5 2 4" xfId="3320" xr:uid="{00000000-0005-0000-0000-0000DE050000}"/>
    <cellStyle name="Normal 4 2 5 2 4 2" xfId="6378" xr:uid="{432CD6A6-AFDF-41D6-BFC3-3790A92C6F84}"/>
    <cellStyle name="Normal 4 2 5 2 4 2 2" xfId="26376" xr:uid="{82ABE11C-256E-4056-918B-A35B699AB672}"/>
    <cellStyle name="Normal 4 2 5 2 4 2 3" xfId="15947" xr:uid="{C37600C8-3ED2-440B-8690-8C3B3063BCDD}"/>
    <cellStyle name="Normal 4 2 5 2 4 3" xfId="8400" xr:uid="{E8E189F8-8F4B-4890-9701-B5D1C06B73F2}"/>
    <cellStyle name="Normal 4 2 5 2 4 3 2" xfId="18780" xr:uid="{5CAD051B-AFF1-400C-8267-4F53AB69DDA2}"/>
    <cellStyle name="Normal 4 2 5 2 4 4" xfId="11233" xr:uid="{FBA4F533-2B3C-4CCD-973C-9CAB932C23CE}"/>
    <cellStyle name="Normal 4 2 5 2 4 4 2" xfId="21613" xr:uid="{D2FC6275-5A85-4ECA-933B-0219857FE0FB}"/>
    <cellStyle name="Normal 4 2 5 2 4 5" xfId="24155" xr:uid="{D8002FA3-967C-4F90-ACC8-5D137DBF6F85}"/>
    <cellStyle name="Normal 4 2 5 2 4 6" xfId="13877" xr:uid="{D694F6F7-2BF7-4D7B-96A4-EED1281B6703}"/>
    <cellStyle name="Normal 4 2 5 2 5" xfId="2524" xr:uid="{00000000-0005-0000-0000-0000DF050000}"/>
    <cellStyle name="Normal 4 2 5 2 5 2" xfId="5801" xr:uid="{11D778BA-8E15-4019-B38A-8E52B38AEBF0}"/>
    <cellStyle name="Normal 4 2 5 2 5 2 2" xfId="25982" xr:uid="{6A9AA136-2BD0-4FBF-9ABB-282C03ECF6E4}"/>
    <cellStyle name="Normal 4 2 5 2 5 2 3" xfId="15196" xr:uid="{16AA72AB-A281-4DDC-AB5D-460210E2E450}"/>
    <cellStyle name="Normal 4 2 5 2 5 3" xfId="7649" xr:uid="{4A162BEF-2978-4CE7-BE45-90F48C2F33A4}"/>
    <cellStyle name="Normal 4 2 5 2 5 3 2" xfId="18029" xr:uid="{A9BED9A7-98A0-45A8-9F06-91AB686E446A}"/>
    <cellStyle name="Normal 4 2 5 2 5 4" xfId="10482" xr:uid="{FAACC862-64F7-4F79-A96E-E160C786ABCD}"/>
    <cellStyle name="Normal 4 2 5 2 5 4 2" xfId="20862" xr:uid="{F9F4DD29-D3C2-476C-AD88-BB91E3826189}"/>
    <cellStyle name="Normal 4 2 5 2 5 5" xfId="23975" xr:uid="{38614436-59D6-4DEC-8B43-2E00B0443410}"/>
    <cellStyle name="Normal 4 2 5 2 5 6" xfId="12912" xr:uid="{65572533-9279-4D9C-B564-FD495FB82F6F}"/>
    <cellStyle name="Normal 4 2 5 2 6" xfId="2360" xr:uid="{00000000-0005-0000-0000-0000DA050000}"/>
    <cellStyle name="Normal 4 2 5 2 6 2" xfId="7487" xr:uid="{6258D792-03F6-4DD9-BEBA-5118EF4C3843}"/>
    <cellStyle name="Normal 4 2 5 2 6 2 2" xfId="17867" xr:uid="{4E480B7B-420E-401D-A276-81C4402CB61A}"/>
    <cellStyle name="Normal 4 2 5 2 6 3" xfId="10320" xr:uid="{166DEC97-5528-433D-9E11-55CBE0AF026F}"/>
    <cellStyle name="Normal 4 2 5 2 6 3 2" xfId="20700" xr:uid="{A2F4F4BD-0514-452A-9200-A93BC546385A}"/>
    <cellStyle name="Normal 4 2 5 2 6 4" xfId="23308" xr:uid="{39990AC5-8C6B-4B0D-8798-96B022C2360D}"/>
    <cellStyle name="Normal 4 2 5 2 6 5" xfId="15034" xr:uid="{B2BFCC8C-E173-4385-9802-1DD47ED3D577}"/>
    <cellStyle name="Normal 4 2 5 2 7" xfId="3897" xr:uid="{CB65113C-B265-478E-9D02-6C0656EEE1BA}"/>
    <cellStyle name="Normal 4 2 5 2 7 2" xfId="8729" xr:uid="{F611B9F0-8701-45BA-A1D0-35AEA580EF9B}"/>
    <cellStyle name="Normal 4 2 5 2 7 2 2" xfId="19109" xr:uid="{8C51E9BE-0237-4151-B049-E10F9C4E50BC}"/>
    <cellStyle name="Normal 4 2 5 2 7 3" xfId="11562" xr:uid="{A087CB4F-BC5D-45D1-9053-01A720DEFB4C}"/>
    <cellStyle name="Normal 4 2 5 2 7 3 2" xfId="21942" xr:uid="{C1497DF3-61B4-49B1-BBCD-BCAC48179AF9}"/>
    <cellStyle name="Normal 4 2 5 2 7 4" xfId="16276" xr:uid="{CEADDF0D-E011-4200-AC7B-8AC418DCC36E}"/>
    <cellStyle name="Normal 4 2 5 2 8" xfId="5264" xr:uid="{20239CCB-D576-44EC-92EA-AE90C1783381}"/>
    <cellStyle name="Normal 4 2 5 2 8 2" xfId="14562" xr:uid="{EB0580DD-36D2-4FF5-95A1-7A591DC27CD8}"/>
    <cellStyle name="Normal 4 2 5 2 9" xfId="7015" xr:uid="{795DA4D6-C3B5-4D29-AFD2-CAB6BA65E474}"/>
    <cellStyle name="Normal 4 2 5 2 9 2" xfId="17395" xr:uid="{BC3F3C25-047F-4FC7-92EC-024B562BEF50}"/>
    <cellStyle name="Normal 4 2 5 3" xfId="961" xr:uid="{00000000-0005-0000-0000-000073050000}"/>
    <cellStyle name="Normal 4 2 5 3 10" xfId="23369" xr:uid="{79750114-A351-4CCB-867C-76DE717FA61F}"/>
    <cellStyle name="Normal 4 2 5 3 11" xfId="12752" xr:uid="{68D682AD-CD8A-4A06-B9ED-79FA4A5D9671}"/>
    <cellStyle name="Normal 4 2 5 3 2" xfId="2779" xr:uid="{00000000-0005-0000-0000-0000E1050000}"/>
    <cellStyle name="Normal 4 2 5 3 2 2" xfId="3324" xr:uid="{00000000-0005-0000-0000-0000E2050000}"/>
    <cellStyle name="Normal 4 2 5 3 2 2 2" xfId="6382" xr:uid="{C605AE42-8AF8-4194-BC12-7E70C5668458}"/>
    <cellStyle name="Normal 4 2 5 3 2 2 2 2" xfId="25935" xr:uid="{881930D7-1D5F-4EE7-99A4-6ED322AE55F4}"/>
    <cellStyle name="Normal 4 2 5 3 2 2 2 3" xfId="15951" xr:uid="{9C3F95C9-7282-4699-ABF6-D9D420A73124}"/>
    <cellStyle name="Normal 4 2 5 3 2 2 3" xfId="8404" xr:uid="{63265D94-9F3F-4751-862E-84A7C7425231}"/>
    <cellStyle name="Normal 4 2 5 3 2 2 3 2" xfId="18784" xr:uid="{87EB6427-0939-4666-98F2-B807DC62D3A7}"/>
    <cellStyle name="Normal 4 2 5 3 2 2 4" xfId="11237" xr:uid="{6D46F3E2-61ED-49DD-A7B0-4D3D5DE01971}"/>
    <cellStyle name="Normal 4 2 5 3 2 2 4 2" xfId="21617" xr:uid="{D9A396D4-C104-4104-8079-35ECEFA27857}"/>
    <cellStyle name="Normal 4 2 5 3 2 2 5" xfId="22733" xr:uid="{79BD1422-BA6E-495E-B773-5F7BDF605971}"/>
    <cellStyle name="Normal 4 2 5 3 2 2 6" xfId="13881" xr:uid="{ED7E36B9-4F50-4BEF-8561-30C24B6E9567}"/>
    <cellStyle name="Normal 4 2 5 3 2 3" xfId="4336" xr:uid="{39B36460-E5E2-499F-B81B-388D9582238E}"/>
    <cellStyle name="Normal 4 2 5 3 2 3 2" xfId="9108" xr:uid="{B92390C0-83F6-4DAD-BC04-EB8BF96EDE31}"/>
    <cellStyle name="Normal 4 2 5 3 2 3 2 2" xfId="29151" xr:uid="{070640E3-9208-4E43-A10C-1694F45BCA18}"/>
    <cellStyle name="Normal 4 2 5 3 2 3 2 3" xfId="19488" xr:uid="{7F818460-2C5F-4647-B0B0-F6EF4BED27A8}"/>
    <cellStyle name="Normal 4 2 5 3 2 3 3" xfId="11941" xr:uid="{945CD2CC-9CFA-4EC6-9F24-795824B1CA01}"/>
    <cellStyle name="Normal 4 2 5 3 2 3 3 2" xfId="22321" xr:uid="{22E56662-CC04-4231-9943-6BCB77BBCA11}"/>
    <cellStyle name="Normal 4 2 5 3 2 3 4" xfId="22643" xr:uid="{A0C14500-DB99-4ED6-9B7F-46A1EE961179}"/>
    <cellStyle name="Normal 4 2 5 3 2 3 5" xfId="16655" xr:uid="{10B3DEC3-B4E7-4C9B-AB4B-DB531B6D72E3}"/>
    <cellStyle name="Normal 4 2 5 3 2 4" xfId="5997" xr:uid="{1A0F0C4D-3DB7-4C15-A38C-F56B40761BAE}"/>
    <cellStyle name="Normal 4 2 5 3 2 4 2" xfId="26489" xr:uid="{29AFC224-D2C8-4CEC-9F58-60B5AC8080FC}"/>
    <cellStyle name="Normal 4 2 5 3 2 4 3" xfId="15450" xr:uid="{2DFD23E7-52D0-45DD-9860-4A74BC84B353}"/>
    <cellStyle name="Normal 4 2 5 3 2 5" xfId="7903" xr:uid="{E883D2D4-FF50-40C7-9722-8245DECE913C}"/>
    <cellStyle name="Normal 4 2 5 3 2 5 2" xfId="18283" xr:uid="{6B2F9257-DA6A-49DC-9D36-382C53D5F344}"/>
    <cellStyle name="Normal 4 2 5 3 2 6" xfId="10736" xr:uid="{A815C69A-3F68-4268-BC28-4657AC26A748}"/>
    <cellStyle name="Normal 4 2 5 3 2 6 2" xfId="21116" xr:uid="{EAC72D7D-689A-4F1C-B1FF-EC52E59BBEC3}"/>
    <cellStyle name="Normal 4 2 5 3 2 7" xfId="23623" xr:uid="{62CEBA34-760D-405C-B215-4548645090E9}"/>
    <cellStyle name="Normal 4 2 5 3 2 8" xfId="13234" xr:uid="{B446E305-1C65-492A-AE55-2E81932ACC2B}"/>
    <cellStyle name="Normal 4 2 5 3 3" xfId="3325" xr:uid="{00000000-0005-0000-0000-0000E3050000}"/>
    <cellStyle name="Normal 4 2 5 3 3 2" xfId="4524" xr:uid="{E5453EDB-7847-48AE-AA88-4DA4D08CB3CA}"/>
    <cellStyle name="Normal 4 2 5 3 3 2 2" xfId="9296" xr:uid="{594792DB-F602-4F9B-9710-0E8420CA1289}"/>
    <cellStyle name="Normal 4 2 5 3 3 2 2 2" xfId="29275" xr:uid="{5FD6E443-B487-4105-A522-1BD6A7BDFD1D}"/>
    <cellStyle name="Normal 4 2 5 3 3 2 2 3" xfId="19676" xr:uid="{00548E8E-C009-4C8F-B5E6-2C47547A9FC3}"/>
    <cellStyle name="Normal 4 2 5 3 3 2 3" xfId="12129" xr:uid="{55C2624A-BC5F-448E-89A1-BB428B91C339}"/>
    <cellStyle name="Normal 4 2 5 3 3 2 3 2" xfId="22509" xr:uid="{EF73F6D8-9102-4476-B85B-C502DAF53583}"/>
    <cellStyle name="Normal 4 2 5 3 3 2 4" xfId="23690" xr:uid="{AFEAA7CE-90A4-465C-836A-F5D5C5D436D2}"/>
    <cellStyle name="Normal 4 2 5 3 3 2 5" xfId="16843" xr:uid="{FA2F7731-E4AF-4871-9E36-71D90F3B9AF3}"/>
    <cellStyle name="Normal 4 2 5 3 3 3" xfId="6383" xr:uid="{B816879C-A5F2-4FEF-81E0-B90C1C1B71B1}"/>
    <cellStyle name="Normal 4 2 5 3 3 3 2" xfId="26304" xr:uid="{FF48CE8C-519D-4A38-88D4-DA1956A00C79}"/>
    <cellStyle name="Normal 4 2 5 3 3 3 3" xfId="15952" xr:uid="{5907614C-2626-4B8F-BDEA-CFD0E8F86ED4}"/>
    <cellStyle name="Normal 4 2 5 3 3 4" xfId="8405" xr:uid="{EA9A7BC6-C0E7-45EB-A8CF-4EBA6BADE169}"/>
    <cellStyle name="Normal 4 2 5 3 3 4 2" xfId="18785" xr:uid="{19191B56-EA36-4B20-AEED-830A10CAAD27}"/>
    <cellStyle name="Normal 4 2 5 3 3 5" xfId="11238" xr:uid="{C636646A-A91B-4460-BE67-329647A062AB}"/>
    <cellStyle name="Normal 4 2 5 3 3 5 2" xfId="21618" xr:uid="{6DA88660-B64C-4244-939E-63DEB00E3242}"/>
    <cellStyle name="Normal 4 2 5 3 3 6" xfId="22697" xr:uid="{AC4C5E30-F5D9-4B86-8D24-26742E4CF504}"/>
    <cellStyle name="Normal 4 2 5 3 3 7" xfId="13882" xr:uid="{C8DF9A62-7C81-4C4A-9EA7-7888785F30B1}"/>
    <cellStyle name="Normal 4 2 5 3 4" xfId="3323" xr:uid="{00000000-0005-0000-0000-0000E4050000}"/>
    <cellStyle name="Normal 4 2 5 3 4 2" xfId="6381" xr:uid="{387E779B-00CE-4EC3-892B-B2B90CA3EFE7}"/>
    <cellStyle name="Normal 4 2 5 3 4 2 2" xfId="26888" xr:uid="{A286A1A6-8CF2-4D80-8B25-D8F8DE6624FF}"/>
    <cellStyle name="Normal 4 2 5 3 4 2 3" xfId="15950" xr:uid="{37752C60-178A-4A20-9C24-8CC6E9C19ACC}"/>
    <cellStyle name="Normal 4 2 5 3 4 3" xfId="8403" xr:uid="{54A2113F-AA51-4487-952D-0029B2365B37}"/>
    <cellStyle name="Normal 4 2 5 3 4 3 2" xfId="18783" xr:uid="{3A1B1FB0-E466-42DE-9132-0C42DBD5D2D6}"/>
    <cellStyle name="Normal 4 2 5 3 4 4" xfId="11236" xr:uid="{0B0ACCC4-DB40-4733-81F6-2F736105CA80}"/>
    <cellStyle name="Normal 4 2 5 3 4 4 2" xfId="21616" xr:uid="{74A7B9B8-7A1A-454F-A977-76690D774C54}"/>
    <cellStyle name="Normal 4 2 5 3 4 5" xfId="24186" xr:uid="{A47BE7BA-D7F5-402A-AC36-51DDB649C961}"/>
    <cellStyle name="Normal 4 2 5 3 4 6" xfId="13880" xr:uid="{48A85F04-0BE0-47B5-B892-DE3379BFCC42}"/>
    <cellStyle name="Normal 4 2 5 3 5" xfId="2627" xr:uid="{00000000-0005-0000-0000-0000E5050000}"/>
    <cellStyle name="Normal 4 2 5 3 5 2" xfId="5889" xr:uid="{F9EB9A5C-A7DA-4DF2-8279-9B34F07990F0}"/>
    <cellStyle name="Normal 4 2 5 3 5 2 2" xfId="26989" xr:uid="{0D84CEF1-9AE5-410B-8E6D-1BA242AC0101}"/>
    <cellStyle name="Normal 4 2 5 3 5 2 3" xfId="15299" xr:uid="{0A4BA692-CC5E-4132-9D94-17C7477AC0CB}"/>
    <cellStyle name="Normal 4 2 5 3 5 3" xfId="7752" xr:uid="{25712DD4-1059-4CA5-9A3C-EFA115EC4468}"/>
    <cellStyle name="Normal 4 2 5 3 5 3 2" xfId="18132" xr:uid="{2E6B801A-C33C-4D75-9C90-F828E5EC0C3B}"/>
    <cellStyle name="Normal 4 2 5 3 5 4" xfId="10585" xr:uid="{B468A150-16E3-4D01-BBAB-E817329AD542}"/>
    <cellStyle name="Normal 4 2 5 3 5 4 2" xfId="20965" xr:uid="{BFCE8A20-96C1-4BCF-A6A5-A248B059E7A5}"/>
    <cellStyle name="Normal 4 2 5 3 5 5" xfId="22843" xr:uid="{ABB10640-FEDD-4C24-868F-7A8EA3B27B59}"/>
    <cellStyle name="Normal 4 2 5 3 5 6" xfId="13015" xr:uid="{220D344D-761E-4309-BD03-807ABD6DDB3A}"/>
    <cellStyle name="Normal 4 2 5 3 6" xfId="4188" xr:uid="{BC304B4B-82E9-4E7C-B296-6D65F062491B}"/>
    <cellStyle name="Normal 4 2 5 3 6 2" xfId="8960" xr:uid="{6903D274-2589-436F-A52D-2707B23AF46A}"/>
    <cellStyle name="Normal 4 2 5 3 6 2 2" xfId="19340" xr:uid="{D9D5D96A-E195-4626-94D0-384CD033A3BF}"/>
    <cellStyle name="Normal 4 2 5 3 6 3" xfId="11793" xr:uid="{C1F6140E-B44B-4175-86C0-F6252E1D6231}"/>
    <cellStyle name="Normal 4 2 5 3 6 3 2" xfId="22173" xr:uid="{34510711-65CB-48FB-8757-F6F2AA6CFE45}"/>
    <cellStyle name="Normal 4 2 5 3 6 4" xfId="24607" xr:uid="{F66BF6C3-8931-40E4-85D4-741BA5B42733}"/>
    <cellStyle name="Normal 4 2 5 3 6 5" xfId="16507" xr:uid="{8C4F2945-644E-48C4-A252-2306264F717A}"/>
    <cellStyle name="Normal 4 2 5 3 7" xfId="5266" xr:uid="{C09DB10E-1F2D-449E-B56E-05130914761F}"/>
    <cellStyle name="Normal 4 2 5 3 7 2" xfId="14564" xr:uid="{F33A083D-51F9-40EF-9E9E-66C1606CF4B3}"/>
    <cellStyle name="Normal 4 2 5 3 8" xfId="7017" xr:uid="{53721B6D-FBE2-43DF-BCCD-E6655CA3DD99}"/>
    <cellStyle name="Normal 4 2 5 3 8 2" xfId="17397" xr:uid="{072A331F-596B-4952-8436-15C6FFD85F80}"/>
    <cellStyle name="Normal 4 2 5 3 9" xfId="9850" xr:uid="{A24F73A7-1478-4E03-B26A-41F723577305}"/>
    <cellStyle name="Normal 4 2 5 3 9 2" xfId="20230" xr:uid="{66E85D27-4E42-4EE3-87C0-78058182270B}"/>
    <cellStyle name="Normal 4 2 5 4" xfId="962" xr:uid="{00000000-0005-0000-0000-000074050000}"/>
    <cellStyle name="Normal 4 2 5 4 2" xfId="3326" xr:uid="{00000000-0005-0000-0000-0000E7050000}"/>
    <cellStyle name="Normal 4 2 5 4 2 2" xfId="6384" xr:uid="{2D8A9C61-8F07-4BE3-B6CB-92BA97D88958}"/>
    <cellStyle name="Normal 4 2 5 4 2 2 2" xfId="26262" xr:uid="{FFE65A06-3AB4-4919-A981-6F99564EA57D}"/>
    <cellStyle name="Normal 4 2 5 4 2 2 3" xfId="15953" xr:uid="{BB3D1C01-5747-4DAE-B9BD-95C9518332E1}"/>
    <cellStyle name="Normal 4 2 5 4 2 3" xfId="8406" xr:uid="{C8EA9E31-80AB-44C4-A0ED-22532E9C6E9A}"/>
    <cellStyle name="Normal 4 2 5 4 2 3 2" xfId="18786" xr:uid="{6C8F56C3-F9D8-4581-A2A6-9B795558E906}"/>
    <cellStyle name="Normal 4 2 5 4 2 4" xfId="11239" xr:uid="{6658D817-0906-49C9-A476-79B6586D018E}"/>
    <cellStyle name="Normal 4 2 5 4 2 4 2" xfId="21619" xr:uid="{40772340-F376-4654-B687-93962604834C}"/>
    <cellStyle name="Normal 4 2 5 4 2 5" xfId="23350" xr:uid="{A7470EB6-7774-4F99-ADA4-26A6B94C1DE6}"/>
    <cellStyle name="Normal 4 2 5 4 2 6" xfId="13883" xr:uid="{2F51F388-9219-431B-84AF-102469B74FD8}"/>
    <cellStyle name="Normal 4 2 5 4 3" xfId="4334" xr:uid="{F79196D7-441F-4273-8A49-2B180DFCA0FD}"/>
    <cellStyle name="Normal 4 2 5 4 3 2" xfId="9106" xr:uid="{CEE77492-61F9-4417-BAFD-C519B7073992}"/>
    <cellStyle name="Normal 4 2 5 4 3 2 2" xfId="29149" xr:uid="{5DF036F2-C522-4BE5-89DB-31C26EA17703}"/>
    <cellStyle name="Normal 4 2 5 4 3 2 3" xfId="19486" xr:uid="{C968488D-217B-48EF-8AB1-EE20461C5AB5}"/>
    <cellStyle name="Normal 4 2 5 4 3 3" xfId="11939" xr:uid="{DC646F8A-CF8E-4E4C-AABB-920E1ABA1CAC}"/>
    <cellStyle name="Normal 4 2 5 4 3 3 2" xfId="22319" xr:uid="{90E7123E-3C95-4430-B5F5-CAEF48BF0651}"/>
    <cellStyle name="Normal 4 2 5 4 3 4" xfId="24549" xr:uid="{B08EFD12-EDA2-48E2-8B12-53A8A0C19493}"/>
    <cellStyle name="Normal 4 2 5 4 3 5" xfId="16653" xr:uid="{FC7ABEB3-79E1-40C6-809F-C09973868853}"/>
    <cellStyle name="Normal 4 2 5 4 4" xfId="5267" xr:uid="{90636868-3CBD-43CF-9E0C-16942A9F471A}"/>
    <cellStyle name="Normal 4 2 5 4 4 2" xfId="27536" xr:uid="{9BB7A04A-111A-48BD-950A-D4021D2D8F4B}"/>
    <cellStyle name="Normal 4 2 5 4 4 3" xfId="14565" xr:uid="{F358DA77-44A8-4EA2-97FD-95B69369D8E1}"/>
    <cellStyle name="Normal 4 2 5 4 5" xfId="7018" xr:uid="{180F0E22-7AF7-42B8-9CAF-B98E3A758FB0}"/>
    <cellStyle name="Normal 4 2 5 4 5 2" xfId="17398" xr:uid="{E5377EE4-82A2-4E2C-B29F-B7FAA78461F2}"/>
    <cellStyle name="Normal 4 2 5 4 6" xfId="9851" xr:uid="{EE520D22-54F9-4A56-882D-EDD964009DA5}"/>
    <cellStyle name="Normal 4 2 5 4 6 2" xfId="20231" xr:uid="{3E91A0AC-E69E-438A-BEC3-6BC5C92BA4B4}"/>
    <cellStyle name="Normal 4 2 5 4 7" xfId="23687" xr:uid="{F8AB6D34-FDEA-4429-8542-10CAF464858D}"/>
    <cellStyle name="Normal 4 2 5 4 8" xfId="13232" xr:uid="{52DFCB45-735F-4B62-8392-014FB9CBE2FC}"/>
    <cellStyle name="Normal 4 2 5 5" xfId="3327" xr:uid="{00000000-0005-0000-0000-0000E8050000}"/>
    <cellStyle name="Normal 4 2 5 5 2" xfId="4525" xr:uid="{6D8784FB-DF71-4A83-8BDB-B3BDE7149BF9}"/>
    <cellStyle name="Normal 4 2 5 5 2 2" xfId="9297" xr:uid="{939521D8-ADC4-43CB-94FA-F0819C3406E9}"/>
    <cellStyle name="Normal 4 2 5 5 2 2 2" xfId="29276" xr:uid="{19DF4257-E43C-469F-9C16-B24162758384}"/>
    <cellStyle name="Normal 4 2 5 5 2 2 3" xfId="19677" xr:uid="{A5E31672-4691-46A0-B679-F339810D17C6}"/>
    <cellStyle name="Normal 4 2 5 5 2 3" xfId="12130" xr:uid="{99A63C92-0408-437E-9FB4-E8FC1C9FCFAA}"/>
    <cellStyle name="Normal 4 2 5 5 2 3 2" xfId="22510" xr:uid="{67C58881-5862-41EE-9DD7-947707FCFD34}"/>
    <cellStyle name="Normal 4 2 5 5 2 4" xfId="22986" xr:uid="{A8AA8306-3676-4E55-A536-A97B78DC1C8C}"/>
    <cellStyle name="Normal 4 2 5 5 2 5" xfId="16844" xr:uid="{F53A3395-D366-43D3-947A-A5C3B26D2711}"/>
    <cellStyle name="Normal 4 2 5 5 3" xfId="6385" xr:uid="{7B8F94D8-8887-4BA3-866C-407C1FBD36D0}"/>
    <cellStyle name="Normal 4 2 5 5 3 2" xfId="27817" xr:uid="{87681F70-42A7-43F7-8321-22E7CEF77D0C}"/>
    <cellStyle name="Normal 4 2 5 5 3 3" xfId="15954" xr:uid="{5AA64C3B-0F1C-42DE-B554-03458BE76FAC}"/>
    <cellStyle name="Normal 4 2 5 5 4" xfId="8407" xr:uid="{D8F9B07C-BF9A-4884-A50C-878839D29542}"/>
    <cellStyle name="Normal 4 2 5 5 4 2" xfId="18787" xr:uid="{7EE55C6F-078D-4EB4-97C4-E0C515C05408}"/>
    <cellStyle name="Normal 4 2 5 5 5" xfId="11240" xr:uid="{BEBAF8B2-74C4-45AF-8296-FB1ACA4054FD}"/>
    <cellStyle name="Normal 4 2 5 5 5 2" xfId="21620" xr:uid="{E8BDEB03-F972-4EEF-AED1-3CE2087889AB}"/>
    <cellStyle name="Normal 4 2 5 5 6" xfId="25326" xr:uid="{CD8F67A7-A3F0-427E-B834-3775BDAD38C0}"/>
    <cellStyle name="Normal 4 2 5 5 7" xfId="13884" xr:uid="{85D00D68-9ECF-44FF-A6D4-9D8CC9870C10}"/>
    <cellStyle name="Normal 4 2 5 6" xfId="2934" xr:uid="{00000000-0005-0000-0000-0000E9050000}"/>
    <cellStyle name="Normal 4 2 5 6 2" xfId="6114" xr:uid="{BE900F96-FEA2-4E30-92A8-CAE0953D3425}"/>
    <cellStyle name="Normal 4 2 5 6 2 2" xfId="27271" xr:uid="{14F8E04A-0425-4615-95E5-8CD6F3472A76}"/>
    <cellStyle name="Normal 4 2 5 6 2 3" xfId="15592" xr:uid="{02E86C8F-E312-4B22-A092-CD1A084F2D56}"/>
    <cellStyle name="Normal 4 2 5 6 3" xfId="8045" xr:uid="{FDB47C98-6356-471F-B78F-D9589B434C33}"/>
    <cellStyle name="Normal 4 2 5 6 3 2" xfId="18425" xr:uid="{ACB89726-CBF0-487C-A098-8B8203A24883}"/>
    <cellStyle name="Normal 4 2 5 6 4" xfId="10878" xr:uid="{D467590A-68A2-4185-81DF-CE6DFE8C83CB}"/>
    <cellStyle name="Normal 4 2 5 6 4 2" xfId="21258" xr:uid="{C6486E78-3A73-4F03-8C3B-96DFCE1ED896}"/>
    <cellStyle name="Normal 4 2 5 6 5" xfId="23649" xr:uid="{8E98ABBA-56EF-4EB2-8C80-C71F3B7F9032}"/>
    <cellStyle name="Normal 4 2 5 6 6" xfId="13450" xr:uid="{A84DE8E5-B24F-4345-923E-B3A2D97ACC76}"/>
    <cellStyle name="Normal 4 2 5 7" xfId="2464" xr:uid="{00000000-0005-0000-0000-0000EA050000}"/>
    <cellStyle name="Normal 4 2 5 7 2" xfId="5755" xr:uid="{B3C0D14B-390F-41E4-BDFD-0922C0DFF1F0}"/>
    <cellStyle name="Normal 4 2 5 7 2 2" xfId="27790" xr:uid="{B73C931D-43BD-471E-82AB-D8E8B2765E0C}"/>
    <cellStyle name="Normal 4 2 5 7 2 3" xfId="15136" xr:uid="{434BEB20-E85A-4B68-8FD8-E53101751DE4}"/>
    <cellStyle name="Normal 4 2 5 7 3" xfId="7589" xr:uid="{98097413-696C-4D6B-B43B-A312583BFC60}"/>
    <cellStyle name="Normal 4 2 5 7 3 2" xfId="17969" xr:uid="{91808D4E-F3DA-4DE1-806C-2787AF64E39E}"/>
    <cellStyle name="Normal 4 2 5 7 4" xfId="10422" xr:uid="{C7695EA6-FCC5-46B3-8581-BABB751203C3}"/>
    <cellStyle name="Normal 4 2 5 7 4 2" xfId="20802" xr:uid="{C91687E2-92DF-49FB-83E1-C765A8EEDC20}"/>
    <cellStyle name="Normal 4 2 5 7 5" xfId="23071" xr:uid="{47CF11B8-F3BB-4AAE-920F-7AD967892354}"/>
    <cellStyle name="Normal 4 2 5 7 6" xfId="12852" xr:uid="{A38FCE37-52D1-467C-BFAB-9EB57318F51A}"/>
    <cellStyle name="Normal 4 2 5 8" xfId="2218" xr:uid="{00000000-0005-0000-0000-0000D9050000}"/>
    <cellStyle name="Normal 4 2 5 8 2" xfId="7345" xr:uid="{4572ABC9-1896-420C-86A5-CA9F76DFAD18}"/>
    <cellStyle name="Normal 4 2 5 8 2 2" xfId="17725" xr:uid="{38E23D4E-CAE6-422B-9F2C-0834EA8B1317}"/>
    <cellStyle name="Normal 4 2 5 8 3" xfId="10178" xr:uid="{3DE857B0-E18A-4932-8D4C-3AFD4D4E0790}"/>
    <cellStyle name="Normal 4 2 5 8 3 2" xfId="20558" xr:uid="{D5152B89-6BA3-4F88-8144-44DA55D45D7C}"/>
    <cellStyle name="Normal 4 2 5 8 4" xfId="22679" xr:uid="{BF7C7BED-1E09-48AF-BDAE-3B31DE56324F}"/>
    <cellStyle name="Normal 4 2 5 8 5" xfId="14892" xr:uid="{D71B3A97-AF0F-4824-915F-65B51B64D8FB}"/>
    <cellStyle name="Normal 4 2 5 9" xfId="3981" xr:uid="{02D1CB85-E6A3-4145-AB9C-27FB597ED793}"/>
    <cellStyle name="Normal 4 2 5 9 2" xfId="8805" xr:uid="{D0323B9F-1984-415E-B9FC-A3EA0A4AA7C1}"/>
    <cellStyle name="Normal 4 2 5 9 2 2" xfId="19185" xr:uid="{7F24D07F-AB6C-4885-B430-C8903F1F7EDB}"/>
    <cellStyle name="Normal 4 2 5 9 3" xfId="11638" xr:uid="{5809E595-3478-4878-8122-F05D934B4A9B}"/>
    <cellStyle name="Normal 4 2 5 9 3 2" xfId="22018" xr:uid="{B97DDBE7-F401-4CF7-89ED-4BA7425BFDC2}"/>
    <cellStyle name="Normal 4 2 5 9 4" xfId="16352" xr:uid="{06C86599-A475-46F6-813F-4124D8A04094}"/>
    <cellStyle name="Normal 4 2 6" xfId="963" xr:uid="{00000000-0005-0000-0000-000075050000}"/>
    <cellStyle name="Normal 4 2 6 10" xfId="7019" xr:uid="{DEFFBE65-696A-4203-9BDA-4690425232DD}"/>
    <cellStyle name="Normal 4 2 6 10 2" xfId="17399" xr:uid="{0291D174-1953-4046-9ED3-0F6455134A09}"/>
    <cellStyle name="Normal 4 2 6 11" xfId="9852" xr:uid="{2DFF8B14-F295-4A73-9C97-CE02457F3E60}"/>
    <cellStyle name="Normal 4 2 6 11 2" xfId="20232" xr:uid="{DF6BB936-6B5B-4984-BAD0-AF167AF2B481}"/>
    <cellStyle name="Normal 4 2 6 12" xfId="23291" xr:uid="{0A0B5212-006E-47FF-824A-9A325E4E6528}"/>
    <cellStyle name="Normal 4 2 6 13" xfId="12433" xr:uid="{DCA0F383-9FD0-412D-95B2-3029A322B4DD}"/>
    <cellStyle name="Normal 4 2 6 2" xfId="964" xr:uid="{00000000-0005-0000-0000-000076050000}"/>
    <cellStyle name="Normal 4 2 6 2 10" xfId="9853" xr:uid="{AAF76A15-98AD-4B4E-B884-BCF135D9E71E}"/>
    <cellStyle name="Normal 4 2 6 2 10 2" xfId="20233" xr:uid="{D322F266-7F4C-4A30-80C0-03EC2326BB7A}"/>
    <cellStyle name="Normal 4 2 6 2 11" xfId="25490" xr:uid="{93B5B837-D4AE-458F-909D-9852DE494C60}"/>
    <cellStyle name="Normal 4 2 6 2 12" xfId="12595" xr:uid="{70D1879F-DFEE-439A-8114-F9F951CC7F53}"/>
    <cellStyle name="Normal 4 2 6 2 2" xfId="965" xr:uid="{00000000-0005-0000-0000-000077050000}"/>
    <cellStyle name="Normal 4 2 6 2 2 2" xfId="3329" xr:uid="{00000000-0005-0000-0000-0000EE050000}"/>
    <cellStyle name="Normal 4 2 6 2 2 2 2" xfId="6387" xr:uid="{BAC233AC-A810-4E84-B638-9230A1EF5733}"/>
    <cellStyle name="Normal 4 2 6 2 2 2 2 2" xfId="27437" xr:uid="{01FEDD6C-50A2-42AD-BAEA-5B3F2BA9B97A}"/>
    <cellStyle name="Normal 4 2 6 2 2 2 2 3" xfId="25892" xr:uid="{D370D220-E45B-4428-804E-88C734B5BA41}"/>
    <cellStyle name="Normal 4 2 6 2 2 2 2 4" xfId="15956" xr:uid="{B86B1128-6148-4733-AA93-440790B6DAC6}"/>
    <cellStyle name="Normal 4 2 6 2 2 2 3" xfId="8409" xr:uid="{13F54889-9A2A-4EAE-9E4D-B98CA4578160}"/>
    <cellStyle name="Normal 4 2 6 2 2 2 3 2" xfId="28907" xr:uid="{23A09F88-3BC4-4005-89B4-928F9EB03608}"/>
    <cellStyle name="Normal 4 2 6 2 2 2 3 3" xfId="18789" xr:uid="{FBBABA64-E424-4A9F-AA21-7B14DA85B7DB}"/>
    <cellStyle name="Normal 4 2 6 2 2 2 4" xfId="11242" xr:uid="{7408C84E-0E61-492E-ACF8-C9C3926B6747}"/>
    <cellStyle name="Normal 4 2 6 2 2 2 4 2" xfId="21622" xr:uid="{E053CD8D-E533-488E-B006-84049A8B0B14}"/>
    <cellStyle name="Normal 4 2 6 2 2 2 5" xfId="23776" xr:uid="{F2768962-D32F-4F2C-B61F-D72571688E4C}"/>
    <cellStyle name="Normal 4 2 6 2 2 2 6" xfId="13886" xr:uid="{0B2A3A0F-5995-44D1-B366-34381A1C7D8E}"/>
    <cellStyle name="Normal 4 2 6 2 2 3" xfId="4337" xr:uid="{857F86B8-95F4-4D78-8DC8-9C82D2E1F62A}"/>
    <cellStyle name="Normal 4 2 6 2 2 3 2" xfId="9109" xr:uid="{1F71B0AA-B07E-4E1B-B426-81E8CE243CCB}"/>
    <cellStyle name="Normal 4 2 6 2 2 3 2 2" xfId="29152" xr:uid="{1E8BF86F-831C-480C-922A-037576019845}"/>
    <cellStyle name="Normal 4 2 6 2 2 3 2 3" xfId="19489" xr:uid="{7D3B6463-E4B3-4766-BC1A-4E297A722C8A}"/>
    <cellStyle name="Normal 4 2 6 2 2 3 3" xfId="11942" xr:uid="{BE966F00-1B64-4BBB-9425-77D4C0A09E5B}"/>
    <cellStyle name="Normal 4 2 6 2 2 3 3 2" xfId="22322" xr:uid="{0FFB036E-9636-4239-8BEA-C670967D3303}"/>
    <cellStyle name="Normal 4 2 6 2 2 3 4" xfId="25209" xr:uid="{E1531264-CDA4-4A91-86DD-32418CD92D27}"/>
    <cellStyle name="Normal 4 2 6 2 2 3 5" xfId="16656" xr:uid="{26BB06FE-C18D-48A2-88D1-79ACDB3FEBE0}"/>
    <cellStyle name="Normal 4 2 6 2 2 4" xfId="5270" xr:uid="{845432CD-F2D3-4D76-907D-D59FA9CD2874}"/>
    <cellStyle name="Normal 4 2 6 2 2 4 2" xfId="27715" xr:uid="{A445EB11-AC63-43BA-9DB2-5C1783F44351}"/>
    <cellStyle name="Normal 4 2 6 2 2 4 3" xfId="14568" xr:uid="{A512F79D-014F-4042-B953-7D07D24825A3}"/>
    <cellStyle name="Normal 4 2 6 2 2 5" xfId="7021" xr:uid="{D760C8EB-0D87-4AC0-8888-2BA1C8E6609F}"/>
    <cellStyle name="Normal 4 2 6 2 2 5 2" xfId="17401" xr:uid="{9F4F324B-1C74-4189-84AD-6C60919BC47C}"/>
    <cellStyle name="Normal 4 2 6 2 2 6" xfId="9854" xr:uid="{1C183A3C-01F1-47A9-99F4-EA098027F5B3}"/>
    <cellStyle name="Normal 4 2 6 2 2 6 2" xfId="20234" xr:uid="{BAF14791-1445-4BFD-BB71-EA245F0BD374}"/>
    <cellStyle name="Normal 4 2 6 2 2 7" xfId="24662" xr:uid="{715982D8-8CCD-4DB3-A321-1023E28E91DD}"/>
    <cellStyle name="Normal 4 2 6 2 2 8" xfId="13236" xr:uid="{AE4511A6-6A37-451D-9339-1781BCD0E6C2}"/>
    <cellStyle name="Normal 4 2 6 2 3" xfId="3330" xr:uid="{00000000-0005-0000-0000-0000EF050000}"/>
    <cellStyle name="Normal 4 2 6 2 3 2" xfId="4526" xr:uid="{3B4A1E04-19F3-4BAC-8FB4-223D8C385833}"/>
    <cellStyle name="Normal 4 2 6 2 3 2 2" xfId="9298" xr:uid="{2643789D-BFF3-4FDE-89AE-576DAE0B7112}"/>
    <cellStyle name="Normal 4 2 6 2 3 2 2 2" xfId="29277" xr:uid="{ADC3726D-943B-4422-AA3B-312D33597F2D}"/>
    <cellStyle name="Normal 4 2 6 2 3 2 2 3" xfId="19678" xr:uid="{7F045121-FE28-46D2-8BD9-F2FD593D591E}"/>
    <cellStyle name="Normal 4 2 6 2 3 2 3" xfId="12131" xr:uid="{0E3A85B9-3D67-49A3-AC4A-3F0B11D3BE28}"/>
    <cellStyle name="Normal 4 2 6 2 3 2 3 2" xfId="22511" xr:uid="{A532BA39-5A27-49FF-B9D0-60AB1D2FC30C}"/>
    <cellStyle name="Normal 4 2 6 2 3 2 4" xfId="25730" xr:uid="{D479B867-F913-46C3-8BC5-AD701191ADBD}"/>
    <cellStyle name="Normal 4 2 6 2 3 2 5" xfId="16845" xr:uid="{5D574386-622A-4518-AF71-2749C6E6758C}"/>
    <cellStyle name="Normal 4 2 6 2 3 3" xfId="6388" xr:uid="{E3EC29E1-6B29-4691-AB1C-9E9E1E6D1FED}"/>
    <cellStyle name="Normal 4 2 6 2 3 3 2" xfId="26452" xr:uid="{EDC3EDAC-2582-499B-83E7-7013BC20D12A}"/>
    <cellStyle name="Normal 4 2 6 2 3 3 3" xfId="15957" xr:uid="{70662303-3DE4-41B2-BA67-8D3E9A6F8572}"/>
    <cellStyle name="Normal 4 2 6 2 3 4" xfId="8410" xr:uid="{BA7460BF-5E29-4C76-B10D-498E7A56FBC8}"/>
    <cellStyle name="Normal 4 2 6 2 3 4 2" xfId="18790" xr:uid="{AA8F3C40-3D91-473A-941F-906738993696}"/>
    <cellStyle name="Normal 4 2 6 2 3 5" xfId="11243" xr:uid="{895AA936-CA0C-4AD0-9B67-A23D4BBA7485}"/>
    <cellStyle name="Normal 4 2 6 2 3 5 2" xfId="21623" xr:uid="{B0D3F07F-5DD6-4BB5-8FA2-B4B5E91E4DE2}"/>
    <cellStyle name="Normal 4 2 6 2 3 6" xfId="23643" xr:uid="{FAEA117C-7D53-4795-9506-15D60D08DB14}"/>
    <cellStyle name="Normal 4 2 6 2 3 7" xfId="13887" xr:uid="{07894BF5-186F-46A5-90C3-C0E35D34DD71}"/>
    <cellStyle name="Normal 4 2 6 2 4" xfId="3328" xr:uid="{00000000-0005-0000-0000-0000F0050000}"/>
    <cellStyle name="Normal 4 2 6 2 4 2" xfId="6386" xr:uid="{1EFB95CC-F524-4CCE-B4C8-B3532779C91A}"/>
    <cellStyle name="Normal 4 2 6 2 4 2 2" xfId="27677" xr:uid="{5221F9D5-5C43-4BD8-A639-B8EAD77C4AA0}"/>
    <cellStyle name="Normal 4 2 6 2 4 2 3" xfId="15955" xr:uid="{4AA7393A-9535-46B1-AE7B-422F403D5E63}"/>
    <cellStyle name="Normal 4 2 6 2 4 3" xfId="8408" xr:uid="{BD057D78-443F-4F6A-BD3C-B805CE90C35E}"/>
    <cellStyle name="Normal 4 2 6 2 4 3 2" xfId="18788" xr:uid="{D7A8E92A-98A9-40BB-94F4-2F8B9EA5559F}"/>
    <cellStyle name="Normal 4 2 6 2 4 4" xfId="11241" xr:uid="{B77882D4-2BB8-4E51-817A-F4DFBF0C2F01}"/>
    <cellStyle name="Normal 4 2 6 2 4 4 2" xfId="21621" xr:uid="{19B015B6-C3D9-4F13-A81C-788AA33944AD}"/>
    <cellStyle name="Normal 4 2 6 2 4 5" xfId="24570" xr:uid="{9069EFC3-BB10-45D2-ACFB-9403E33DCD81}"/>
    <cellStyle name="Normal 4 2 6 2 4 6" xfId="13885" xr:uid="{4372CB72-119F-489D-BBEB-1AD6D0581791}"/>
    <cellStyle name="Normal 4 2 6 2 5" xfId="2610" xr:uid="{00000000-0005-0000-0000-0000F1050000}"/>
    <cellStyle name="Normal 4 2 6 2 5 2" xfId="5874" xr:uid="{07DD4D81-18F0-424D-AB3F-DCC8D97687DA}"/>
    <cellStyle name="Normal 4 2 6 2 5 2 2" xfId="28154" xr:uid="{0A8188F9-9BE0-4643-A3E1-78D3C7C185FA}"/>
    <cellStyle name="Normal 4 2 6 2 5 2 3" xfId="15282" xr:uid="{7DA7F9BC-5C98-4BE4-9B9A-C10CE37169CE}"/>
    <cellStyle name="Normal 4 2 6 2 5 3" xfId="7735" xr:uid="{FED3B4A8-396E-42D7-B50F-9D3B0DBCA14D}"/>
    <cellStyle name="Normal 4 2 6 2 5 3 2" xfId="18115" xr:uid="{3D2EC2C8-79D0-47C5-80A4-2811D2A4C0F5}"/>
    <cellStyle name="Normal 4 2 6 2 5 4" xfId="10568" xr:uid="{B4611E73-2207-41F3-8632-1E9574B02295}"/>
    <cellStyle name="Normal 4 2 6 2 5 4 2" xfId="20948" xr:uid="{C2CB5B8B-BB12-453B-9554-7525A2BD3805}"/>
    <cellStyle name="Normal 4 2 6 2 5 5" xfId="23500" xr:uid="{01E9226A-9A95-4F7B-B42B-1AACED1D9B86}"/>
    <cellStyle name="Normal 4 2 6 2 5 6" xfId="12998" xr:uid="{9A39D173-392B-4426-AD21-69500934C59C}"/>
    <cellStyle name="Normal 4 2 6 2 6" xfId="2361" xr:uid="{00000000-0005-0000-0000-0000EC050000}"/>
    <cellStyle name="Normal 4 2 6 2 6 2" xfId="7488" xr:uid="{36A58D09-B824-4A83-8738-F5426A950A4E}"/>
    <cellStyle name="Normal 4 2 6 2 6 2 2" xfId="17868" xr:uid="{B28F8718-5697-444D-AE82-7AF47CC92C2B}"/>
    <cellStyle name="Normal 4 2 6 2 6 3" xfId="10321" xr:uid="{3ED99E39-33F5-4F31-98CE-B9FEE95B9407}"/>
    <cellStyle name="Normal 4 2 6 2 6 3 2" xfId="20701" xr:uid="{37D94780-3B16-4555-9083-35032C5908D6}"/>
    <cellStyle name="Normal 4 2 6 2 6 4" xfId="23376" xr:uid="{1A3EA359-9DE4-4D7E-8066-FF4884B37497}"/>
    <cellStyle name="Normal 4 2 6 2 6 5" xfId="15035" xr:uid="{7F5C3E7B-8BFC-4881-9F5E-4D195B13A68F}"/>
    <cellStyle name="Normal 4 2 6 2 7" xfId="3898" xr:uid="{AA3D5DF3-B1EE-4297-AA11-BA003746AEB6}"/>
    <cellStyle name="Normal 4 2 6 2 7 2" xfId="8730" xr:uid="{53ADFC7F-9696-475D-9D78-12468888E6C4}"/>
    <cellStyle name="Normal 4 2 6 2 7 2 2" xfId="19110" xr:uid="{54C6A38B-1B82-465D-A279-513907E7CFA6}"/>
    <cellStyle name="Normal 4 2 6 2 7 3" xfId="11563" xr:uid="{6B266857-CB04-46C9-B790-0A3E49B6057C}"/>
    <cellStyle name="Normal 4 2 6 2 7 3 2" xfId="21943" xr:uid="{972EF6E0-3C28-452F-8AE8-878C81AA9467}"/>
    <cellStyle name="Normal 4 2 6 2 7 4" xfId="16277" xr:uid="{0F76F6A9-D3F2-42FB-8BF3-311F1A13DB19}"/>
    <cellStyle name="Normal 4 2 6 2 8" xfId="5269" xr:uid="{319875FB-8008-49E7-9C02-EED376AEFF7C}"/>
    <cellStyle name="Normal 4 2 6 2 8 2" xfId="14567" xr:uid="{DDF5DFE2-BAD9-4697-BDB6-C9BA65F2F991}"/>
    <cellStyle name="Normal 4 2 6 2 9" xfId="7020" xr:uid="{0F7B2D12-A05C-4F27-BE47-222BC3C4A06A}"/>
    <cellStyle name="Normal 4 2 6 2 9 2" xfId="17400" xr:uid="{CDA9802D-6A62-4039-96EA-9AB473645173}"/>
    <cellStyle name="Normal 4 2 6 3" xfId="966" xr:uid="{00000000-0005-0000-0000-000078050000}"/>
    <cellStyle name="Normal 4 2 6 3 2" xfId="3331" xr:uid="{00000000-0005-0000-0000-0000F3050000}"/>
    <cellStyle name="Normal 4 2 6 3 2 2" xfId="6389" xr:uid="{FE92993F-BAF8-4C5B-9F7C-AE05EE62D22B}"/>
    <cellStyle name="Normal 4 2 6 3 2 2 2" xfId="25677" xr:uid="{C0EE5ABE-996E-4F6B-B7AD-58B41061E466}"/>
    <cellStyle name="Normal 4 2 6 3 2 2 3" xfId="27988" xr:uid="{2F42EDBE-BC3F-4C91-BAAE-6B0948836DED}"/>
    <cellStyle name="Normal 4 2 6 3 2 2 4" xfId="15958" xr:uid="{7426F8A1-AE9F-41EA-8EA0-D58B5D52ACF8}"/>
    <cellStyle name="Normal 4 2 6 3 2 3" xfId="8411" xr:uid="{C474FC15-91E5-4D33-B0F6-A82653846DB4}"/>
    <cellStyle name="Normal 4 2 6 3 2 3 2" xfId="28908" xr:uid="{CF51905B-2ADD-40D8-A7FB-31E292C6AF88}"/>
    <cellStyle name="Normal 4 2 6 3 2 3 3" xfId="18791" xr:uid="{343A9DA3-0E4B-4C2D-9F23-ED2461D33386}"/>
    <cellStyle name="Normal 4 2 6 3 2 4" xfId="11244" xr:uid="{90FC2832-9F79-4557-BE5E-1089DDFF8350}"/>
    <cellStyle name="Normal 4 2 6 3 2 4 2" xfId="21624" xr:uid="{8DA32EF5-1CEB-4CC4-BC92-F33A8B50D9F0}"/>
    <cellStyle name="Normal 4 2 6 3 2 5" xfId="24311" xr:uid="{B6AAD285-E742-4B62-B4ED-57D839C9066F}"/>
    <cellStyle name="Normal 4 2 6 3 2 6" xfId="13888" xr:uid="{1B2BD6CC-67ED-4A93-99E0-2748B9D2A540}"/>
    <cellStyle name="Normal 4 2 6 3 3" xfId="2780" xr:uid="{00000000-0005-0000-0000-0000F4050000}"/>
    <cellStyle name="Normal 4 2 6 3 3 2" xfId="5998" xr:uid="{1684FD6E-1C2D-4B92-B5D1-821C8B9D5A9C}"/>
    <cellStyle name="Normal 4 2 6 3 3 2 2" xfId="28343" xr:uid="{7C3DF070-E185-4A69-87FA-43E27DBE019C}"/>
    <cellStyle name="Normal 4 2 6 3 3 2 3" xfId="15451" xr:uid="{77B3597A-511B-4796-85FD-53FDBEE36A9B}"/>
    <cellStyle name="Normal 4 2 6 3 3 3" xfId="7904" xr:uid="{9A99C179-EF21-47B5-92A9-F85335778B74}"/>
    <cellStyle name="Normal 4 2 6 3 3 3 2" xfId="18284" xr:uid="{82730A57-B685-428B-A2BD-50CA72A6FBD0}"/>
    <cellStyle name="Normal 4 2 6 3 3 4" xfId="10737" xr:uid="{9F70DF0B-080C-4430-B3C0-91DD352022C6}"/>
    <cellStyle name="Normal 4 2 6 3 3 4 2" xfId="21117" xr:uid="{2466BF61-16A6-4DF7-A8C3-712F105B9071}"/>
    <cellStyle name="Normal 4 2 6 3 3 5" xfId="23880" xr:uid="{8596DDE8-CBB3-4C0D-A541-2F54AE8282B1}"/>
    <cellStyle name="Normal 4 2 6 3 3 6" xfId="13235" xr:uid="{21DE1455-38A9-4019-B32C-08D8109886B2}"/>
    <cellStyle name="Normal 4 2 6 3 4" xfId="4189" xr:uid="{40606041-DA8B-4377-AA3C-F2C00702F787}"/>
    <cellStyle name="Normal 4 2 6 3 4 2" xfId="8961" xr:uid="{C66EE141-AE82-434F-B65F-361BAD69F1E6}"/>
    <cellStyle name="Normal 4 2 6 3 4 2 2" xfId="29047" xr:uid="{9382D94B-DCB1-4011-9176-F3AC01C961F4}"/>
    <cellStyle name="Normal 4 2 6 3 4 2 3" xfId="19341" xr:uid="{23366CE6-989D-4451-AD99-E1CAB3D4CF0C}"/>
    <cellStyle name="Normal 4 2 6 3 4 3" xfId="11794" xr:uid="{6C6B874E-6267-4F5F-86D1-6C14266CB4C3}"/>
    <cellStyle name="Normal 4 2 6 3 4 3 2" xfId="22174" xr:uid="{C33C7272-BA02-473F-9F73-3E5525316369}"/>
    <cellStyle name="Normal 4 2 6 3 4 4" xfId="24916" xr:uid="{D1A430FD-F708-4F93-8B88-EB63EA560D80}"/>
    <cellStyle name="Normal 4 2 6 3 4 5" xfId="16508" xr:uid="{8609A487-7754-4F40-89C8-88528592A204}"/>
    <cellStyle name="Normal 4 2 6 3 5" xfId="5271" xr:uid="{584CF36E-63D8-4E1F-B462-50FA7D66AD92}"/>
    <cellStyle name="Normal 4 2 6 3 5 2" xfId="25936" xr:uid="{26C2E12F-6534-4FBA-A1C8-87642CD37059}"/>
    <cellStyle name="Normal 4 2 6 3 5 3" xfId="14569" xr:uid="{3B8A09C0-1692-46C5-96B7-FE928EDDD8A3}"/>
    <cellStyle name="Normal 4 2 6 3 6" xfId="7022" xr:uid="{B44D897B-9503-442F-886D-E558BAF987A4}"/>
    <cellStyle name="Normal 4 2 6 3 6 2" xfId="17402" xr:uid="{03DB9A1F-E3DC-424B-8835-C0B872E74A93}"/>
    <cellStyle name="Normal 4 2 6 3 7" xfId="9855" xr:uid="{A24C2DCE-6D31-4069-BE85-1EABC0836247}"/>
    <cellStyle name="Normal 4 2 6 3 7 2" xfId="20235" xr:uid="{16F25DB6-6C13-48F7-8EEF-F305CFA7EA75}"/>
    <cellStyle name="Normal 4 2 6 3 8" xfId="23278" xr:uid="{53F1ADCD-A2B6-443C-90D0-30C7F86D4AF5}"/>
    <cellStyle name="Normal 4 2 6 3 9" xfId="12753" xr:uid="{004352A9-0DBB-4201-B860-3A2496E83A61}"/>
    <cellStyle name="Normal 4 2 6 4" xfId="967" xr:uid="{00000000-0005-0000-0000-000079050000}"/>
    <cellStyle name="Normal 4 2 6 4 2" xfId="4527" xr:uid="{DED110EA-4FF8-44EC-81CD-282E94001006}"/>
    <cellStyle name="Normal 4 2 6 4 2 2" xfId="9299" xr:uid="{0DA1CCB9-C711-4155-A334-3C6A56E58164}"/>
    <cellStyle name="Normal 4 2 6 4 2 2 2" xfId="29278" xr:uid="{B90B2C4E-6921-4B87-9274-42B9C74AD2DF}"/>
    <cellStyle name="Normal 4 2 6 4 2 2 3" xfId="19679" xr:uid="{5D0EEA66-234D-4E46-AE98-B416CEAB992B}"/>
    <cellStyle name="Normal 4 2 6 4 2 3" xfId="12132" xr:uid="{24F307D8-4CC8-4225-993F-EB795795E782}"/>
    <cellStyle name="Normal 4 2 6 4 2 3 2" xfId="22512" xr:uid="{BFF4A2C3-5869-44F5-8885-D70070B4C538}"/>
    <cellStyle name="Normal 4 2 6 4 2 4" xfId="25433" xr:uid="{A49B63E4-FA31-42C2-BDFB-FC8FAB4DB1DA}"/>
    <cellStyle name="Normal 4 2 6 4 2 5" xfId="16846" xr:uid="{151BECC0-F259-4535-9B23-B11A73E29759}"/>
    <cellStyle name="Normal 4 2 6 4 3" xfId="5272" xr:uid="{030FAB88-72EC-442A-B69B-959D39BD510A}"/>
    <cellStyle name="Normal 4 2 6 4 3 2" xfId="28016" xr:uid="{940E6B7D-174B-42BA-9111-E86BD89D0A21}"/>
    <cellStyle name="Normal 4 2 6 4 3 3" xfId="14570" xr:uid="{7709087C-7763-4E58-9AF2-9BFC0C3F1F94}"/>
    <cellStyle name="Normal 4 2 6 4 4" xfId="7023" xr:uid="{6C011319-2626-4F1A-923C-913F15298D48}"/>
    <cellStyle name="Normal 4 2 6 4 4 2" xfId="17403" xr:uid="{9A48E7CE-7C90-447D-874F-D9D1D8BC9CEC}"/>
    <cellStyle name="Normal 4 2 6 4 5" xfId="9856" xr:uid="{4AC0B897-9F0B-4935-9EE5-C071DBF6BAB3}"/>
    <cellStyle name="Normal 4 2 6 4 5 2" xfId="20236" xr:uid="{E84A4B4A-75CD-4A59-B7DF-5D11CA0F2256}"/>
    <cellStyle name="Normal 4 2 6 4 6" xfId="23676" xr:uid="{E2572290-DD8A-4041-88A8-76E5A43C2C3E}"/>
    <cellStyle name="Normal 4 2 6 4 7" xfId="13889" xr:uid="{FDD0F8A3-0BCC-477E-BBAD-878A7FAEB041}"/>
    <cellStyle name="Normal 4 2 6 5" xfId="2935" xr:uid="{00000000-0005-0000-0000-0000F6050000}"/>
    <cellStyle name="Normal 4 2 6 5 2" xfId="6115" xr:uid="{49FD57F7-0D14-41A4-BB9A-FD686BE73B14}"/>
    <cellStyle name="Normal 4 2 6 5 2 2" xfId="25666" xr:uid="{9617A641-5376-4873-B334-0A18ACE25AF7}"/>
    <cellStyle name="Normal 4 2 6 5 2 3" xfId="26829" xr:uid="{486B707A-D64E-4F41-991E-646BFC4E3308}"/>
    <cellStyle name="Normal 4 2 6 5 2 4" xfId="15593" xr:uid="{7BC0E760-E082-469C-B346-2F2688DE3869}"/>
    <cellStyle name="Normal 4 2 6 5 3" xfId="8046" xr:uid="{04086D41-E9AD-40AE-BF3A-BADDAEFD08AE}"/>
    <cellStyle name="Normal 4 2 6 5 3 2" xfId="28753" xr:uid="{070C6FAE-E5E7-403F-BD1E-5634967E85B2}"/>
    <cellStyle name="Normal 4 2 6 5 3 3" xfId="18426" xr:uid="{0FD652B7-BF6E-46EC-AE54-2D00C96B8C57}"/>
    <cellStyle name="Normal 4 2 6 5 4" xfId="10879" xr:uid="{833C2923-73FE-445C-A9CB-EDDC2620A496}"/>
    <cellStyle name="Normal 4 2 6 5 4 2" xfId="21259" xr:uid="{3822B3BA-483E-493F-9034-8BC640CD0A99}"/>
    <cellStyle name="Normal 4 2 6 5 5" xfId="23175" xr:uid="{6E0C4EA4-0CE7-4116-B59E-5195228600A9}"/>
    <cellStyle name="Normal 4 2 6 5 6" xfId="13451" xr:uid="{99AC9C3F-479A-4003-A88D-B5EC02EAB443}"/>
    <cellStyle name="Normal 4 2 6 6" xfId="2447" xr:uid="{00000000-0005-0000-0000-0000F7050000}"/>
    <cellStyle name="Normal 4 2 6 6 2" xfId="5741" xr:uid="{E78AD926-4D52-4521-A7B9-95BD7DBAD383}"/>
    <cellStyle name="Normal 4 2 6 6 2 2" xfId="27910" xr:uid="{A90D7833-AFF6-4E69-9896-A39DF4AE1AE7}"/>
    <cellStyle name="Normal 4 2 6 6 2 3" xfId="15119" xr:uid="{2616915A-7E35-44F3-9F82-326B14B23196}"/>
    <cellStyle name="Normal 4 2 6 6 3" xfId="7572" xr:uid="{E02D6971-BBD4-4B48-851B-BCCDE6302B70}"/>
    <cellStyle name="Normal 4 2 6 6 3 2" xfId="17952" xr:uid="{1C7BCFD2-81D3-417A-A632-8DD7D1A65E82}"/>
    <cellStyle name="Normal 4 2 6 6 4" xfId="10405" xr:uid="{ECFF3D03-DFA7-4425-A720-F403C59C6701}"/>
    <cellStyle name="Normal 4 2 6 6 4 2" xfId="20785" xr:uid="{99A73FA3-7F73-437D-8071-4F5B3A3C8AF7}"/>
    <cellStyle name="Normal 4 2 6 6 5" xfId="23436" xr:uid="{37C8720F-BA41-4E79-99AA-D6470235F8D2}"/>
    <cellStyle name="Normal 4 2 6 6 6" xfId="12835" xr:uid="{570C49A3-FAF4-495A-8892-2CC6AD9653A7}"/>
    <cellStyle name="Normal 4 2 6 7" xfId="2201" xr:uid="{00000000-0005-0000-0000-0000EB050000}"/>
    <cellStyle name="Normal 4 2 6 7 2" xfId="7328" xr:uid="{EBE469A9-310C-4141-944D-1CC1B26602A5}"/>
    <cellStyle name="Normal 4 2 6 7 2 2" xfId="17708" xr:uid="{1B9B7FBB-2472-47EE-AF99-0BCDBA0F2444}"/>
    <cellStyle name="Normal 4 2 6 7 3" xfId="10161" xr:uid="{0FF57B05-FD99-4351-97BE-855AEFD9ED1D}"/>
    <cellStyle name="Normal 4 2 6 7 3 2" xfId="20541" xr:uid="{4BB541D0-49FA-4AB4-92D3-9EE0782C903D}"/>
    <cellStyle name="Normal 4 2 6 7 4" xfId="25073" xr:uid="{C021C09F-3E96-449F-BFCD-20D6CB46C1A5}"/>
    <cellStyle name="Normal 4 2 6 7 5" xfId="14875" xr:uid="{91C5B66E-C397-486B-A351-7B86C9C2CEA2}"/>
    <cellStyle name="Normal 4 2 6 8" xfId="3982" xr:uid="{39E719C9-56D6-454A-BB9F-E7BC7A19B069}"/>
    <cellStyle name="Normal 4 2 6 8 2" xfId="8806" xr:uid="{18AFC519-0509-452D-8D8A-E81B6F817390}"/>
    <cellStyle name="Normal 4 2 6 8 2 2" xfId="19186" xr:uid="{81B46A5A-09ED-45DA-A568-F500B1B04E8D}"/>
    <cellStyle name="Normal 4 2 6 8 3" xfId="11639" xr:uid="{5810BEEF-9E1E-42DF-91A4-FCAFB5433636}"/>
    <cellStyle name="Normal 4 2 6 8 3 2" xfId="22019" xr:uid="{F7A5AD6D-91FB-4763-B22A-F3CC08EE0549}"/>
    <cellStyle name="Normal 4 2 6 8 4" xfId="16353" xr:uid="{59D4C8B2-18FC-4EB9-943C-77A8A3AF0FF2}"/>
    <cellStyle name="Normal 4 2 6 9" xfId="5268" xr:uid="{2CC65B87-FEB3-4BEB-BE29-375ED386E1E2}"/>
    <cellStyle name="Normal 4 2 6 9 2" xfId="14566" xr:uid="{65D57A87-172B-4717-93B8-77D04244D815}"/>
    <cellStyle name="Normal 4 2 7" xfId="968" xr:uid="{00000000-0005-0000-0000-00007A050000}"/>
    <cellStyle name="Normal 4 2 7 10" xfId="7024" xr:uid="{C75AEBD9-7B22-4650-B68F-FC6B3EC006A0}"/>
    <cellStyle name="Normal 4 2 7 10 2" xfId="17404" xr:uid="{87CEF99F-4E84-4987-AC5A-6617EE727F05}"/>
    <cellStyle name="Normal 4 2 7 11" xfId="9857" xr:uid="{DD7630E6-64D9-45F8-BAA3-1C33580C3CC4}"/>
    <cellStyle name="Normal 4 2 7 11 2" xfId="20237" xr:uid="{2914F869-D008-4CB9-978A-74E781FD64FE}"/>
    <cellStyle name="Normal 4 2 7 12" xfId="23946" xr:uid="{EA3501E9-9971-4DAE-8CC0-9B7F32512BE8}"/>
    <cellStyle name="Normal 4 2 7 13" xfId="12495" xr:uid="{272FD9C3-2939-41EC-936A-6EFD742FF676}"/>
    <cellStyle name="Normal 4 2 7 2" xfId="969" xr:uid="{00000000-0005-0000-0000-00007B050000}"/>
    <cellStyle name="Normal 4 2 7 2 10" xfId="9858" xr:uid="{9B1E82FD-5E66-4F20-A2F0-EA31C6173BC7}"/>
    <cellStyle name="Normal 4 2 7 2 10 2" xfId="20238" xr:uid="{CDA7754F-4E62-4B5E-ACDC-34F9341A588E}"/>
    <cellStyle name="Normal 4 2 7 2 11" xfId="23335" xr:uid="{C8EDA597-C8F0-40E0-A26F-E41264E8DF50}"/>
    <cellStyle name="Normal 4 2 7 2 12" xfId="12596" xr:uid="{4FC3BA18-ABA9-4F00-9F2B-682E5BCFE915}"/>
    <cellStyle name="Normal 4 2 7 2 2" xfId="970" xr:uid="{00000000-0005-0000-0000-00007C050000}"/>
    <cellStyle name="Normal 4 2 7 2 2 2" xfId="3333" xr:uid="{00000000-0005-0000-0000-0000FB050000}"/>
    <cellStyle name="Normal 4 2 7 2 2 2 2" xfId="6391" xr:uid="{A104640B-11BD-4307-BACA-F462E8B05409}"/>
    <cellStyle name="Normal 4 2 7 2 2 2 2 2" xfId="27728" xr:uid="{538036BB-6F49-4B5A-84C5-6ECF941CE508}"/>
    <cellStyle name="Normal 4 2 7 2 2 2 2 3" xfId="28151" xr:uid="{CEC9637F-0D22-4ED5-AFD2-B7FD4F6F8D4F}"/>
    <cellStyle name="Normal 4 2 7 2 2 2 2 4" xfId="15960" xr:uid="{A2981CF7-3FE6-48D9-ACFC-DC1AF20C26CD}"/>
    <cellStyle name="Normal 4 2 7 2 2 2 3" xfId="8413" xr:uid="{76B45A79-A86F-4FDF-88DF-BD113CF49B1F}"/>
    <cellStyle name="Normal 4 2 7 2 2 2 3 2" xfId="28909" xr:uid="{6A21A0C9-778A-41D3-A142-0869BA7FE5AB}"/>
    <cellStyle name="Normal 4 2 7 2 2 2 3 3" xfId="18793" xr:uid="{8D161002-90FE-4100-A6C9-D02BC4700E68}"/>
    <cellStyle name="Normal 4 2 7 2 2 2 4" xfId="11246" xr:uid="{88C8BC9F-1286-4DEA-895C-BDF3D493CA6A}"/>
    <cellStyle name="Normal 4 2 7 2 2 2 4 2" xfId="21626" xr:uid="{9B01512E-6756-409F-80A5-11331296626B}"/>
    <cellStyle name="Normal 4 2 7 2 2 2 5" xfId="23509" xr:uid="{515FCD7A-96F3-4928-AF9E-7936EDFDB442}"/>
    <cellStyle name="Normal 4 2 7 2 2 2 6" xfId="13891" xr:uid="{5C584651-4D2E-4164-840F-CBB3F2363E79}"/>
    <cellStyle name="Normal 4 2 7 2 2 3" xfId="4338" xr:uid="{A2F0346D-0964-4489-AF9A-98C76D704BA2}"/>
    <cellStyle name="Normal 4 2 7 2 2 3 2" xfId="9110" xr:uid="{0CBE516C-84E1-4BA7-82F7-74CD1B506B4D}"/>
    <cellStyle name="Normal 4 2 7 2 2 3 2 2" xfId="29153" xr:uid="{FCA1CA00-3E69-4FEC-B15C-28A1C0FBA569}"/>
    <cellStyle name="Normal 4 2 7 2 2 3 2 3" xfId="19490" xr:uid="{F3510842-5E75-4AA4-ACED-6DCBEF17394C}"/>
    <cellStyle name="Normal 4 2 7 2 2 3 3" xfId="11943" xr:uid="{CBC68661-EB31-45DB-AA6D-FDF871813ED8}"/>
    <cellStyle name="Normal 4 2 7 2 2 3 3 2" xfId="22323" xr:uid="{EC4EDDC2-1E88-46F3-B002-8553D44B8F4D}"/>
    <cellStyle name="Normal 4 2 7 2 2 3 4" xfId="24292" xr:uid="{E6583185-FB7E-4BF1-A4F8-BE5929EDEE2F}"/>
    <cellStyle name="Normal 4 2 7 2 2 3 5" xfId="16657" xr:uid="{6380045C-725D-495C-8C15-E83B6E688C2F}"/>
    <cellStyle name="Normal 4 2 7 2 2 4" xfId="5275" xr:uid="{CF2F36A8-4210-46F0-AEF4-C136B3BC60D2}"/>
    <cellStyle name="Normal 4 2 7 2 2 4 2" xfId="26859" xr:uid="{44C835BE-4E5C-4EFB-B161-4A7B3A6435B3}"/>
    <cellStyle name="Normal 4 2 7 2 2 4 3" xfId="14573" xr:uid="{2B704AB7-BF60-4CD9-80D1-B23DB9D717E9}"/>
    <cellStyle name="Normal 4 2 7 2 2 5" xfId="7026" xr:uid="{67B594AD-469D-4118-80E6-64E604FD07BB}"/>
    <cellStyle name="Normal 4 2 7 2 2 5 2" xfId="17406" xr:uid="{F2DD9EA1-BE8D-4470-B982-6C580029D30A}"/>
    <cellStyle name="Normal 4 2 7 2 2 6" xfId="9859" xr:uid="{6A5DB13C-3DFB-4216-A525-675D4274090C}"/>
    <cellStyle name="Normal 4 2 7 2 2 6 2" xfId="20239" xr:uid="{237421BF-F932-4FFF-AB38-6B092A3E3278}"/>
    <cellStyle name="Normal 4 2 7 2 2 7" xfId="23368" xr:uid="{5144D789-F1E1-4F92-B0B6-1A55B20AE894}"/>
    <cellStyle name="Normal 4 2 7 2 2 8" xfId="13238" xr:uid="{814A08A0-E839-4E7D-857B-9695706BF099}"/>
    <cellStyle name="Normal 4 2 7 2 3" xfId="3334" xr:uid="{00000000-0005-0000-0000-0000FC050000}"/>
    <cellStyle name="Normal 4 2 7 2 3 2" xfId="4528" xr:uid="{113E0108-CA11-426D-A7AE-4C0788D53CB6}"/>
    <cellStyle name="Normal 4 2 7 2 3 2 2" xfId="9300" xr:uid="{0BFB295B-C3F7-4F36-86D6-CBDBA07D92B4}"/>
    <cellStyle name="Normal 4 2 7 2 3 2 2 2" xfId="29279" xr:uid="{39582063-3B8C-4E67-9507-ADA9A0C73728}"/>
    <cellStyle name="Normal 4 2 7 2 3 2 2 3" xfId="19680" xr:uid="{ADBD3F24-B1B1-4250-89F9-F5C959B05EFB}"/>
    <cellStyle name="Normal 4 2 7 2 3 2 3" xfId="12133" xr:uid="{1222DCB9-48E2-4AA9-842E-5EF1B5E119F0}"/>
    <cellStyle name="Normal 4 2 7 2 3 2 3 2" xfId="22513" xr:uid="{FE61A86C-E855-49B0-8C22-5164BF01611A}"/>
    <cellStyle name="Normal 4 2 7 2 3 2 4" xfId="24370" xr:uid="{34139AB0-1605-4A00-8935-FE283338C7CC}"/>
    <cellStyle name="Normal 4 2 7 2 3 2 5" xfId="16847" xr:uid="{7892A2B9-A497-431C-A7D0-1FF51ECDCB89}"/>
    <cellStyle name="Normal 4 2 7 2 3 3" xfId="6392" xr:uid="{24005D36-6C58-4A2A-AC91-27423652490B}"/>
    <cellStyle name="Normal 4 2 7 2 3 3 2" xfId="26922" xr:uid="{9FE2913F-4DF2-45FF-AA04-A1B4D2E9EA23}"/>
    <cellStyle name="Normal 4 2 7 2 3 3 3" xfId="15961" xr:uid="{0E2461BA-E4A1-420E-9D22-2B797902385B}"/>
    <cellStyle name="Normal 4 2 7 2 3 4" xfId="8414" xr:uid="{EF939839-3CEB-4523-8745-D961CA6A0D8D}"/>
    <cellStyle name="Normal 4 2 7 2 3 4 2" xfId="18794" xr:uid="{A96BBD39-090B-488A-894B-9326A5CCA39E}"/>
    <cellStyle name="Normal 4 2 7 2 3 5" xfId="11247" xr:uid="{C9992B36-10B0-4ED1-8DDD-7BF4ED461CBC}"/>
    <cellStyle name="Normal 4 2 7 2 3 5 2" xfId="21627" xr:uid="{394874BC-F433-4BF5-BD59-6F5C02316855}"/>
    <cellStyle name="Normal 4 2 7 2 3 6" xfId="24972" xr:uid="{C1B4319E-1D3B-4F63-AE06-22BBEEEA9372}"/>
    <cellStyle name="Normal 4 2 7 2 3 7" xfId="13892" xr:uid="{92B057E0-91C3-4B1B-B171-94837575EFAD}"/>
    <cellStyle name="Normal 4 2 7 2 4" xfId="3332" xr:uid="{00000000-0005-0000-0000-0000FD050000}"/>
    <cellStyle name="Normal 4 2 7 2 4 2" xfId="6390" xr:uid="{111BF01C-1114-4917-AD87-FB5B2FE55A85}"/>
    <cellStyle name="Normal 4 2 7 2 4 2 2" xfId="28654" xr:uid="{B7FA4BFC-8DF5-4D39-98F2-1F99C9FA3540}"/>
    <cellStyle name="Normal 4 2 7 2 4 2 3" xfId="15959" xr:uid="{E123A4F9-E181-44DD-B24C-B0952899D43E}"/>
    <cellStyle name="Normal 4 2 7 2 4 3" xfId="8412" xr:uid="{B30E7EE4-CD91-4910-83EA-305F60F8FAFD}"/>
    <cellStyle name="Normal 4 2 7 2 4 3 2" xfId="18792" xr:uid="{D21EB055-EE75-4725-A2C2-169E92B31C0B}"/>
    <cellStyle name="Normal 4 2 7 2 4 4" xfId="11245" xr:uid="{F76FAE72-67FD-4B53-B162-C0300C65DF8F}"/>
    <cellStyle name="Normal 4 2 7 2 4 4 2" xfId="21625" xr:uid="{C3CEF82F-8E1C-483A-B617-9BBE836DCB9A}"/>
    <cellStyle name="Normal 4 2 7 2 4 5" xfId="22915" xr:uid="{A524EB65-2F3D-4896-91AB-2D00C4E7B88E}"/>
    <cellStyle name="Normal 4 2 7 2 4 6" xfId="13890" xr:uid="{FA41583B-3916-4931-BB11-0693536E74F3}"/>
    <cellStyle name="Normal 4 2 7 2 5" xfId="2658" xr:uid="{00000000-0005-0000-0000-0000FE050000}"/>
    <cellStyle name="Normal 4 2 7 2 5 2" xfId="5918" xr:uid="{0B8E98C4-A267-4536-882E-A4447A842A72}"/>
    <cellStyle name="Normal 4 2 7 2 5 2 2" xfId="28524" xr:uid="{B360D795-95FD-463C-9900-756996F4A2B5}"/>
    <cellStyle name="Normal 4 2 7 2 5 2 3" xfId="15330" xr:uid="{74AE6123-61E8-4FD5-ADF8-771B47BB86F2}"/>
    <cellStyle name="Normal 4 2 7 2 5 3" xfId="7783" xr:uid="{34AB58B6-C80F-4279-9365-4E2AAAFAD3DC}"/>
    <cellStyle name="Normal 4 2 7 2 5 3 2" xfId="18163" xr:uid="{1E982559-A11B-4DF8-899E-505850C975CD}"/>
    <cellStyle name="Normal 4 2 7 2 5 4" xfId="10616" xr:uid="{D7B3D5ED-EF51-4FF0-A314-EE0A11BF7CCE}"/>
    <cellStyle name="Normal 4 2 7 2 5 4 2" xfId="20996" xr:uid="{DB13A2EA-6374-421D-984E-7992E4D06FE6}"/>
    <cellStyle name="Normal 4 2 7 2 5 5" xfId="23326" xr:uid="{7140C098-BC0D-4672-B2B9-EE4625B52432}"/>
    <cellStyle name="Normal 4 2 7 2 5 6" xfId="13060" xr:uid="{5131B977-8762-4AD2-B136-13B11C91F4DB}"/>
    <cellStyle name="Normal 4 2 7 2 6" xfId="2362" xr:uid="{00000000-0005-0000-0000-0000F9050000}"/>
    <cellStyle name="Normal 4 2 7 2 6 2" xfId="7489" xr:uid="{6D14173A-43EB-49FA-8F83-F337B32B1E9C}"/>
    <cellStyle name="Normal 4 2 7 2 6 2 2" xfId="17869" xr:uid="{E4CB5BC6-FF96-4E57-95EA-5649002034A5}"/>
    <cellStyle name="Normal 4 2 7 2 6 3" xfId="10322" xr:uid="{072E85DB-784C-42A4-B9B3-6D28478D462C}"/>
    <cellStyle name="Normal 4 2 7 2 6 3 2" xfId="20702" xr:uid="{97AF1658-E4E3-4AB0-B9D6-BF6C3B1E1215}"/>
    <cellStyle name="Normal 4 2 7 2 6 4" xfId="23979" xr:uid="{7E8A1A54-5878-43CD-AFD2-E284B8365121}"/>
    <cellStyle name="Normal 4 2 7 2 6 5" xfId="15036" xr:uid="{880158E5-203E-48BE-BEEE-0FCB4F074F6F}"/>
    <cellStyle name="Normal 4 2 7 2 7" xfId="3899" xr:uid="{95B3FED8-33A7-4EE0-B147-F06D67130D62}"/>
    <cellStyle name="Normal 4 2 7 2 7 2" xfId="8731" xr:uid="{9F10AB3E-B78D-4030-986E-CBE8C079A842}"/>
    <cellStyle name="Normal 4 2 7 2 7 2 2" xfId="19111" xr:uid="{F1A858DD-C3DB-4077-B8BF-B36DF118D961}"/>
    <cellStyle name="Normal 4 2 7 2 7 3" xfId="11564" xr:uid="{EB48044C-321E-41BB-B7B5-229AF60CC36C}"/>
    <cellStyle name="Normal 4 2 7 2 7 3 2" xfId="21944" xr:uid="{358D9FE7-445A-4896-A7EE-AA20328B1EEE}"/>
    <cellStyle name="Normal 4 2 7 2 7 4" xfId="16278" xr:uid="{13C88D2F-287E-4A14-B313-C8CA6C86FF4D}"/>
    <cellStyle name="Normal 4 2 7 2 8" xfId="5274" xr:uid="{237905E0-C648-4B61-B7E0-EC5463F82D93}"/>
    <cellStyle name="Normal 4 2 7 2 8 2" xfId="14572" xr:uid="{05B823AA-78FD-4DE9-BEEE-402DE116742F}"/>
    <cellStyle name="Normal 4 2 7 2 9" xfId="7025" xr:uid="{48F952B1-AD2A-4E5D-8EA9-E2F952458A23}"/>
    <cellStyle name="Normal 4 2 7 2 9 2" xfId="17405" xr:uid="{094EAE94-18DC-4BC2-864D-753A9ACBD085}"/>
    <cellStyle name="Normal 4 2 7 3" xfId="971" xr:uid="{00000000-0005-0000-0000-00007D050000}"/>
    <cellStyle name="Normal 4 2 7 3 2" xfId="3335" xr:uid="{00000000-0005-0000-0000-000000060000}"/>
    <cellStyle name="Normal 4 2 7 3 2 2" xfId="6393" xr:uid="{6894B5CC-A9EF-4A60-BDE9-95263FC21D97}"/>
    <cellStyle name="Normal 4 2 7 3 2 2 2" xfId="24619" xr:uid="{5E855E91-9205-4EEA-A6EF-2EDDC6D19AEC}"/>
    <cellStyle name="Normal 4 2 7 3 2 2 3" xfId="28411" xr:uid="{20943430-55D3-462E-BC2F-75B8BB4DA39D}"/>
    <cellStyle name="Normal 4 2 7 3 2 2 4" xfId="15962" xr:uid="{A624F227-6BF0-4751-A735-E610CB4161D9}"/>
    <cellStyle name="Normal 4 2 7 3 2 3" xfId="8415" xr:uid="{F49FB817-3E57-46EA-82E0-F65264ECE60D}"/>
    <cellStyle name="Normal 4 2 7 3 2 3 2" xfId="28910" xr:uid="{C67EA1F7-CEAB-40B8-B20E-1D6E5080FF91}"/>
    <cellStyle name="Normal 4 2 7 3 2 3 3" xfId="18795" xr:uid="{4373D8BB-E58E-429B-A6EE-2F8F0C677499}"/>
    <cellStyle name="Normal 4 2 7 3 2 4" xfId="11248" xr:uid="{94D54862-EBCD-4AB4-994D-2B7E41C49496}"/>
    <cellStyle name="Normal 4 2 7 3 2 4 2" xfId="21628" xr:uid="{83B10924-4B83-4D1E-A513-05EBC9E74FBE}"/>
    <cellStyle name="Normal 4 2 7 3 2 5" xfId="23540" xr:uid="{35D40B51-041E-45E9-826C-55A1A9E1D1AD}"/>
    <cellStyle name="Normal 4 2 7 3 2 6" xfId="13893" xr:uid="{59EEE289-60C0-4CE9-AD10-F17BDF93D2B8}"/>
    <cellStyle name="Normal 4 2 7 3 3" xfId="2781" xr:uid="{00000000-0005-0000-0000-000001060000}"/>
    <cellStyle name="Normal 4 2 7 3 3 2" xfId="5999" xr:uid="{862657B4-C8A8-4485-AD9D-2E02B17136BA}"/>
    <cellStyle name="Normal 4 2 7 3 3 2 2" xfId="26447" xr:uid="{2BD4EA99-7000-4956-8F32-99348924CBDE}"/>
    <cellStyle name="Normal 4 2 7 3 3 2 3" xfId="15452" xr:uid="{7EB9AA54-6740-4350-8021-517A5B053727}"/>
    <cellStyle name="Normal 4 2 7 3 3 3" xfId="7905" xr:uid="{561FFBA7-0444-4BE1-A885-359AA0311B2A}"/>
    <cellStyle name="Normal 4 2 7 3 3 3 2" xfId="18285" xr:uid="{FC06019D-4AA8-44CB-AE39-E5C0BEA226EB}"/>
    <cellStyle name="Normal 4 2 7 3 3 4" xfId="10738" xr:uid="{4AECFF8A-6016-43FA-BDF8-CE807158EFA1}"/>
    <cellStyle name="Normal 4 2 7 3 3 4 2" xfId="21118" xr:uid="{1270DBE3-E6EE-4E4C-AF01-1B829F41CC24}"/>
    <cellStyle name="Normal 4 2 7 3 3 5" xfId="23866" xr:uid="{5F4B6C36-E53B-4916-B805-5DDA1C345929}"/>
    <cellStyle name="Normal 4 2 7 3 3 6" xfId="13237" xr:uid="{AF5EC30D-9029-4B11-A9CD-FBECBFF08BFB}"/>
    <cellStyle name="Normal 4 2 7 3 4" xfId="4190" xr:uid="{EE098A8E-BB8D-44E9-98A5-A8DCD7678D57}"/>
    <cellStyle name="Normal 4 2 7 3 4 2" xfId="8962" xr:uid="{6D043502-6E4C-4B0F-87E4-A2DD1FC9E754}"/>
    <cellStyle name="Normal 4 2 7 3 4 2 2" xfId="29048" xr:uid="{1F7E944F-324A-4193-8BB1-22B01FABCC39}"/>
    <cellStyle name="Normal 4 2 7 3 4 2 3" xfId="19342" xr:uid="{C05A1BEC-8249-4BD2-BCD5-417BABEB63CD}"/>
    <cellStyle name="Normal 4 2 7 3 4 3" xfId="11795" xr:uid="{89D4EB9E-A9AC-4A1D-8027-0C3EC3B29DE1}"/>
    <cellStyle name="Normal 4 2 7 3 4 3 2" xfId="22175" xr:uid="{BDF2FB53-3E3B-4EA3-BE85-D79FD0004FA2}"/>
    <cellStyle name="Normal 4 2 7 3 4 4" xfId="24010" xr:uid="{DCAF9AA8-B18D-4E10-9745-AAFD5B1F7DE0}"/>
    <cellStyle name="Normal 4 2 7 3 4 5" xfId="16509" xr:uid="{A3F04144-E344-4A3A-BB98-1F3C830D127F}"/>
    <cellStyle name="Normal 4 2 7 3 5" xfId="5276" xr:uid="{A8E8EAA8-488D-4AC8-B651-AA208792813B}"/>
    <cellStyle name="Normal 4 2 7 3 5 2" xfId="27539" xr:uid="{C9D662AF-980D-43AF-BA91-F77D209B3D77}"/>
    <cellStyle name="Normal 4 2 7 3 5 3" xfId="14574" xr:uid="{9E0F34C7-04E4-4686-9E4C-C7AABA552520}"/>
    <cellStyle name="Normal 4 2 7 3 6" xfId="7027" xr:uid="{7101569A-1C52-4460-BE75-A60726303EEF}"/>
    <cellStyle name="Normal 4 2 7 3 6 2" xfId="17407" xr:uid="{73635458-58A4-4D2A-ADCA-702B8E38EC46}"/>
    <cellStyle name="Normal 4 2 7 3 7" xfId="9860" xr:uid="{5A92F21F-822C-4C88-8BEA-8D714C64FC1F}"/>
    <cellStyle name="Normal 4 2 7 3 7 2" xfId="20240" xr:uid="{C911BBDC-5203-4D2A-8C89-901D5AF5BED9}"/>
    <cellStyle name="Normal 4 2 7 3 8" xfId="25456" xr:uid="{90304659-5AF2-40EA-8466-8A49D787F88E}"/>
    <cellStyle name="Normal 4 2 7 3 9" xfId="12754" xr:uid="{67BD0219-01D4-4407-BD68-97C2F796C297}"/>
    <cellStyle name="Normal 4 2 7 4" xfId="972" xr:uid="{00000000-0005-0000-0000-00007E050000}"/>
    <cellStyle name="Normal 4 2 7 4 2" xfId="4529" xr:uid="{1E03E791-A4F0-4FB5-93A5-7A859C73DCFD}"/>
    <cellStyle name="Normal 4 2 7 4 2 2" xfId="9301" xr:uid="{43907C58-C7A7-48A0-B170-8259FB5E8ACB}"/>
    <cellStyle name="Normal 4 2 7 4 2 2 2" xfId="29280" xr:uid="{139B9E3C-FA64-4957-A942-870D28718899}"/>
    <cellStyle name="Normal 4 2 7 4 2 2 3" xfId="19681" xr:uid="{7FF9FCA9-5DAF-4A37-8A8B-FE7CAD87B57C}"/>
    <cellStyle name="Normal 4 2 7 4 2 3" xfId="12134" xr:uid="{2300D057-5705-4915-9AB1-A036255FD8A3}"/>
    <cellStyle name="Normal 4 2 7 4 2 3 2" xfId="22514" xr:uid="{EF00A232-1983-45C7-99C1-25BCFF2E7EE2}"/>
    <cellStyle name="Normal 4 2 7 4 2 4" xfId="23565" xr:uid="{BD0EB80D-CB65-46D1-B51A-AA6D713E4E69}"/>
    <cellStyle name="Normal 4 2 7 4 2 5" xfId="16848" xr:uid="{82CA5815-F667-49B8-B966-4215EB8CC32D}"/>
    <cellStyle name="Normal 4 2 7 4 3" xfId="5277" xr:uid="{22659D20-DD1F-4B09-B732-A690D86AD939}"/>
    <cellStyle name="Normal 4 2 7 4 3 2" xfId="27683" xr:uid="{7C8346FC-C56E-452B-845C-60471E2ECAC1}"/>
    <cellStyle name="Normal 4 2 7 4 3 3" xfId="14575" xr:uid="{1AC289DB-6F21-4F7A-BC7E-6DBEDD1998F8}"/>
    <cellStyle name="Normal 4 2 7 4 4" xfId="7028" xr:uid="{8416F650-4C2F-4026-8F20-CE8F217DFC58}"/>
    <cellStyle name="Normal 4 2 7 4 4 2" xfId="17408" xr:uid="{D9805223-DFCB-457D-A67F-E58230512B5E}"/>
    <cellStyle name="Normal 4 2 7 4 5" xfId="9861" xr:uid="{A724B2CB-7BED-4B8C-96C2-AD817E70DCBE}"/>
    <cellStyle name="Normal 4 2 7 4 5 2" xfId="20241" xr:uid="{50162262-81D2-40EF-A075-39283F170340}"/>
    <cellStyle name="Normal 4 2 7 4 6" xfId="23903" xr:uid="{21A97C26-5C37-4054-ACD8-665D44C1149B}"/>
    <cellStyle name="Normal 4 2 7 4 7" xfId="13894" xr:uid="{918B7820-9462-45BD-B17C-037886FBE9D2}"/>
    <cellStyle name="Normal 4 2 7 5" xfId="2936" xr:uid="{00000000-0005-0000-0000-000003060000}"/>
    <cellStyle name="Normal 4 2 7 5 2" xfId="6116" xr:uid="{4E59170C-A0D3-49D8-957B-76561BEAE973}"/>
    <cellStyle name="Normal 4 2 7 5 2 2" xfId="24513" xr:uid="{A45598E6-5926-4D21-8EB2-CE84B2657D3F}"/>
    <cellStyle name="Normal 4 2 7 5 2 3" xfId="26198" xr:uid="{AA8D113C-C45A-433D-8B8F-D20F15EF0C47}"/>
    <cellStyle name="Normal 4 2 7 5 2 4" xfId="15594" xr:uid="{6E5B6E54-4529-4FE5-8D08-C2D7262A1083}"/>
    <cellStyle name="Normal 4 2 7 5 3" xfId="8047" xr:uid="{E61B217A-FAFA-46D5-9601-820A7AB65639}"/>
    <cellStyle name="Normal 4 2 7 5 3 2" xfId="28754" xr:uid="{B33DB8FE-1A40-41F1-A5BA-6DB9326581DF}"/>
    <cellStyle name="Normal 4 2 7 5 3 3" xfId="18427" xr:uid="{9A1B3D19-05F5-4054-966C-18D7751C3232}"/>
    <cellStyle name="Normal 4 2 7 5 4" xfId="10880" xr:uid="{1A42C680-86E1-47A7-9141-E27611283B61}"/>
    <cellStyle name="Normal 4 2 7 5 4 2" xfId="21260" xr:uid="{08B6FE4A-85C6-47F0-A09E-72D4D427BDD0}"/>
    <cellStyle name="Normal 4 2 7 5 5" xfId="25297" xr:uid="{E8A4723B-7430-4152-866A-C03EA5D7A761}"/>
    <cellStyle name="Normal 4 2 7 5 6" xfId="13452" xr:uid="{3289B5C0-3A6A-4D8E-AB22-8FE956432551}"/>
    <cellStyle name="Normal 4 2 7 6" xfId="2507" xr:uid="{00000000-0005-0000-0000-000004060000}"/>
    <cellStyle name="Normal 4 2 7 6 2" xfId="5787" xr:uid="{D52005AF-2FD7-4964-8C65-E3FED5FFCA25}"/>
    <cellStyle name="Normal 4 2 7 6 2 2" xfId="27325" xr:uid="{C5AD142D-D34C-4179-BC57-4615AA9022B0}"/>
    <cellStyle name="Normal 4 2 7 6 2 3" xfId="15179" xr:uid="{E37280FA-A970-48C9-A71C-BBA6CABAD5CF}"/>
    <cellStyle name="Normal 4 2 7 6 3" xfId="7632" xr:uid="{34061503-8091-4780-87EA-093AEE054C3C}"/>
    <cellStyle name="Normal 4 2 7 6 3 2" xfId="18012" xr:uid="{D7A4ED82-176C-46F8-90D3-7040E1566BCA}"/>
    <cellStyle name="Normal 4 2 7 6 4" xfId="10465" xr:uid="{AD8D5477-D29B-41A9-AD12-DB26F66C767E}"/>
    <cellStyle name="Normal 4 2 7 6 4 2" xfId="20845" xr:uid="{DAEE3A37-A98F-44D5-93C3-F127EEC8E705}"/>
    <cellStyle name="Normal 4 2 7 6 5" xfId="25132" xr:uid="{8DAD8510-DDBC-49B2-8DEF-0977FB2DAA8B}"/>
    <cellStyle name="Normal 4 2 7 6 6" xfId="12895" xr:uid="{7276ED74-3708-442E-BAE4-517CF65E217E}"/>
    <cellStyle name="Normal 4 2 7 7" xfId="2263" xr:uid="{00000000-0005-0000-0000-0000F8050000}"/>
    <cellStyle name="Normal 4 2 7 7 2" xfId="7390" xr:uid="{EFF16FA0-9C71-493F-95AA-E397F7814545}"/>
    <cellStyle name="Normal 4 2 7 7 2 2" xfId="17770" xr:uid="{CD268DC7-A4E1-4080-A456-3EAB59D7C165}"/>
    <cellStyle name="Normal 4 2 7 7 3" xfId="10223" xr:uid="{F4D6F143-BEE0-443A-8E81-CB84D87B5788}"/>
    <cellStyle name="Normal 4 2 7 7 3 2" xfId="20603" xr:uid="{C788F3F1-2412-475C-9F43-691E266D0447}"/>
    <cellStyle name="Normal 4 2 7 7 4" xfId="23221" xr:uid="{38E5DFB3-6F3A-406F-920D-BC317E0B4430}"/>
    <cellStyle name="Normal 4 2 7 7 5" xfId="14937" xr:uid="{FB8C50A0-7E4D-42A5-B082-0D28309EE4E5}"/>
    <cellStyle name="Normal 4 2 7 8" xfId="3983" xr:uid="{894844A2-3842-4181-B8E7-16CD020B5E9F}"/>
    <cellStyle name="Normal 4 2 7 8 2" xfId="8807" xr:uid="{D83763B7-C4DB-4AAE-B760-BDE32A09BEA3}"/>
    <cellStyle name="Normal 4 2 7 8 2 2" xfId="19187" xr:uid="{BAF878A4-C149-4CDE-B6BF-0ABAEFBF5B28}"/>
    <cellStyle name="Normal 4 2 7 8 3" xfId="11640" xr:uid="{CA2EB3B0-0D40-415C-BB8F-BDE2BA540984}"/>
    <cellStyle name="Normal 4 2 7 8 3 2" xfId="22020" xr:uid="{C0E05051-576E-4D76-B98B-56BAF7B24591}"/>
    <cellStyle name="Normal 4 2 7 8 4" xfId="16354" xr:uid="{2B28B409-2F3B-4695-8596-639C2FE9F156}"/>
    <cellStyle name="Normal 4 2 7 9" xfId="5273" xr:uid="{41A31826-BDF1-4198-B72A-456F75655F7C}"/>
    <cellStyle name="Normal 4 2 7 9 2" xfId="14571" xr:uid="{DD627F48-FB14-4FDE-8D46-EF8C6AFB9050}"/>
    <cellStyle name="Normal 4 2 8" xfId="973" xr:uid="{00000000-0005-0000-0000-00007F050000}"/>
    <cellStyle name="Normal 4 2 8 10" xfId="9862" xr:uid="{75B5D47C-3C06-4BA9-BAB7-CF12BC487F82}"/>
    <cellStyle name="Normal 4 2 8 10 2" xfId="20242" xr:uid="{F2035F97-69F5-40A0-A689-99D44FA158A6}"/>
    <cellStyle name="Normal 4 2 8 11" xfId="23627" xr:uid="{C9769FB7-88D1-4C49-90B2-0DEDE9CEE586}"/>
    <cellStyle name="Normal 4 2 8 12" xfId="12597" xr:uid="{94C67E68-5FB3-4D88-B6D6-262D1A8D722D}"/>
    <cellStyle name="Normal 4 2 8 2" xfId="974" xr:uid="{00000000-0005-0000-0000-000080050000}"/>
    <cellStyle name="Normal 4 2 8 2 2" xfId="975" xr:uid="{00000000-0005-0000-0000-000081050000}"/>
    <cellStyle name="Normal 4 2 8 2 2 2" xfId="5280" xr:uid="{002BCBA6-CD3C-4A9A-96DB-18E92E45D4D5}"/>
    <cellStyle name="Normal 4 2 8 2 2 2 2" xfId="24270" xr:uid="{14820CE3-F87E-466C-80FF-9BE9231B28D8}"/>
    <cellStyle name="Normal 4 2 8 2 2 2 3" xfId="27690" xr:uid="{46442BAB-1B2C-4337-B4B3-1CF398D708A1}"/>
    <cellStyle name="Normal 4 2 8 2 2 2 4" xfId="14578" xr:uid="{4A11DA3F-6388-4B19-8DBF-84C8A00B7040}"/>
    <cellStyle name="Normal 4 2 8 2 2 3" xfId="7031" xr:uid="{2345E928-B604-4966-8111-D0A1B7B10269}"/>
    <cellStyle name="Normal 4 2 8 2 2 3 2" xfId="27629" xr:uid="{86E3D177-B74D-4433-97E5-99913C69C2F3}"/>
    <cellStyle name="Normal 4 2 8 2 2 3 3" xfId="27357" xr:uid="{E36BBA77-4B6C-459C-A521-6C8AD49668ED}"/>
    <cellStyle name="Normal 4 2 8 2 2 3 4" xfId="17411" xr:uid="{8ACBB9DF-75CC-499A-8D42-666817D0A63E}"/>
    <cellStyle name="Normal 4 2 8 2 2 4" xfId="9864" xr:uid="{0222AE8A-FA30-4B54-998A-218DFD9AECF0}"/>
    <cellStyle name="Normal 4 2 8 2 2 4 2" xfId="29422" xr:uid="{56BAF5F6-A05D-4E15-97F0-42BAF4887226}"/>
    <cellStyle name="Normal 4 2 8 2 2 4 3" xfId="20244" xr:uid="{529E0624-A9C6-42C3-B82F-FF024053C18A}"/>
    <cellStyle name="Normal 4 2 8 2 2 5" xfId="23861" xr:uid="{D643BF77-5398-43B8-AF2A-B97DC68FCA4F}"/>
    <cellStyle name="Normal 4 2 8 2 2 6" xfId="13895" xr:uid="{B116A3FE-836C-4744-AB75-B8244732AB29}"/>
    <cellStyle name="Normal 4 2 8 2 3" xfId="2782" xr:uid="{00000000-0005-0000-0000-000008060000}"/>
    <cellStyle name="Normal 4 2 8 2 3 2" xfId="6000" xr:uid="{E8246B52-2A51-4F88-AC27-87867C91476B}"/>
    <cellStyle name="Normal 4 2 8 2 3 2 2" xfId="26822" xr:uid="{B399A5AE-E54C-4055-8B1F-27845F8D9C65}"/>
    <cellStyle name="Normal 4 2 8 2 3 2 3" xfId="15453" xr:uid="{3E018943-2CD0-4769-A24D-63BF4DC0DECE}"/>
    <cellStyle name="Normal 4 2 8 2 3 3" xfId="7906" xr:uid="{81F47BCD-69A1-4897-9B7D-7E3451F84B91}"/>
    <cellStyle name="Normal 4 2 8 2 3 3 2" xfId="18286" xr:uid="{C12A5E93-74C0-46E0-BDE6-78BC8F2E9ABB}"/>
    <cellStyle name="Normal 4 2 8 2 3 4" xfId="10739" xr:uid="{E9675B84-B9EA-4486-B079-CD600A3057C6}"/>
    <cellStyle name="Normal 4 2 8 2 3 4 2" xfId="21119" xr:uid="{9E097176-4296-4319-9D0D-F40CDD27D0EE}"/>
    <cellStyle name="Normal 4 2 8 2 3 5" xfId="24391" xr:uid="{8BFC6150-DDD5-4709-BCCF-CA80D506DB04}"/>
    <cellStyle name="Normal 4 2 8 2 3 6" xfId="13239" xr:uid="{8F32D7EC-28A5-4F4A-8E4B-1800717ACCE7}"/>
    <cellStyle name="Normal 4 2 8 2 4" xfId="4191" xr:uid="{2A119F8A-9286-4A7E-B655-6A76E0F727CE}"/>
    <cellStyle name="Normal 4 2 8 2 4 2" xfId="8963" xr:uid="{4EE76E04-26A7-4DB0-A2F6-E193951983E8}"/>
    <cellStyle name="Normal 4 2 8 2 4 2 2" xfId="29049" xr:uid="{1B4FE232-DAB5-41C4-AF05-BFC09F349536}"/>
    <cellStyle name="Normal 4 2 8 2 4 2 3" xfId="19343" xr:uid="{EC4FD09F-8278-4AE5-BB20-B5D05061C366}"/>
    <cellStyle name="Normal 4 2 8 2 4 3" xfId="11796" xr:uid="{88CB058E-A897-43F8-9BE8-9308FB6D48A2}"/>
    <cellStyle name="Normal 4 2 8 2 4 3 2" xfId="22176" xr:uid="{E422BD9F-6B07-4EDE-AECE-D4090BCAF21F}"/>
    <cellStyle name="Normal 4 2 8 2 4 4" xfId="24873" xr:uid="{D2DFC07E-BC0F-4B14-B90C-7760A4F759F0}"/>
    <cellStyle name="Normal 4 2 8 2 4 5" xfId="16510" xr:uid="{C2F4B2D6-95B7-4E77-90D0-FB34BE448CB5}"/>
    <cellStyle name="Normal 4 2 8 2 5" xfId="5279" xr:uid="{A0B63C32-334A-400F-8AE8-957C2A98584E}"/>
    <cellStyle name="Normal 4 2 8 2 5 2" xfId="28503" xr:uid="{05DF3D99-40EB-4D60-9B0F-0C7BFA56CE37}"/>
    <cellStyle name="Normal 4 2 8 2 5 3" xfId="14577" xr:uid="{F60E8D24-EF7F-4A09-A8FF-33FD0DA3A323}"/>
    <cellStyle name="Normal 4 2 8 2 6" xfId="7030" xr:uid="{3FC9E43D-66F9-4D0D-B694-16FD46AA2275}"/>
    <cellStyle name="Normal 4 2 8 2 6 2" xfId="17410" xr:uid="{2F4FB22F-28D8-4590-B5D7-FC6875ECAB61}"/>
    <cellStyle name="Normal 4 2 8 2 7" xfId="9863" xr:uid="{108CC694-574B-46C5-8649-D126581961E9}"/>
    <cellStyle name="Normal 4 2 8 2 7 2" xfId="20243" xr:uid="{CA6E0A24-F8E0-45E8-A475-93964168AAEF}"/>
    <cellStyle name="Normal 4 2 8 2 8" xfId="23429" xr:uid="{C489105B-F240-4C4D-A27A-4B04AF9510C6}"/>
    <cellStyle name="Normal 4 2 8 2 9" xfId="12755" xr:uid="{685156F6-C842-4C4E-AE35-CF03A474A500}"/>
    <cellStyle name="Normal 4 2 8 3" xfId="976" xr:uid="{00000000-0005-0000-0000-000082050000}"/>
    <cellStyle name="Normal 4 2 8 3 2" xfId="4530" xr:uid="{C776B60D-BF65-45A6-9F7F-097D3AA61C69}"/>
    <cellStyle name="Normal 4 2 8 3 2 2" xfId="9302" xr:uid="{626F593F-0981-431F-8F98-91D2430A6026}"/>
    <cellStyle name="Normal 4 2 8 3 2 2 2" xfId="29281" xr:uid="{8C33BE09-90BA-4A9D-B79D-F483669A1BC0}"/>
    <cellStyle name="Normal 4 2 8 3 2 2 3" xfId="19682" xr:uid="{AEC3E18F-3EAA-4A99-B9C5-F5C568C4CFF8}"/>
    <cellStyle name="Normal 4 2 8 3 2 3" xfId="12135" xr:uid="{6227930D-EBD1-4EDE-BD4B-0FA572848A41}"/>
    <cellStyle name="Normal 4 2 8 3 2 3 2" xfId="22515" xr:uid="{ADB20690-2F4B-426C-B993-8AAC8EABC124}"/>
    <cellStyle name="Normal 4 2 8 3 2 4" xfId="25630" xr:uid="{73FF503C-0874-4AB0-9772-E3019965A795}"/>
    <cellStyle name="Normal 4 2 8 3 2 5" xfId="16849" xr:uid="{5047CEF5-2DB8-43FD-9B18-DADA40C9C559}"/>
    <cellStyle name="Normal 4 2 8 3 3" xfId="5281" xr:uid="{EA308A1F-9E21-466B-9181-BBA1F7A7BEF0}"/>
    <cellStyle name="Normal 4 2 8 3 3 2" xfId="26831" xr:uid="{73526452-4BA8-4E4D-B954-246CF43DC764}"/>
    <cellStyle name="Normal 4 2 8 3 3 3" xfId="26084" xr:uid="{DE5FB2D0-3406-4A9B-86E1-7733C577CEAC}"/>
    <cellStyle name="Normal 4 2 8 3 3 4" xfId="14579" xr:uid="{4E1C39A6-4501-45F4-BF32-26DDC8688B75}"/>
    <cellStyle name="Normal 4 2 8 3 4" xfId="7032" xr:uid="{B01B7BF7-1BDB-47D2-BA16-EA3A3599A1B1}"/>
    <cellStyle name="Normal 4 2 8 3 4 2" xfId="27592" xr:uid="{27D5A90D-3C2E-465B-A7B7-E69A4DDE8F5A}"/>
    <cellStyle name="Normal 4 2 8 3 4 3" xfId="25880" xr:uid="{BD3B06D1-5D7C-4E88-BE62-74FC4F57D391}"/>
    <cellStyle name="Normal 4 2 8 3 4 4" xfId="17412" xr:uid="{067B1167-04F2-4B58-A44C-19BE32FA69A8}"/>
    <cellStyle name="Normal 4 2 8 3 5" xfId="9865" xr:uid="{584A9564-4815-4898-BF0C-36D2ED106056}"/>
    <cellStyle name="Normal 4 2 8 3 5 2" xfId="29423" xr:uid="{7C3D385E-C8A0-4F65-B338-1A2D9FF74FA3}"/>
    <cellStyle name="Normal 4 2 8 3 5 3" xfId="20245" xr:uid="{416B0672-457C-4CA1-AEEC-CD1B3247D0E3}"/>
    <cellStyle name="Normal 4 2 8 3 6" xfId="23273" xr:uid="{187F3FCC-75E3-4883-98CD-D692FA43E764}"/>
    <cellStyle name="Normal 4 2 8 3 7" xfId="13896" xr:uid="{5A4033B9-864B-4331-8EFB-88FA31432662}"/>
    <cellStyle name="Normal 4 2 8 4" xfId="977" xr:uid="{00000000-0005-0000-0000-000083050000}"/>
    <cellStyle name="Normal 4 2 8 4 2" xfId="5282" xr:uid="{7E5248ED-DB83-44BA-8982-5B910168DAEA}"/>
    <cellStyle name="Normal 4 2 8 4 2 2" xfId="24817" xr:uid="{7C816423-915D-482F-A730-34901DA47CB3}"/>
    <cellStyle name="Normal 4 2 8 4 2 3" xfId="27699" xr:uid="{C548D3E3-BE2C-4ADB-B55F-8F36A895B4C9}"/>
    <cellStyle name="Normal 4 2 8 4 2 4" xfId="14580" xr:uid="{8F6EFBFC-0F84-45AC-A641-ED0E255EE901}"/>
    <cellStyle name="Normal 4 2 8 4 3" xfId="7033" xr:uid="{8F6F6C15-2E1B-4DFB-B6D7-5649EF620FE1}"/>
    <cellStyle name="Normal 4 2 8 4 3 2" xfId="27527" xr:uid="{671E24FF-B631-4BD0-BC0B-D23BC6C0B1D0}"/>
    <cellStyle name="Normal 4 2 8 4 3 3" xfId="17413" xr:uid="{9239E6D0-09E5-4713-98D9-D26FF7E42A05}"/>
    <cellStyle name="Normal 4 2 8 4 4" xfId="9866" xr:uid="{E5832AE4-B69A-4E63-A369-26E8F0D5640B}"/>
    <cellStyle name="Normal 4 2 8 4 4 2" xfId="20246" xr:uid="{832710B5-4915-4486-BF68-871BDDD9F1C0}"/>
    <cellStyle name="Normal 4 2 8 4 5" xfId="25091" xr:uid="{A242D922-0156-4748-8368-BC0D5D54FB29}"/>
    <cellStyle name="Normal 4 2 8 4 6" xfId="13453" xr:uid="{18CC260C-6143-4E38-815E-E806F6423DC4}"/>
    <cellStyle name="Normal 4 2 8 5" xfId="2567" xr:uid="{00000000-0005-0000-0000-00000B060000}"/>
    <cellStyle name="Normal 4 2 8 5 2" xfId="5836" xr:uid="{2B602938-BE88-46F4-AEED-0480511D709B}"/>
    <cellStyle name="Normal 4 2 8 5 2 2" xfId="28065" xr:uid="{0AE654D7-F739-4ED1-BFDA-1BC756BA7DF0}"/>
    <cellStyle name="Normal 4 2 8 5 2 3" xfId="15239" xr:uid="{16EA463A-6ED1-4BD1-85B3-08A833DFF1D2}"/>
    <cellStyle name="Normal 4 2 8 5 3" xfId="7692" xr:uid="{F235D23B-8571-4175-AA1A-18813D62F247}"/>
    <cellStyle name="Normal 4 2 8 5 3 2" xfId="18072" xr:uid="{87371162-240D-41A4-89A2-EA13734C2C8A}"/>
    <cellStyle name="Normal 4 2 8 5 4" xfId="10525" xr:uid="{64C7662A-6B89-4E97-AE09-A82A5BE3A734}"/>
    <cellStyle name="Normal 4 2 8 5 4 2" xfId="20905" xr:uid="{1D8E848B-D2CB-469F-AD14-D24CDAAEBACF}"/>
    <cellStyle name="Normal 4 2 8 5 5" xfId="24226" xr:uid="{D93D1C32-E8A1-48DF-81B0-2813A9FDDF3C}"/>
    <cellStyle name="Normal 4 2 8 5 6" xfId="12955" xr:uid="{A1298907-49AF-4C2B-A33A-1F1253F4A8E9}"/>
    <cellStyle name="Normal 4 2 8 6" xfId="2363" xr:uid="{00000000-0005-0000-0000-000005060000}"/>
    <cellStyle name="Normal 4 2 8 6 2" xfId="7490" xr:uid="{623DA9FF-7B9B-411D-B8E0-140CD750E036}"/>
    <cellStyle name="Normal 4 2 8 6 2 2" xfId="28072" xr:uid="{7DB86C15-161B-4423-B90D-A5EA2145346E}"/>
    <cellStyle name="Normal 4 2 8 6 2 3" xfId="17870" xr:uid="{F4A2072C-9F0D-4DAF-8BA8-0DF0D6F03F70}"/>
    <cellStyle name="Normal 4 2 8 6 3" xfId="10323" xr:uid="{9F013E8F-994F-4C24-87B6-D31789EAB697}"/>
    <cellStyle name="Normal 4 2 8 6 3 2" xfId="20703" xr:uid="{4BAE5CB0-31DA-46A6-A93C-B4220F77CAB5}"/>
    <cellStyle name="Normal 4 2 8 6 4" xfId="23042" xr:uid="{727CA44D-E866-4381-906F-15827DBC514F}"/>
    <cellStyle name="Normal 4 2 8 6 5" xfId="15037" xr:uid="{DC13B300-0AAB-4FEA-924B-B41E1F402523}"/>
    <cellStyle name="Normal 4 2 8 7" xfId="3984" xr:uid="{0D503DE1-E6FB-41B9-872C-260C16FD35DF}"/>
    <cellStyle name="Normal 4 2 8 7 2" xfId="8808" xr:uid="{2238076B-17C5-4BB0-8771-7246541852C0}"/>
    <cellStyle name="Normal 4 2 8 7 2 2" xfId="19188" xr:uid="{D50F9003-10E7-4758-88F1-5489C3DD8E39}"/>
    <cellStyle name="Normal 4 2 8 7 3" xfId="11641" xr:uid="{5609E8A0-B570-4536-9E8D-EF43746CF1A3}"/>
    <cellStyle name="Normal 4 2 8 7 3 2" xfId="22021" xr:uid="{3E45361C-DB83-47CD-ACDE-DB7B2162FCDE}"/>
    <cellStyle name="Normal 4 2 8 7 4" xfId="26981" xr:uid="{A0368A9F-F8DF-48B0-8AF2-25EE521D4116}"/>
    <cellStyle name="Normal 4 2 8 7 5" xfId="16355" xr:uid="{83063297-299C-4D8E-A1EC-68A069649514}"/>
    <cellStyle name="Normal 4 2 8 8" xfId="5278" xr:uid="{F36601DD-9793-4E6C-A6F7-1BEE8586145E}"/>
    <cellStyle name="Normal 4 2 8 8 2" xfId="14576" xr:uid="{0F9B40D2-AF9E-4369-B145-F10988D4531B}"/>
    <cellStyle name="Normal 4 2 8 9" xfId="7029" xr:uid="{1EFC0CD8-F643-412B-958A-E519945578B1}"/>
    <cellStyle name="Normal 4 2 8 9 2" xfId="17409" xr:uid="{C449D1EC-A7C5-48A1-BDFF-346BD6863E2E}"/>
    <cellStyle name="Normal 4 2 9" xfId="978" xr:uid="{00000000-0005-0000-0000-000084050000}"/>
    <cellStyle name="Normal 4 2 9 10" xfId="24697" xr:uid="{1BC18EEE-28F1-4D7D-BBBE-1BB67F6215FF}"/>
    <cellStyle name="Normal 4 2 9 11" xfId="12598" xr:uid="{736C4B30-A948-4E20-A4A9-4004E479C4BA}"/>
    <cellStyle name="Normal 4 2 9 2" xfId="979" xr:uid="{00000000-0005-0000-0000-000085050000}"/>
    <cellStyle name="Normal 4 2 9 2 2" xfId="3336" xr:uid="{00000000-0005-0000-0000-00000E060000}"/>
    <cellStyle name="Normal 4 2 9 2 2 2" xfId="6394" xr:uid="{85737081-3632-4418-8D8B-482B84C5F817}"/>
    <cellStyle name="Normal 4 2 9 2 2 2 2" xfId="27958" xr:uid="{B1F2C022-8335-4926-9921-99B718CBC7A8}"/>
    <cellStyle name="Normal 4 2 9 2 2 2 3" xfId="26515" xr:uid="{17C870E6-F094-46EF-AF70-8A284D8C113A}"/>
    <cellStyle name="Normal 4 2 9 2 2 2 4" xfId="15963" xr:uid="{B2B4E031-D27B-4E61-900F-7265CAED60DE}"/>
    <cellStyle name="Normal 4 2 9 2 2 3" xfId="8416" xr:uid="{4FDCBAA5-9629-4E67-9817-0322E2190FE2}"/>
    <cellStyle name="Normal 4 2 9 2 2 3 2" xfId="28911" xr:uid="{7DB9E4D2-0ADB-4E13-8EFD-5A7E368FC6F0}"/>
    <cellStyle name="Normal 4 2 9 2 2 3 3" xfId="18796" xr:uid="{B3E3D26E-4A4A-4ABA-BA70-31CFAB7E1A7F}"/>
    <cellStyle name="Normal 4 2 9 2 2 4" xfId="11249" xr:uid="{DFFCE619-3FE1-4D27-A046-5ECDC4FED236}"/>
    <cellStyle name="Normal 4 2 9 2 2 4 2" xfId="21629" xr:uid="{71893766-D46A-4B71-92F4-42CDAFC58422}"/>
    <cellStyle name="Normal 4 2 9 2 2 5" xfId="25245" xr:uid="{9ABB1AF1-AFA9-4E59-BCBA-2CC8F3B327FF}"/>
    <cellStyle name="Normal 4 2 9 2 2 6" xfId="13897" xr:uid="{AE5C2F51-3957-42C2-B249-4FDF23092ACD}"/>
    <cellStyle name="Normal 4 2 9 2 3" xfId="4192" xr:uid="{4F4C7D3C-EC36-41C6-8F6F-636865ADBAC5}"/>
    <cellStyle name="Normal 4 2 9 2 3 2" xfId="8964" xr:uid="{B5A22BA2-6878-4F6D-96CF-A3E0B0C9D051}"/>
    <cellStyle name="Normal 4 2 9 2 3 2 2" xfId="29050" xr:uid="{31E5468C-2CC0-4D6B-9530-B5CE5EEEB8D2}"/>
    <cellStyle name="Normal 4 2 9 2 3 2 3" xfId="19344" xr:uid="{E38136C2-795B-4D28-BB2A-83F81243C71D}"/>
    <cellStyle name="Normal 4 2 9 2 3 3" xfId="11797" xr:uid="{5DA08E2F-2DFD-4E9E-B540-595FA3528708}"/>
    <cellStyle name="Normal 4 2 9 2 3 3 2" xfId="22177" xr:uid="{9A29D151-0C95-46D7-AE97-35CB67D05839}"/>
    <cellStyle name="Normal 4 2 9 2 3 4" xfId="23241" xr:uid="{D0592480-FAD9-4F74-BD50-575F47EA9966}"/>
    <cellStyle name="Normal 4 2 9 2 3 5" xfId="16511" xr:uid="{8C702828-AFCB-4120-863A-A536385D3145}"/>
    <cellStyle name="Normal 4 2 9 2 4" xfId="5284" xr:uid="{53B389DF-D682-4A0E-8BEB-331AAF4C3CEE}"/>
    <cellStyle name="Normal 4 2 9 2 4 2" xfId="26653" xr:uid="{185D022D-E2CF-4615-BB19-920BD47AA99E}"/>
    <cellStyle name="Normal 4 2 9 2 4 3" xfId="28629" xr:uid="{6A98504E-B232-4026-B271-C589E09AD7D7}"/>
    <cellStyle name="Normal 4 2 9 2 4 4" xfId="14582" xr:uid="{455BA2F0-BC97-4A95-832E-27DBD9094669}"/>
    <cellStyle name="Normal 4 2 9 2 5" xfId="7035" xr:uid="{A5B16A84-63C1-4BD0-B771-236B34CFA1D7}"/>
    <cellStyle name="Normal 4 2 9 2 5 2" xfId="27138" xr:uid="{43FC2B26-B15F-4196-9AAE-72144CDB43D5}"/>
    <cellStyle name="Normal 4 2 9 2 5 3" xfId="17415" xr:uid="{D4574702-FFA2-4546-8A44-76862B42F0C4}"/>
    <cellStyle name="Normal 4 2 9 2 6" xfId="9868" xr:uid="{0ED17B6E-F62B-447B-A94A-5AAAE28E3315}"/>
    <cellStyle name="Normal 4 2 9 2 6 2" xfId="20248" xr:uid="{52007826-FC97-4682-B597-7143189CCC7D}"/>
    <cellStyle name="Normal 4 2 9 2 7" xfId="24989" xr:uid="{99193BA7-1C8B-4A46-A25D-4485E2BE0A4C}"/>
    <cellStyle name="Normal 4 2 9 2 8" xfId="12756" xr:uid="{59F4C902-4A6A-41B3-B2B7-E74F5E7CB393}"/>
    <cellStyle name="Normal 4 2 9 3" xfId="980" xr:uid="{00000000-0005-0000-0000-000086050000}"/>
    <cellStyle name="Normal 4 2 9 3 2" xfId="5285" xr:uid="{5A311702-84C2-47AB-A3FB-F5C8D392B100}"/>
    <cellStyle name="Normal 4 2 9 3 2 2" xfId="23740" xr:uid="{01A71D77-0373-4EB3-B9DF-80215CF7D626}"/>
    <cellStyle name="Normal 4 2 9 3 2 3" xfId="27710" xr:uid="{C37C1A31-55F7-48E1-A38A-D34EC57AB787}"/>
    <cellStyle name="Normal 4 2 9 3 2 4" xfId="14583" xr:uid="{761168BF-2B18-4C42-AC39-95747D971D35}"/>
    <cellStyle name="Normal 4 2 9 3 3" xfId="7036" xr:uid="{366C57EB-7033-4AA0-991A-DF21D35E5D57}"/>
    <cellStyle name="Normal 4 2 9 3 3 2" xfId="27630" xr:uid="{E6647535-F096-4F67-B5CE-22F93FC73584}"/>
    <cellStyle name="Normal 4 2 9 3 3 3" xfId="27204" xr:uid="{7136C924-2548-445A-8895-85C21611BDF4}"/>
    <cellStyle name="Normal 4 2 9 3 3 4" xfId="17416" xr:uid="{85577A67-3650-4B79-B56D-89F335AEBC42}"/>
    <cellStyle name="Normal 4 2 9 3 4" xfId="9869" xr:uid="{6C5704B4-FC3A-4877-AF08-7878EA373C0B}"/>
    <cellStyle name="Normal 4 2 9 3 4 2" xfId="26694" xr:uid="{B68923CF-F64F-4FE9-B16C-E0A3A0DF64EE}"/>
    <cellStyle name="Normal 4 2 9 3 4 3" xfId="29424" xr:uid="{84E1DE07-325C-41D1-AD82-DF07BFEEF52C}"/>
    <cellStyle name="Normal 4 2 9 3 4 4" xfId="20249" xr:uid="{224D8381-8C81-4F39-97B6-C28351A151A5}"/>
    <cellStyle name="Normal 4 2 9 3 5" xfId="22717" xr:uid="{3B7EF572-2B4D-4A32-8E47-ED37BAFAD9A2}"/>
    <cellStyle name="Normal 4 2 9 3 6" xfId="27773" xr:uid="{60B996DF-D627-4A20-A0F3-FD18C1023D7E}"/>
    <cellStyle name="Normal 4 2 9 3 7" xfId="13454" xr:uid="{ED6C3D71-3215-4FD4-A087-AEEF8B0E7655}"/>
    <cellStyle name="Normal 4 2 9 4" xfId="2783" xr:uid="{00000000-0005-0000-0000-000010060000}"/>
    <cellStyle name="Normal 4 2 9 4 2" xfId="6001" xr:uid="{5B23AC81-87E8-4D19-BBCC-C615337C2E49}"/>
    <cellStyle name="Normal 4 2 9 4 2 2" xfId="28612" xr:uid="{116A0CEA-2948-497B-9BD2-94F0B4CC7B1A}"/>
    <cellStyle name="Normal 4 2 9 4 2 3" xfId="15454" xr:uid="{B9396408-B53A-4678-841B-2A3CDC5033FF}"/>
    <cellStyle name="Normal 4 2 9 4 3" xfId="7907" xr:uid="{186C58AA-4B64-44FC-B2B5-3F1E3A4256B5}"/>
    <cellStyle name="Normal 4 2 9 4 3 2" xfId="18287" xr:uid="{C72F8021-8254-4869-82B8-2E95D17084B8}"/>
    <cellStyle name="Normal 4 2 9 4 4" xfId="10740" xr:uid="{C61E9972-1B7D-4D24-A78C-8DD052BDE4AE}"/>
    <cellStyle name="Normal 4 2 9 4 4 2" xfId="21120" xr:uid="{CB788F74-DDC2-42F0-AE44-6FCC5E8FD954}"/>
    <cellStyle name="Normal 4 2 9 4 5" xfId="24980" xr:uid="{B2004425-31FC-4288-8FF7-D5697CA49C00}"/>
    <cellStyle name="Normal 4 2 9 4 6" xfId="13240" xr:uid="{FB3EA9A0-28F6-49CF-A929-F194F94A4FAE}"/>
    <cellStyle name="Normal 4 2 9 5" xfId="2364" xr:uid="{00000000-0005-0000-0000-00000C060000}"/>
    <cellStyle name="Normal 4 2 9 5 2" xfId="7491" xr:uid="{AB29F732-18B8-4461-941D-8D1A560AB5C2}"/>
    <cellStyle name="Normal 4 2 9 5 2 2" xfId="27472" xr:uid="{FA8BAB30-618F-4D5E-B9DC-4BB9E35ADD12}"/>
    <cellStyle name="Normal 4 2 9 5 2 3" xfId="17871" xr:uid="{6B849158-6D64-4B4A-8AAD-2EDA30776E4F}"/>
    <cellStyle name="Normal 4 2 9 5 3" xfId="10324" xr:uid="{6552F46C-CBC0-4F33-BAE8-8F78EF5A1D08}"/>
    <cellStyle name="Normal 4 2 9 5 3 2" xfId="20704" xr:uid="{3DFE3164-85F3-428E-BC47-E7535BD0CB2F}"/>
    <cellStyle name="Normal 4 2 9 5 4" xfId="23612" xr:uid="{0C4CE829-02ED-4680-A5EC-B27FE438262D}"/>
    <cellStyle name="Normal 4 2 9 5 5" xfId="15038" xr:uid="{1C424D77-7E30-41D7-A2B0-AC375F658583}"/>
    <cellStyle name="Normal 4 2 9 6" xfId="3985" xr:uid="{2081E4A0-2A0D-472E-894C-28A332A6A6F5}"/>
    <cellStyle name="Normal 4 2 9 6 2" xfId="8809" xr:uid="{D95BEDCE-3DB6-4310-A41A-A464FB9268D6}"/>
    <cellStyle name="Normal 4 2 9 6 2 2" xfId="28988" xr:uid="{A653E288-0828-461A-AF3A-EA6DD7D1ACC1}"/>
    <cellStyle name="Normal 4 2 9 6 2 3" xfId="19189" xr:uid="{578F7CDB-B29D-4105-A45B-84C2314EF4AD}"/>
    <cellStyle name="Normal 4 2 9 6 3" xfId="11642" xr:uid="{9CA866A3-CB78-493C-B8EB-D6F3F63E18D8}"/>
    <cellStyle name="Normal 4 2 9 6 3 2" xfId="22022" xr:uid="{30F1378C-3BD4-4503-9B02-20514C361F13}"/>
    <cellStyle name="Normal 4 2 9 6 4" xfId="28484" xr:uid="{4C17BFAD-749F-47FD-8705-EC1CD83CB710}"/>
    <cellStyle name="Normal 4 2 9 6 5" xfId="16356" xr:uid="{AA4F05ED-B016-419B-A844-584D08DC2CBE}"/>
    <cellStyle name="Normal 4 2 9 7" xfId="5283" xr:uid="{85EDD228-FBD8-4AA1-B472-1931854E7F68}"/>
    <cellStyle name="Normal 4 2 9 7 2" xfId="26610" xr:uid="{C4DC5367-9F95-43B1-8EE7-48ECB31B25EF}"/>
    <cellStyle name="Normal 4 2 9 7 3" xfId="14581" xr:uid="{1E121E5D-ABF5-4EF0-B016-F171581C28C4}"/>
    <cellStyle name="Normal 4 2 9 8" xfId="7034" xr:uid="{2234AECC-897F-4F0C-8FF2-2937045B6D58}"/>
    <cellStyle name="Normal 4 2 9 8 2" xfId="17414" xr:uid="{5420E77A-C3D8-47C1-95B2-6DF6C0CC7DAE}"/>
    <cellStyle name="Normal 4 2 9 9" xfId="9867" xr:uid="{AC175359-7CA8-4095-8AEA-4603FC6D285E}"/>
    <cellStyle name="Normal 4 2 9 9 2" xfId="20247" xr:uid="{445870CE-DF3A-4EA0-A8E1-BF46B37E8949}"/>
    <cellStyle name="Normal 4 20" xfId="6943" xr:uid="{E5601753-EC59-4977-8FB5-EEB0F80A55B2}"/>
    <cellStyle name="Normal 4 20 2" xfId="25792" xr:uid="{733D533C-A0A8-4A04-88DC-892CA7B11E9A}"/>
    <cellStyle name="Normal 4 20 3" xfId="24029" xr:uid="{22F76A3A-8637-4E9C-B992-261509B13550}"/>
    <cellStyle name="Normal 4 20 4" xfId="17323" xr:uid="{5CEF4AA7-294C-443E-87C5-D24C01734031}"/>
    <cellStyle name="Normal 4 21" xfId="9776" xr:uid="{66584F7F-5120-4B7C-BA26-A2A9646FAF34}"/>
    <cellStyle name="Normal 4 21 2" xfId="23750" xr:uid="{96F41DEB-7FBA-4E04-8E58-35A3FFA8C282}"/>
    <cellStyle name="Normal 4 21 3" xfId="20156" xr:uid="{89F4FCE5-136C-4E64-82F3-9A9D86157179}"/>
    <cellStyle name="Normal 4 22" xfId="23826" xr:uid="{89B62F44-3C78-4195-9036-0186F7E268B9}"/>
    <cellStyle name="Normal 4 23" xfId="25782" xr:uid="{6F6096DE-56CA-421D-A3CC-34838D6F30D6}"/>
    <cellStyle name="Normal 4 24" xfId="23759" xr:uid="{443C657F-6607-423A-BC22-E4DD780257E1}"/>
    <cellStyle name="Normal 4 25" xfId="12389"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7" xr:uid="{00000000-0005-0000-0000-000015060000}"/>
    <cellStyle name="Normal 4 4 10 2 2" xfId="6395" xr:uid="{2B3C16A7-0299-4D00-884B-418C5FB40CB9}"/>
    <cellStyle name="Normal 4 4 10 2 2 2" xfId="27438" xr:uid="{B25B4AEB-DE57-41AC-928A-065CFEEE6CAA}"/>
    <cellStyle name="Normal 4 4 10 2 2 3" xfId="15964" xr:uid="{7879A539-78A4-448A-A87F-E92FBAEF97DC}"/>
    <cellStyle name="Normal 4 4 10 2 3" xfId="8417" xr:uid="{583422FB-6557-44D6-AB50-5D8EE6570BE5}"/>
    <cellStyle name="Normal 4 4 10 2 3 2" xfId="18797" xr:uid="{749FCA83-AC03-4587-814B-41BBBD87E1DA}"/>
    <cellStyle name="Normal 4 4 10 2 4" xfId="11250" xr:uid="{ED6D8674-A3A4-45F5-A466-51DA9A2688F7}"/>
    <cellStyle name="Normal 4 4 10 2 4 2" xfId="21630" xr:uid="{F3A80C5E-84E7-435B-9BE0-0FCC838237D5}"/>
    <cellStyle name="Normal 4 4 10 2 5" xfId="23135" xr:uid="{4773E5C8-78B3-4A69-B50A-E73FFA2FBCCF}"/>
    <cellStyle name="Normal 4 4 10 2 6" xfId="13898" xr:uid="{DC64F37C-163F-4469-88FD-03E34F86253B}"/>
    <cellStyle name="Normal 4 4 10 3" xfId="4193" xr:uid="{BA9BCFEA-7265-4417-99C4-FCCF7A9A6298}"/>
    <cellStyle name="Normal 4 4 10 3 2" xfId="8965" xr:uid="{FCE9226C-6C34-4450-AE7E-4069F92C8732}"/>
    <cellStyle name="Normal 4 4 10 3 2 2" xfId="29051" xr:uid="{04607B34-5BE2-473C-94A5-198042603CA1}"/>
    <cellStyle name="Normal 4 4 10 3 2 3" xfId="19345" xr:uid="{C227E74E-86D9-442A-A358-7EDCD5C42F03}"/>
    <cellStyle name="Normal 4 4 10 3 3" xfId="11798" xr:uid="{4D658857-33C5-4111-A534-AC3F607D2353}"/>
    <cellStyle name="Normal 4 4 10 3 3 2" xfId="22178" xr:uid="{B810C485-A883-462F-983E-B8A6B7F20A14}"/>
    <cellStyle name="Normal 4 4 10 3 4" xfId="24274" xr:uid="{48B0F57A-7D64-4953-B01F-A611DA132406}"/>
    <cellStyle name="Normal 4 4 10 3 5" xfId="16512" xr:uid="{12443884-7777-4CDA-8CA1-6F5A9B0565BD}"/>
    <cellStyle name="Normal 4 4 10 4" xfId="5287" xr:uid="{8C67447C-FE59-4471-B4BA-EDFAF1272678}"/>
    <cellStyle name="Normal 4 4 10 4 2" xfId="23733" xr:uid="{BF527957-304C-458A-90FD-A22AE275089D}"/>
    <cellStyle name="Normal 4 4 10 4 3" xfId="27391" xr:uid="{55AD940C-30E6-4902-A365-A64DF68773C4}"/>
    <cellStyle name="Normal 4 4 10 4 4" xfId="14585" xr:uid="{66285ADD-B94E-44A6-9734-A772E61513B9}"/>
    <cellStyle name="Normal 4 4 10 5" xfId="7038" xr:uid="{4E23692F-4825-41D4-987B-33F6C6BA84E7}"/>
    <cellStyle name="Normal 4 4 10 5 2" xfId="27503" xr:uid="{66B24CEC-5671-4237-8B96-DA92835B61DB}"/>
    <cellStyle name="Normal 4 4 10 5 3" xfId="17418" xr:uid="{7E1F0AF1-E2B3-4486-B108-6C288AC71D52}"/>
    <cellStyle name="Normal 4 4 10 6" xfId="9871" xr:uid="{4AAC2B23-A6C8-4572-A41A-52CE581C565E}"/>
    <cellStyle name="Normal 4 4 10 6 2" xfId="20251" xr:uid="{1B20F519-9A0D-4D39-90C2-F1CA31D4020E}"/>
    <cellStyle name="Normal 4 4 10 7" xfId="24731" xr:uid="{1F622891-86BB-47F3-BF5E-F05E5D38CFB9}"/>
    <cellStyle name="Normal 4 4 10 8" xfId="12757" xr:uid="{5706E484-CBB5-4107-881D-3B86DB21800A}"/>
    <cellStyle name="Normal 4 4 11" xfId="985" xr:uid="{00000000-0005-0000-0000-00008B050000}"/>
    <cellStyle name="Normal 4 4 11 2" xfId="5288" xr:uid="{2D01C6A3-5E13-49D3-A264-A301C24C97E9}"/>
    <cellStyle name="Normal 4 4 11 2 2" xfId="24020" xr:uid="{B7878FE6-C1FB-463C-8E21-644148B194B4}"/>
    <cellStyle name="Normal 4 4 11 2 3" xfId="26194" xr:uid="{C93C88BF-660A-4278-B197-F382EEC7D5F7}"/>
    <cellStyle name="Normal 4 4 11 2 4" xfId="14586" xr:uid="{9C93F634-F45F-427F-BBDD-237ABA4E4D74}"/>
    <cellStyle name="Normal 4 4 11 3" xfId="7039" xr:uid="{BA85FB4F-4182-4FEA-9F2D-3C1253BFF8AC}"/>
    <cellStyle name="Normal 4 4 11 3 2" xfId="28736" xr:uid="{B917CE2C-9F5A-4BE6-88C0-05B474DDDE7F}"/>
    <cellStyle name="Normal 4 4 11 3 3" xfId="17419" xr:uid="{593FFA6A-25F3-488F-B567-620550E0658E}"/>
    <cellStyle name="Normal 4 4 11 4" xfId="9872" xr:uid="{E736C63F-2AC8-40E9-B856-007691D1358D}"/>
    <cellStyle name="Normal 4 4 11 4 2" xfId="20252" xr:uid="{3DE2923C-A1D4-4A30-817B-099939583E53}"/>
    <cellStyle name="Normal 4 4 11 5" xfId="23382" xr:uid="{8753CE19-BDC1-496D-9B10-84F52A2C2977}"/>
    <cellStyle name="Normal 4 4 11 6" xfId="13455" xr:uid="{1A418053-A1DE-4ACB-B87E-72BACB563292}"/>
    <cellStyle name="Normal 4 4 12" xfId="2438" xr:uid="{00000000-0005-0000-0000-000017060000}"/>
    <cellStyle name="Normal 4 4 12 2" xfId="5733" xr:uid="{E71BE5E9-4E25-48CB-9343-145BEA0EBCC5}"/>
    <cellStyle name="Normal 4 4 12 2 2" xfId="26576" xr:uid="{21AE1773-78AE-4197-A9B0-3BBFB9C9E91E}"/>
    <cellStyle name="Normal 4 4 12 2 3" xfId="15110" xr:uid="{FC799BCE-0E7F-4FBA-92BD-CF35EA6E6931}"/>
    <cellStyle name="Normal 4 4 12 3" xfId="7563" xr:uid="{E0AD47AD-FCB9-46D2-A82B-78269D50B0CC}"/>
    <cellStyle name="Normal 4 4 12 3 2" xfId="17943" xr:uid="{F1BCDD12-3285-44A3-83BB-45A3826FA9EF}"/>
    <cellStyle name="Normal 4 4 12 4" xfId="10396" xr:uid="{0F79B491-781B-4AA5-BCCF-0ECA010CA42D}"/>
    <cellStyle name="Normal 4 4 12 4 2" xfId="20776" xr:uid="{D67BBA4C-FCB8-489E-AB99-439196C30658}"/>
    <cellStyle name="Normal 4 4 12 5" xfId="23460" xr:uid="{EA478E3F-F02C-4621-92A9-EB4311A7D3A0}"/>
    <cellStyle name="Normal 4 4 12 6" xfId="12825" xr:uid="{CB655288-B256-4B54-8734-27010C1AAA7E}"/>
    <cellStyle name="Normal 4 4 13" xfId="2168" xr:uid="{00000000-0005-0000-0000-000013060000}"/>
    <cellStyle name="Normal 4 4 13 2" xfId="7295" xr:uid="{57CB4F8B-BA01-4C5B-AB7D-D92DB9F23A1A}"/>
    <cellStyle name="Normal 4 4 13 2 2" xfId="27891" xr:uid="{268AFB25-8671-4D25-B439-C5B125B633C7}"/>
    <cellStyle name="Normal 4 4 13 2 3" xfId="17675" xr:uid="{FF2C2023-6DE8-4DD5-9ABF-6A5128AAD6C7}"/>
    <cellStyle name="Normal 4 4 13 3" xfId="10128" xr:uid="{5E6F0728-FF33-458B-A04C-3ABC0E193730}"/>
    <cellStyle name="Normal 4 4 13 3 2" xfId="20508" xr:uid="{F9EC4638-AF3D-4BC2-9A3D-B74529B7EE0F}"/>
    <cellStyle name="Normal 4 4 13 4" xfId="23827" xr:uid="{52337421-501D-41E5-AECA-1496CD97E96F}"/>
    <cellStyle name="Normal 4 4 13 5" xfId="14842" xr:uid="{7FE6E188-AC7A-4DD5-AC00-61B0300A9B35}"/>
    <cellStyle name="Normal 4 4 14" xfId="3986" xr:uid="{32463145-0242-4FD3-A3C7-1AE8BB5420B2}"/>
    <cellStyle name="Normal 4 4 14 2" xfId="8810" xr:uid="{96E81A39-F7BE-4A1A-A2D4-A37A066F9669}"/>
    <cellStyle name="Normal 4 4 14 2 2" xfId="19190" xr:uid="{36253008-536F-4BEE-84DC-4A737DA8E433}"/>
    <cellStyle name="Normal 4 4 14 3" xfId="11643" xr:uid="{2F1DDD0D-D96B-415F-809D-56D584388FF7}"/>
    <cellStyle name="Normal 4 4 14 3 2" xfId="22023" xr:uid="{383070A4-5390-471A-AD4E-826DCA4547CE}"/>
    <cellStyle name="Normal 4 4 14 4" xfId="27556" xr:uid="{744D9950-0345-4247-B848-A80C1FEA7202}"/>
    <cellStyle name="Normal 4 4 14 5" xfId="16357" xr:uid="{E8A4D107-3532-44AA-8749-422BA1D4FE1D}"/>
    <cellStyle name="Normal 4 4 15" xfId="5286" xr:uid="{C2382099-3E92-49C9-AA4B-4EABED7BD494}"/>
    <cellStyle name="Normal 4 4 15 2" xfId="14584" xr:uid="{959891F0-419E-410A-AEA5-D53342EE6FB7}"/>
    <cellStyle name="Normal 4 4 16" xfId="7037" xr:uid="{8C2EBE04-C40B-4FA8-9156-B892929DEFBD}"/>
    <cellStyle name="Normal 4 4 16 2" xfId="17417" xr:uid="{56D911EF-30F2-45D0-8E50-FFA41229358F}"/>
    <cellStyle name="Normal 4 4 17" xfId="9870" xr:uid="{995A7B1C-9591-4AA1-82E2-F53A667DBFCB}"/>
    <cellStyle name="Normal 4 4 17 2" xfId="20250" xr:uid="{01A18C04-7DF0-48CC-AA97-6996ACE26D4A}"/>
    <cellStyle name="Normal 4 4 18" xfId="24748" xr:uid="{703F48F3-BBAE-4AE8-B24A-6032927DEB6F}"/>
    <cellStyle name="Normal 4 4 19" xfId="12400" xr:uid="{A9899CC4-8D74-42E8-BCF8-C9D3A48E992D}"/>
    <cellStyle name="Normal 4 4 2" xfId="986" xr:uid="{00000000-0005-0000-0000-00008C050000}"/>
    <cellStyle name="Normal 4 4 2 10" xfId="5289" xr:uid="{C9173801-F243-4242-8E05-DC6C5B03108B}"/>
    <cellStyle name="Normal 4 4 2 10 2" xfId="14587" xr:uid="{F26842E6-D563-4B7F-8110-180DFE5C4E58}"/>
    <cellStyle name="Normal 4 4 2 11" xfId="7040" xr:uid="{C1444B38-653A-47C1-BC0B-D3D8BF26F179}"/>
    <cellStyle name="Normal 4 4 2 11 2" xfId="17420" xr:uid="{314483FD-0D38-4D7A-8265-1ED74DFD92C4}"/>
    <cellStyle name="Normal 4 4 2 12" xfId="9873" xr:uid="{A3AC162A-2DE9-4F7B-AD6A-DE6A3844C058}"/>
    <cellStyle name="Normal 4 4 2 12 2" xfId="20253" xr:uid="{59975E48-62EE-45A4-B296-82A3B2ACB754}"/>
    <cellStyle name="Normal 4 4 2 13" xfId="25535" xr:uid="{9F4800AD-9630-4E1B-AD92-F43594679442}"/>
    <cellStyle name="Normal 4 4 2 14" xfId="12423" xr:uid="{D74C7FFF-C9EB-42C1-9F53-D6CE6B1B9E77}"/>
    <cellStyle name="Normal 4 4 2 2" xfId="987" xr:uid="{00000000-0005-0000-0000-00008D050000}"/>
    <cellStyle name="Normal 4 4 2 2 10" xfId="7041" xr:uid="{0C75F5A4-51F1-48A4-A6E7-A128AD4FCE49}"/>
    <cellStyle name="Normal 4 4 2 2 10 2" xfId="17421" xr:uid="{135BC228-1136-41D3-8267-62DFD5C8E68A}"/>
    <cellStyle name="Normal 4 4 2 2 11" xfId="9874" xr:uid="{604D1C80-960E-4BFA-9D20-5FC2026C65D6}"/>
    <cellStyle name="Normal 4 4 2 2 11 2" xfId="20254" xr:uid="{E35A96B7-C2BD-43FB-BDC2-1739CB2156B3}"/>
    <cellStyle name="Normal 4 4 2 2 12" xfId="24313" xr:uid="{4A384093-1FFD-408D-922E-635A1B405B55}"/>
    <cellStyle name="Normal 4 4 2 2 13" xfId="12483" xr:uid="{175A71FC-C908-4D69-AB58-4779FA75F504}"/>
    <cellStyle name="Normal 4 4 2 2 2" xfId="988" xr:uid="{00000000-0005-0000-0000-00008E050000}"/>
    <cellStyle name="Normal 4 4 2 2 2 10" xfId="13048" xr:uid="{A6E6A654-C557-4408-A191-9785EF23F9C9}"/>
    <cellStyle name="Normal 4 4 2 2 2 2" xfId="2787" xr:uid="{00000000-0005-0000-0000-00001B060000}"/>
    <cellStyle name="Normal 4 4 2 2 2 2 2" xfId="3340" xr:uid="{00000000-0005-0000-0000-00001C060000}"/>
    <cellStyle name="Normal 4 4 2 2 2 2 2 2" xfId="6398" xr:uid="{511D1F66-3411-48B0-8203-F4A9DA2F0FDA}"/>
    <cellStyle name="Normal 4 4 2 2 2 2 2 2 2" xfId="26975" xr:uid="{CF2747F8-798C-4EE4-A498-23C0D530D462}"/>
    <cellStyle name="Normal 4 4 2 2 2 2 2 2 3" xfId="15967" xr:uid="{2496F23A-2799-4B71-A3D3-B015345047AD}"/>
    <cellStyle name="Normal 4 4 2 2 2 2 2 3" xfId="8420" xr:uid="{970E17C2-EE93-4EEC-BB27-5FEFC93133D0}"/>
    <cellStyle name="Normal 4 4 2 2 2 2 2 3 2" xfId="18800" xr:uid="{E6AD4DF1-08AE-468A-9A9E-EB0A51DD43C1}"/>
    <cellStyle name="Normal 4 4 2 2 2 2 2 4" xfId="11253" xr:uid="{DA6302FF-5F54-4CB8-8D31-2B5660D0A0D0}"/>
    <cellStyle name="Normal 4 4 2 2 2 2 2 4 2" xfId="21633" xr:uid="{3B1D8A81-8262-4551-AF7F-A106365422DE}"/>
    <cellStyle name="Normal 4 4 2 2 2 2 2 5" xfId="24646" xr:uid="{4EE14F1F-6E23-4F8C-A333-BDD37E0A2B32}"/>
    <cellStyle name="Normal 4 4 2 2 2 2 2 6" xfId="13901" xr:uid="{380085B0-B0B8-4C53-8E8D-9D2D868E11CD}"/>
    <cellStyle name="Normal 4 4 2 2 2 2 3" xfId="4340" xr:uid="{AEAE18D6-B6A2-4423-B376-EE2258BAE3B4}"/>
    <cellStyle name="Normal 4 4 2 2 2 2 3 2" xfId="9112" xr:uid="{F7CAB04E-5C88-4621-AFBE-A71D17F42617}"/>
    <cellStyle name="Normal 4 4 2 2 2 2 3 2 2" xfId="29155" xr:uid="{6A8DDABF-4C37-439B-8667-261F05E25C34}"/>
    <cellStyle name="Normal 4 4 2 2 2 2 3 2 3" xfId="19492" xr:uid="{A792F0D7-A64E-4E0E-B7F9-423078DB920D}"/>
    <cellStyle name="Normal 4 4 2 2 2 2 3 3" xfId="11945" xr:uid="{CE8EBFB3-29D4-4601-A9E4-2D7CF75189D9}"/>
    <cellStyle name="Normal 4 4 2 2 2 2 3 3 2" xfId="22325" xr:uid="{84601BE3-0C8C-4632-A8BF-59F4D773A787}"/>
    <cellStyle name="Normal 4 4 2 2 2 2 3 4" xfId="22997" xr:uid="{99EE9227-CAEB-4D8C-80C0-AE85048853AE}"/>
    <cellStyle name="Normal 4 4 2 2 2 2 3 5" xfId="16659" xr:uid="{DBE0CC71-F13E-4119-9FD5-C290E64E1003}"/>
    <cellStyle name="Normal 4 4 2 2 2 2 4" xfId="6005" xr:uid="{E29511A5-072F-46C5-9071-ECE49B5D10BB}"/>
    <cellStyle name="Normal 4 4 2 2 2 2 4 2" xfId="25960" xr:uid="{21EA62E7-FDEC-4B32-A0A4-DC9A3B600A76}"/>
    <cellStyle name="Normal 4 4 2 2 2 2 4 3" xfId="15458" xr:uid="{D612C83B-A711-4645-8E86-03E48856C23E}"/>
    <cellStyle name="Normal 4 4 2 2 2 2 5" xfId="7911" xr:uid="{5E99DD95-E668-4AC6-A724-57D53EA08726}"/>
    <cellStyle name="Normal 4 4 2 2 2 2 5 2" xfId="18291" xr:uid="{3BD3DDD6-EF27-4A7D-BAA0-A7558C56A056}"/>
    <cellStyle name="Normal 4 4 2 2 2 2 6" xfId="10744" xr:uid="{1D69AD4B-070D-42F5-9F2C-846D09B973BA}"/>
    <cellStyle name="Normal 4 4 2 2 2 2 6 2" xfId="21124" xr:uid="{A8EC71FD-2B66-42EE-A265-6214D0EAC78E}"/>
    <cellStyle name="Normal 4 4 2 2 2 2 7" xfId="25549" xr:uid="{2EB83C0E-B6E5-49D5-90F4-89EB3B468253}"/>
    <cellStyle name="Normal 4 4 2 2 2 2 8" xfId="13244" xr:uid="{97FE9524-DB6E-4184-B9C3-5EBAD2CD12E5}"/>
    <cellStyle name="Normal 4 4 2 2 2 3" xfId="3341" xr:uid="{00000000-0005-0000-0000-00001D060000}"/>
    <cellStyle name="Normal 4 4 2 2 2 3 2" xfId="4531" xr:uid="{D57982D1-20D9-4173-95B8-81B03C06454C}"/>
    <cellStyle name="Normal 4 4 2 2 2 3 2 2" xfId="9303" xr:uid="{1906EB99-6934-4261-AEAC-9930B70BD463}"/>
    <cellStyle name="Normal 4 4 2 2 2 3 2 2 2" xfId="19683" xr:uid="{1CADBF01-9C05-4A55-B9F4-3B06C0E8A9DB}"/>
    <cellStyle name="Normal 4 4 2 2 2 3 2 3" xfId="12136" xr:uid="{B1998454-18F7-4601-BEA8-E7004959746B}"/>
    <cellStyle name="Normal 4 4 2 2 2 3 2 3 2" xfId="22516" xr:uid="{5F06841B-3EAD-4DB7-A203-7E3CF23CB48B}"/>
    <cellStyle name="Normal 4 4 2 2 2 3 2 4" xfId="27163" xr:uid="{0D40DEB6-A1C5-4870-864E-B777A435FACC}"/>
    <cellStyle name="Normal 4 4 2 2 2 3 2 5" xfId="16850" xr:uid="{9305266D-298E-4E88-83D3-F06AB75B37F3}"/>
    <cellStyle name="Normal 4 4 2 2 2 3 3" xfId="6399" xr:uid="{F0F6FE15-531E-46FD-B7EC-7220C77B92AD}"/>
    <cellStyle name="Normal 4 4 2 2 2 3 3 2" xfId="15968" xr:uid="{393AECD1-A0B3-4EBC-99E7-9080A686AED5}"/>
    <cellStyle name="Normal 4 4 2 2 2 3 4" xfId="8421" xr:uid="{504702F1-FB65-4350-9EA7-4CC0BB8656F8}"/>
    <cellStyle name="Normal 4 4 2 2 2 3 4 2" xfId="18801" xr:uid="{9F5804A4-D7E8-4AC6-8592-695651461A87}"/>
    <cellStyle name="Normal 4 4 2 2 2 3 5" xfId="11254" xr:uid="{DAA82E6E-C4E8-4C7E-84D1-1D2ABE0E9881}"/>
    <cellStyle name="Normal 4 4 2 2 2 3 5 2" xfId="21634" xr:uid="{CCEC414D-7C2C-494A-BF66-DD3C43D3A7A0}"/>
    <cellStyle name="Normal 4 4 2 2 2 3 6" xfId="24483" xr:uid="{8E9E08F5-837D-4108-9E5C-415FBCA96176}"/>
    <cellStyle name="Normal 4 4 2 2 2 3 7" xfId="13902" xr:uid="{C469E6A9-5373-4DAB-812F-E339E68D49A2}"/>
    <cellStyle name="Normal 4 4 2 2 2 4" xfId="3339" xr:uid="{00000000-0005-0000-0000-00001E060000}"/>
    <cellStyle name="Normal 4 4 2 2 2 4 2" xfId="6397" xr:uid="{F81A55A4-5FE1-4013-B08F-3EABC539D636}"/>
    <cellStyle name="Normal 4 4 2 2 2 4 2 2" xfId="28322" xr:uid="{569CA92F-9FC0-4280-9EA4-DC0F7D5BD3B3}"/>
    <cellStyle name="Normal 4 4 2 2 2 4 2 3" xfId="15966" xr:uid="{26A3D037-3327-422B-B13C-C701142E81BC}"/>
    <cellStyle name="Normal 4 4 2 2 2 4 3" xfId="8419" xr:uid="{BF5ED76A-EB79-4BF6-8079-CCFD13518FC9}"/>
    <cellStyle name="Normal 4 4 2 2 2 4 3 2" xfId="18799" xr:uid="{A8F6A1F1-2A47-4B4E-A529-28F5E372A247}"/>
    <cellStyle name="Normal 4 4 2 2 2 4 4" xfId="11252" xr:uid="{A27CFCA9-37A9-487C-8559-55C0F7A213CE}"/>
    <cellStyle name="Normal 4 4 2 2 2 4 4 2" xfId="21632" xr:uid="{02BF1CB0-7FEF-4913-8B53-0ACB069F257B}"/>
    <cellStyle name="Normal 4 4 2 2 2 4 5" xfId="23066" xr:uid="{727C9D6C-675F-405D-9B22-9C4EDD2BF3FD}"/>
    <cellStyle name="Normal 4 4 2 2 2 4 6" xfId="13900" xr:uid="{8552BB07-E4B1-47A4-A0DF-E45B39E14019}"/>
    <cellStyle name="Normal 4 4 2 2 2 5" xfId="4247" xr:uid="{1B5DDFF2-700E-49C0-B6C4-9115F3C3A1FC}"/>
    <cellStyle name="Normal 4 4 2 2 2 5 2" xfId="9019" xr:uid="{E9AF53E9-8F82-4245-B39F-F5E954B3F427}"/>
    <cellStyle name="Normal 4 4 2 2 2 5 2 2" xfId="29090" xr:uid="{EFF38729-D6BC-4932-AC44-EA578773EBC7}"/>
    <cellStyle name="Normal 4 4 2 2 2 5 2 3" xfId="19399" xr:uid="{53BA4873-F7AA-46D5-984C-7D06F76CE2C6}"/>
    <cellStyle name="Normal 4 4 2 2 2 5 3" xfId="11852" xr:uid="{9484FA93-8A4D-4135-8E3C-B9DA048FEECE}"/>
    <cellStyle name="Normal 4 4 2 2 2 5 3 2" xfId="22232" xr:uid="{E714DF82-67F8-4F82-92EA-6A400075F110}"/>
    <cellStyle name="Normal 4 4 2 2 2 5 4" xfId="24203" xr:uid="{4E8C4B6F-C3D7-4D57-9485-08951DB99FBF}"/>
    <cellStyle name="Normal 4 4 2 2 2 5 5" xfId="16566" xr:uid="{1DABC36D-944F-42FD-8DE0-AA39F762EE91}"/>
    <cellStyle name="Normal 4 4 2 2 2 6" xfId="5291" xr:uid="{4E40497E-6E2A-434D-87A7-EA8E5896162A}"/>
    <cellStyle name="Normal 4 4 2 2 2 6 2" xfId="27335" xr:uid="{72415122-6861-485B-B3F3-915932AD873D}"/>
    <cellStyle name="Normal 4 4 2 2 2 6 3" xfId="14589" xr:uid="{341FD1A3-1C03-474C-B496-7F4B76F75C23}"/>
    <cellStyle name="Normal 4 4 2 2 2 7" xfId="7042" xr:uid="{A3223282-F4FF-4C25-B57C-E63E4EE3075F}"/>
    <cellStyle name="Normal 4 4 2 2 2 7 2" xfId="17422" xr:uid="{CA7AAA4B-5AC8-4800-8104-9B57188E912F}"/>
    <cellStyle name="Normal 4 4 2 2 2 8" xfId="9875" xr:uid="{AA367147-979C-4209-BE07-E247F79F9987}"/>
    <cellStyle name="Normal 4 4 2 2 2 8 2" xfId="20255" xr:uid="{E25F9F74-8F47-47F4-859D-31C44F7078A0}"/>
    <cellStyle name="Normal 4 4 2 2 2 9" xfId="24172" xr:uid="{340DEFD4-3A60-455F-B7D1-FCE635C519F5}"/>
    <cellStyle name="Normal 4 4 2 2 3" xfId="2786" xr:uid="{00000000-0005-0000-0000-00001F060000}"/>
    <cellStyle name="Normal 4 4 2 2 3 2" xfId="3342" xr:uid="{00000000-0005-0000-0000-000020060000}"/>
    <cellStyle name="Normal 4 4 2 2 3 2 2" xfId="6400" xr:uid="{69768A5D-02B3-4CE8-980B-44CE4EE92A71}"/>
    <cellStyle name="Normal 4 4 2 2 3 2 2 2" xfId="28722" xr:uid="{D78FEAF6-37AF-4F64-9E40-DDF82F1432CF}"/>
    <cellStyle name="Normal 4 4 2 2 3 2 2 3" xfId="15969" xr:uid="{200B21F8-E051-4512-9808-A4DB8CC59D82}"/>
    <cellStyle name="Normal 4 4 2 2 3 2 3" xfId="8422" xr:uid="{3466F2CD-DCA8-4546-8C86-8F3CD1535758}"/>
    <cellStyle name="Normal 4 4 2 2 3 2 3 2" xfId="18802" xr:uid="{602CFB8F-DA78-4834-BA32-7C58AC4CE0DE}"/>
    <cellStyle name="Normal 4 4 2 2 3 2 4" xfId="11255" xr:uid="{6A126DB7-D971-4949-B4D3-9A5DE6CF484A}"/>
    <cellStyle name="Normal 4 4 2 2 3 2 4 2" xfId="21635" xr:uid="{5D54963C-899E-4456-97FC-F90A8C8DDD6B}"/>
    <cellStyle name="Normal 4 4 2 2 3 2 5" xfId="24234" xr:uid="{6CC866C5-BA2D-4DAA-AD10-0FFB2AAC7F19}"/>
    <cellStyle name="Normal 4 4 2 2 3 2 6" xfId="13903" xr:uid="{A7148D7B-9C79-4FA5-BC09-D7F830210FCF}"/>
    <cellStyle name="Normal 4 4 2 2 3 3" xfId="4339" xr:uid="{6A44BF57-F8D2-4E33-BB4C-9D0E9446C87B}"/>
    <cellStyle name="Normal 4 4 2 2 3 3 2" xfId="9111" xr:uid="{79B1799D-E6E3-4844-817D-B3AC2660A494}"/>
    <cellStyle name="Normal 4 4 2 2 3 3 2 2" xfId="29154" xr:uid="{2B362ED0-5344-4B36-A5F2-DC29B4E651E2}"/>
    <cellStyle name="Normal 4 4 2 2 3 3 2 3" xfId="19491" xr:uid="{8910AE9E-9AEE-4D3D-AAB5-C1CF1E1231AC}"/>
    <cellStyle name="Normal 4 4 2 2 3 3 3" xfId="11944" xr:uid="{B582E6F3-2430-4631-8D32-76DEBB197905}"/>
    <cellStyle name="Normal 4 4 2 2 3 3 3 2" xfId="22324" xr:uid="{D543972F-32F3-49D1-A40E-9621FB165C4F}"/>
    <cellStyle name="Normal 4 4 2 2 3 3 4" xfId="24909" xr:uid="{C974BD5E-5D88-4BDE-B086-E99DF87B1C01}"/>
    <cellStyle name="Normal 4 4 2 2 3 3 5" xfId="16658" xr:uid="{F417541B-77ED-42A0-A242-4B91FFDC9C95}"/>
    <cellStyle name="Normal 4 4 2 2 3 4" xfId="6004" xr:uid="{96248991-7D51-4E9B-97A5-A5A3DE115131}"/>
    <cellStyle name="Normal 4 4 2 2 3 4 2" xfId="26937" xr:uid="{5DDB1C1B-3D0C-4DBD-8063-DDE3D7FB13FF}"/>
    <cellStyle name="Normal 4 4 2 2 3 4 3" xfId="15457" xr:uid="{FB994E50-F762-4F05-815A-55EF3687280F}"/>
    <cellStyle name="Normal 4 4 2 2 3 5" xfId="7910" xr:uid="{9EB05466-062C-4469-9947-9025F4C8A514}"/>
    <cellStyle name="Normal 4 4 2 2 3 5 2" xfId="18290" xr:uid="{8C3FAA84-6586-49A1-BE99-2CBB983CBD69}"/>
    <cellStyle name="Normal 4 4 2 2 3 6" xfId="10743" xr:uid="{47C44A2D-A4D2-4DED-A7A4-C203843BB499}"/>
    <cellStyle name="Normal 4 4 2 2 3 6 2" xfId="21123" xr:uid="{DFBB5A1F-C978-4328-A712-F706247A5CEF}"/>
    <cellStyle name="Normal 4 4 2 2 3 7" xfId="23720" xr:uid="{53983EAF-405A-4A68-B671-E39B9079E1D0}"/>
    <cellStyle name="Normal 4 4 2 2 3 8" xfId="13243" xr:uid="{7D6F806D-EC38-440D-B3AD-83353E843758}"/>
    <cellStyle name="Normal 4 4 2 2 4" xfId="3343" xr:uid="{00000000-0005-0000-0000-000021060000}"/>
    <cellStyle name="Normal 4 4 2 2 4 2" xfId="4532" xr:uid="{B295BD5D-4A86-43B3-8633-BD21E21795ED}"/>
    <cellStyle name="Normal 4 4 2 2 4 2 2" xfId="9304" xr:uid="{4AA3D06E-817C-4FE4-A047-54D579A4D61A}"/>
    <cellStyle name="Normal 4 4 2 2 4 2 2 2" xfId="19684" xr:uid="{4BF8F51E-12F7-4D38-BE3F-526DF59CA949}"/>
    <cellStyle name="Normal 4 4 2 2 4 2 3" xfId="12137" xr:uid="{42F26D03-D924-4299-9354-48DF765EA6E1}"/>
    <cellStyle name="Normal 4 4 2 2 4 2 3 2" xfId="22517" xr:uid="{C2826C7B-C340-49D4-AEB9-19C403F9D96B}"/>
    <cellStyle name="Normal 4 4 2 2 4 2 4" xfId="25861" xr:uid="{EDF842B6-3937-4137-8EAE-444882F0819C}"/>
    <cellStyle name="Normal 4 4 2 2 4 2 5" xfId="16851" xr:uid="{7F9F8C60-6B4E-4F6F-A10A-3CE6DA5F2761}"/>
    <cellStyle name="Normal 4 4 2 2 4 3" xfId="6401" xr:uid="{3940C7DE-70FB-49CF-BD1E-CC4625C42B7A}"/>
    <cellStyle name="Normal 4 4 2 2 4 3 2" xfId="15970" xr:uid="{2D54A11E-FF4C-47AC-AE13-47EB5DD75731}"/>
    <cellStyle name="Normal 4 4 2 2 4 4" xfId="8423" xr:uid="{3F679B0C-F09E-4C98-B721-4D0AB18F3AE6}"/>
    <cellStyle name="Normal 4 4 2 2 4 4 2" xfId="18803" xr:uid="{3343F9AC-DB0D-480C-A640-F8DE770B3567}"/>
    <cellStyle name="Normal 4 4 2 2 4 5" xfId="11256" xr:uid="{2302EC03-7E78-4B3A-84BC-D18671DC7463}"/>
    <cellStyle name="Normal 4 4 2 2 4 5 2" xfId="21636" xr:uid="{4E879307-37C7-4D37-AA7E-98FC66DD073C}"/>
    <cellStyle name="Normal 4 4 2 2 4 6" xfId="25391" xr:uid="{2B1BE565-3070-4CBD-A8A7-826B87398CCA}"/>
    <cellStyle name="Normal 4 4 2 2 4 7" xfId="13904" xr:uid="{A9A64EC3-4267-44C0-8F66-ADF1DBE3DA21}"/>
    <cellStyle name="Normal 4 4 2 2 5" xfId="3338" xr:uid="{00000000-0005-0000-0000-000022060000}"/>
    <cellStyle name="Normal 4 4 2 2 5 2" xfId="6396" xr:uid="{5062E618-E82E-42FB-A778-7EC3F6941EE7}"/>
    <cellStyle name="Normal 4 4 2 2 5 2 2" xfId="26529" xr:uid="{BF4A22E8-47BF-4AE4-8B06-189C61C88340}"/>
    <cellStyle name="Normal 4 4 2 2 5 2 3" xfId="15965" xr:uid="{34CFE1EC-966C-4649-BDA4-5B79ED1C886F}"/>
    <cellStyle name="Normal 4 4 2 2 5 3" xfId="8418" xr:uid="{0B715A8F-AAB0-4DFA-BAE7-20B7354D978C}"/>
    <cellStyle name="Normal 4 4 2 2 5 3 2" xfId="18798" xr:uid="{41F0A7D8-AB8E-4B60-982D-97BA8ADCC0F1}"/>
    <cellStyle name="Normal 4 4 2 2 5 4" xfId="11251" xr:uid="{85457368-CE3B-45FB-BA69-8CC85A11D34F}"/>
    <cellStyle name="Normal 4 4 2 2 5 4 2" xfId="21631" xr:uid="{193BE4AF-9649-42CB-89A7-80CFD85DE0CE}"/>
    <cellStyle name="Normal 4 4 2 2 5 5" xfId="24585" xr:uid="{9CB8F697-BCC2-40ED-847C-A67F724127DE}"/>
    <cellStyle name="Normal 4 4 2 2 5 6" xfId="13899" xr:uid="{8DD6C700-A359-472F-A44D-9D09EC1DD08E}"/>
    <cellStyle name="Normal 4 4 2 2 6" xfId="2557" xr:uid="{00000000-0005-0000-0000-000023060000}"/>
    <cellStyle name="Normal 4 4 2 2 6 2" xfId="5827" xr:uid="{DC4B1AE2-E38E-4F7D-B7F9-68E626E6D6E0}"/>
    <cellStyle name="Normal 4 4 2 2 6 2 2" xfId="28406" xr:uid="{0294B801-8558-4D60-BB1D-C74AED4ACEAA}"/>
    <cellStyle name="Normal 4 4 2 2 6 2 3" xfId="15229" xr:uid="{FCF708E1-6C2E-4FB3-B0DE-25CA0F80D6F0}"/>
    <cellStyle name="Normal 4 4 2 2 6 3" xfId="7682" xr:uid="{5ECF2951-199F-4EA0-BB10-67F9E1354813}"/>
    <cellStyle name="Normal 4 4 2 2 6 3 2" xfId="18062" xr:uid="{95620D9C-ED80-4DB4-8DD5-77F617E8DEC6}"/>
    <cellStyle name="Normal 4 4 2 2 6 4" xfId="10515" xr:uid="{2CB7DFE3-E213-4A1A-BE1A-20DE844B62D1}"/>
    <cellStyle name="Normal 4 4 2 2 6 4 2" xfId="20895" xr:uid="{C939A820-A911-45B8-861D-39CA8982E263}"/>
    <cellStyle name="Normal 4 4 2 2 6 5" xfId="25092" xr:uid="{50630A23-1783-4E8E-8EBD-8E95B5AE0135}"/>
    <cellStyle name="Normal 4 4 2 2 6 6" xfId="12945" xr:uid="{DC969C50-06CB-42DE-AAA8-B174C5A7B8E8}"/>
    <cellStyle name="Normal 4 4 2 2 7" xfId="2251" xr:uid="{00000000-0005-0000-0000-000019060000}"/>
    <cellStyle name="Normal 4 4 2 2 7 2" xfId="7378" xr:uid="{49CA78DA-20A4-4038-8506-5DDD29FC25DE}"/>
    <cellStyle name="Normal 4 4 2 2 7 2 2" xfId="17758" xr:uid="{1B2A0586-7E36-4B38-834F-A9A444B3A174}"/>
    <cellStyle name="Normal 4 4 2 2 7 3" xfId="10211" xr:uid="{572E385B-266A-46A8-9ED4-56DED6012742}"/>
    <cellStyle name="Normal 4 4 2 2 7 3 2" xfId="20591" xr:uid="{C8CD3E5D-43F1-48B5-ACE9-D6CD559183A0}"/>
    <cellStyle name="Normal 4 4 2 2 7 4" xfId="25250" xr:uid="{83230BF6-A134-4CA9-9917-EEAFA2C3B914}"/>
    <cellStyle name="Normal 4 4 2 2 7 5" xfId="14925" xr:uid="{D659C309-94E5-4BC5-B696-F22FD405B31F}"/>
    <cellStyle name="Normal 4 4 2 2 8" xfId="3802" xr:uid="{DDC15438-3D68-4FAD-9D9B-C7E2E167FEA4}"/>
    <cellStyle name="Normal 4 4 2 2 8 2" xfId="8638" xr:uid="{4C619C33-DE7C-49B8-B166-2CA910B63CFD}"/>
    <cellStyle name="Normal 4 4 2 2 8 2 2" xfId="19018" xr:uid="{44B94BF2-0CAD-4A78-B3B9-ECF987ADDE5A}"/>
    <cellStyle name="Normal 4 4 2 2 8 3" xfId="11471" xr:uid="{7B76BDC5-3EC5-42AF-8E55-BFF102FBEAC6}"/>
    <cellStyle name="Normal 4 4 2 2 8 3 2" xfId="21851" xr:uid="{34AC7D1B-4264-4C58-B0E6-F3D739E9EB6C}"/>
    <cellStyle name="Normal 4 4 2 2 8 4" xfId="16185" xr:uid="{545ED7F2-872A-448F-928C-E98B0C60218F}"/>
    <cellStyle name="Normal 4 4 2 2 9" xfId="5290" xr:uid="{4258AE63-37FA-4E3B-88C7-E1ACC51B3145}"/>
    <cellStyle name="Normal 4 4 2 2 9 2" xfId="14588" xr:uid="{28244A37-8FC1-4209-BC34-54CFE44D5963}"/>
    <cellStyle name="Normal 4 4 2 3" xfId="989" xr:uid="{00000000-0005-0000-0000-00008F050000}"/>
    <cellStyle name="Normal 4 4 2 3 10" xfId="9876" xr:uid="{B1AD3C3B-E4EF-4540-8370-CA00C891082A}"/>
    <cellStyle name="Normal 4 4 2 3 10 2" xfId="20256" xr:uid="{4960A5F0-C12E-4B12-AC3D-EEDB6B8C464C}"/>
    <cellStyle name="Normal 4 4 2 3 11" xfId="25424" xr:uid="{0AB0255F-72B3-4885-B9E1-813751B34C02}"/>
    <cellStyle name="Normal 4 4 2 3 12" xfId="12600" xr:uid="{CA292A13-D5E7-41FE-9B23-465F582E343E}"/>
    <cellStyle name="Normal 4 4 2 3 2" xfId="2788" xr:uid="{00000000-0005-0000-0000-000025060000}"/>
    <cellStyle name="Normal 4 4 2 3 2 2" xfId="3345" xr:uid="{00000000-0005-0000-0000-000026060000}"/>
    <cellStyle name="Normal 4 4 2 3 2 2 2" xfId="6403" xr:uid="{343E5849-A095-4356-A6E4-AA28C144EC79}"/>
    <cellStyle name="Normal 4 4 2 3 2 2 2 2" xfId="28617" xr:uid="{9F7BCF5F-F784-4400-B20C-6A8977FADB81}"/>
    <cellStyle name="Normal 4 4 2 3 2 2 2 3" xfId="15972" xr:uid="{591177A3-FFCB-4982-BC14-F6A0916A77D9}"/>
    <cellStyle name="Normal 4 4 2 3 2 2 3" xfId="8425" xr:uid="{C2FF869B-A854-4C88-816D-6510E892D87D}"/>
    <cellStyle name="Normal 4 4 2 3 2 2 3 2" xfId="18805" xr:uid="{7FFBDEA1-A1E4-4C6D-AE1C-A491E9D3ABD1}"/>
    <cellStyle name="Normal 4 4 2 3 2 2 4" xfId="11258" xr:uid="{CD8E96AA-81A3-461E-A843-965AE1CC3170}"/>
    <cellStyle name="Normal 4 4 2 3 2 2 4 2" xfId="21638" xr:uid="{77235E0C-8C7F-4FA5-9A70-8801406D4A23}"/>
    <cellStyle name="Normal 4 4 2 3 2 2 5" xfId="25543" xr:uid="{7E2DF8E2-5082-41B1-A468-00E7FFC3BF73}"/>
    <cellStyle name="Normal 4 4 2 3 2 2 6" xfId="13906" xr:uid="{B88B7EB3-9F60-4C35-8B12-3E2052EF28BE}"/>
    <cellStyle name="Normal 4 4 2 3 2 3" xfId="4341" xr:uid="{74B3D252-263A-4214-BAD9-6E1714328469}"/>
    <cellStyle name="Normal 4 4 2 3 2 3 2" xfId="9113" xr:uid="{DB4B5A45-226D-48AB-B1C4-D080C1D639FB}"/>
    <cellStyle name="Normal 4 4 2 3 2 3 2 2" xfId="29156" xr:uid="{77C2008E-03E2-4F0C-8CD8-F2962237139D}"/>
    <cellStyle name="Normal 4 4 2 3 2 3 2 3" xfId="19493" xr:uid="{F109FBB9-64BD-468A-9BC6-6BCA65B9F0D5}"/>
    <cellStyle name="Normal 4 4 2 3 2 3 3" xfId="11946" xr:uid="{44FA4A1B-9B44-4CF4-832E-40967D5F0FCA}"/>
    <cellStyle name="Normal 4 4 2 3 2 3 3 2" xfId="22326" xr:uid="{FA817901-995B-4402-B4DD-318F52720169}"/>
    <cellStyle name="Normal 4 4 2 3 2 3 4" xfId="24399" xr:uid="{64414920-5AB8-4F86-809F-DC5AA7D433CB}"/>
    <cellStyle name="Normal 4 4 2 3 2 3 5" xfId="16660" xr:uid="{8F21A49A-4D31-4E84-B3AA-8FFCA76483E1}"/>
    <cellStyle name="Normal 4 4 2 3 2 4" xfId="6006" xr:uid="{9ED9DD77-8200-4D6A-8D46-C6657E276F95}"/>
    <cellStyle name="Normal 4 4 2 3 2 4 2" xfId="27779" xr:uid="{AE5FCA32-9F15-45B6-9EEB-C0AFB6BF84CE}"/>
    <cellStyle name="Normal 4 4 2 3 2 4 3" xfId="15459" xr:uid="{0F694240-3902-4780-8B9A-3D5321D5FECC}"/>
    <cellStyle name="Normal 4 4 2 3 2 5" xfId="7912" xr:uid="{E3EE78A6-E101-42FF-AEEA-BFEBB2AF86C3}"/>
    <cellStyle name="Normal 4 4 2 3 2 5 2" xfId="18292" xr:uid="{C1E16FBA-FE8E-4A54-B65B-A50FA1CAC283}"/>
    <cellStyle name="Normal 4 4 2 3 2 6" xfId="10745" xr:uid="{0FFF8D92-EAD0-434C-BD7F-BD069BCCF53A}"/>
    <cellStyle name="Normal 4 4 2 3 2 6 2" xfId="21125" xr:uid="{5EB6700C-27A8-4AD6-876E-4973B72CA798}"/>
    <cellStyle name="Normal 4 4 2 3 2 7" xfId="24692" xr:uid="{D52FFB66-82B9-4586-B744-665C9F32E133}"/>
    <cellStyle name="Normal 4 4 2 3 2 8" xfId="13245" xr:uid="{A24D2BD8-95B1-4F46-A668-2EE59A1BDC03}"/>
    <cellStyle name="Normal 4 4 2 3 3" xfId="3346" xr:uid="{00000000-0005-0000-0000-000027060000}"/>
    <cellStyle name="Normal 4 4 2 3 3 2" xfId="4533" xr:uid="{B667C967-0561-4C42-8BC5-90F59086EA4F}"/>
    <cellStyle name="Normal 4 4 2 3 3 2 2" xfId="9305" xr:uid="{5D054F46-D740-4D54-A354-11CE584B8EC4}"/>
    <cellStyle name="Normal 4 4 2 3 3 2 2 2" xfId="29282" xr:uid="{4D6ACDE4-B724-4058-B0EB-6FD435DC408F}"/>
    <cellStyle name="Normal 4 4 2 3 3 2 2 3" xfId="19685" xr:uid="{AD9CB9B7-9155-4620-BD89-267FF7E163A2}"/>
    <cellStyle name="Normal 4 4 2 3 3 2 3" xfId="12138" xr:uid="{B1CEB952-4071-4AA7-B3E2-61A45C9196DF}"/>
    <cellStyle name="Normal 4 4 2 3 3 2 3 2" xfId="22518" xr:uid="{CA3F5B6B-0FB8-40ED-95B1-0404A707E6EF}"/>
    <cellStyle name="Normal 4 4 2 3 3 2 4" xfId="25828" xr:uid="{B557E776-EDB1-4F38-8179-39D0DD17A096}"/>
    <cellStyle name="Normal 4 4 2 3 3 2 5" xfId="16852" xr:uid="{0AC8B89C-7AF6-4A8E-88EC-20BF3A4E2B09}"/>
    <cellStyle name="Normal 4 4 2 3 3 3" xfId="6404" xr:uid="{3E03D1E4-46FB-4EA6-A55D-6CE5D746A0FA}"/>
    <cellStyle name="Normal 4 4 2 3 3 3 2" xfId="27086" xr:uid="{AF6B99DB-4970-44F9-83F8-550353C549F2}"/>
    <cellStyle name="Normal 4 4 2 3 3 3 3" xfId="15973" xr:uid="{05546C51-7A74-4DC9-A123-D32CCF69BB41}"/>
    <cellStyle name="Normal 4 4 2 3 3 4" xfId="8426" xr:uid="{47DC54E8-D290-438B-A9F6-0A176AE63C6C}"/>
    <cellStyle name="Normal 4 4 2 3 3 4 2" xfId="18806" xr:uid="{E1755450-EC70-4494-BA45-A16E3958D2BB}"/>
    <cellStyle name="Normal 4 4 2 3 3 5" xfId="11259" xr:uid="{A6D1E6E4-5971-4942-887A-43650AFFEA0C}"/>
    <cellStyle name="Normal 4 4 2 3 3 5 2" xfId="21639" xr:uid="{B6280641-65D5-4190-AE7B-601DF9196AC1}"/>
    <cellStyle name="Normal 4 4 2 3 3 6" xfId="25562" xr:uid="{A8C4EC16-EA7A-4861-A0BB-F346D7F4F3D0}"/>
    <cellStyle name="Normal 4 4 2 3 3 7" xfId="13907" xr:uid="{02D88B39-740F-4D60-9A15-9A15A8A2BCB9}"/>
    <cellStyle name="Normal 4 4 2 3 4" xfId="3344" xr:uid="{00000000-0005-0000-0000-000028060000}"/>
    <cellStyle name="Normal 4 4 2 3 4 2" xfId="6402" xr:uid="{7CF52855-B221-49CE-A471-59823C1C5EC2}"/>
    <cellStyle name="Normal 4 4 2 3 4 2 2" xfId="27392" xr:uid="{196D2709-DB11-4493-87A8-571EF4FEB300}"/>
    <cellStyle name="Normal 4 4 2 3 4 2 3" xfId="15971" xr:uid="{78E67D20-8500-42B0-8342-77833EBFD547}"/>
    <cellStyle name="Normal 4 4 2 3 4 3" xfId="8424" xr:uid="{D392A788-D3F4-495C-92BB-C7DF535D7F6E}"/>
    <cellStyle name="Normal 4 4 2 3 4 3 2" xfId="18804" xr:uid="{C7850F2B-0321-44D0-A29E-DC57D5733915}"/>
    <cellStyle name="Normal 4 4 2 3 4 4" xfId="11257" xr:uid="{9F189DF0-C5E1-44CC-AC28-952D571D9414}"/>
    <cellStyle name="Normal 4 4 2 3 4 4 2" xfId="21637" xr:uid="{A6696CC3-A819-425E-8415-27596BCDCEF6}"/>
    <cellStyle name="Normal 4 4 2 3 4 5" xfId="25496" xr:uid="{F3F66694-76D2-4DD2-A42D-A490901CEB69}"/>
    <cellStyle name="Normal 4 4 2 3 4 6" xfId="13905" xr:uid="{BA747545-B287-4E7B-A45F-5E00E23DCEAE}"/>
    <cellStyle name="Normal 4 4 2 3 5" xfId="2600" xr:uid="{00000000-0005-0000-0000-000029060000}"/>
    <cellStyle name="Normal 4 4 2 3 5 2" xfId="5865" xr:uid="{139BE8FC-28F1-4734-8901-3B834D3D2588}"/>
    <cellStyle name="Normal 4 4 2 3 5 2 2" xfId="26184" xr:uid="{4DB9D009-C49D-4C9D-8B31-40E993ACDE8F}"/>
    <cellStyle name="Normal 4 4 2 3 5 2 3" xfId="15272" xr:uid="{14A9D6DC-889E-4B88-A44F-DB60655AF6C1}"/>
    <cellStyle name="Normal 4 4 2 3 5 3" xfId="7725" xr:uid="{E5424755-DE56-4D99-BDD0-F7BA8BA601D0}"/>
    <cellStyle name="Normal 4 4 2 3 5 3 2" xfId="18105" xr:uid="{44B2E874-9A5E-4728-B49D-E29AB0D6C375}"/>
    <cellStyle name="Normal 4 4 2 3 5 4" xfId="10558" xr:uid="{1872EAE9-2A01-45E2-840D-0999BEEF9D85}"/>
    <cellStyle name="Normal 4 4 2 3 5 4 2" xfId="20938" xr:uid="{BB83D161-21E9-4D6B-9DDF-6055BE109484}"/>
    <cellStyle name="Normal 4 4 2 3 5 5" xfId="23361" xr:uid="{37031A89-35BD-4127-BFD7-60F5F3E9C2EE}"/>
    <cellStyle name="Normal 4 4 2 3 5 6" xfId="12988" xr:uid="{412C8670-516E-44AC-ABE8-D75E24AA086C}"/>
    <cellStyle name="Normal 4 4 2 3 6" xfId="2366" xr:uid="{00000000-0005-0000-0000-000024060000}"/>
    <cellStyle name="Normal 4 4 2 3 6 2" xfId="7493" xr:uid="{030E696C-1599-4734-A257-268A964EDB54}"/>
    <cellStyle name="Normal 4 4 2 3 6 2 2" xfId="17873" xr:uid="{15D93248-80F7-4215-82CC-88F904825CB5}"/>
    <cellStyle name="Normal 4 4 2 3 6 3" xfId="10326" xr:uid="{20779726-FE34-46AE-8D69-243702F2566F}"/>
    <cellStyle name="Normal 4 4 2 3 6 3 2" xfId="20706" xr:uid="{0C161F4E-0E79-4057-B1D8-D0034A4E854D}"/>
    <cellStyle name="Normal 4 4 2 3 6 4" xfId="22909" xr:uid="{794A6DF2-1520-439A-BD2D-2EBAECF1CA97}"/>
    <cellStyle name="Normal 4 4 2 3 6 5" xfId="15040" xr:uid="{CA3A1C99-7CFD-4A4C-82D1-2277B4C1D22D}"/>
    <cellStyle name="Normal 4 4 2 3 7" xfId="3901" xr:uid="{A0A63680-17CA-489F-95A6-D6826EDC068D}"/>
    <cellStyle name="Normal 4 4 2 3 7 2" xfId="8733" xr:uid="{07A899F3-7EEC-467F-AEF0-B12738453FE0}"/>
    <cellStyle name="Normal 4 4 2 3 7 2 2" xfId="19113" xr:uid="{250E8EC4-8884-454C-9B4B-249992F96958}"/>
    <cellStyle name="Normal 4 4 2 3 7 3" xfId="11566" xr:uid="{9A952F7A-904B-45D3-880B-F6D974671C03}"/>
    <cellStyle name="Normal 4 4 2 3 7 3 2" xfId="21946" xr:uid="{B6ED0CF5-C516-4F13-A8BB-97E471131A4F}"/>
    <cellStyle name="Normal 4 4 2 3 7 4" xfId="16280" xr:uid="{7FA5334C-9CED-4ACE-9A17-0DE4230501E4}"/>
    <cellStyle name="Normal 4 4 2 3 8" xfId="5292" xr:uid="{8FC8B013-9E56-4911-9A8B-CAF8045B656D}"/>
    <cellStyle name="Normal 4 4 2 3 8 2" xfId="14590" xr:uid="{BC50FF17-FFFF-4D6D-B145-ACDCA896327D}"/>
    <cellStyle name="Normal 4 4 2 3 9" xfId="7043" xr:uid="{EE83E8F2-A16A-4CD0-BC5F-8F969FE98924}"/>
    <cellStyle name="Normal 4 4 2 3 9 2" xfId="17423" xr:uid="{51AFD0D0-CB0B-4931-8E43-E335997652BE}"/>
    <cellStyle name="Normal 4 4 2 4" xfId="990" xr:uid="{00000000-0005-0000-0000-000090050000}"/>
    <cellStyle name="Normal 4 4 2 4 2" xfId="3347" xr:uid="{00000000-0005-0000-0000-00002B060000}"/>
    <cellStyle name="Normal 4 4 2 4 2 2" xfId="6405" xr:uid="{20B61733-C29A-4013-826A-91229857E97E}"/>
    <cellStyle name="Normal 4 4 2 4 2 2 2" xfId="27177" xr:uid="{AE11D454-1CD7-41CE-B9C4-CA1ECC737D00}"/>
    <cellStyle name="Normal 4 4 2 4 2 2 3" xfId="15974" xr:uid="{297D34D7-ACE3-4DC9-866A-BB601572E752}"/>
    <cellStyle name="Normal 4 4 2 4 2 3" xfId="8427" xr:uid="{6A70F0BF-D7D0-4B85-B0C1-79744443D8AD}"/>
    <cellStyle name="Normal 4 4 2 4 2 3 2" xfId="18807" xr:uid="{267F612C-EEAF-43EE-B20C-E6ECA5E6DB21}"/>
    <cellStyle name="Normal 4 4 2 4 2 4" xfId="11260" xr:uid="{C6886769-9BD0-4F8E-A386-8BBF708CF0BA}"/>
    <cellStyle name="Normal 4 4 2 4 2 4 2" xfId="21640" xr:uid="{C9F7911D-DEE3-403B-83CD-E2A6C409A7AC}"/>
    <cellStyle name="Normal 4 4 2 4 2 5" xfId="23986" xr:uid="{B23B2DF9-82EF-45C7-9FBB-906912C74F17}"/>
    <cellStyle name="Normal 4 4 2 4 2 6" xfId="13908" xr:uid="{2F1045BB-53EA-4FB1-890A-6A2795B420BD}"/>
    <cellStyle name="Normal 4 4 2 4 3" xfId="2785" xr:uid="{00000000-0005-0000-0000-00002C060000}"/>
    <cellStyle name="Normal 4 4 2 4 3 2" xfId="6003" xr:uid="{95EA8E11-5537-4A68-AF65-8399F5C49F15}"/>
    <cellStyle name="Normal 4 4 2 4 3 2 2" xfId="28142" xr:uid="{68EEADF2-2AD1-47CD-95C5-623C2B15C40B}"/>
    <cellStyle name="Normal 4 4 2 4 3 2 3" xfId="15456" xr:uid="{81AC6881-060D-49E2-85F5-2E625E9E456B}"/>
    <cellStyle name="Normal 4 4 2 4 3 3" xfId="7909" xr:uid="{E3C17826-5BD3-463F-BCD5-BEEF9F957C4C}"/>
    <cellStyle name="Normal 4 4 2 4 3 3 2" xfId="18289" xr:uid="{4A831123-808B-4BCA-BC87-E889B02E29A8}"/>
    <cellStyle name="Normal 4 4 2 4 3 4" xfId="10742" xr:uid="{C684B92C-9FED-4F5B-B80A-33BD8DA70E4D}"/>
    <cellStyle name="Normal 4 4 2 4 3 4 2" xfId="21122" xr:uid="{0740E351-8637-4EB1-A9B8-E45D0364FF18}"/>
    <cellStyle name="Normal 4 4 2 4 3 5" xfId="22648" xr:uid="{771BE6F7-1616-4895-81F6-29430F4DFF5C}"/>
    <cellStyle name="Normal 4 4 2 4 3 6" xfId="13242" xr:uid="{75F1AEE9-9B4E-4585-8635-8BF605B8F223}"/>
    <cellStyle name="Normal 4 4 2 4 4" xfId="4194" xr:uid="{96BB92AC-F20C-4C4D-AE25-AF828871AFE4}"/>
    <cellStyle name="Normal 4 4 2 4 4 2" xfId="8966" xr:uid="{213E87B1-4640-4830-B3FE-2730CE3A4E12}"/>
    <cellStyle name="Normal 4 4 2 4 4 2 2" xfId="19346" xr:uid="{4732E8CE-8314-4A71-965F-4492544F64DC}"/>
    <cellStyle name="Normal 4 4 2 4 4 3" xfId="11799" xr:uid="{1E649367-FA4B-4B30-B77B-B6496126789A}"/>
    <cellStyle name="Normal 4 4 2 4 4 3 2" xfId="22179" xr:uid="{54000B27-16F5-4737-97AC-5EF6B85A6040}"/>
    <cellStyle name="Normal 4 4 2 4 4 4" xfId="23153" xr:uid="{8F9319D7-B853-4F09-B86A-AB41BD9E4F06}"/>
    <cellStyle name="Normal 4 4 2 4 4 5" xfId="16513" xr:uid="{59A15F81-D3BA-4822-93BE-A4760071BFE6}"/>
    <cellStyle name="Normal 4 4 2 4 5" xfId="5293" xr:uid="{533E2B35-FCAF-412B-9DCA-D713E1E837DA}"/>
    <cellStyle name="Normal 4 4 2 4 5 2" xfId="14591" xr:uid="{E45A6DA9-F6DD-4BE1-88EF-D73B6CBFE0B3}"/>
    <cellStyle name="Normal 4 4 2 4 6" xfId="7044" xr:uid="{7D54AB82-DC51-48D5-8538-93D0951DDF25}"/>
    <cellStyle name="Normal 4 4 2 4 6 2" xfId="17424" xr:uid="{0C0B500B-9BD5-484C-824A-61E62BE1B3F2}"/>
    <cellStyle name="Normal 4 4 2 4 7" xfId="9877" xr:uid="{35D85105-00A8-431A-98BC-D4A460429DBC}"/>
    <cellStyle name="Normal 4 4 2 4 7 2" xfId="20257" xr:uid="{A72441B9-8FDE-4736-968C-4714EBB2DBAE}"/>
    <cellStyle name="Normal 4 4 2 4 8" xfId="23945" xr:uid="{519AB3C6-84B3-4A4B-9948-7581BC858FCF}"/>
    <cellStyle name="Normal 4 4 2 4 9" xfId="12758" xr:uid="{1396107D-6352-405C-BCA7-4BC444A9CA14}"/>
    <cellStyle name="Normal 4 4 2 5" xfId="3348" xr:uid="{00000000-0005-0000-0000-00002D060000}"/>
    <cellStyle name="Normal 4 4 2 5 2" xfId="4534" xr:uid="{5E60AF2D-179F-4D24-AD54-5B7AA556A5DD}"/>
    <cellStyle name="Normal 4 4 2 5 2 2" xfId="9306" xr:uid="{35E01CA6-96A3-4431-B026-E09FEF25DB54}"/>
    <cellStyle name="Normal 4 4 2 5 2 2 2" xfId="29283" xr:uid="{C68B05B6-DAA6-4829-9645-882AF5471896}"/>
    <cellStyle name="Normal 4 4 2 5 2 2 3" xfId="19686" xr:uid="{BCAC5E27-933A-43D6-8166-3CDC64456C93}"/>
    <cellStyle name="Normal 4 4 2 5 2 3" xfId="12139" xr:uid="{0D0CE1D9-91A3-4A1B-9092-D86677B77CD0}"/>
    <cellStyle name="Normal 4 4 2 5 2 3 2" xfId="22519" xr:uid="{F63EBC74-937D-4CFC-9C04-84CE1B457986}"/>
    <cellStyle name="Normal 4 4 2 5 2 4" xfId="24129" xr:uid="{3F722632-BEB6-4346-8723-E53DF6D918A5}"/>
    <cellStyle name="Normal 4 4 2 5 2 5" xfId="16853" xr:uid="{36E94304-D19A-4F07-9B37-DC544DDD0F39}"/>
    <cellStyle name="Normal 4 4 2 5 3" xfId="6406" xr:uid="{F785735A-DF6A-4C2D-8853-2D9398843D1C}"/>
    <cellStyle name="Normal 4 4 2 5 3 2" xfId="28161" xr:uid="{4B461DD2-E85E-4D0F-A84C-F33FEE6549B2}"/>
    <cellStyle name="Normal 4 4 2 5 3 3" xfId="15975" xr:uid="{C15983D7-7394-45E1-8C77-4667DF42AD09}"/>
    <cellStyle name="Normal 4 4 2 5 4" xfId="8428" xr:uid="{5C2664CF-91DD-4A80-AE8E-2B2FB102247E}"/>
    <cellStyle name="Normal 4 4 2 5 4 2" xfId="18808" xr:uid="{312626E5-694C-4D09-8BFA-5A6B78A28534}"/>
    <cellStyle name="Normal 4 4 2 5 5" xfId="11261" xr:uid="{AE33355B-2358-4410-84AB-CD4C0EDC0107}"/>
    <cellStyle name="Normal 4 4 2 5 5 2" xfId="21641" xr:uid="{3F5C8609-160F-4530-A90A-D78FEBD4EE7D}"/>
    <cellStyle name="Normal 4 4 2 5 6" xfId="25518" xr:uid="{A9CA32F4-4CF4-4CCD-A676-7EC5AC72E217}"/>
    <cellStyle name="Normal 4 4 2 5 7" xfId="13909" xr:uid="{FF8E5222-B025-4A0F-B407-00746D92BB11}"/>
    <cellStyle name="Normal 4 4 2 6" xfId="2937" xr:uid="{00000000-0005-0000-0000-00002E060000}"/>
    <cellStyle name="Normal 4 4 2 6 2" xfId="6117" xr:uid="{5B3B8C6D-A847-46E6-9FFA-E283D1827F41}"/>
    <cellStyle name="Normal 4 4 2 6 2 2" xfId="27502" xr:uid="{256FD398-1765-4561-B83B-60BA0532852E}"/>
    <cellStyle name="Normal 4 4 2 6 2 3" xfId="15595" xr:uid="{628FFAED-D951-44EC-8EDC-07AD4BDDC531}"/>
    <cellStyle name="Normal 4 4 2 6 3" xfId="8048" xr:uid="{3159FA81-94C4-4D3A-8F13-76BF2389BBB9}"/>
    <cellStyle name="Normal 4 4 2 6 3 2" xfId="18428" xr:uid="{360F8008-33CF-4D76-82CB-D0439AE14674}"/>
    <cellStyle name="Normal 4 4 2 6 4" xfId="10881" xr:uid="{1A7917F8-51D4-4B2F-849F-B7F8A81829AD}"/>
    <cellStyle name="Normal 4 4 2 6 4 2" xfId="21261" xr:uid="{EA4F534D-6D68-42D7-98EB-6CBB0775F31C}"/>
    <cellStyle name="Normal 4 4 2 6 5" xfId="22759" xr:uid="{BE31A1BC-E09B-45D6-A853-5E4B01C10954}"/>
    <cellStyle name="Normal 4 4 2 6 6" xfId="13456" xr:uid="{AC3B5C53-4470-46C2-BD54-B93BA475B524}"/>
    <cellStyle name="Normal 4 4 2 7" xfId="2497" xr:uid="{00000000-0005-0000-0000-00002F060000}"/>
    <cellStyle name="Normal 4 4 2 7 2" xfId="5780" xr:uid="{6C89BBB6-B358-40CC-A506-DF06AF094E74}"/>
    <cellStyle name="Normal 4 4 2 7 2 2" xfId="27187" xr:uid="{AF97877D-DC51-4FD6-8AB3-CF38E2140017}"/>
    <cellStyle name="Normal 4 4 2 7 2 3" xfId="15169" xr:uid="{57C8706A-73C8-4E4E-B7B5-23D436CB38CA}"/>
    <cellStyle name="Normal 4 4 2 7 3" xfId="7622" xr:uid="{4963D2F7-C942-410B-A0FB-94E0DC35EA63}"/>
    <cellStyle name="Normal 4 4 2 7 3 2" xfId="18002" xr:uid="{EB8D888C-28AD-4A32-A8EE-59687F8BC34F}"/>
    <cellStyle name="Normal 4 4 2 7 4" xfId="10455" xr:uid="{42BE68C6-AD2C-4A30-85AC-FF0D67F7855A}"/>
    <cellStyle name="Normal 4 4 2 7 4 2" xfId="20835" xr:uid="{CB5FC10B-AC48-4DA8-A409-C02114CDE171}"/>
    <cellStyle name="Normal 4 4 2 7 5" xfId="22931" xr:uid="{FA34AF95-0BFC-4073-918E-2CF4FC4D06D4}"/>
    <cellStyle name="Normal 4 4 2 7 6" xfId="12885" xr:uid="{3372F42B-11D6-48F8-94B4-E68C129381B2}"/>
    <cellStyle name="Normal 4 4 2 8" xfId="2191" xr:uid="{00000000-0005-0000-0000-000018060000}"/>
    <cellStyle name="Normal 4 4 2 8 2" xfId="7318" xr:uid="{F821927E-FF2E-47FC-B390-71685C7CCE2B}"/>
    <cellStyle name="Normal 4 4 2 8 2 2" xfId="17698" xr:uid="{38FF1FEC-56E1-4843-B852-D3A78EC33CC7}"/>
    <cellStyle name="Normal 4 4 2 8 3" xfId="10151" xr:uid="{71790410-07D4-467B-A565-A2406DC2C56F}"/>
    <cellStyle name="Normal 4 4 2 8 3 2" xfId="20531" xr:uid="{409FBD40-5A2B-4A72-809F-EE173AC1241F}"/>
    <cellStyle name="Normal 4 4 2 8 4" xfId="23160" xr:uid="{06BF8221-A1D6-47ED-82A6-7E370277956D}"/>
    <cellStyle name="Normal 4 4 2 8 5" xfId="14865" xr:uid="{881F6974-E9F0-46E4-8294-8C2A320F09FA}"/>
    <cellStyle name="Normal 4 4 2 9" xfId="3987" xr:uid="{B16C01AD-B9E5-44C6-ADA8-D9B3921D7DFB}"/>
    <cellStyle name="Normal 4 4 2 9 2" xfId="8811" xr:uid="{281D8EDE-F9A6-43C1-9742-21DE38177E57}"/>
    <cellStyle name="Normal 4 4 2 9 2 2" xfId="19191" xr:uid="{9AEBB8E4-FDE3-413D-AA75-01417202CE90}"/>
    <cellStyle name="Normal 4 4 2 9 3" xfId="11644" xr:uid="{3267E1C4-3272-441D-8A24-461403A7F96B}"/>
    <cellStyle name="Normal 4 4 2 9 3 2" xfId="22024" xr:uid="{DDD9BDDF-AFFC-4EB4-9874-C133700B6679}"/>
    <cellStyle name="Normal 4 4 2 9 4" xfId="16358" xr:uid="{C9A5B588-EB5B-4732-9027-4843E7F14F44}"/>
    <cellStyle name="Normal 4 4 3" xfId="991" xr:uid="{00000000-0005-0000-0000-000091050000}"/>
    <cellStyle name="Normal 4 4 3 10" xfId="5294" xr:uid="{88B6DE60-D7A5-41FD-996D-110C6073BC2F}"/>
    <cellStyle name="Normal 4 4 3 10 2" xfId="14592" xr:uid="{CEA30152-4AF3-4C5C-BEAC-D06BFA565B8E}"/>
    <cellStyle name="Normal 4 4 3 11" xfId="7045" xr:uid="{2DC32E99-2A6D-4B7A-91E3-D2377718AACA}"/>
    <cellStyle name="Normal 4 4 3 11 2" xfId="17425" xr:uid="{8134CA82-294A-4E34-AA54-41DC39FEAD23}"/>
    <cellStyle name="Normal 4 4 3 12" xfId="9878" xr:uid="{A898B6A6-D9A0-49CF-843D-5A41ACD04B3E}"/>
    <cellStyle name="Normal 4 4 3 12 2" xfId="20258" xr:uid="{67DD2765-FEF1-4A0A-A1BE-F5BF3D9D41ED}"/>
    <cellStyle name="Normal 4 4 3 13" xfId="24670" xr:uid="{8E62B68A-D58A-4532-91A2-F2AF68881A4F}"/>
    <cellStyle name="Normal 4 4 3 14" xfId="12460" xr:uid="{6D09E4C8-F1C9-40F3-A072-8BF6DC8D0B70}"/>
    <cellStyle name="Normal 4 4 3 2" xfId="992" xr:uid="{00000000-0005-0000-0000-000092050000}"/>
    <cellStyle name="Normal 4 4 3 2 10" xfId="9879" xr:uid="{F255A013-70AB-4A59-8633-B48A70F454FC}"/>
    <cellStyle name="Normal 4 4 3 2 10 2" xfId="20259" xr:uid="{D28DD238-54D2-4B69-A7C1-6CE81E63D2FA}"/>
    <cellStyle name="Normal 4 4 3 2 11" xfId="24674" xr:uid="{366AD8EB-E5A1-4DD2-B560-9D07126072B4}"/>
    <cellStyle name="Normal 4 4 3 2 12" xfId="12601" xr:uid="{1D5673CB-386D-40C7-88B0-0DB1519D39A4}"/>
    <cellStyle name="Normal 4 4 3 2 2" xfId="993" xr:uid="{00000000-0005-0000-0000-000093050000}"/>
    <cellStyle name="Normal 4 4 3 2 2 2" xfId="3350" xr:uid="{00000000-0005-0000-0000-000033060000}"/>
    <cellStyle name="Normal 4 4 3 2 2 2 2" xfId="6408" xr:uid="{00633550-0CEB-489C-BF76-9FA9D44E0746}"/>
    <cellStyle name="Normal 4 4 3 2 2 2 2 2" xfId="28047" xr:uid="{107BB400-7316-403D-A324-78BEE252AE6E}"/>
    <cellStyle name="Normal 4 4 3 2 2 2 2 3" xfId="28056" xr:uid="{D4671570-37DF-4E1F-9685-441CF788607D}"/>
    <cellStyle name="Normal 4 4 3 2 2 2 2 4" xfId="15977" xr:uid="{569A8433-37B8-4B2D-BED4-516E8C1CFB99}"/>
    <cellStyle name="Normal 4 4 3 2 2 2 3" xfId="8430" xr:uid="{43432A74-8AD5-42AF-A9F2-FCAC50F97D32}"/>
    <cellStyle name="Normal 4 4 3 2 2 2 3 2" xfId="28912" xr:uid="{6D738C94-1394-421B-8925-58847C9B12F2}"/>
    <cellStyle name="Normal 4 4 3 2 2 2 3 3" xfId="18810" xr:uid="{C04674E1-32BF-4D6F-B1B9-B9F6653E7F7B}"/>
    <cellStyle name="Normal 4 4 3 2 2 2 4" xfId="11263" xr:uid="{3EDAD551-5A33-47A0-9975-2DE6BABECBDF}"/>
    <cellStyle name="Normal 4 4 3 2 2 2 4 2" xfId="21643" xr:uid="{EBB800D0-4C8B-483A-A777-005DB570AC02}"/>
    <cellStyle name="Normal 4 4 3 2 2 2 5" xfId="25193" xr:uid="{AC222BDA-295B-4B7F-9BF5-C5D478EC2486}"/>
    <cellStyle name="Normal 4 4 3 2 2 2 6" xfId="13911" xr:uid="{27E63BC5-56C9-489C-A731-AF3D82D6E2CC}"/>
    <cellStyle name="Normal 4 4 3 2 2 3" xfId="4343" xr:uid="{0C5886EB-F9A9-433B-B04A-12B1F791A654}"/>
    <cellStyle name="Normal 4 4 3 2 2 3 2" xfId="9115" xr:uid="{48B52A04-3533-40E8-BBC6-9F81FA09C7E8}"/>
    <cellStyle name="Normal 4 4 3 2 2 3 2 2" xfId="29158" xr:uid="{CC7B71A2-16DA-44FB-ABEF-A9D0EFEE69CE}"/>
    <cellStyle name="Normal 4 4 3 2 2 3 2 3" xfId="19495" xr:uid="{5F1BACCC-80CB-498D-9DAC-6A7E5380D294}"/>
    <cellStyle name="Normal 4 4 3 2 2 3 3" xfId="11948" xr:uid="{25FC1F0C-D661-4395-8501-84C4EA98AB69}"/>
    <cellStyle name="Normal 4 4 3 2 2 3 3 2" xfId="22328" xr:uid="{206E4AEB-9D88-4016-85D2-A25E338C833B}"/>
    <cellStyle name="Normal 4 4 3 2 2 3 4" xfId="23497" xr:uid="{AA8374BD-F104-48E4-8843-A94EBE10930E}"/>
    <cellStyle name="Normal 4 4 3 2 2 3 5" xfId="16662" xr:uid="{072914E5-77BE-4B58-9C08-4E51D0FBFA68}"/>
    <cellStyle name="Normal 4 4 3 2 2 4" xfId="5296" xr:uid="{26717934-BE0B-4FD6-B482-94A25175970F}"/>
    <cellStyle name="Normal 4 4 3 2 2 4 2" xfId="27803" xr:uid="{E471440A-0506-45A8-8DCF-223AF063FB8B}"/>
    <cellStyle name="Normal 4 4 3 2 2 4 3" xfId="14594" xr:uid="{58AA8BF7-CC5F-4C5B-9F16-DC942AD323E2}"/>
    <cellStyle name="Normal 4 4 3 2 2 5" xfId="7047" xr:uid="{8C01A2C2-DACA-42D4-ADB1-02790D8E85E5}"/>
    <cellStyle name="Normal 4 4 3 2 2 5 2" xfId="17427" xr:uid="{5B993106-9B55-4855-9C3B-A88708F6DFCF}"/>
    <cellStyle name="Normal 4 4 3 2 2 6" xfId="9880" xr:uid="{9BCF11DB-9CF6-4244-8DF9-783DEDCCADDA}"/>
    <cellStyle name="Normal 4 4 3 2 2 6 2" xfId="20260" xr:uid="{56E7D71D-6185-4232-B67F-A7EC19DCE073}"/>
    <cellStyle name="Normal 4 4 3 2 2 7" xfId="24305" xr:uid="{7A7012E4-D9D2-45AE-B5A2-4FCEDA725ACA}"/>
    <cellStyle name="Normal 4 4 3 2 2 8" xfId="13247" xr:uid="{64D362F5-1611-4AC2-AE01-8C579BB6751B}"/>
    <cellStyle name="Normal 4 4 3 2 3" xfId="3351" xr:uid="{00000000-0005-0000-0000-000034060000}"/>
    <cellStyle name="Normal 4 4 3 2 3 2" xfId="4535" xr:uid="{2A0F3A8C-4A5A-47EC-ACD2-D50F6D6C82F7}"/>
    <cellStyle name="Normal 4 4 3 2 3 2 2" xfId="9307" xr:uid="{386CECEE-1C2B-4675-9F80-8A8AAECC8B6F}"/>
    <cellStyle name="Normal 4 4 3 2 3 2 2 2" xfId="29284" xr:uid="{62E6EE81-F264-4690-B08D-D11F23B9190D}"/>
    <cellStyle name="Normal 4 4 3 2 3 2 2 3" xfId="19687" xr:uid="{EFA10093-6DA2-4B7C-80EA-DD8CD4FA7702}"/>
    <cellStyle name="Normal 4 4 3 2 3 2 3" xfId="12140" xr:uid="{F280EA41-8078-48B8-A463-73C033571C38}"/>
    <cellStyle name="Normal 4 4 3 2 3 2 3 2" xfId="22520" xr:uid="{3D09AA19-0E66-4EB2-A359-633324598582}"/>
    <cellStyle name="Normal 4 4 3 2 3 2 4" xfId="24813" xr:uid="{952D9C29-925D-4A29-8664-70B026A402B6}"/>
    <cellStyle name="Normal 4 4 3 2 3 2 5" xfId="16854" xr:uid="{C02EC18D-4EC3-4EB0-B8D4-17E8B5FDB6EA}"/>
    <cellStyle name="Normal 4 4 3 2 3 3" xfId="6409" xr:uid="{91A91A5F-D051-4EBF-9066-F692AF96864B}"/>
    <cellStyle name="Normal 4 4 3 2 3 3 2" xfId="27554" xr:uid="{C9E2869B-EC75-4687-95C0-6BE5BB5077ED}"/>
    <cellStyle name="Normal 4 4 3 2 3 3 3" xfId="15978" xr:uid="{D4A3621A-2D8E-4B11-9F92-F68142AEBBDA}"/>
    <cellStyle name="Normal 4 4 3 2 3 4" xfId="8431" xr:uid="{A0F448F4-0E27-4CD4-BA2E-E84BC0C84681}"/>
    <cellStyle name="Normal 4 4 3 2 3 4 2" xfId="18811" xr:uid="{4B0F16B0-9C06-4C83-AD89-0D17C2242C3F}"/>
    <cellStyle name="Normal 4 4 3 2 3 5" xfId="11264" xr:uid="{7DF33F54-5FDB-44FE-9057-7B6E59DA09A5}"/>
    <cellStyle name="Normal 4 4 3 2 3 5 2" xfId="21644" xr:uid="{3754B178-E58F-47DB-A78C-F96880072886}"/>
    <cellStyle name="Normal 4 4 3 2 3 6" xfId="23031" xr:uid="{CA007D25-6172-437D-A65E-BFAE886AC180}"/>
    <cellStyle name="Normal 4 4 3 2 3 7" xfId="13912" xr:uid="{BB4D16E7-B394-45F0-AFD2-45F403903763}"/>
    <cellStyle name="Normal 4 4 3 2 4" xfId="3349" xr:uid="{00000000-0005-0000-0000-000035060000}"/>
    <cellStyle name="Normal 4 4 3 2 4 2" xfId="6407" xr:uid="{E1D61AF0-110C-4A7F-A9D6-B3B628E21F99}"/>
    <cellStyle name="Normal 4 4 3 2 4 2 2" xfId="28569" xr:uid="{E915782A-F4DA-4A59-9F00-74A4A8A56104}"/>
    <cellStyle name="Normal 4 4 3 2 4 2 3" xfId="15976" xr:uid="{7C31119E-A159-4E6B-8ADB-126245A31818}"/>
    <cellStyle name="Normal 4 4 3 2 4 3" xfId="8429" xr:uid="{8EE90E21-299B-47B2-A2F4-C7BFE3DD8AAD}"/>
    <cellStyle name="Normal 4 4 3 2 4 3 2" xfId="18809" xr:uid="{7AA1D0A5-007E-4050-9A9B-72623895D301}"/>
    <cellStyle name="Normal 4 4 3 2 4 4" xfId="11262" xr:uid="{94D5D4E3-3608-46BD-B574-85ECE77FAC8E}"/>
    <cellStyle name="Normal 4 4 3 2 4 4 2" xfId="21642" xr:uid="{3EDEE02D-59D4-47A9-9F5E-D57F2BAEF8D7}"/>
    <cellStyle name="Normal 4 4 3 2 4 5" xfId="24727" xr:uid="{D696B5D4-4C25-48F6-A7D7-B57F18260A53}"/>
    <cellStyle name="Normal 4 4 3 2 4 6" xfId="13910" xr:uid="{B03E9160-65CA-4ED8-8AEF-3BE7EC556657}"/>
    <cellStyle name="Normal 4 4 3 2 5" xfId="2534" xr:uid="{00000000-0005-0000-0000-000036060000}"/>
    <cellStyle name="Normal 4 4 3 2 5 2" xfId="5808" xr:uid="{D4BF47C8-FF73-444E-81E2-7F182E7B0AC6}"/>
    <cellStyle name="Normal 4 4 3 2 5 2 2" xfId="26997" xr:uid="{F6291A55-DD33-42BA-BA02-ED344CCDFB28}"/>
    <cellStyle name="Normal 4 4 3 2 5 2 3" xfId="15206" xr:uid="{79871B39-F309-4A30-AD38-F63F5787752B}"/>
    <cellStyle name="Normal 4 4 3 2 5 3" xfId="7659" xr:uid="{58CC0819-D813-425A-973A-3EEEAF1A1778}"/>
    <cellStyle name="Normal 4 4 3 2 5 3 2" xfId="18039" xr:uid="{6EA1ED6B-715D-48FC-A3CB-64B3312C0AA3}"/>
    <cellStyle name="Normal 4 4 3 2 5 4" xfId="10492" xr:uid="{81719869-DC8F-4F37-ABC0-DE4BF813ED34}"/>
    <cellStyle name="Normal 4 4 3 2 5 4 2" xfId="20872" xr:uid="{B8068C4B-6753-42D6-B3E8-27426EE0C0F6}"/>
    <cellStyle name="Normal 4 4 3 2 5 5" xfId="24541" xr:uid="{A318FF14-026E-45A3-A70F-1A2111E853AF}"/>
    <cellStyle name="Normal 4 4 3 2 5 6" xfId="12922" xr:uid="{09E791B4-3C1F-4420-BF75-EC5501BDD391}"/>
    <cellStyle name="Normal 4 4 3 2 6" xfId="2367" xr:uid="{00000000-0005-0000-0000-000031060000}"/>
    <cellStyle name="Normal 4 4 3 2 6 2" xfId="7494" xr:uid="{192012FC-A505-4340-98FE-A3126E95501E}"/>
    <cellStyle name="Normal 4 4 3 2 6 2 2" xfId="17874" xr:uid="{03111FB6-39A8-451B-96F2-72E8DD23A6B9}"/>
    <cellStyle name="Normal 4 4 3 2 6 3" xfId="10327" xr:uid="{904AECDB-464E-4755-BE19-8F70B5547D5C}"/>
    <cellStyle name="Normal 4 4 3 2 6 3 2" xfId="20707" xr:uid="{CFB0C1BB-A858-4141-8C35-EE59CCB35971}"/>
    <cellStyle name="Normal 4 4 3 2 6 4" xfId="25587" xr:uid="{432B12DE-9603-4960-A1BB-3A86AE412E29}"/>
    <cellStyle name="Normal 4 4 3 2 6 5" xfId="15041" xr:uid="{B0DAF18C-3B61-444C-889B-8081FD024C30}"/>
    <cellStyle name="Normal 4 4 3 2 7" xfId="3902" xr:uid="{6225CC75-CA53-4133-8BE5-2959BE0A2A54}"/>
    <cellStyle name="Normal 4 4 3 2 7 2" xfId="8734" xr:uid="{650C195F-1910-4E5D-9E1B-E17080A82A8C}"/>
    <cellStyle name="Normal 4 4 3 2 7 2 2" xfId="19114" xr:uid="{39532BFA-4E0E-4D98-8650-C1361F182236}"/>
    <cellStyle name="Normal 4 4 3 2 7 3" xfId="11567" xr:uid="{FE4574BF-3DA2-426C-8908-083B65F401C2}"/>
    <cellStyle name="Normal 4 4 3 2 7 3 2" xfId="21947" xr:uid="{3CE25913-3A01-4CB2-95CD-67E3AF59AB1A}"/>
    <cellStyle name="Normal 4 4 3 2 7 4" xfId="16281" xr:uid="{8394EDD0-2244-44D5-BD54-BA89D120D19C}"/>
    <cellStyle name="Normal 4 4 3 2 8" xfId="5295" xr:uid="{CC0C7A1D-A8E1-4FAD-A9D6-DBDD1C0D7E69}"/>
    <cellStyle name="Normal 4 4 3 2 8 2" xfId="14593" xr:uid="{A9B60DA8-CCEB-4E20-8F16-DFEB8FE5C967}"/>
    <cellStyle name="Normal 4 4 3 2 9" xfId="7046" xr:uid="{4B57BBD0-EBA8-4E97-B741-1C10AE2A913B}"/>
    <cellStyle name="Normal 4 4 3 2 9 2" xfId="17426" xr:uid="{6A3E1E8E-7DFE-4F85-8B1D-A88865591F12}"/>
    <cellStyle name="Normal 4 4 3 3" xfId="994" xr:uid="{00000000-0005-0000-0000-000094050000}"/>
    <cellStyle name="Normal 4 4 3 3 10" xfId="22808" xr:uid="{987EE5FF-8B79-4E53-A401-27689ED6ACC7}"/>
    <cellStyle name="Normal 4 4 3 3 11" xfId="12759" xr:uid="{5F98A08F-7AEE-4A90-BF5A-5E6C2B3C6D77}"/>
    <cellStyle name="Normal 4 4 3 3 2" xfId="2789" xr:uid="{00000000-0005-0000-0000-000038060000}"/>
    <cellStyle name="Normal 4 4 3 3 2 2" xfId="3353" xr:uid="{00000000-0005-0000-0000-000039060000}"/>
    <cellStyle name="Normal 4 4 3 3 2 2 2" xfId="6411" xr:uid="{F0D7B8CE-5989-4B44-A11D-6BE5EE023DAE}"/>
    <cellStyle name="Normal 4 4 3 3 2 2 2 2" xfId="26311" xr:uid="{20ECE3AB-95E1-4C72-8547-E6DAA8F39BBE}"/>
    <cellStyle name="Normal 4 4 3 3 2 2 2 3" xfId="15980" xr:uid="{8E92EA97-8D72-4EEE-A896-10989C13FA8E}"/>
    <cellStyle name="Normal 4 4 3 3 2 2 3" xfId="8433" xr:uid="{D7890BE3-5F25-4868-9459-F482288A4646}"/>
    <cellStyle name="Normal 4 4 3 3 2 2 3 2" xfId="18813" xr:uid="{266E21A7-4E13-495B-9688-0FE00F07C4C2}"/>
    <cellStyle name="Normal 4 4 3 3 2 2 4" xfId="11266" xr:uid="{6B8BCF1B-AAD3-4E3A-B2FC-149DEA071F0B}"/>
    <cellStyle name="Normal 4 4 3 3 2 2 4 2" xfId="21646" xr:uid="{CA266A13-83DD-4E1A-8451-05463928871A}"/>
    <cellStyle name="Normal 4 4 3 3 2 2 5" xfId="24323" xr:uid="{5C4AF685-1C8F-44AD-A0D2-86B37A4B3AE6}"/>
    <cellStyle name="Normal 4 4 3 3 2 2 6" xfId="13914" xr:uid="{CAC97086-7938-48DA-894B-B82DA6F61B8B}"/>
    <cellStyle name="Normal 4 4 3 3 2 3" xfId="4344" xr:uid="{9B92228C-3E74-489C-8801-556384B30F1A}"/>
    <cellStyle name="Normal 4 4 3 3 2 3 2" xfId="9116" xr:uid="{DDADC91D-FC06-4187-AE2E-AF80FDA92CF5}"/>
    <cellStyle name="Normal 4 4 3 3 2 3 2 2" xfId="29159" xr:uid="{89767C29-DD53-4656-9EB4-8C1FAE3C4C6D}"/>
    <cellStyle name="Normal 4 4 3 3 2 3 2 3" xfId="19496" xr:uid="{14738460-639F-4038-8F22-F3168F19F5A3}"/>
    <cellStyle name="Normal 4 4 3 3 2 3 3" xfId="11949" xr:uid="{C13D50FA-4882-4268-B2A3-32EA8066D09C}"/>
    <cellStyle name="Normal 4 4 3 3 2 3 3 2" xfId="22329" xr:uid="{276D7538-C8F0-4F78-ACF2-D991DFD3DB63}"/>
    <cellStyle name="Normal 4 4 3 3 2 3 4" xfId="25488" xr:uid="{87FF3322-4FC3-4053-A1F2-F8EFC4AAE8BF}"/>
    <cellStyle name="Normal 4 4 3 3 2 3 5" xfId="16663" xr:uid="{64F5A6FE-B27C-419C-8DAC-DD7DEEE8DD7E}"/>
    <cellStyle name="Normal 4 4 3 3 2 4" xfId="6007" xr:uid="{DC03F221-C779-438F-B08A-301AB2C51A32}"/>
    <cellStyle name="Normal 4 4 3 3 2 4 2" xfId="26753" xr:uid="{7E56A677-DD69-4423-A87C-C38E81CDF76C}"/>
    <cellStyle name="Normal 4 4 3 3 2 4 3" xfId="15460" xr:uid="{8CE8E04D-DABA-4F74-A4D7-17932519216B}"/>
    <cellStyle name="Normal 4 4 3 3 2 5" xfId="7913" xr:uid="{135AA85E-B505-4979-8CFE-8F669DFB904C}"/>
    <cellStyle name="Normal 4 4 3 3 2 5 2" xfId="18293" xr:uid="{9C6875CF-756F-4369-917A-1465F7590E8E}"/>
    <cellStyle name="Normal 4 4 3 3 2 6" xfId="10746" xr:uid="{81E31FC3-9B90-4324-A081-8B029DE02FBB}"/>
    <cellStyle name="Normal 4 4 3 3 2 6 2" xfId="21126" xr:uid="{BB59E8E2-2876-44B8-9E50-3A0D9FDF678F}"/>
    <cellStyle name="Normal 4 4 3 3 2 7" xfId="24539" xr:uid="{D0303B1B-2F01-471D-8F33-C7270CAF9253}"/>
    <cellStyle name="Normal 4 4 3 3 2 8" xfId="13248" xr:uid="{173229FF-8CBC-415F-9F70-A0EEEACE8ADD}"/>
    <cellStyle name="Normal 4 4 3 3 3" xfId="3354" xr:uid="{00000000-0005-0000-0000-00003A060000}"/>
    <cellStyle name="Normal 4 4 3 3 3 2" xfId="4536" xr:uid="{2AF32572-1D55-4043-826F-337A7D3BA8CE}"/>
    <cellStyle name="Normal 4 4 3 3 3 2 2" xfId="9308" xr:uid="{45D872CE-A08D-46C5-A3DD-CDA2BF6CAC57}"/>
    <cellStyle name="Normal 4 4 3 3 3 2 2 2" xfId="29285" xr:uid="{CE6FA758-4B8B-4C6D-806B-8AE678C81868}"/>
    <cellStyle name="Normal 4 4 3 3 3 2 2 3" xfId="19688" xr:uid="{44E12208-224C-4FDB-A214-4B6F69A1F655}"/>
    <cellStyle name="Normal 4 4 3 3 3 2 3" xfId="12141" xr:uid="{52809B32-C92D-4190-AB94-36EA9F3C327D}"/>
    <cellStyle name="Normal 4 4 3 3 3 2 3 2" xfId="22521" xr:uid="{45274F09-A6A6-4C4A-90F6-70E767FA7A66}"/>
    <cellStyle name="Normal 4 4 3 3 3 2 4" xfId="24208" xr:uid="{756062A5-B80E-49F4-AFE4-CD7C99C58703}"/>
    <cellStyle name="Normal 4 4 3 3 3 2 5" xfId="16855" xr:uid="{91FE53EC-E4A0-4C39-AE05-CD1981029634}"/>
    <cellStyle name="Normal 4 4 3 3 3 3" xfId="6412" xr:uid="{EA003898-62FC-4629-B6C3-D855DEF0542D}"/>
    <cellStyle name="Normal 4 4 3 3 3 3 2" xfId="27035" xr:uid="{EB7ADEE8-6F10-447A-9F5D-DBF7D9E7F011}"/>
    <cellStyle name="Normal 4 4 3 3 3 3 3" xfId="15981" xr:uid="{4F70E156-9B38-42D4-8E18-B4690DD41064}"/>
    <cellStyle name="Normal 4 4 3 3 3 4" xfId="8434" xr:uid="{28892803-79E2-452F-90CA-6BC77CF0B8F1}"/>
    <cellStyle name="Normal 4 4 3 3 3 4 2" xfId="18814" xr:uid="{F25BF1F6-DAE9-4182-B9D8-83B852976089}"/>
    <cellStyle name="Normal 4 4 3 3 3 5" xfId="11267" xr:uid="{A07FF229-102F-4CE4-B5BB-201F868E9851}"/>
    <cellStyle name="Normal 4 4 3 3 3 5 2" xfId="21647" xr:uid="{9572FE2A-D274-485D-A855-286B92CDED99}"/>
    <cellStyle name="Normal 4 4 3 3 3 6" xfId="24689" xr:uid="{6416F198-8AD4-4B3A-9F17-CEEADF7E3048}"/>
    <cellStyle name="Normal 4 4 3 3 3 7" xfId="13915" xr:uid="{7B4F3DE0-9FDC-4221-AD6B-EE360D26973C}"/>
    <cellStyle name="Normal 4 4 3 3 4" xfId="3352" xr:uid="{00000000-0005-0000-0000-00003B060000}"/>
    <cellStyle name="Normal 4 4 3 3 4 2" xfId="6410" xr:uid="{6A58AA44-063B-43CE-B4FE-985CDAE9F865}"/>
    <cellStyle name="Normal 4 4 3 3 4 2 2" xfId="27093" xr:uid="{01FB4A3D-7480-408E-ABA8-EF7662A5402B}"/>
    <cellStyle name="Normal 4 4 3 3 4 2 3" xfId="15979" xr:uid="{A73A6EF9-151F-4F93-AD08-B5DD39728763}"/>
    <cellStyle name="Normal 4 4 3 3 4 3" xfId="8432" xr:uid="{CF293C32-F919-4C58-AC3E-3E5AB26D8B3C}"/>
    <cellStyle name="Normal 4 4 3 3 4 3 2" xfId="18812" xr:uid="{477A468F-C2D5-4456-890A-FF41B7654703}"/>
    <cellStyle name="Normal 4 4 3 3 4 4" xfId="11265" xr:uid="{A039E16B-631D-427E-895C-CBABD9D4E697}"/>
    <cellStyle name="Normal 4 4 3 3 4 4 2" xfId="21645" xr:uid="{47BDA3F0-6F5E-462A-BC6D-126B47833054}"/>
    <cellStyle name="Normal 4 4 3 3 4 5" xfId="24364" xr:uid="{9538830B-933E-45F1-BC65-9663407F486D}"/>
    <cellStyle name="Normal 4 4 3 3 4 6" xfId="13913" xr:uid="{93F374F6-97EE-4EBD-99B3-147461753B05}"/>
    <cellStyle name="Normal 4 4 3 3 5" xfId="2636" xr:uid="{00000000-0005-0000-0000-00003C060000}"/>
    <cellStyle name="Normal 4 4 3 3 5 2" xfId="5898" xr:uid="{63CA9AAF-F898-4537-8DBE-380FD52EA124}"/>
    <cellStyle name="Normal 4 4 3 3 5 2 2" xfId="25898" xr:uid="{5187551B-F931-4F3F-9206-E053730CE909}"/>
    <cellStyle name="Normal 4 4 3 3 5 2 3" xfId="15308" xr:uid="{961BEBA4-5A1C-4407-BA52-D43019A5E04F}"/>
    <cellStyle name="Normal 4 4 3 3 5 3" xfId="7761" xr:uid="{C6EFDBEE-700F-410E-BB09-BCD1CE215D15}"/>
    <cellStyle name="Normal 4 4 3 3 5 3 2" xfId="18141" xr:uid="{552287C7-C581-4E88-BBC5-A50C28782E2B}"/>
    <cellStyle name="Normal 4 4 3 3 5 4" xfId="10594" xr:uid="{DAA8BED5-C170-49E3-AC82-37DBA6B62B26}"/>
    <cellStyle name="Normal 4 4 3 3 5 4 2" xfId="20974" xr:uid="{7E5C18AC-3CCD-4195-B99A-712E5F5B6083}"/>
    <cellStyle name="Normal 4 4 3 3 5 5" xfId="22811" xr:uid="{7D0DEE30-7119-4E67-838F-7CD9460FC46C}"/>
    <cellStyle name="Normal 4 4 3 3 5 6" xfId="13025" xr:uid="{24990CB0-AC00-47D7-8D6B-73BD6DB6B8DC}"/>
    <cellStyle name="Normal 4 4 3 3 6" xfId="4195" xr:uid="{F8050C67-3479-48F0-B876-AD9FA46BA241}"/>
    <cellStyle name="Normal 4 4 3 3 6 2" xfId="8967" xr:uid="{93D58050-9847-47E1-A557-62177E9B5932}"/>
    <cellStyle name="Normal 4 4 3 3 6 2 2" xfId="19347" xr:uid="{98EFF169-CDEC-4076-B940-C5FA2B85906C}"/>
    <cellStyle name="Normal 4 4 3 3 6 3" xfId="11800" xr:uid="{F09FD3D1-DFD5-4556-90D5-D910BA727AD6}"/>
    <cellStyle name="Normal 4 4 3 3 6 3 2" xfId="22180" xr:uid="{E36F1620-3757-4F53-B69F-A9FF7618A73E}"/>
    <cellStyle name="Normal 4 4 3 3 6 4" xfId="24371" xr:uid="{8EE0D10C-BDC4-4D48-970D-E5DE062DDB5A}"/>
    <cellStyle name="Normal 4 4 3 3 6 5" xfId="16514" xr:uid="{72836CC3-ABF1-40C5-A4D5-2351DEC11668}"/>
    <cellStyle name="Normal 4 4 3 3 7" xfId="5297" xr:uid="{5803F386-E0DE-4418-9726-4CE82A63EF34}"/>
    <cellStyle name="Normal 4 4 3 3 7 2" xfId="14595" xr:uid="{74767BF4-0B8F-4645-BCD0-84EFEFF6D25E}"/>
    <cellStyle name="Normal 4 4 3 3 8" xfId="7048" xr:uid="{013B7FAA-C254-48DA-BE9F-BA80F3E2D199}"/>
    <cellStyle name="Normal 4 4 3 3 8 2" xfId="17428" xr:uid="{CC2020D9-9169-4658-A4C8-416E8A9C78A1}"/>
    <cellStyle name="Normal 4 4 3 3 9" xfId="9881" xr:uid="{EAFE72B4-CD0F-40A2-97A0-4393DEC9A480}"/>
    <cellStyle name="Normal 4 4 3 3 9 2" xfId="20261" xr:uid="{7041593E-E7E2-47B3-9CA6-05347C57A4CB}"/>
    <cellStyle name="Normal 4 4 3 4" xfId="995" xr:uid="{00000000-0005-0000-0000-000095050000}"/>
    <cellStyle name="Normal 4 4 3 4 2" xfId="3355" xr:uid="{00000000-0005-0000-0000-00003E060000}"/>
    <cellStyle name="Normal 4 4 3 4 2 2" xfId="6413" xr:uid="{7251E840-34B1-4638-AC6A-DA67EA434AB4}"/>
    <cellStyle name="Normal 4 4 3 4 2 2 2" xfId="26060" xr:uid="{627FC662-B7FB-4583-9C2B-9F337F31DCAE}"/>
    <cellStyle name="Normal 4 4 3 4 2 2 3" xfId="15982" xr:uid="{AE59D1FA-1A30-4209-96F1-FC197317C669}"/>
    <cellStyle name="Normal 4 4 3 4 2 3" xfId="8435" xr:uid="{5FF22C8E-A8CA-4C6B-B4FA-1490ED4E47C3}"/>
    <cellStyle name="Normal 4 4 3 4 2 3 2" xfId="18815" xr:uid="{0686A48E-2A88-4628-8EFC-A49CE885F430}"/>
    <cellStyle name="Normal 4 4 3 4 2 4" xfId="11268" xr:uid="{167CC1D2-CD4C-4712-A33D-4E588DE42570}"/>
    <cellStyle name="Normal 4 4 3 4 2 4 2" xfId="21648" xr:uid="{0F4F9595-CB11-459A-9B40-40764B12B937}"/>
    <cellStyle name="Normal 4 4 3 4 2 5" xfId="23485" xr:uid="{B004CFA2-89DD-4179-9F8C-5BDF9FA7BDC5}"/>
    <cellStyle name="Normal 4 4 3 4 2 6" xfId="13916" xr:uid="{944A871A-516B-42FA-94EF-A5BB54FDED7E}"/>
    <cellStyle name="Normal 4 4 3 4 3" xfId="4342" xr:uid="{7D4F83D3-ACB9-40A9-BBF0-BFDC42BC3647}"/>
    <cellStyle name="Normal 4 4 3 4 3 2" xfId="9114" xr:uid="{8B672895-02F4-46D7-BB07-6191B75ECEC7}"/>
    <cellStyle name="Normal 4 4 3 4 3 2 2" xfId="29157" xr:uid="{A8188E99-EE5E-42EB-9D07-DBEA1FB140BD}"/>
    <cellStyle name="Normal 4 4 3 4 3 2 3" xfId="19494" xr:uid="{9E0D9D45-A637-47A1-9D94-DEA945466858}"/>
    <cellStyle name="Normal 4 4 3 4 3 3" xfId="11947" xr:uid="{C37B62D0-5209-4909-91FD-D300A2FB3891}"/>
    <cellStyle name="Normal 4 4 3 4 3 3 2" xfId="22327" xr:uid="{B968BC1A-6B8E-47ED-8584-A864CEFD6B6E}"/>
    <cellStyle name="Normal 4 4 3 4 3 4" xfId="23224" xr:uid="{E16F06DC-0EB0-4FC7-9607-F13D9592841D}"/>
    <cellStyle name="Normal 4 4 3 4 3 5" xfId="16661" xr:uid="{44126946-98A6-4740-950A-C7DA3BB4B45B}"/>
    <cellStyle name="Normal 4 4 3 4 4" xfId="5298" xr:uid="{B0EF2E6D-81B5-48F8-B5FD-D81DFC1CB626}"/>
    <cellStyle name="Normal 4 4 3 4 4 2" xfId="28043" xr:uid="{6482ACAE-82B8-439A-9FFC-FDEEFD39B253}"/>
    <cellStyle name="Normal 4 4 3 4 4 3" xfId="14596" xr:uid="{05C94D4E-4FFF-4497-9FCE-11AB953A9D8B}"/>
    <cellStyle name="Normal 4 4 3 4 5" xfId="7049" xr:uid="{169A6ED1-AF28-4045-B936-96D7BAF9625C}"/>
    <cellStyle name="Normal 4 4 3 4 5 2" xfId="17429" xr:uid="{55477A33-839D-48A0-B2A9-85A0FB0C2238}"/>
    <cellStyle name="Normal 4 4 3 4 6" xfId="9882" xr:uid="{196C6DFC-AC44-49BA-89EA-E03915D11B78}"/>
    <cellStyle name="Normal 4 4 3 4 6 2" xfId="20262" xr:uid="{5DFA6B1E-FEC9-426B-83FA-6CDD2B651B13}"/>
    <cellStyle name="Normal 4 4 3 4 7" xfId="24157" xr:uid="{679951C8-21CD-4A49-8DEB-8C20A8418E6C}"/>
    <cellStyle name="Normal 4 4 3 4 8" xfId="13246" xr:uid="{BFC39E2A-444A-4AC8-87C8-4CEB439C1644}"/>
    <cellStyle name="Normal 4 4 3 5" xfId="3356" xr:uid="{00000000-0005-0000-0000-00003F060000}"/>
    <cellStyle name="Normal 4 4 3 5 2" xfId="4537" xr:uid="{8A1DAF0E-EF1C-4E08-A67F-6C06BB375A4D}"/>
    <cellStyle name="Normal 4 4 3 5 2 2" xfId="9309" xr:uid="{CAD5FF71-949E-40AB-9FA0-088DF4BD839F}"/>
    <cellStyle name="Normal 4 4 3 5 2 2 2" xfId="29286" xr:uid="{04BB506C-2A71-4BFD-9845-6C9AA9AF36AB}"/>
    <cellStyle name="Normal 4 4 3 5 2 2 3" xfId="19689" xr:uid="{1F201D51-087C-4219-9FA9-38A39C07136D}"/>
    <cellStyle name="Normal 4 4 3 5 2 3" xfId="12142" xr:uid="{99908F6F-0D6F-4271-9A75-E206ECA258FF}"/>
    <cellStyle name="Normal 4 4 3 5 2 3 2" xfId="22522" xr:uid="{CB2EB327-0AD0-446F-9664-EBA463D847E2}"/>
    <cellStyle name="Normal 4 4 3 5 2 4" xfId="25266" xr:uid="{59F5CA62-8120-4F2C-82A0-5045539D4C2C}"/>
    <cellStyle name="Normal 4 4 3 5 2 5" xfId="16856" xr:uid="{A7B407D5-A51A-41A0-9711-DBE7947E463E}"/>
    <cellStyle name="Normal 4 4 3 5 3" xfId="6414" xr:uid="{CB4A76D2-9AF0-432D-8C48-8A7BB9C8B18C}"/>
    <cellStyle name="Normal 4 4 3 5 3 2" xfId="27157" xr:uid="{0269E9CC-6336-44C0-9176-1025DBB3DCDF}"/>
    <cellStyle name="Normal 4 4 3 5 3 3" xfId="15983" xr:uid="{93FFE143-70C4-48D4-B0A9-0885E9789A11}"/>
    <cellStyle name="Normal 4 4 3 5 4" xfId="8436" xr:uid="{C59EB907-09EE-4AF8-9019-C46D350EC7AB}"/>
    <cellStyle name="Normal 4 4 3 5 4 2" xfId="18816" xr:uid="{6EC7306D-7F0A-4B8B-A8F4-A2A7C560959F}"/>
    <cellStyle name="Normal 4 4 3 5 5" xfId="11269" xr:uid="{BD58CF5E-C3B1-4856-902E-79D56DF7931B}"/>
    <cellStyle name="Normal 4 4 3 5 5 2" xfId="21649" xr:uid="{CE9BBF40-A647-4A2F-8447-89D4B662BB27}"/>
    <cellStyle name="Normal 4 4 3 5 6" xfId="23883" xr:uid="{A113E34D-D55D-4C94-B3BC-F05EF30CC8D4}"/>
    <cellStyle name="Normal 4 4 3 5 7" xfId="13917" xr:uid="{22523A95-0F8B-4172-A2CD-B835B020C780}"/>
    <cellStyle name="Normal 4 4 3 6" xfId="2938" xr:uid="{00000000-0005-0000-0000-000040060000}"/>
    <cellStyle name="Normal 4 4 3 6 2" xfId="6118" xr:uid="{DAC4F8C5-D0B8-4672-83B5-E618AEE1E164}"/>
    <cellStyle name="Normal 4 4 3 6 2 2" xfId="26027" xr:uid="{43F22F43-3278-459A-86F1-BF6E3EF45ED3}"/>
    <cellStyle name="Normal 4 4 3 6 2 3" xfId="15596" xr:uid="{4A0DFF66-2F17-4F1E-85EE-1F4F98DB0015}"/>
    <cellStyle name="Normal 4 4 3 6 3" xfId="8049" xr:uid="{94716FC5-8F13-4058-8889-0545E749DA1E}"/>
    <cellStyle name="Normal 4 4 3 6 3 2" xfId="18429" xr:uid="{F8B88A64-3EF7-435B-A3AD-B277C67767EB}"/>
    <cellStyle name="Normal 4 4 3 6 4" xfId="10882" xr:uid="{C89B3736-DD14-48BD-9BEE-2E04D4FFF3F3}"/>
    <cellStyle name="Normal 4 4 3 6 4 2" xfId="21262" xr:uid="{DB4FBF38-5967-4781-80B6-28D8D153C6A8}"/>
    <cellStyle name="Normal 4 4 3 6 5" xfId="25211" xr:uid="{8363F849-2C9F-40E3-ADF2-CEAC733F65BD}"/>
    <cellStyle name="Normal 4 4 3 6 6" xfId="13457" xr:uid="{B2CBB650-F62F-4F3D-9ED1-D997039E7260}"/>
    <cellStyle name="Normal 4 4 3 7" xfId="2474" xr:uid="{00000000-0005-0000-0000-000041060000}"/>
    <cellStyle name="Normal 4 4 3 7 2" xfId="5762" xr:uid="{04F4AD66-B574-4C00-A1F1-8D40955AE931}"/>
    <cellStyle name="Normal 4 4 3 7 2 2" xfId="27725" xr:uid="{05E38D40-B47F-4473-95C7-E575DD5E21BF}"/>
    <cellStyle name="Normal 4 4 3 7 2 3" xfId="15146" xr:uid="{E55ACBE3-7A92-459B-BB2E-4901B83E95AC}"/>
    <cellStyle name="Normal 4 4 3 7 3" xfId="7599" xr:uid="{C573B88B-0CEC-432B-9DC8-08DC4E6E5C0A}"/>
    <cellStyle name="Normal 4 4 3 7 3 2" xfId="17979" xr:uid="{2302D6E8-5E33-4D96-A441-5E5C58D74428}"/>
    <cellStyle name="Normal 4 4 3 7 4" xfId="10432" xr:uid="{221AB999-3A8B-4ACE-BD55-0D81C441226A}"/>
    <cellStyle name="Normal 4 4 3 7 4 2" xfId="20812" xr:uid="{5D18B6B0-C345-43D1-ACE3-D4A698FC58C5}"/>
    <cellStyle name="Normal 4 4 3 7 5" xfId="25516" xr:uid="{5D7CF3EF-018B-418A-9426-0D93F1C34BEF}"/>
    <cellStyle name="Normal 4 4 3 7 6" xfId="12862" xr:uid="{95CACAF6-1DCB-4CE2-8C6F-C5861D75F36F}"/>
    <cellStyle name="Normal 4 4 3 8" xfId="2228" xr:uid="{00000000-0005-0000-0000-000030060000}"/>
    <cellStyle name="Normal 4 4 3 8 2" xfId="7355" xr:uid="{6A905C87-9A3B-4A07-AB8A-4890593BF642}"/>
    <cellStyle name="Normal 4 4 3 8 2 2" xfId="17735" xr:uid="{543C0C35-BFED-4A8C-A94F-D63E5B9AE1FA}"/>
    <cellStyle name="Normal 4 4 3 8 3" xfId="10188" xr:uid="{7C8E4474-2D02-499F-823F-221C6F1866F6}"/>
    <cellStyle name="Normal 4 4 3 8 3 2" xfId="20568" xr:uid="{4F0ADA6F-04D7-4078-B371-BEF3B5039476}"/>
    <cellStyle name="Normal 4 4 3 8 4" xfId="25376" xr:uid="{5C1437F5-D43E-4C9A-B2CD-ED81A8DDE73B}"/>
    <cellStyle name="Normal 4 4 3 8 5" xfId="14902" xr:uid="{78FD2DB4-8E45-4A7F-8A47-5460CDF24FEC}"/>
    <cellStyle name="Normal 4 4 3 9" xfId="3988" xr:uid="{E3EF4A25-2BD2-4977-A5C2-BF07C1113585}"/>
    <cellStyle name="Normal 4 4 3 9 2" xfId="8812" xr:uid="{E3390F32-FEB1-4383-9E9C-3691EC5FFFA9}"/>
    <cellStyle name="Normal 4 4 3 9 2 2" xfId="19192" xr:uid="{9CAA230E-3855-44C1-A67D-E17285B6D908}"/>
    <cellStyle name="Normal 4 4 3 9 3" xfId="11645" xr:uid="{3F163151-6B58-42FF-9191-F2DC3A72ECB1}"/>
    <cellStyle name="Normal 4 4 3 9 3 2" xfId="22025" xr:uid="{800E4C39-AC10-43D6-B521-0C64FFA290AB}"/>
    <cellStyle name="Normal 4 4 3 9 4" xfId="16359" xr:uid="{DCC940C9-7269-4FEE-9495-8A70DA8BD9C5}"/>
    <cellStyle name="Normal 4 4 4" xfId="996" xr:uid="{00000000-0005-0000-0000-000096050000}"/>
    <cellStyle name="Normal 4 4 4 10" xfId="7050" xr:uid="{C7EDBE78-CBBC-4E77-85E1-B0EA1E404434}"/>
    <cellStyle name="Normal 4 4 4 10 2" xfId="17430" xr:uid="{C4658174-9C40-49D0-932A-153629210D9C}"/>
    <cellStyle name="Normal 4 4 4 11" xfId="9883" xr:uid="{0D7AAE92-58E4-4069-BAAD-BB4CDE465704}"/>
    <cellStyle name="Normal 4 4 4 11 2" xfId="20263" xr:uid="{FE144F4F-1237-49AD-979F-2F30ED9D0743}"/>
    <cellStyle name="Normal 4 4 4 12" xfId="24624" xr:uid="{D6B99D32-8AA4-4D90-8DBD-F965311751D9}"/>
    <cellStyle name="Normal 4 4 4 13" xfId="12440" xr:uid="{FDD600BA-CCB6-4777-8D78-6A0CFC90510C}"/>
    <cellStyle name="Normal 4 4 4 2" xfId="997" xr:uid="{00000000-0005-0000-0000-000097050000}"/>
    <cellStyle name="Normal 4 4 4 2 10" xfId="9884" xr:uid="{C2544300-9B7C-4D63-A209-433FAFF2B1BB}"/>
    <cellStyle name="Normal 4 4 4 2 10 2" xfId="20264" xr:uid="{454D89D9-088E-4D7B-A9A4-004194F8E69A}"/>
    <cellStyle name="Normal 4 4 4 2 11" xfId="25244" xr:uid="{755DBE33-9620-456B-8558-6BA420681A39}"/>
    <cellStyle name="Normal 4 4 4 2 12" xfId="12602" xr:uid="{317D7DEB-5229-49CD-A413-E09E43704806}"/>
    <cellStyle name="Normal 4 4 4 2 2" xfId="998" xr:uid="{00000000-0005-0000-0000-000098050000}"/>
    <cellStyle name="Normal 4 4 4 2 2 2" xfId="3358" xr:uid="{00000000-0005-0000-0000-000045060000}"/>
    <cellStyle name="Normal 4 4 4 2 2 2 2" xfId="6416" xr:uid="{03875090-6E5F-44DD-833A-6C80608078B2}"/>
    <cellStyle name="Normal 4 4 4 2 2 2 2 2" xfId="27415" xr:uid="{2A107DA5-8E44-4520-B9A3-0C79CB3B4BE1}"/>
    <cellStyle name="Normal 4 4 4 2 2 2 2 3" xfId="28108" xr:uid="{766FF5AA-D9D0-4267-A2D6-2B413820192A}"/>
    <cellStyle name="Normal 4 4 4 2 2 2 2 4" xfId="15985" xr:uid="{3EDEC9DC-1BAD-43F4-95DB-A66C7D3F005A}"/>
    <cellStyle name="Normal 4 4 4 2 2 2 3" xfId="8438" xr:uid="{81DEBED4-72AF-42F8-A26D-222CBED8B206}"/>
    <cellStyle name="Normal 4 4 4 2 2 2 3 2" xfId="28913" xr:uid="{59046FA9-E20D-42FC-8A8F-E4227D0ADEC5}"/>
    <cellStyle name="Normal 4 4 4 2 2 2 3 3" xfId="18818" xr:uid="{327CDD8B-9457-4377-A186-8ED1745D4513}"/>
    <cellStyle name="Normal 4 4 4 2 2 2 4" xfId="11271" xr:uid="{51CFC370-F3A0-464B-98B4-EBB03C9F9D6C}"/>
    <cellStyle name="Normal 4 4 4 2 2 2 4 2" xfId="21651" xr:uid="{FCEE6F84-EA65-4CF2-B6F6-CDBB8409B79D}"/>
    <cellStyle name="Normal 4 4 4 2 2 2 5" xfId="23970" xr:uid="{6579C9DC-357E-4683-808E-C8719EB303A7}"/>
    <cellStyle name="Normal 4 4 4 2 2 2 6" xfId="13919" xr:uid="{04038268-992C-4F4A-A232-EF235BA526B4}"/>
    <cellStyle name="Normal 4 4 4 2 2 3" xfId="4345" xr:uid="{0B3F94E3-2FFB-4B2E-B348-19C8D38C1109}"/>
    <cellStyle name="Normal 4 4 4 2 2 3 2" xfId="9117" xr:uid="{C51B5BA3-1795-46B3-93DC-6466DFA19D6F}"/>
    <cellStyle name="Normal 4 4 4 2 2 3 2 2" xfId="29160" xr:uid="{0BA37C82-7F31-4B7E-95E8-2EEA5A3621B4}"/>
    <cellStyle name="Normal 4 4 4 2 2 3 2 3" xfId="19497" xr:uid="{2B7C2475-5837-421D-B8D8-C0AD4F400F54}"/>
    <cellStyle name="Normal 4 4 4 2 2 3 3" xfId="11950" xr:uid="{5EF607E3-F114-438E-A977-013EA6F4F8B6}"/>
    <cellStyle name="Normal 4 4 4 2 2 3 3 2" xfId="22330" xr:uid="{DE1E38F4-A7EB-4AAD-AA00-235D4C03562C}"/>
    <cellStyle name="Normal 4 4 4 2 2 3 4" xfId="23005" xr:uid="{3EB73B3C-11A5-4348-8660-1BFC5438E94E}"/>
    <cellStyle name="Normal 4 4 4 2 2 3 5" xfId="16664" xr:uid="{3AB601D0-759A-4D76-A956-E79F8EEBE6AD}"/>
    <cellStyle name="Normal 4 4 4 2 2 4" xfId="5301" xr:uid="{B6F40529-B4B1-4694-A218-89E1C16032D1}"/>
    <cellStyle name="Normal 4 4 4 2 2 4 2" xfId="26237" xr:uid="{28A02B0F-598D-41B6-8F44-B963E986971B}"/>
    <cellStyle name="Normal 4 4 4 2 2 4 3" xfId="14599" xr:uid="{003158B8-DD79-470F-9493-4A5824D92015}"/>
    <cellStyle name="Normal 4 4 4 2 2 5" xfId="7052" xr:uid="{813813DB-D9EA-4254-98F7-FF76AA85D24F}"/>
    <cellStyle name="Normal 4 4 4 2 2 5 2" xfId="17432" xr:uid="{4E2E89F7-34E3-43A6-A6DB-9EC0660C511E}"/>
    <cellStyle name="Normal 4 4 4 2 2 6" xfId="9885" xr:uid="{D37245F8-80AD-4059-8292-4C422DCA8EF6}"/>
    <cellStyle name="Normal 4 4 4 2 2 6 2" xfId="20265" xr:uid="{DF08AAFB-E7E5-497E-9BC1-7D22BF52ED72}"/>
    <cellStyle name="Normal 4 4 4 2 2 7" xfId="22692" xr:uid="{698C1711-3145-47CF-B9B8-41766CD035E6}"/>
    <cellStyle name="Normal 4 4 4 2 2 8" xfId="13250" xr:uid="{F7631C25-4395-4C75-9604-187F6D7A00F4}"/>
    <cellStyle name="Normal 4 4 4 2 3" xfId="3359" xr:uid="{00000000-0005-0000-0000-000046060000}"/>
    <cellStyle name="Normal 4 4 4 2 3 2" xfId="4538" xr:uid="{6C592024-E6C0-4BA9-A6C4-3A387FCA3D0F}"/>
    <cellStyle name="Normal 4 4 4 2 3 2 2" xfId="9310" xr:uid="{C6C96E63-FAE4-4FA8-8BCE-9E3954748629}"/>
    <cellStyle name="Normal 4 4 4 2 3 2 2 2" xfId="29287" xr:uid="{722FD663-4CC9-481F-9761-D61B64D26F4F}"/>
    <cellStyle name="Normal 4 4 4 2 3 2 2 3" xfId="19690" xr:uid="{A797533B-0B78-43A6-BB75-FE0103340D18}"/>
    <cellStyle name="Normal 4 4 4 2 3 2 3" xfId="12143" xr:uid="{83EF80AA-773B-4C80-AD96-03CE0E217BA2}"/>
    <cellStyle name="Normal 4 4 4 2 3 2 3 2" xfId="22523" xr:uid="{843DC306-8A7A-44D2-B7D0-6F75C703E697}"/>
    <cellStyle name="Normal 4 4 4 2 3 2 4" xfId="25029" xr:uid="{E337B512-1A3F-4BE0-A402-BE5A32D9B531}"/>
    <cellStyle name="Normal 4 4 4 2 3 2 5" xfId="16857" xr:uid="{F0C4DF11-AE9A-4EA8-AA94-AE2F06721B06}"/>
    <cellStyle name="Normal 4 4 4 2 3 3" xfId="6417" xr:uid="{6AA0058B-163A-43B1-BF97-8F9AB6566545}"/>
    <cellStyle name="Normal 4 4 4 2 3 3 2" xfId="28460" xr:uid="{8BCAE36E-3244-4F56-A696-61B2998E5499}"/>
    <cellStyle name="Normal 4 4 4 2 3 3 3" xfId="15986" xr:uid="{6AC2A3E9-7F45-4EF9-8304-D1EB3F06F742}"/>
    <cellStyle name="Normal 4 4 4 2 3 4" xfId="8439" xr:uid="{05322411-0D9D-457F-8699-F75A702D7B11}"/>
    <cellStyle name="Normal 4 4 4 2 3 4 2" xfId="18819" xr:uid="{297C8E3D-ADA5-4FF7-BE81-5DCE5B75A70E}"/>
    <cellStyle name="Normal 4 4 4 2 3 5" xfId="11272" xr:uid="{9446F13C-0682-450A-8B07-2F76361B7A4E}"/>
    <cellStyle name="Normal 4 4 4 2 3 5 2" xfId="21652" xr:uid="{B7020106-92DF-4608-AEC6-11E2C53A6FD3}"/>
    <cellStyle name="Normal 4 4 4 2 3 6" xfId="23114" xr:uid="{F6400042-C5B9-4CD0-BBAD-F179BC62A198}"/>
    <cellStyle name="Normal 4 4 4 2 3 7" xfId="13920" xr:uid="{7A6FAA70-C76F-4F6E-848A-AA747600E6E3}"/>
    <cellStyle name="Normal 4 4 4 2 4" xfId="3357" xr:uid="{00000000-0005-0000-0000-000047060000}"/>
    <cellStyle name="Normal 4 4 4 2 4 2" xfId="6415" xr:uid="{23355853-80A7-4A78-A41B-E45AA896A13D}"/>
    <cellStyle name="Normal 4 4 4 2 4 2 2" xfId="28113" xr:uid="{F127CEAD-9991-4F39-B678-176E526676D4}"/>
    <cellStyle name="Normal 4 4 4 2 4 2 3" xfId="15984" xr:uid="{FAF76BCB-D658-4156-9F72-9A8697882695}"/>
    <cellStyle name="Normal 4 4 4 2 4 3" xfId="8437" xr:uid="{7B236C5C-734C-4965-B2CE-BDBF780D9809}"/>
    <cellStyle name="Normal 4 4 4 2 4 3 2" xfId="18817" xr:uid="{D95EB734-FD68-4B4B-B266-2EC15198E1D9}"/>
    <cellStyle name="Normal 4 4 4 2 4 4" xfId="11270" xr:uid="{30724C10-8100-409A-B817-4823F50D671E}"/>
    <cellStyle name="Normal 4 4 4 2 4 4 2" xfId="21650" xr:uid="{B65EB3B9-7E98-40E8-BC01-369943033362}"/>
    <cellStyle name="Normal 4 4 4 2 4 5" xfId="23004" xr:uid="{FEA1E906-64FF-477F-9484-405B5D1B794A}"/>
    <cellStyle name="Normal 4 4 4 2 4 6" xfId="13918" xr:uid="{9482425E-F774-44A7-B2ED-6B6EE1893FB1}"/>
    <cellStyle name="Normal 4 4 4 2 5" xfId="2617" xr:uid="{00000000-0005-0000-0000-000048060000}"/>
    <cellStyle name="Normal 4 4 4 2 5 2" xfId="5879" xr:uid="{33825492-25B5-435A-917F-DF36DD52F69F}"/>
    <cellStyle name="Normal 4 4 4 2 5 2 2" xfId="28647" xr:uid="{12A95FD4-41F3-4CB7-932A-F8854F50C05D}"/>
    <cellStyle name="Normal 4 4 4 2 5 2 3" xfId="15289" xr:uid="{AFC81E78-B694-4FF6-B936-15FE27118288}"/>
    <cellStyle name="Normal 4 4 4 2 5 3" xfId="7742" xr:uid="{35232396-C4CC-4A08-9C67-964A44A0B0F5}"/>
    <cellStyle name="Normal 4 4 4 2 5 3 2" xfId="18122" xr:uid="{B6CE81D5-60BE-4F7A-9E73-E26308BEA637}"/>
    <cellStyle name="Normal 4 4 4 2 5 4" xfId="10575" xr:uid="{1B794C2B-1150-434B-85D5-01106D15398A}"/>
    <cellStyle name="Normal 4 4 4 2 5 4 2" xfId="20955" xr:uid="{A478C077-071A-46C1-9A5D-904B27385D3D}"/>
    <cellStyle name="Normal 4 4 4 2 5 5" xfId="23193" xr:uid="{8BEBB367-103D-4B1A-8995-B086E2583F9D}"/>
    <cellStyle name="Normal 4 4 4 2 5 6" xfId="13005" xr:uid="{A60375D1-5A3A-4503-B222-2600E2ADFD57}"/>
    <cellStyle name="Normal 4 4 4 2 6" xfId="2368" xr:uid="{00000000-0005-0000-0000-000043060000}"/>
    <cellStyle name="Normal 4 4 4 2 6 2" xfId="7495" xr:uid="{8808D859-AFD6-4F47-BF56-55B490B67563}"/>
    <cellStyle name="Normal 4 4 4 2 6 2 2" xfId="17875" xr:uid="{EFD93F5E-27EE-4326-B314-D61FA627E15F}"/>
    <cellStyle name="Normal 4 4 4 2 6 3" xfId="10328" xr:uid="{59ADA348-4017-4F47-AF30-6D76FA1F83F0}"/>
    <cellStyle name="Normal 4 4 4 2 6 3 2" xfId="20708" xr:uid="{F5854A93-6CCD-4D0A-9D7E-F813AC8B912E}"/>
    <cellStyle name="Normal 4 4 4 2 6 4" xfId="24317" xr:uid="{2C2BA283-8368-40A7-A7D6-1DF17894BA38}"/>
    <cellStyle name="Normal 4 4 4 2 6 5" xfId="15042" xr:uid="{FF33693C-B094-4380-95E9-3BEBAB21CEB7}"/>
    <cellStyle name="Normal 4 4 4 2 7" xfId="3903" xr:uid="{3CF4A500-B3E0-4AE2-981C-1CFFF06BCB70}"/>
    <cellStyle name="Normal 4 4 4 2 7 2" xfId="8735" xr:uid="{84D55116-D32B-4F3F-A3B2-025EAF3A323B}"/>
    <cellStyle name="Normal 4 4 4 2 7 2 2" xfId="19115" xr:uid="{CF8D7CE0-0912-4DBC-8FF5-7FFB36BF357D}"/>
    <cellStyle name="Normal 4 4 4 2 7 3" xfId="11568" xr:uid="{8AACB377-32CA-47EB-BE8A-762FBFB8EA64}"/>
    <cellStyle name="Normal 4 4 4 2 7 3 2" xfId="21948" xr:uid="{9075AC60-42C0-4533-B8A0-D752A7D07D1D}"/>
    <cellStyle name="Normal 4 4 4 2 7 4" xfId="16282" xr:uid="{95389B44-4309-4BC8-8D3C-A340EBF746B7}"/>
    <cellStyle name="Normal 4 4 4 2 8" xfId="5300" xr:uid="{1341A64F-6777-4FF1-9766-E908731CD750}"/>
    <cellStyle name="Normal 4 4 4 2 8 2" xfId="14598" xr:uid="{3D161FB4-19CB-4C08-B57D-D32DCEE28B32}"/>
    <cellStyle name="Normal 4 4 4 2 9" xfId="7051" xr:uid="{0093FB22-402C-4E22-BBED-493F2DDF5C82}"/>
    <cellStyle name="Normal 4 4 4 2 9 2" xfId="17431" xr:uid="{A0BC1E9E-0F8E-459B-AA01-3A63550230D3}"/>
    <cellStyle name="Normal 4 4 4 3" xfId="999" xr:uid="{00000000-0005-0000-0000-000099050000}"/>
    <cellStyle name="Normal 4 4 4 3 2" xfId="3360" xr:uid="{00000000-0005-0000-0000-00004A060000}"/>
    <cellStyle name="Normal 4 4 4 3 2 2" xfId="6418" xr:uid="{EF36B197-7777-4FDF-AEA2-8F5B89E9B752}"/>
    <cellStyle name="Normal 4 4 4 3 2 2 2" xfId="24358" xr:uid="{3070BF9F-455E-4C20-BB12-28F81AE11C96}"/>
    <cellStyle name="Normal 4 4 4 3 2 2 3" xfId="27506" xr:uid="{FDAED2D3-C308-4D07-8CB8-832ABFE1FFAA}"/>
    <cellStyle name="Normal 4 4 4 3 2 2 4" xfId="15987" xr:uid="{18C9191D-C427-4466-9D49-FA8BB378B91F}"/>
    <cellStyle name="Normal 4 4 4 3 2 3" xfId="8440" xr:uid="{9A5E3006-8ED1-4BA3-B888-ACF2AFE02C90}"/>
    <cellStyle name="Normal 4 4 4 3 2 3 2" xfId="28914" xr:uid="{D289254B-F133-4E78-81C9-4FE6B12FEEAD}"/>
    <cellStyle name="Normal 4 4 4 3 2 3 3" xfId="18820" xr:uid="{6E427F0D-995F-4EFD-AA7C-868FC2D13D79}"/>
    <cellStyle name="Normal 4 4 4 3 2 4" xfId="11273" xr:uid="{C959BA1D-45C3-4CBE-95EC-63870B9EAEE3}"/>
    <cellStyle name="Normal 4 4 4 3 2 4 2" xfId="21653" xr:uid="{68C168EE-973D-4DD6-B0ED-252385BB05DE}"/>
    <cellStyle name="Normal 4 4 4 3 2 5" xfId="24085" xr:uid="{648B5734-43DF-47B8-94AB-7B939DF0D284}"/>
    <cellStyle name="Normal 4 4 4 3 2 6" xfId="13921" xr:uid="{BCFA1EE3-744B-495B-892C-6BC66199C631}"/>
    <cellStyle name="Normal 4 4 4 3 3" xfId="2790" xr:uid="{00000000-0005-0000-0000-00004B060000}"/>
    <cellStyle name="Normal 4 4 4 3 3 2" xfId="6008" xr:uid="{95E61078-FB29-4C07-B9E5-FDA436C0E0C6}"/>
    <cellStyle name="Normal 4 4 4 3 3 2 2" xfId="26585" xr:uid="{2C82A59E-33E1-4421-A1FC-2EBE935B4ED8}"/>
    <cellStyle name="Normal 4 4 4 3 3 2 3" xfId="15461" xr:uid="{238BF7DF-13F3-46F9-9D9F-73CA532FC1DA}"/>
    <cellStyle name="Normal 4 4 4 3 3 3" xfId="7914" xr:uid="{0A713D77-728E-4A0A-B24A-81E84B27D68C}"/>
    <cellStyle name="Normal 4 4 4 3 3 3 2" xfId="18294" xr:uid="{6F660398-876E-4C90-A8BF-E7FF7BB518D4}"/>
    <cellStyle name="Normal 4 4 4 3 3 4" xfId="10747" xr:uid="{9590D4EC-AB45-469F-9D72-29B273297575}"/>
    <cellStyle name="Normal 4 4 4 3 3 4 2" xfId="21127" xr:uid="{D48D81C7-E343-4E2E-9532-C38DE0581C14}"/>
    <cellStyle name="Normal 4 4 4 3 3 5" xfId="24409" xr:uid="{C51E5AEC-B189-445D-A2C7-0E691DE2A0E4}"/>
    <cellStyle name="Normal 4 4 4 3 3 6" xfId="13249" xr:uid="{334BB120-5E5A-4C8B-AE73-AAF022AD44AE}"/>
    <cellStyle name="Normal 4 4 4 3 4" xfId="4196" xr:uid="{F1121B20-CEB1-41F1-BA26-3F0D5DDF91BF}"/>
    <cellStyle name="Normal 4 4 4 3 4 2" xfId="8968" xr:uid="{33353A15-1115-4ECC-9A78-82C9DEA231AE}"/>
    <cellStyle name="Normal 4 4 4 3 4 2 2" xfId="29052" xr:uid="{58F58315-0D2F-4E36-8DE9-E69163B7E633}"/>
    <cellStyle name="Normal 4 4 4 3 4 2 3" xfId="19348" xr:uid="{08C5529B-46A8-4265-AF4B-73ACC32FFD23}"/>
    <cellStyle name="Normal 4 4 4 3 4 3" xfId="11801" xr:uid="{2D458C5F-5EEE-419C-9490-F08D1F28FF2E}"/>
    <cellStyle name="Normal 4 4 4 3 4 3 2" xfId="22181" xr:uid="{13DA5644-7E85-4460-BE72-9AF8C8A93061}"/>
    <cellStyle name="Normal 4 4 4 3 4 4" xfId="22719" xr:uid="{1E103680-36F1-4460-8DE2-BCEAE104A888}"/>
    <cellStyle name="Normal 4 4 4 3 4 5" xfId="16515" xr:uid="{B32F69D1-5E44-4D9A-A7DA-11119775A014}"/>
    <cellStyle name="Normal 4 4 4 3 5" xfId="5302" xr:uid="{26D8D285-4BD4-42C3-814B-D5E76D472217}"/>
    <cellStyle name="Normal 4 4 4 3 5 2" xfId="28583" xr:uid="{FD7291A3-5A85-446F-AAA8-EADA62D85BD7}"/>
    <cellStyle name="Normal 4 4 4 3 5 3" xfId="14600" xr:uid="{8BCF75F2-EFBF-464C-820C-50E2DDF40C47}"/>
    <cellStyle name="Normal 4 4 4 3 6" xfId="7053" xr:uid="{F9A011E1-01BB-41C3-93B9-100A91510B54}"/>
    <cellStyle name="Normal 4 4 4 3 6 2" xfId="17433" xr:uid="{1A2FCC99-9A97-403C-971D-8D906980A398}"/>
    <cellStyle name="Normal 4 4 4 3 7" xfId="9886" xr:uid="{33CBCAA6-CE80-4B7E-A27B-E5A0EF03059A}"/>
    <cellStyle name="Normal 4 4 4 3 7 2" xfId="20266" xr:uid="{B739B518-4225-4A2D-A54D-1F1F17AB9887}"/>
    <cellStyle name="Normal 4 4 4 3 8" xfId="24764" xr:uid="{CE7969E2-243A-4991-BF98-03934FF15AF2}"/>
    <cellStyle name="Normal 4 4 4 3 9" xfId="12760" xr:uid="{9BB78BC4-A0D4-45A9-B779-47B542FC8BDE}"/>
    <cellStyle name="Normal 4 4 4 4" xfId="1000" xr:uid="{00000000-0005-0000-0000-00009A050000}"/>
    <cellStyle name="Normal 4 4 4 4 2" xfId="4539" xr:uid="{40DC97A7-EFEC-4AFF-8A63-2DE337282EEB}"/>
    <cellStyle name="Normal 4 4 4 4 2 2" xfId="9311" xr:uid="{0494D8E1-F902-4156-BE81-8D8B6E4D57C7}"/>
    <cellStyle name="Normal 4 4 4 4 2 2 2" xfId="29288" xr:uid="{4E8DAD54-7AA9-4797-9C24-9A650D8CB110}"/>
    <cellStyle name="Normal 4 4 4 4 2 2 3" xfId="19691" xr:uid="{D2B72895-373F-472F-AA24-DFC2EFC23C45}"/>
    <cellStyle name="Normal 4 4 4 4 2 3" xfId="12144" xr:uid="{4FC85916-88D8-4513-8180-248E7D47A6A5}"/>
    <cellStyle name="Normal 4 4 4 4 2 3 2" xfId="22524" xr:uid="{F04625F9-D5CC-4A3C-88D0-AA3C4FB2FA89}"/>
    <cellStyle name="Normal 4 4 4 4 2 4" xfId="25002" xr:uid="{13C1ABF9-9831-400B-8E57-98B05C393A51}"/>
    <cellStyle name="Normal 4 4 4 4 2 5" xfId="16858" xr:uid="{93A21151-956D-4EAD-A21D-18CBE156C7FD}"/>
    <cellStyle name="Normal 4 4 4 4 3" xfId="5303" xr:uid="{B1C309C8-6158-462A-BC6A-39E1933C118C}"/>
    <cellStyle name="Normal 4 4 4 4 3 2" xfId="27253" xr:uid="{6833989B-6348-47FF-818F-5372255DABFF}"/>
    <cellStyle name="Normal 4 4 4 4 3 3" xfId="14601" xr:uid="{6A2FA2C5-145A-4A4D-A081-0C65923EA226}"/>
    <cellStyle name="Normal 4 4 4 4 4" xfId="7054" xr:uid="{5E8FAC5F-71C8-4B72-BBAF-40664B6F0139}"/>
    <cellStyle name="Normal 4 4 4 4 4 2" xfId="17434" xr:uid="{5956EB13-1F99-4810-AA12-F694AFF457BC}"/>
    <cellStyle name="Normal 4 4 4 4 5" xfId="9887" xr:uid="{5FEA5465-80B1-4F65-81A4-A0D8F4AE1FFD}"/>
    <cellStyle name="Normal 4 4 4 4 5 2" xfId="20267" xr:uid="{77EEE273-1844-4963-886E-62ADB1BE98B3}"/>
    <cellStyle name="Normal 4 4 4 4 6" xfId="24314" xr:uid="{EF200C13-1907-4CFE-876F-33E195346D9F}"/>
    <cellStyle name="Normal 4 4 4 4 7" xfId="13922" xr:uid="{5D0D793A-53DE-4DF1-8764-15253F1951D4}"/>
    <cellStyle name="Normal 4 4 4 5" xfId="2939" xr:uid="{00000000-0005-0000-0000-00004D060000}"/>
    <cellStyle name="Normal 4 4 4 5 2" xfId="6119" xr:uid="{F66C619A-2CAC-410A-9256-818C85270A5E}"/>
    <cellStyle name="Normal 4 4 4 5 2 2" xfId="23908" xr:uid="{ECE91F37-C94C-4C62-B4F6-71DC1DC279E9}"/>
    <cellStyle name="Normal 4 4 4 5 2 3" xfId="26448" xr:uid="{CDB1F90C-B5A8-448C-B98A-27F3C5A43FF9}"/>
    <cellStyle name="Normal 4 4 4 5 2 4" xfId="15597" xr:uid="{1403C9B5-01B1-4946-86B2-6DED425ABC8F}"/>
    <cellStyle name="Normal 4 4 4 5 3" xfId="8050" xr:uid="{970FAA52-611A-4954-853F-D0ED3EE406BD}"/>
    <cellStyle name="Normal 4 4 4 5 3 2" xfId="28755" xr:uid="{1A902706-A498-4277-9E62-C751294506B3}"/>
    <cellStyle name="Normal 4 4 4 5 3 3" xfId="18430" xr:uid="{789A6F01-BDCB-49E4-8410-AA4F139DDE1E}"/>
    <cellStyle name="Normal 4 4 4 5 4" xfId="10883" xr:uid="{7B73EF1F-0DF8-4C67-9A50-E91B64C2867C}"/>
    <cellStyle name="Normal 4 4 4 5 4 2" xfId="21263" xr:uid="{FD611D95-78A3-4EE2-9927-46CEFD0025A1}"/>
    <cellStyle name="Normal 4 4 4 5 5" xfId="23994" xr:uid="{1BB774CB-2475-4D4E-ACDF-D608B77C3D12}"/>
    <cellStyle name="Normal 4 4 4 5 6" xfId="13458" xr:uid="{881F866B-C540-4C52-B006-F4F95350F7A5}"/>
    <cellStyle name="Normal 4 4 4 6" xfId="2454" xr:uid="{00000000-0005-0000-0000-00004E060000}"/>
    <cellStyle name="Normal 4 4 4 6 2" xfId="5746" xr:uid="{53A72FD4-2156-487B-9E14-8A5AE2F690C6}"/>
    <cellStyle name="Normal 4 4 4 6 2 2" xfId="26508" xr:uid="{3D30474E-7C03-4D01-95CC-84AE7DAC330D}"/>
    <cellStyle name="Normal 4 4 4 6 2 3" xfId="15126" xr:uid="{9ED9DA40-6B69-4083-AC75-8061A2FA2246}"/>
    <cellStyle name="Normal 4 4 4 6 3" xfId="7579" xr:uid="{CD32499E-F957-46D1-A227-04F7752BF8EB}"/>
    <cellStyle name="Normal 4 4 4 6 3 2" xfId="17959" xr:uid="{5A14481B-CFDC-460B-9FD8-9E0E00EBE5FB}"/>
    <cellStyle name="Normal 4 4 4 6 4" xfId="10412" xr:uid="{42512874-7CC1-4149-908D-506BCD2C29DA}"/>
    <cellStyle name="Normal 4 4 4 6 4 2" xfId="20792" xr:uid="{47521CC3-FF20-4DED-BD47-0781D0D359F5}"/>
    <cellStyle name="Normal 4 4 4 6 5" xfId="25520" xr:uid="{28EFAA7B-5092-4738-B6D0-1E6C65227573}"/>
    <cellStyle name="Normal 4 4 4 6 6" xfId="12842" xr:uid="{4461657B-C7B1-4A5E-88F2-8DD171F38710}"/>
    <cellStyle name="Normal 4 4 4 7" xfId="2208" xr:uid="{00000000-0005-0000-0000-000042060000}"/>
    <cellStyle name="Normal 4 4 4 7 2" xfId="7335" xr:uid="{B38A0759-A4BD-40D7-8CB4-2F5033E2E40F}"/>
    <cellStyle name="Normal 4 4 4 7 2 2" xfId="17715" xr:uid="{ECA286C6-441E-452C-9375-FA7C7E525C61}"/>
    <cellStyle name="Normal 4 4 4 7 3" xfId="10168" xr:uid="{6D7A39DA-7FE7-417A-870F-9781090D11A3}"/>
    <cellStyle name="Normal 4 4 4 7 3 2" xfId="20548" xr:uid="{A4BECFF5-4159-4887-B7F0-434CBC23D0FE}"/>
    <cellStyle name="Normal 4 4 4 7 4" xfId="23398" xr:uid="{485C1E1D-C2FB-48B6-8826-2BB7DFBE3364}"/>
    <cellStyle name="Normal 4 4 4 7 5" xfId="14882" xr:uid="{A6DFB3F5-1D5A-4872-A120-85A7BD096F16}"/>
    <cellStyle name="Normal 4 4 4 8" xfId="3989" xr:uid="{8CD16E0F-DA36-42CE-A34D-ED6AF1FE0895}"/>
    <cellStyle name="Normal 4 4 4 8 2" xfId="8813" xr:uid="{32E12176-7258-4154-A73E-B50821AC7B1A}"/>
    <cellStyle name="Normal 4 4 4 8 2 2" xfId="19193" xr:uid="{58F8214F-97C5-436E-B51A-96BADBE2730D}"/>
    <cellStyle name="Normal 4 4 4 8 3" xfId="11646" xr:uid="{7DEE0DDE-B74F-49B8-BFC0-32E5073415E7}"/>
    <cellStyle name="Normal 4 4 4 8 3 2" xfId="22026" xr:uid="{B885DA79-08FA-4705-AD66-CCDCBB227D49}"/>
    <cellStyle name="Normal 4 4 4 8 4" xfId="16360" xr:uid="{ABFCD0AC-F0DA-4C64-A82C-4EF2D27FFBBE}"/>
    <cellStyle name="Normal 4 4 4 9" xfId="5299" xr:uid="{EF5C3EB4-638F-445E-A79E-41DEB3B50A4C}"/>
    <cellStyle name="Normal 4 4 4 9 2" xfId="14597" xr:uid="{7D3033D7-2B29-4887-9509-AC9C23F1FE5B}"/>
    <cellStyle name="Normal 4 4 5" xfId="1001" xr:uid="{00000000-0005-0000-0000-00009B050000}"/>
    <cellStyle name="Normal 4 4 5 10" xfId="9888" xr:uid="{16F5F45C-D235-49B7-94DE-A3E2C2D06838}"/>
    <cellStyle name="Normal 4 4 5 10 2" xfId="20268" xr:uid="{242E4335-78F5-4F5F-9ABA-CC9C49C6DC96}"/>
    <cellStyle name="Normal 4 4 5 11" xfId="24926" xr:uid="{7998F79C-D3E2-49A1-A95A-98AC8C432774}"/>
    <cellStyle name="Normal 4 4 5 12" xfId="12603" xr:uid="{68B74E87-9871-4A40-87AE-ACC328289E58}"/>
    <cellStyle name="Normal 4 4 5 2" xfId="1002" xr:uid="{00000000-0005-0000-0000-00009C050000}"/>
    <cellStyle name="Normal 4 4 5 2 2" xfId="1003" xr:uid="{00000000-0005-0000-0000-00009D050000}"/>
    <cellStyle name="Normal 4 4 5 2 2 2" xfId="5306" xr:uid="{DD7857A8-D175-4583-AE4A-26DD2B7F5062}"/>
    <cellStyle name="Normal 4 4 5 2 2 2 2" xfId="25702" xr:uid="{88AC2463-1BB3-42E3-9D48-8398256D4AF6}"/>
    <cellStyle name="Normal 4 4 5 2 2 2 3" xfId="26828" xr:uid="{46B3AC03-328A-4440-A341-F5CB77FE611F}"/>
    <cellStyle name="Normal 4 4 5 2 2 2 4" xfId="14604" xr:uid="{E3723172-F2EA-4EFD-BC2F-2C970FA713A4}"/>
    <cellStyle name="Normal 4 4 5 2 2 3" xfId="7057" xr:uid="{DDA45C04-3CFE-4ABA-84CD-152D16D7CC78}"/>
    <cellStyle name="Normal 4 4 5 2 2 3 2" xfId="27634" xr:uid="{BDBB6237-0921-42FE-8629-80819553752C}"/>
    <cellStyle name="Normal 4 4 5 2 2 3 3" xfId="28073" xr:uid="{7C5B4288-D4C8-47CC-B70F-A18C7C11D12F}"/>
    <cellStyle name="Normal 4 4 5 2 2 3 4" xfId="17437" xr:uid="{0AF1FA6A-7CE4-4E51-9CB2-924344A4D2C5}"/>
    <cellStyle name="Normal 4 4 5 2 2 4" xfId="9890" xr:uid="{9093B250-F6EE-4859-9F00-A4653F8B99CD}"/>
    <cellStyle name="Normal 4 4 5 2 2 4 2" xfId="29425" xr:uid="{0CD80B09-EF99-4B7F-AB69-5810AA88D4E4}"/>
    <cellStyle name="Normal 4 4 5 2 2 4 3" xfId="20270" xr:uid="{75EACD12-2681-422C-AC08-3CB872F5B78D}"/>
    <cellStyle name="Normal 4 4 5 2 2 5" xfId="25255" xr:uid="{147C0FE4-3A21-4E94-9914-1B4814A4D8B1}"/>
    <cellStyle name="Normal 4 4 5 2 2 6" xfId="13923" xr:uid="{07E36866-7C18-4DD0-B284-0EF3D8727234}"/>
    <cellStyle name="Normal 4 4 5 2 3" xfId="2791" xr:uid="{00000000-0005-0000-0000-000052060000}"/>
    <cellStyle name="Normal 4 4 5 2 3 2" xfId="6009" xr:uid="{CE7AFD0E-8092-4DA3-80F8-8FA81744DA66}"/>
    <cellStyle name="Normal 4 4 5 2 3 2 2" xfId="27205" xr:uid="{B2E27831-7E3C-49D0-9011-0B7B44A0E7CE}"/>
    <cellStyle name="Normal 4 4 5 2 3 2 3" xfId="15462" xr:uid="{917B7BE5-EDBF-473D-AFC2-BA32433A78DD}"/>
    <cellStyle name="Normal 4 4 5 2 3 3" xfId="7915" xr:uid="{EA3B60D5-C874-427B-8716-9D53F5F4FB6E}"/>
    <cellStyle name="Normal 4 4 5 2 3 3 2" xfId="18295" xr:uid="{B17C187E-B186-4CB5-83C8-40E34B0FA39F}"/>
    <cellStyle name="Normal 4 4 5 2 3 4" xfId="10748" xr:uid="{BDE02073-8405-44C1-BC1B-B051ADC26AA9}"/>
    <cellStyle name="Normal 4 4 5 2 3 4 2" xfId="21128" xr:uid="{F99F29C8-8C7E-4F3E-86C8-704FA96D7231}"/>
    <cellStyle name="Normal 4 4 5 2 3 5" xfId="25480" xr:uid="{A91A1B21-AD46-4711-9B50-CA06B4675BB3}"/>
    <cellStyle name="Normal 4 4 5 2 3 6" xfId="13251" xr:uid="{969C48FF-68B7-4182-A723-66124E589D51}"/>
    <cellStyle name="Normal 4 4 5 2 4" xfId="4197" xr:uid="{99BFB79F-B4CF-4F3B-AAE0-35DF005617EE}"/>
    <cellStyle name="Normal 4 4 5 2 4 2" xfId="8969" xr:uid="{57CE870F-D132-458D-A873-BDB54D8DF4DB}"/>
    <cellStyle name="Normal 4 4 5 2 4 2 2" xfId="29053" xr:uid="{4CF38B8C-6BC1-4C32-B00A-D2DFCB03C3D3}"/>
    <cellStyle name="Normal 4 4 5 2 4 2 3" xfId="19349" xr:uid="{EFDE5DC0-FBAC-409F-A800-8830F172B514}"/>
    <cellStyle name="Normal 4 4 5 2 4 3" xfId="11802" xr:uid="{99DF6630-E4B6-4123-81D2-8F0F5B6EB153}"/>
    <cellStyle name="Normal 4 4 5 2 4 3 2" xfId="22182" xr:uid="{13945A86-9CA3-42D3-9554-8748E71DA122}"/>
    <cellStyle name="Normal 4 4 5 2 4 4" xfId="24717" xr:uid="{45D4E709-B390-40F3-A9F2-4EFA576767BD}"/>
    <cellStyle name="Normal 4 4 5 2 4 5" xfId="16516" xr:uid="{EE3A76F2-C586-4F5F-86EC-2C80C357EE49}"/>
    <cellStyle name="Normal 4 4 5 2 5" xfId="5305" xr:uid="{7D73C64A-02AC-4435-9EEB-01CCDC2B77C3}"/>
    <cellStyle name="Normal 4 4 5 2 5 2" xfId="27879" xr:uid="{AE1F5D17-E54A-4D73-A1CA-3D24092FF178}"/>
    <cellStyle name="Normal 4 4 5 2 5 3" xfId="14603" xr:uid="{3FBA9A7A-34D1-4BE1-AC5D-2344FF63AEBC}"/>
    <cellStyle name="Normal 4 4 5 2 6" xfId="7056" xr:uid="{A37449EC-D562-42CE-A322-BD1E226405CD}"/>
    <cellStyle name="Normal 4 4 5 2 6 2" xfId="17436" xr:uid="{4E6D09B3-DEBE-405E-8E6E-A21E5E93C3EC}"/>
    <cellStyle name="Normal 4 4 5 2 7" xfId="9889" xr:uid="{2829D9F3-BBFF-4808-8252-16EA7EF502D5}"/>
    <cellStyle name="Normal 4 4 5 2 7 2" xfId="20269" xr:uid="{E754C17D-384F-4DDB-B7AC-967A21976FDC}"/>
    <cellStyle name="Normal 4 4 5 2 8" xfId="23290" xr:uid="{40574334-C0E6-4AC8-9B36-A66A8ED60D16}"/>
    <cellStyle name="Normal 4 4 5 2 9" xfId="12761" xr:uid="{F71B41F8-EF3C-4354-A8B2-90D485F75089}"/>
    <cellStyle name="Normal 4 4 5 3" xfId="1004" xr:uid="{00000000-0005-0000-0000-00009E050000}"/>
    <cellStyle name="Normal 4 4 5 3 2" xfId="4540" xr:uid="{2D7A0363-1FAA-4900-BE5D-48C700B5EE01}"/>
    <cellStyle name="Normal 4 4 5 3 2 2" xfId="9312" xr:uid="{69106FA5-8C7B-440D-83A5-AAE9C0C78835}"/>
    <cellStyle name="Normal 4 4 5 3 2 2 2" xfId="29289" xr:uid="{15B04334-15F1-43F6-9C0D-10DCC12795BB}"/>
    <cellStyle name="Normal 4 4 5 3 2 2 3" xfId="19692" xr:uid="{1DF4B71A-C5D4-44B2-A4DB-7A8A1E776D25}"/>
    <cellStyle name="Normal 4 4 5 3 2 3" xfId="12145" xr:uid="{6335F738-FD50-42ED-A853-A2D84AF1A9D0}"/>
    <cellStyle name="Normal 4 4 5 3 2 3 2" xfId="22525" xr:uid="{920126DA-F2B6-43E5-AA97-3404A9EE20D1}"/>
    <cellStyle name="Normal 4 4 5 3 2 4" xfId="24984" xr:uid="{25B352C5-A39F-4314-AEA7-AC6027891DE1}"/>
    <cellStyle name="Normal 4 4 5 3 2 5" xfId="16859" xr:uid="{20753686-122A-46A3-9245-4C0AEAE8699F}"/>
    <cellStyle name="Normal 4 4 5 3 3" xfId="5307" xr:uid="{6D6DA234-9AC1-4169-8BDF-3211187845B4}"/>
    <cellStyle name="Normal 4 4 5 3 3 2" xfId="23674" xr:uid="{3569FF17-3CBD-44DF-9D8F-B5F201627365}"/>
    <cellStyle name="Normal 4 4 5 3 3 3" xfId="26268" xr:uid="{F35D419D-FB03-41DC-B447-33C7AA09F0CF}"/>
    <cellStyle name="Normal 4 4 5 3 3 4" xfId="14605" xr:uid="{A6B424B6-5E71-4A74-8405-8FB97525D24A}"/>
    <cellStyle name="Normal 4 4 5 3 4" xfId="7058" xr:uid="{6CAF7BEF-5982-4DCA-96C9-6B7C80EE4025}"/>
    <cellStyle name="Normal 4 4 5 3 4 2" xfId="25765" xr:uid="{B1B1A273-EC73-4488-B4F3-7D71FDBDDA94}"/>
    <cellStyle name="Normal 4 4 5 3 4 3" xfId="25993" xr:uid="{DB5899AB-E747-43BC-86FA-CBA26A860066}"/>
    <cellStyle name="Normal 4 4 5 3 4 4" xfId="17438" xr:uid="{D80B1D8F-93B5-4435-A434-75FD9D8D7E10}"/>
    <cellStyle name="Normal 4 4 5 3 5" xfId="9891" xr:uid="{90F7CBB5-02A5-4AA1-9BD0-5D8D35B415DC}"/>
    <cellStyle name="Normal 4 4 5 3 5 2" xfId="29426" xr:uid="{A13EEE21-7B0A-4EBD-BEF3-901417E03F3C}"/>
    <cellStyle name="Normal 4 4 5 3 5 3" xfId="20271" xr:uid="{4744E9E6-E976-4329-8229-18CDCC09EAE7}"/>
    <cellStyle name="Normal 4 4 5 3 6" xfId="23930" xr:uid="{D9386DB6-E07F-4DAA-BB80-F66DBF8F3526}"/>
    <cellStyle name="Normal 4 4 5 3 7" xfId="13924" xr:uid="{81C0A880-F72A-4860-BFD6-60ADA17F271B}"/>
    <cellStyle name="Normal 4 4 5 4" xfId="1005" xr:uid="{00000000-0005-0000-0000-00009F050000}"/>
    <cellStyle name="Normal 4 4 5 4 2" xfId="5308" xr:uid="{1A94B53A-833C-4E69-A12A-43F499437481}"/>
    <cellStyle name="Normal 4 4 5 4 2 2" xfId="24575" xr:uid="{618F0D91-24AC-4526-BAC7-F4CC59904697}"/>
    <cellStyle name="Normal 4 4 5 4 2 3" xfId="27691" xr:uid="{70AF2120-D6E0-4679-9E84-A4C1AB1E9147}"/>
    <cellStyle name="Normal 4 4 5 4 2 4" xfId="14606" xr:uid="{6314B871-73F4-42DA-A1BC-B3A211D85F56}"/>
    <cellStyle name="Normal 4 4 5 4 3" xfId="7059" xr:uid="{CF3ABF44-08C1-4B2D-A3B1-88F8A135FCCE}"/>
    <cellStyle name="Normal 4 4 5 4 3 2" xfId="27553" xr:uid="{B23825C7-EE6F-4DE2-AD28-C25CC21EC7C5}"/>
    <cellStyle name="Normal 4 4 5 4 3 3" xfId="17439" xr:uid="{77EA27B9-2A9A-42DE-84EA-741571ED6716}"/>
    <cellStyle name="Normal 4 4 5 4 4" xfId="9892" xr:uid="{7B072EF8-4827-48EF-83D2-52241F50C049}"/>
    <cellStyle name="Normal 4 4 5 4 4 2" xfId="20272" xr:uid="{AD18713A-C709-4872-8060-8246F3E29064}"/>
    <cellStyle name="Normal 4 4 5 4 5" xfId="24279" xr:uid="{327A1E05-9C0B-4A61-86C2-084FE4379863}"/>
    <cellStyle name="Normal 4 4 5 4 6" xfId="13459" xr:uid="{B15A62B1-3EB5-424F-B0C7-E50C2844AA1D}"/>
    <cellStyle name="Normal 4 4 5 5" xfId="2514" xr:uid="{00000000-0005-0000-0000-000055060000}"/>
    <cellStyle name="Normal 4 4 5 5 2" xfId="5792" xr:uid="{F80C5709-8B51-4782-B09A-FB5D51A47210}"/>
    <cellStyle name="Normal 4 4 5 5 2 2" xfId="27017" xr:uid="{69850DA3-4F07-41FF-BC4C-037DD4D2032A}"/>
    <cellStyle name="Normal 4 4 5 5 2 3" xfId="15186" xr:uid="{3432E184-3EE8-4D4D-B7FD-E2B3E982D7A6}"/>
    <cellStyle name="Normal 4 4 5 5 3" xfId="7639" xr:uid="{72294D53-15B9-4DB9-869B-B4E5E3E0BBDF}"/>
    <cellStyle name="Normal 4 4 5 5 3 2" xfId="18019" xr:uid="{1D6459BF-4D37-4C41-9386-007357DBB069}"/>
    <cellStyle name="Normal 4 4 5 5 4" xfId="10472" xr:uid="{738BFEA3-4A2F-4AD0-A8A8-77E35D96E6A3}"/>
    <cellStyle name="Normal 4 4 5 5 4 2" xfId="20852" xr:uid="{494CAAD0-7B56-40EA-B286-5B3AD9EB8690}"/>
    <cellStyle name="Normal 4 4 5 5 5" xfId="24990" xr:uid="{450CD28E-C26E-4BD5-BF97-A427713A773B}"/>
    <cellStyle name="Normal 4 4 5 5 6" xfId="12902" xr:uid="{093D30A8-1BD4-4321-86F0-A5736D3758E3}"/>
    <cellStyle name="Normal 4 4 5 6" xfId="2369" xr:uid="{00000000-0005-0000-0000-00004F060000}"/>
    <cellStyle name="Normal 4 4 5 6 2" xfId="7496" xr:uid="{1B2A7748-D5AE-4E38-BA4C-B2142EE8EF97}"/>
    <cellStyle name="Normal 4 4 5 6 2 2" xfId="27446" xr:uid="{95D02F40-3045-4BEB-9878-F592FA3D8C0C}"/>
    <cellStyle name="Normal 4 4 5 6 2 3" xfId="17876" xr:uid="{72C9FAD3-8A41-4E9F-9C10-9E6828419C2E}"/>
    <cellStyle name="Normal 4 4 5 6 3" xfId="10329" xr:uid="{6F456B92-D2E2-4A6E-BC4B-9372510FD23A}"/>
    <cellStyle name="Normal 4 4 5 6 3 2" xfId="20709" xr:uid="{BEA9430B-5C14-423D-9E97-5D4250C7D95B}"/>
    <cellStyle name="Normal 4 4 5 6 4" xfId="23405" xr:uid="{11D633F0-12A4-4406-8811-53A07D6613B5}"/>
    <cellStyle name="Normal 4 4 5 6 5" xfId="15043" xr:uid="{2C1BBA1E-9DE6-4D11-8D66-8817576A6094}"/>
    <cellStyle name="Normal 4 4 5 7" xfId="3990" xr:uid="{92C63C86-5719-4B31-8589-9D4F4AE9CB95}"/>
    <cellStyle name="Normal 4 4 5 7 2" xfId="8814" xr:uid="{4D9654E6-0611-4A90-AF2E-F648D5625232}"/>
    <cellStyle name="Normal 4 4 5 7 2 2" xfId="19194" xr:uid="{885627D0-3413-4158-A579-0620AA2FF892}"/>
    <cellStyle name="Normal 4 4 5 7 3" xfId="11647" xr:uid="{7067B2DE-2E51-4E9A-A591-30FE48DD678A}"/>
    <cellStyle name="Normal 4 4 5 7 3 2" xfId="22027" xr:uid="{2A7D3620-EDC9-40A5-A8CC-47345B35D85E}"/>
    <cellStyle name="Normal 4 4 5 7 4" xfId="26712" xr:uid="{7FB71A15-6EFB-4AB0-9453-48985C07BB1C}"/>
    <cellStyle name="Normal 4 4 5 7 5" xfId="16361" xr:uid="{BA6F796B-4CF2-496D-A533-DB865784B7FC}"/>
    <cellStyle name="Normal 4 4 5 8" xfId="5304" xr:uid="{E625F85E-866A-4601-961F-6B98C2F8AF7B}"/>
    <cellStyle name="Normal 4 4 5 8 2" xfId="14602" xr:uid="{3CFA5BC5-4474-4165-9DEC-33A0B0D55546}"/>
    <cellStyle name="Normal 4 4 5 9" xfId="7055" xr:uid="{2C3307C6-E532-4616-A2FD-70F09548DA82}"/>
    <cellStyle name="Normal 4 4 5 9 2" xfId="17435" xr:uid="{01BB8787-6EC3-4FD1-B4F1-B2B35749404D}"/>
    <cellStyle name="Normal 4 4 6" xfId="1006" xr:uid="{00000000-0005-0000-0000-0000A0050000}"/>
    <cellStyle name="Normal 4 4 6 10" xfId="9893" xr:uid="{35555099-0C7E-4389-9542-D186D69336E0}"/>
    <cellStyle name="Normal 4 4 6 10 2" xfId="20273" xr:uid="{C3E67B0F-09F5-4C1A-AAB9-BD205F3D9E5C}"/>
    <cellStyle name="Normal 4 4 6 11" xfId="23266" xr:uid="{AAB2BD3A-19FC-4CB0-A99E-03992EEB4657}"/>
    <cellStyle name="Normal 4 4 6 12" xfId="12604" xr:uid="{8B9181DF-4CC3-4F89-A955-CCC1362EE781}"/>
    <cellStyle name="Normal 4 4 6 2" xfId="1007" xr:uid="{00000000-0005-0000-0000-0000A1050000}"/>
    <cellStyle name="Normal 4 4 6 2 2" xfId="1008" xr:uid="{00000000-0005-0000-0000-0000A2050000}"/>
    <cellStyle name="Normal 4 4 6 2 2 2" xfId="5311" xr:uid="{CC89DBF1-7B99-47E4-A6D3-D0436405CC9E}"/>
    <cellStyle name="Normal 4 4 6 2 2 2 2" xfId="24014" xr:uid="{4981416F-3B0F-4676-98D5-6AFDE258BE89}"/>
    <cellStyle name="Normal 4 4 6 2 2 2 3" xfId="26995" xr:uid="{6787D601-1E6A-4740-A280-6A4BCA91A4E4}"/>
    <cellStyle name="Normal 4 4 6 2 2 2 4" xfId="14609" xr:uid="{C680909C-CE46-44F4-B9BE-4E0D04AC9358}"/>
    <cellStyle name="Normal 4 4 6 2 2 3" xfId="7062" xr:uid="{6802134B-1227-4770-B612-678DFA6DE62E}"/>
    <cellStyle name="Normal 4 4 6 2 2 3 2" xfId="27635" xr:uid="{452B0C8E-FD97-40F5-949D-9C4223A37416}"/>
    <cellStyle name="Normal 4 4 6 2 2 3 3" xfId="28059" xr:uid="{3A65D403-450F-4C58-9F99-EF443F7430BE}"/>
    <cellStyle name="Normal 4 4 6 2 2 3 4" xfId="17442" xr:uid="{7FE0B6DB-CF8D-4329-84E7-B421CA66D0A4}"/>
    <cellStyle name="Normal 4 4 6 2 2 4" xfId="9895" xr:uid="{D0D5F939-C22F-4987-9177-2ECB13D3B7BE}"/>
    <cellStyle name="Normal 4 4 6 2 2 4 2" xfId="29427" xr:uid="{3D98BFD9-4436-4701-9F1E-7F14F57B77D6}"/>
    <cellStyle name="Normal 4 4 6 2 2 4 3" xfId="20275" xr:uid="{0DBADDED-EF2D-4E49-A7F6-A9EE0B3F71CB}"/>
    <cellStyle name="Normal 4 4 6 2 2 5" xfId="22646" xr:uid="{A76277E6-4622-4903-9488-C6D42433084B}"/>
    <cellStyle name="Normal 4 4 6 2 2 6" xfId="13925" xr:uid="{D962E703-7C84-4C0F-814A-6CAAAFFD29CA}"/>
    <cellStyle name="Normal 4 4 6 2 3" xfId="2792" xr:uid="{00000000-0005-0000-0000-000059060000}"/>
    <cellStyle name="Normal 4 4 6 2 3 2" xfId="6010" xr:uid="{C443970B-A747-4D81-A575-7502948273F5}"/>
    <cellStyle name="Normal 4 4 6 2 3 2 2" xfId="25957" xr:uid="{01686228-2362-4359-835D-10546A7AF693}"/>
    <cellStyle name="Normal 4 4 6 2 3 2 3" xfId="15463" xr:uid="{56AD114F-DA40-4DC5-BED5-C53EF6E1637B}"/>
    <cellStyle name="Normal 4 4 6 2 3 3" xfId="7916" xr:uid="{7E2FB29E-0BCE-4104-9705-6995F0DA5E69}"/>
    <cellStyle name="Normal 4 4 6 2 3 3 2" xfId="18296" xr:uid="{FAB75683-A1EF-4360-A3C8-8AC87B0431EC}"/>
    <cellStyle name="Normal 4 4 6 2 3 4" xfId="10749" xr:uid="{AC379FB3-3C42-4EA2-BC48-F9148BE23525}"/>
    <cellStyle name="Normal 4 4 6 2 3 4 2" xfId="21129" xr:uid="{3DADD595-B2C9-47C0-AAE2-C06619F92E25}"/>
    <cellStyle name="Normal 4 4 6 2 3 5" xfId="24411" xr:uid="{CDFAD032-DD11-4D52-A6EA-6A35F325D757}"/>
    <cellStyle name="Normal 4 4 6 2 3 6" xfId="13252" xr:uid="{85729ECE-FBE1-4E8F-BAEA-0608FD66CF89}"/>
    <cellStyle name="Normal 4 4 6 2 4" xfId="4198" xr:uid="{646CEC22-B35F-4C0C-AB59-0ADF5B13983F}"/>
    <cellStyle name="Normal 4 4 6 2 4 2" xfId="8970" xr:uid="{E45D12FD-2375-4FD4-AD60-4FE0F86E3711}"/>
    <cellStyle name="Normal 4 4 6 2 4 2 2" xfId="29054" xr:uid="{30B324A7-76C8-4725-B750-82261BBE0ECD}"/>
    <cellStyle name="Normal 4 4 6 2 4 2 3" xfId="19350" xr:uid="{7B0FFB52-B8BA-4312-9EF9-9DAE51FF20A3}"/>
    <cellStyle name="Normal 4 4 6 2 4 3" xfId="11803" xr:uid="{CC1DA033-C7BC-4022-8EC8-0442E52FDA7A}"/>
    <cellStyle name="Normal 4 4 6 2 4 3 2" xfId="22183" xr:uid="{591BAC96-DDBB-4DE0-ABBC-F4C65C4B784F}"/>
    <cellStyle name="Normal 4 4 6 2 4 4" xfId="25469" xr:uid="{345F13CE-9109-4FE5-A949-79D8FFAFEFA8}"/>
    <cellStyle name="Normal 4 4 6 2 4 5" xfId="16517" xr:uid="{7E7F382C-434C-4C82-BE24-1FEECE24B23B}"/>
    <cellStyle name="Normal 4 4 6 2 5" xfId="5310" xr:uid="{79B0C609-91A7-40C0-B374-54F3DDA349FE}"/>
    <cellStyle name="Normal 4 4 6 2 5 2" xfId="26092" xr:uid="{2AEA128B-7177-49EB-8260-F921A8843A1F}"/>
    <cellStyle name="Normal 4 4 6 2 5 3" xfId="14608" xr:uid="{9BF47ECC-E9A5-49D7-8A62-C169172AB25B}"/>
    <cellStyle name="Normal 4 4 6 2 6" xfId="7061" xr:uid="{C3870E88-5149-438E-A19B-CF7A0DC0D070}"/>
    <cellStyle name="Normal 4 4 6 2 6 2" xfId="17441" xr:uid="{2159F246-F892-4A47-B5E6-E0E75B41B2A1}"/>
    <cellStyle name="Normal 4 4 6 2 7" xfId="9894" xr:uid="{49B4CE77-7665-4889-952C-765A49007B1A}"/>
    <cellStyle name="Normal 4 4 6 2 7 2" xfId="20274" xr:uid="{13BB59B0-1857-4E6F-BBB0-C7F1C527C78F}"/>
    <cellStyle name="Normal 4 4 6 2 8" xfId="25233" xr:uid="{F1005FFB-B226-411F-B940-BFB3F0CCF542}"/>
    <cellStyle name="Normal 4 4 6 2 9" xfId="12762" xr:uid="{9AB8D51E-00E0-478D-8115-8C4CFF4742AB}"/>
    <cellStyle name="Normal 4 4 6 3" xfId="1009" xr:uid="{00000000-0005-0000-0000-0000A3050000}"/>
    <cellStyle name="Normal 4 4 6 3 2" xfId="4541" xr:uid="{F1C860A2-948E-4C8C-92FB-4E5A99E46265}"/>
    <cellStyle name="Normal 4 4 6 3 2 2" xfId="9313" xr:uid="{710CFDEA-5D1D-4AA3-86BE-27763845AD26}"/>
    <cellStyle name="Normal 4 4 6 3 2 2 2" xfId="29290" xr:uid="{B5986039-0188-4DA3-94FB-1D99E742FC47}"/>
    <cellStyle name="Normal 4 4 6 3 2 2 3" xfId="19693" xr:uid="{0041879B-E15D-458E-9049-B254F3A37F89}"/>
    <cellStyle name="Normal 4 4 6 3 2 3" xfId="12146" xr:uid="{F0C81F10-17F5-46F7-B082-F3354F0CE65A}"/>
    <cellStyle name="Normal 4 4 6 3 2 3 2" xfId="22526" xr:uid="{FA7D7A90-DBCA-47FF-8CE2-701D6D3282C7}"/>
    <cellStyle name="Normal 4 4 6 3 2 4" xfId="25046" xr:uid="{2F00B6D6-3BD1-4025-BBE7-0999D224CE59}"/>
    <cellStyle name="Normal 4 4 6 3 2 5" xfId="16860" xr:uid="{95614682-4BF5-4C60-B7C7-9BD9AFBE3940}"/>
    <cellStyle name="Normal 4 4 6 3 3" xfId="5312" xr:uid="{C1E7CBFA-8D70-4DC0-9D67-7F1F15B7EBBA}"/>
    <cellStyle name="Normal 4 4 6 3 3 2" xfId="26837" xr:uid="{DEE64D7E-518B-4722-AF17-48D7B372691E}"/>
    <cellStyle name="Normal 4 4 6 3 3 3" xfId="26907" xr:uid="{B9C458B0-18C1-40D6-A0D3-65E43FA1236D}"/>
    <cellStyle name="Normal 4 4 6 3 3 4" xfId="14610" xr:uid="{A19EAD2A-7C80-4745-A34B-DB943E34D81B}"/>
    <cellStyle name="Normal 4 4 6 3 4" xfId="7063" xr:uid="{9AAD0156-9948-48E8-8EBC-1802E7D52EA5}"/>
    <cellStyle name="Normal 4 4 6 3 4 2" xfId="26179" xr:uid="{07B6D851-61F4-49E1-A0A1-D44912F3FF27}"/>
    <cellStyle name="Normal 4 4 6 3 4 3" xfId="27745" xr:uid="{A8891A62-F547-471A-90C5-552DA273F4A0}"/>
    <cellStyle name="Normal 4 4 6 3 4 4" xfId="17443" xr:uid="{B2191D05-8BD2-464E-9B04-21000AF0E0B3}"/>
    <cellStyle name="Normal 4 4 6 3 5" xfId="9896" xr:uid="{4C5C3BCA-64B0-4E94-ADAD-8D656F34962F}"/>
    <cellStyle name="Normal 4 4 6 3 5 2" xfId="29428" xr:uid="{5215AEDB-4EFF-4165-BC2C-62F8FAF9450C}"/>
    <cellStyle name="Normal 4 4 6 3 5 3" xfId="20276" xr:uid="{D279E8D5-0B8B-4DFB-9E28-C211E6E64EED}"/>
    <cellStyle name="Normal 4 4 6 3 6" xfId="24532" xr:uid="{D525E559-2B44-4F09-88B3-C1CF880AB01D}"/>
    <cellStyle name="Normal 4 4 6 3 7" xfId="13926" xr:uid="{D84723B2-AC0D-40AD-9362-9B3C65B0D428}"/>
    <cellStyle name="Normal 4 4 6 4" xfId="1010" xr:uid="{00000000-0005-0000-0000-0000A4050000}"/>
    <cellStyle name="Normal 4 4 6 4 2" xfId="5313" xr:uid="{5DC5CC19-61D9-442D-A07F-3AA03D0924D0}"/>
    <cellStyle name="Normal 4 4 6 4 2 2" xfId="25105" xr:uid="{0C0ABCA3-1415-4A92-857C-A488E2E6DDE0}"/>
    <cellStyle name="Normal 4 4 6 4 2 3" xfId="27001" xr:uid="{E8084F88-466A-4474-AF0E-713070897DEF}"/>
    <cellStyle name="Normal 4 4 6 4 2 4" xfId="14611" xr:uid="{CC533787-6370-4D1A-A406-1786BC8C983D}"/>
    <cellStyle name="Normal 4 4 6 4 3" xfId="7064" xr:uid="{B0C4E085-8262-47C3-9C4F-0FB68070A9CB}"/>
    <cellStyle name="Normal 4 4 6 4 3 2" xfId="25966" xr:uid="{716B544F-6F88-45BB-A69E-A30796EF980C}"/>
    <cellStyle name="Normal 4 4 6 4 3 3" xfId="17444" xr:uid="{0DE44047-A4A2-4246-9D93-7AA3EACFCA4B}"/>
    <cellStyle name="Normal 4 4 6 4 4" xfId="9897" xr:uid="{9EADD135-B447-41E6-9C3C-489290942EF0}"/>
    <cellStyle name="Normal 4 4 6 4 4 2" xfId="20277" xr:uid="{B50305F7-FC13-4F97-AF92-A5492AC0B98D}"/>
    <cellStyle name="Normal 4 4 6 4 5" xfId="24888" xr:uid="{2F8162DB-F64E-4E58-B0F7-C1E051A56005}"/>
    <cellStyle name="Normal 4 4 6 4 6" xfId="13460" xr:uid="{D69AA7B0-0E86-4954-9614-CC301B9E59D0}"/>
    <cellStyle name="Normal 4 4 6 5" xfId="2577" xr:uid="{00000000-0005-0000-0000-00005C060000}"/>
    <cellStyle name="Normal 4 4 6 5 2" xfId="5842" xr:uid="{B8590707-D82D-4B10-8E5C-B46DD1964897}"/>
    <cellStyle name="Normal 4 4 6 5 2 2" xfId="27799" xr:uid="{77ABFE73-E8DE-4CB5-AA43-A2F9060D82E2}"/>
    <cellStyle name="Normal 4 4 6 5 2 3" xfId="15249" xr:uid="{DE20AE6C-F563-4E2C-B6E3-77AC87B7B438}"/>
    <cellStyle name="Normal 4 4 6 5 3" xfId="7702" xr:uid="{E593B547-1A44-4379-8A8B-07DADAE6175D}"/>
    <cellStyle name="Normal 4 4 6 5 3 2" xfId="18082" xr:uid="{F72F5707-7FF8-474F-9824-301D2DAF5EFC}"/>
    <cellStyle name="Normal 4 4 6 5 4" xfId="10535" xr:uid="{2A2CD21C-4AAF-43FD-91A1-927F51089E4C}"/>
    <cellStyle name="Normal 4 4 6 5 4 2" xfId="20915" xr:uid="{FCBC5583-2A22-440C-92F6-A2AFFC55E65D}"/>
    <cellStyle name="Normal 4 4 6 5 5" xfId="24876" xr:uid="{F01D5C4E-835B-4BCD-8ABA-87C976F1E2F5}"/>
    <cellStyle name="Normal 4 4 6 5 6" xfId="12965" xr:uid="{1B78FA1C-312A-42E1-90AD-123870043F67}"/>
    <cellStyle name="Normal 4 4 6 6" xfId="2370" xr:uid="{00000000-0005-0000-0000-000056060000}"/>
    <cellStyle name="Normal 4 4 6 6 2" xfId="7497" xr:uid="{37A6F410-3569-447C-A96D-17475FEF90C0}"/>
    <cellStyle name="Normal 4 4 6 6 2 2" xfId="27451" xr:uid="{C6B8C9AD-BD55-4D6F-BF23-AA4CA629BE17}"/>
    <cellStyle name="Normal 4 4 6 6 2 3" xfId="17877" xr:uid="{2A06F1A9-730A-409C-A166-75FA16781950}"/>
    <cellStyle name="Normal 4 4 6 6 3" xfId="10330" xr:uid="{942397F1-2C1B-4A41-8537-8F1A3A2F0831}"/>
    <cellStyle name="Normal 4 4 6 6 3 2" xfId="20710" xr:uid="{CD637D26-308C-42D9-9836-B3344CB75646}"/>
    <cellStyle name="Normal 4 4 6 6 4" xfId="22750" xr:uid="{45F0A560-B8AB-463B-8B75-827E68D9B470}"/>
    <cellStyle name="Normal 4 4 6 6 5" xfId="15044" xr:uid="{5C3A247B-D151-4634-9793-1C79E2FBFBF5}"/>
    <cellStyle name="Normal 4 4 6 7" xfId="3991" xr:uid="{155B17C1-6D90-4B09-AE72-8D357FDA0CA5}"/>
    <cellStyle name="Normal 4 4 6 7 2" xfId="8815" xr:uid="{D24AE6AB-7CC9-4D83-B241-7D8BDE7FF89D}"/>
    <cellStyle name="Normal 4 4 6 7 2 2" xfId="19195" xr:uid="{8B849538-5B45-466E-A744-95B84BC0C9F9}"/>
    <cellStyle name="Normal 4 4 6 7 3" xfId="11648" xr:uid="{658C68E2-27BB-4FE4-A452-C4CB55953D8A}"/>
    <cellStyle name="Normal 4 4 6 7 3 2" xfId="22028" xr:uid="{647DB8CC-3066-4CC1-87C1-11FA878B1EBB}"/>
    <cellStyle name="Normal 4 4 6 7 4" xfId="27674" xr:uid="{D080A117-65F4-4666-A844-D5784050E378}"/>
    <cellStyle name="Normal 4 4 6 7 5" xfId="16362" xr:uid="{4E16D46C-A24B-49D9-98AE-E8AF2958529B}"/>
    <cellStyle name="Normal 4 4 6 8" xfId="5309" xr:uid="{AD9C102B-E7E3-42B7-B1B6-C3A62299AFFD}"/>
    <cellStyle name="Normal 4 4 6 8 2" xfId="14607" xr:uid="{1685A019-ADCE-4DCC-AC3E-5AE359E98039}"/>
    <cellStyle name="Normal 4 4 6 9" xfId="7060" xr:uid="{0BF99C63-D936-4520-8302-D6886B2EE38C}"/>
    <cellStyle name="Normal 4 4 6 9 2" xfId="17440" xr:uid="{094F1905-0AC2-4F65-AA57-2BEDE667EA1A}"/>
    <cellStyle name="Normal 4 4 7" xfId="1011" xr:uid="{00000000-0005-0000-0000-0000A5050000}"/>
    <cellStyle name="Normal 4 4 7 10" xfId="12605" xr:uid="{BE2E1CCC-8E0B-42B4-80F4-C097E12EA611}"/>
    <cellStyle name="Normal 4 4 7 2" xfId="1012" xr:uid="{00000000-0005-0000-0000-0000A6050000}"/>
    <cellStyle name="Normal 4 4 7 2 2" xfId="2940" xr:uid="{00000000-0005-0000-0000-00005F060000}"/>
    <cellStyle name="Normal 4 4 7 2 2 2" xfId="6120" xr:uid="{739E3C6C-3BC4-4710-BE80-BABD08607F1C}"/>
    <cellStyle name="Normal 4 4 7 2 2 2 2" xfId="28204" xr:uid="{B9B6BB46-17CB-463D-B5E2-D358C4D8E0A3}"/>
    <cellStyle name="Normal 4 4 7 2 2 2 3" xfId="28124" xr:uid="{84041D0C-67BA-42DE-AF1B-CF88387940E8}"/>
    <cellStyle name="Normal 4 4 7 2 2 2 4" xfId="15598" xr:uid="{5BD3ED8F-A6EE-445C-8983-1EA763AEE431}"/>
    <cellStyle name="Normal 4 4 7 2 2 3" xfId="8051" xr:uid="{9BC7E3A2-97B1-4155-BED8-0450534958EB}"/>
    <cellStyle name="Normal 4 4 7 2 2 3 2" xfId="28756" xr:uid="{59F44E47-61D4-487A-B6B0-8DD0578FF29E}"/>
    <cellStyle name="Normal 4 4 7 2 2 3 3" xfId="18431" xr:uid="{A277618E-25E9-45FE-B30E-D361972BFF66}"/>
    <cellStyle name="Normal 4 4 7 2 2 4" xfId="10884" xr:uid="{7BC19122-8DB7-40C1-9B1B-DA4109E1F3B3}"/>
    <cellStyle name="Normal 4 4 7 2 2 4 2" xfId="21264" xr:uid="{2DA393C0-188B-4C45-BC22-0CF9B66ABCE0}"/>
    <cellStyle name="Normal 4 4 7 2 2 5" xfId="25362" xr:uid="{26658244-70BC-43F2-AC33-AC46E39822A2}"/>
    <cellStyle name="Normal 4 4 7 2 2 6" xfId="13461" xr:uid="{53200119-9172-4A95-8A94-C69F418E49D2}"/>
    <cellStyle name="Normal 4 4 7 2 3" xfId="5315" xr:uid="{8855BF12-6019-4F08-8D31-48B5D2CBE86F}"/>
    <cellStyle name="Normal 4 4 7 2 3 2" xfId="25321" xr:uid="{B3546D37-3921-4781-816B-A0D72D6CECCA}"/>
    <cellStyle name="Normal 4 4 7 2 3 3" xfId="27943" xr:uid="{3B488F3E-307F-4D08-91EA-1DA9B36B8E7F}"/>
    <cellStyle name="Normal 4 4 7 2 3 4" xfId="14613" xr:uid="{0873A52E-2D45-4329-A475-6AE635A0044F}"/>
    <cellStyle name="Normal 4 4 7 2 4" xfId="7066" xr:uid="{E0A5C9CA-0461-4194-9D7C-EA7E8E4CB9FD}"/>
    <cellStyle name="Normal 4 4 7 2 4 2" xfId="26122" xr:uid="{C916E597-A8CD-486E-A7F8-EC17BC61C6DA}"/>
    <cellStyle name="Normal 4 4 7 2 4 3" xfId="26844" xr:uid="{93C317D0-1586-4181-9382-AD6CD41ECCB9}"/>
    <cellStyle name="Normal 4 4 7 2 4 4" xfId="17446" xr:uid="{BC5163DF-52C1-44F3-8E66-96FC4FA18BF1}"/>
    <cellStyle name="Normal 4 4 7 2 5" xfId="9899" xr:uid="{86153E0A-46F0-4490-8FB0-9658F09105C3}"/>
    <cellStyle name="Normal 4 4 7 2 5 2" xfId="29429" xr:uid="{77998EB9-9E9D-4C01-BF5B-DBAB23E07B61}"/>
    <cellStyle name="Normal 4 4 7 2 5 3" xfId="20279" xr:uid="{CA409681-E26E-4AA3-B857-CF5E3EAE2290}"/>
    <cellStyle name="Normal 4 4 7 2 6" xfId="25110" xr:uid="{105F8BDA-A8FB-41D5-93EA-6C694D3D11B6}"/>
    <cellStyle name="Normal 4 4 7 2 7" xfId="12763" xr:uid="{7E61096A-02F1-4E78-B943-FCD9B78AC160}"/>
    <cellStyle name="Normal 4 4 7 3" xfId="1013" xr:uid="{00000000-0005-0000-0000-0000A7050000}"/>
    <cellStyle name="Normal 4 4 7 3 2" xfId="5316" xr:uid="{01131E2F-8EF3-4945-8C23-69F1216AC88A}"/>
    <cellStyle name="Normal 4 4 7 3 2 2" xfId="28235" xr:uid="{C434865C-34D3-49FF-8293-9B8656923D8B}"/>
    <cellStyle name="Normal 4 4 7 3 2 3" xfId="27827" xr:uid="{CF036B8A-CD5E-4D53-849A-F97D686F47AA}"/>
    <cellStyle name="Normal 4 4 7 3 2 4" xfId="14614" xr:uid="{5189D6BB-F4D5-4B79-8B8C-C6C836B28BAC}"/>
    <cellStyle name="Normal 4 4 7 3 3" xfId="7067" xr:uid="{7555240E-38B2-43C1-9E90-FD713A904B1F}"/>
    <cellStyle name="Normal 4 4 7 3 3 2" xfId="27894" xr:uid="{EE69ED68-CFCA-4C30-A445-607FAA96086A}"/>
    <cellStyle name="Normal 4 4 7 3 3 3" xfId="26674" xr:uid="{835D1CD2-07EB-4A25-A908-EC8BCEB97763}"/>
    <cellStyle name="Normal 4 4 7 3 3 4" xfId="17447" xr:uid="{ADA868AD-870A-4CA5-8622-ED0B2CCA1006}"/>
    <cellStyle name="Normal 4 4 7 3 4" xfId="9900" xr:uid="{2BFE620A-152E-4F86-8D83-6C4282D8C08B}"/>
    <cellStyle name="Normal 4 4 7 3 4 2" xfId="29430" xr:uid="{62280D68-F16B-4781-8756-B87E8D307E56}"/>
    <cellStyle name="Normal 4 4 7 3 4 3" xfId="20280" xr:uid="{9F6C3DB9-7907-46E1-99DD-A78579C02DD3}"/>
    <cellStyle name="Normal 4 4 7 3 5" xfId="23595" xr:uid="{34E6FD28-94AE-4D10-B5DA-2494E0F80D72}"/>
    <cellStyle name="Normal 4 4 7 3 6" xfId="13253" xr:uid="{8236CB6B-110F-479A-B16F-F1CCAA18212C}"/>
    <cellStyle name="Normal 4 4 7 4" xfId="2371" xr:uid="{00000000-0005-0000-0000-00005D060000}"/>
    <cellStyle name="Normal 4 4 7 4 2" xfId="7498" xr:uid="{C5E5C587-D37B-4EEC-AC44-02E0A02ADAC0}"/>
    <cellStyle name="Normal 4 4 7 4 2 2" xfId="28131" xr:uid="{7CC963D8-A7C0-4AE3-803B-CD3A4A515ACE}"/>
    <cellStyle name="Normal 4 4 7 4 2 3" xfId="17878" xr:uid="{1F68883E-EA4B-400F-9D3E-A0D99942D46A}"/>
    <cellStyle name="Normal 4 4 7 4 3" xfId="10331" xr:uid="{DBF57A1A-56F9-40E0-BDE1-F8652914CED0}"/>
    <cellStyle name="Normal 4 4 7 4 3 2" xfId="20711" xr:uid="{BAEAEC53-A598-4BCE-8947-DB2053EB9A3E}"/>
    <cellStyle name="Normal 4 4 7 4 4" xfId="24325" xr:uid="{B528F158-5BA1-4DE3-A2B8-28688EBCF78E}"/>
    <cellStyle name="Normal 4 4 7 4 5" xfId="15045" xr:uid="{E8FCA9D8-19D6-46FF-989C-F65C6B962B8D}"/>
    <cellStyle name="Normal 4 4 7 5" xfId="3992" xr:uid="{0F79F3EA-E187-4CE0-A8FD-B5B5C55A2C34}"/>
    <cellStyle name="Normal 4 4 7 5 2" xfId="8816" xr:uid="{B9B292B2-B717-4937-A76C-E0D161E48CA1}"/>
    <cellStyle name="Normal 4 4 7 5 2 2" xfId="28989" xr:uid="{162BEE58-A72A-4235-BB90-FDC3F3FCF0D0}"/>
    <cellStyle name="Normal 4 4 7 5 2 3" xfId="19196" xr:uid="{FD39C0AC-80DB-418A-BA40-70EE4F06A60C}"/>
    <cellStyle name="Normal 4 4 7 5 3" xfId="11649" xr:uid="{86EAD745-13DD-4ED2-8C0C-CCE3B7140DC1}"/>
    <cellStyle name="Normal 4 4 7 5 3 2" xfId="22029" xr:uid="{7208CB3C-6719-4C7D-94A0-1D0A5F794197}"/>
    <cellStyle name="Normal 4 4 7 5 4" xfId="22769" xr:uid="{171DFFCF-8897-4D15-BC6C-6BC6A6368CD8}"/>
    <cellStyle name="Normal 4 4 7 5 5" xfId="16363" xr:uid="{56DA68A7-DB3A-4581-BBE8-11EC60C96E9A}"/>
    <cellStyle name="Normal 4 4 7 6" xfId="5314" xr:uid="{A85E22A9-BA61-4E82-9819-FD9350344DC6}"/>
    <cellStyle name="Normal 4 4 7 6 2" xfId="25839" xr:uid="{47E2AEBB-D426-4ED2-BC33-5DF917777329}"/>
    <cellStyle name="Normal 4 4 7 6 3" xfId="26007" xr:uid="{95FB43E7-92C9-47E0-9490-7A66BA3AA9FB}"/>
    <cellStyle name="Normal 4 4 7 6 4" xfId="14612" xr:uid="{3238C1FE-2161-4FA8-A595-B1270CEB73FD}"/>
    <cellStyle name="Normal 4 4 7 7" xfId="7065" xr:uid="{CFF826D0-17A6-4F60-BFC2-4F8BAF7E4B07}"/>
    <cellStyle name="Normal 4 4 7 7 2" xfId="26196" xr:uid="{8E57E475-14CC-45D6-A680-229D5E5F470A}"/>
    <cellStyle name="Normal 4 4 7 7 3" xfId="17445" xr:uid="{42815ED4-7DE4-4A73-B27A-3D4ED683CB7C}"/>
    <cellStyle name="Normal 4 4 7 8" xfId="9898" xr:uid="{F2E3B44A-489C-493E-B3A9-1B228B724265}"/>
    <cellStyle name="Normal 4 4 7 8 2" xfId="20278" xr:uid="{6A72BC74-B1A4-4BDE-B09C-56BC6A952D22}"/>
    <cellStyle name="Normal 4 4 7 9" xfId="24138" xr:uid="{1E88A1D6-AE38-454E-B846-A2C177D96F6C}"/>
    <cellStyle name="Normal 4 4 8" xfId="1014" xr:uid="{00000000-0005-0000-0000-0000A8050000}"/>
    <cellStyle name="Normal 4 4 8 10" xfId="12606" xr:uid="{CA4D673E-C050-4B79-9C4C-56FA448EBC15}"/>
    <cellStyle name="Normal 4 4 8 2" xfId="1015" xr:uid="{00000000-0005-0000-0000-0000A9050000}"/>
    <cellStyle name="Normal 4 4 8 2 2" xfId="2941" xr:uid="{00000000-0005-0000-0000-000063060000}"/>
    <cellStyle name="Normal 4 4 8 2 2 2" xfId="6121" xr:uid="{3B030003-B56E-42A1-BF46-6D8C66FAE20A}"/>
    <cellStyle name="Normal 4 4 8 2 2 2 2" xfId="26503" xr:uid="{55689746-DEF0-4320-848A-9B0759700AEB}"/>
    <cellStyle name="Normal 4 4 8 2 2 2 3" xfId="28055" xr:uid="{C71B9B98-3B4D-4E5F-BB4C-B1108EB56177}"/>
    <cellStyle name="Normal 4 4 8 2 2 2 4" xfId="15599" xr:uid="{8B45946F-F579-493E-A777-F797ED3B3ED7}"/>
    <cellStyle name="Normal 4 4 8 2 2 3" xfId="8052" xr:uid="{A1D8FC59-41AB-4B04-835B-88003565BB56}"/>
    <cellStyle name="Normal 4 4 8 2 2 3 2" xfId="28757" xr:uid="{7A1FB7CD-6657-4363-B93E-C081C6C4C0CB}"/>
    <cellStyle name="Normal 4 4 8 2 2 3 3" xfId="18432" xr:uid="{72AF5404-8023-4DB0-9944-A6DD6DCFB028}"/>
    <cellStyle name="Normal 4 4 8 2 2 4" xfId="10885" xr:uid="{4B8C7705-E943-41CC-AD24-E8C077E49547}"/>
    <cellStyle name="Normal 4 4 8 2 2 4 2" xfId="21265" xr:uid="{7815DE7E-E3DB-4C8C-9ABD-97F8BC87D048}"/>
    <cellStyle name="Normal 4 4 8 2 2 5" xfId="24556" xr:uid="{7B00F632-A9E3-4CE5-A0A3-A286B6264ADD}"/>
    <cellStyle name="Normal 4 4 8 2 2 6" xfId="13462" xr:uid="{D6D86F86-10C3-4068-A8C3-4DF59F5B0A4B}"/>
    <cellStyle name="Normal 4 4 8 2 3" xfId="5318" xr:uid="{9246B56E-1A83-4A34-AEE9-9F32336FBABB}"/>
    <cellStyle name="Normal 4 4 8 2 3 2" xfId="24455" xr:uid="{F6CF408D-21E3-45A3-9562-314F90F14C3B}"/>
    <cellStyle name="Normal 4 4 8 2 3 3" xfId="26426" xr:uid="{FCE6C010-CFD8-4054-95A6-8CA459188694}"/>
    <cellStyle name="Normal 4 4 8 2 3 4" xfId="14616" xr:uid="{DBB95E87-488E-4B51-875B-6DDB208D5741}"/>
    <cellStyle name="Normal 4 4 8 2 4" xfId="7069" xr:uid="{784F18AB-9B24-435D-A6C4-E92B56265C4A}"/>
    <cellStyle name="Normal 4 4 8 2 4 2" xfId="27921" xr:uid="{B516F256-A46D-4533-B3BE-949792F2EE22}"/>
    <cellStyle name="Normal 4 4 8 2 4 3" xfId="26300" xr:uid="{1B4D7294-8EFD-48E3-AFD0-F972FDD89B90}"/>
    <cellStyle name="Normal 4 4 8 2 4 4" xfId="17449" xr:uid="{2E4C7ADD-D813-48C2-9E9A-50A1584D5C47}"/>
    <cellStyle name="Normal 4 4 8 2 5" xfId="9902" xr:uid="{1334673B-C8EC-4F39-8F95-079A2CD23FC4}"/>
    <cellStyle name="Normal 4 4 8 2 5 2" xfId="29431" xr:uid="{687C5457-0533-4C0A-A75C-1E00870144C9}"/>
    <cellStyle name="Normal 4 4 8 2 5 3" xfId="20282" xr:uid="{3C14766A-0A36-4E73-9351-D85562379DCA}"/>
    <cellStyle name="Normal 4 4 8 2 6" xfId="25497" xr:uid="{50DCEEB4-C889-4D27-97DC-BC2667E44D01}"/>
    <cellStyle name="Normal 4 4 8 2 7" xfId="12764" xr:uid="{31369979-5E9F-49CA-B930-C7881B0CFDC4}"/>
    <cellStyle name="Normal 4 4 8 3" xfId="1016" xr:uid="{00000000-0005-0000-0000-0000AA050000}"/>
    <cellStyle name="Normal 4 4 8 3 2" xfId="5319" xr:uid="{E2E86F4F-68D8-4D3C-887D-E8698892714F}"/>
    <cellStyle name="Normal 4 4 8 3 2 2" xfId="28058" xr:uid="{9598AFDD-A9A2-49DD-82A6-683E26459F21}"/>
    <cellStyle name="Normal 4 4 8 3 2 3" xfId="26993" xr:uid="{05E819AC-9A8C-4470-AB06-D02124642DB4}"/>
    <cellStyle name="Normal 4 4 8 3 2 4" xfId="14617" xr:uid="{9DB887E8-6FE6-41E0-9104-704BE88CFAE2}"/>
    <cellStyle name="Normal 4 4 8 3 3" xfId="7070" xr:uid="{6136E152-FF19-4728-A14E-BEDDD685E76B}"/>
    <cellStyle name="Normal 4 4 8 3 3 2" xfId="26274" xr:uid="{85F66EFF-3E16-49ED-A55B-EDFE591B5F31}"/>
    <cellStyle name="Normal 4 4 8 3 3 3" xfId="28442" xr:uid="{ADA1B494-E9DC-4EC2-A61F-A4947ABF1DB0}"/>
    <cellStyle name="Normal 4 4 8 3 3 4" xfId="17450" xr:uid="{967985C4-1652-48A3-99A2-9A65A7D80E71}"/>
    <cellStyle name="Normal 4 4 8 3 4" xfId="9903" xr:uid="{7702B13A-43EF-4E0A-AA07-6FA1DC99BEF8}"/>
    <cellStyle name="Normal 4 4 8 3 4 2" xfId="29432" xr:uid="{2EC8BCFC-BBFD-4382-9809-576090B6E08E}"/>
    <cellStyle name="Normal 4 4 8 3 4 3" xfId="20283" xr:uid="{618991E1-9A96-434F-B9A4-EAED83440C2D}"/>
    <cellStyle name="Normal 4 4 8 3 5" xfId="23293" xr:uid="{18A56854-BEAD-407D-A018-555695D98BFA}"/>
    <cellStyle name="Normal 4 4 8 3 6" xfId="13254" xr:uid="{AF5ACC42-87E4-4CDD-8C76-C26E024EB400}"/>
    <cellStyle name="Normal 4 4 8 4" xfId="2372" xr:uid="{00000000-0005-0000-0000-000061060000}"/>
    <cellStyle name="Normal 4 4 8 4 2" xfId="7499" xr:uid="{FA712A1A-C78D-4566-8A6C-60C002B93D64}"/>
    <cellStyle name="Normal 4 4 8 4 2 2" xfId="27833" xr:uid="{381D6260-34DA-47E2-8058-A41C2BE171A8}"/>
    <cellStyle name="Normal 4 4 8 4 2 3" xfId="17879" xr:uid="{6FE155C9-8C14-4E52-88A7-A2CB0868796E}"/>
    <cellStyle name="Normal 4 4 8 4 3" xfId="10332" xr:uid="{39EB91E6-4ACE-4B49-876D-EAFF865DC635}"/>
    <cellStyle name="Normal 4 4 8 4 3 2" xfId="20712" xr:uid="{FD6F8C03-761E-4C03-8A95-BAE1ADB9BA73}"/>
    <cellStyle name="Normal 4 4 8 4 4" xfId="23868" xr:uid="{F9E5135A-FDC8-4959-8530-BF40C1FAE2F9}"/>
    <cellStyle name="Normal 4 4 8 4 5" xfId="15046" xr:uid="{0A2370EB-20FB-49F5-A552-E0C973F95EA0}"/>
    <cellStyle name="Normal 4 4 8 5" xfId="3993" xr:uid="{66074DC8-455C-4006-ADF6-E0B8C85BED19}"/>
    <cellStyle name="Normal 4 4 8 5 2" xfId="8817" xr:uid="{74F21ABD-C3E3-4736-AAFA-FE36F5BBB9F6}"/>
    <cellStyle name="Normal 4 4 8 5 2 2" xfId="28990" xr:uid="{41717647-6C0F-4488-B084-66A8DF15AC31}"/>
    <cellStyle name="Normal 4 4 8 5 2 3" xfId="19197" xr:uid="{B5BE8052-07B6-43B5-8A4F-7471A7DD6759}"/>
    <cellStyle name="Normal 4 4 8 5 3" xfId="11650" xr:uid="{6BD3B780-1A9D-4CB2-910D-9901479E1CAD}"/>
    <cellStyle name="Normal 4 4 8 5 3 2" xfId="22030" xr:uid="{217EDAC7-5B6E-4A9D-AD15-CC9E63973CD4}"/>
    <cellStyle name="Normal 4 4 8 5 4" xfId="24345" xr:uid="{D28B7987-F71C-4787-A5FC-9EF235555BB9}"/>
    <cellStyle name="Normal 4 4 8 5 5" xfId="16364" xr:uid="{5710F248-B8F6-45C7-9645-D9C127473090}"/>
    <cellStyle name="Normal 4 4 8 6" xfId="5317" xr:uid="{F8D64C33-7F81-41CA-9A7B-BFD5509966D8}"/>
    <cellStyle name="Normal 4 4 8 6 2" xfId="27535" xr:uid="{7187DCBB-45D7-4B5E-A8C5-82C22FFC67E2}"/>
    <cellStyle name="Normal 4 4 8 6 3" xfId="28007" xr:uid="{786F944A-3147-4519-BA27-59A4A7F1B2D6}"/>
    <cellStyle name="Normal 4 4 8 6 4" xfId="14615" xr:uid="{560EE69E-BF5B-4779-B1F0-231547ED5E82}"/>
    <cellStyle name="Normal 4 4 8 7" xfId="7068" xr:uid="{F399FB8A-5BC4-4EB4-B81B-88874D581273}"/>
    <cellStyle name="Normal 4 4 8 7 2" xfId="28316" xr:uid="{91F53F6E-A880-4A63-B005-FD4580B83008}"/>
    <cellStyle name="Normal 4 4 8 7 3" xfId="17448" xr:uid="{CDA6D52B-FFC4-49E4-9A1B-BDB693C3B365}"/>
    <cellStyle name="Normal 4 4 8 8" xfId="9901" xr:uid="{B9C897C8-DF7B-4B98-90AB-F54105A6587F}"/>
    <cellStyle name="Normal 4 4 8 8 2" xfId="20281" xr:uid="{997751F3-F99B-4C88-9BF7-923088706D95}"/>
    <cellStyle name="Normal 4 4 8 9" xfId="24160" xr:uid="{E53EE9DC-B68A-46D1-9E6E-02406200460A}"/>
    <cellStyle name="Normal 4 4 9" xfId="1017" xr:uid="{00000000-0005-0000-0000-0000AB050000}"/>
    <cellStyle name="Normal 4 4 9 10" xfId="12599" xr:uid="{5A0CACBA-0ADF-4C2D-AF49-84D4C895EBAD}"/>
    <cellStyle name="Normal 4 4 9 2" xfId="3361" xr:uid="{00000000-0005-0000-0000-000066060000}"/>
    <cellStyle name="Normal 4 4 9 2 2" xfId="6419" xr:uid="{E4AF7A96-E96D-4A82-ACA7-4C11F0D7C92B}"/>
    <cellStyle name="Normal 4 4 9 2 2 2" xfId="25584" xr:uid="{95E6D108-01E8-4E01-ADAC-DEB0E72B18B2}"/>
    <cellStyle name="Normal 4 4 9 2 2 3" xfId="27010" xr:uid="{BE56A05B-1114-426E-BCA5-3A954C7CD794}"/>
    <cellStyle name="Normal 4 4 9 2 2 4" xfId="15988" xr:uid="{85AE6A65-C461-434B-A61D-C2E0706D0C74}"/>
    <cellStyle name="Normal 4 4 9 2 3" xfId="8441" xr:uid="{577A0B1F-AC1F-4BC0-AB30-531865130E5F}"/>
    <cellStyle name="Normal 4 4 9 2 3 2" xfId="26792" xr:uid="{8D1DA3C0-8FB4-4B9B-A557-EA97B493353B}"/>
    <cellStyle name="Normal 4 4 9 2 3 3" xfId="28915" xr:uid="{4BFC9D8D-BAFA-4124-83BC-9E3B7B622031}"/>
    <cellStyle name="Normal 4 4 9 2 3 4" xfId="18821" xr:uid="{2E647F9E-E2C3-42BC-8F48-0C1C797DE2CC}"/>
    <cellStyle name="Normal 4 4 9 2 4" xfId="11274" xr:uid="{352B4982-1DFF-4298-B613-2AD3941627D6}"/>
    <cellStyle name="Normal 4 4 9 2 4 2" xfId="29482" xr:uid="{A1180E81-8564-4CE8-922C-FF3837930D29}"/>
    <cellStyle name="Normal 4 4 9 2 4 3" xfId="21654" xr:uid="{8A7C8604-394A-444B-BD57-6AD3BB43B5C6}"/>
    <cellStyle name="Normal 4 4 9 2 5" xfId="25249" xr:uid="{16250F2A-05B5-4982-B1E5-77966F846550}"/>
    <cellStyle name="Normal 4 4 9 2 6" xfId="13927" xr:uid="{C57D806F-2A8C-42A5-A13D-1FF5221E0EF1}"/>
    <cellStyle name="Normal 4 4 9 3" xfId="2784" xr:uid="{00000000-0005-0000-0000-000067060000}"/>
    <cellStyle name="Normal 4 4 9 3 2" xfId="6002" xr:uid="{35824E72-C820-4089-9B84-2E0915F4580B}"/>
    <cellStyle name="Normal 4 4 9 3 2 2" xfId="26642" xr:uid="{EF8A40E1-2C34-47A0-8B16-1952077E715F}"/>
    <cellStyle name="Normal 4 4 9 3 2 3" xfId="15455" xr:uid="{B433D18A-56D1-4E0A-AE47-E06C0B81FEEA}"/>
    <cellStyle name="Normal 4 4 9 3 3" xfId="7908" xr:uid="{7769BCCC-8662-45CB-BABF-FE672D2DC0D0}"/>
    <cellStyle name="Normal 4 4 9 3 3 2" xfId="18288" xr:uid="{82CA3D6F-48E9-48C4-B373-F0BC9EF0F919}"/>
    <cellStyle name="Normal 4 4 9 3 4" xfId="10741" xr:uid="{B625FE9A-9DCE-4A4C-863D-8C0F57055D89}"/>
    <cellStyle name="Normal 4 4 9 3 4 2" xfId="21121" xr:uid="{89EE809F-2E16-478F-9505-8E62211C6B74}"/>
    <cellStyle name="Normal 4 4 9 3 5" xfId="24634" xr:uid="{0C71D55D-EBFC-4EE4-B11A-2D9A40CF1681}"/>
    <cellStyle name="Normal 4 4 9 3 6" xfId="13241" xr:uid="{16EADAB8-665E-4FE6-8429-1BFA7B82A5E8}"/>
    <cellStyle name="Normal 4 4 9 4" xfId="2365" xr:uid="{00000000-0005-0000-0000-000065060000}"/>
    <cellStyle name="Normal 4 4 9 4 2" xfId="7492" xr:uid="{0D5B0C44-6BCA-4539-8F51-2C183B8CA95A}"/>
    <cellStyle name="Normal 4 4 9 4 2 2" xfId="27847" xr:uid="{FCE6E47D-11D2-41A0-8218-BEF34BE38AF3}"/>
    <cellStyle name="Normal 4 4 9 4 2 3" xfId="17872" xr:uid="{42B9D3BE-8C30-41DF-96F3-DD334FC868D9}"/>
    <cellStyle name="Normal 4 4 9 4 3" xfId="10325" xr:uid="{7B8E750E-5139-4B20-AA09-F525B515AB18}"/>
    <cellStyle name="Normal 4 4 9 4 3 2" xfId="20705" xr:uid="{4294726E-CB1F-4246-B787-ACAC8C42AF9A}"/>
    <cellStyle name="Normal 4 4 9 4 4" xfId="25582" xr:uid="{30138CC3-E5CB-44A7-B41E-0E5758EEF6B1}"/>
    <cellStyle name="Normal 4 4 9 4 5" xfId="15039" xr:uid="{F338BB69-EDFA-45F5-A04C-D0226545A720}"/>
    <cellStyle name="Normal 4 4 9 5" xfId="3900" xr:uid="{44024C00-D3FE-47D0-B57A-39580CDEC769}"/>
    <cellStyle name="Normal 4 4 9 5 2" xfId="8732" xr:uid="{C9717C74-7ED6-40DF-A525-D9A0632BEECA}"/>
    <cellStyle name="Normal 4 4 9 5 2 2" xfId="19112" xr:uid="{1D841BDB-54D9-4A29-ABBC-AC0A4EDD03CB}"/>
    <cellStyle name="Normal 4 4 9 5 3" xfId="11565" xr:uid="{DE1FCD04-E87D-4AF7-8575-2D2CA3BE974D}"/>
    <cellStyle name="Normal 4 4 9 5 3 2" xfId="21945" xr:uid="{D19CA735-0498-486F-94B6-3344196D843B}"/>
    <cellStyle name="Normal 4 4 9 5 4" xfId="26267" xr:uid="{E400FC7F-A257-4C8F-BEAE-B5BFE3B7941D}"/>
    <cellStyle name="Normal 4 4 9 5 5" xfId="16279" xr:uid="{2C589C1A-4480-4627-B1F6-BC45103A33AC}"/>
    <cellStyle name="Normal 4 4 9 6" xfId="5320" xr:uid="{1569C5B3-5BBD-41FF-A302-F6D3990CFE26}"/>
    <cellStyle name="Normal 4 4 9 6 2" xfId="14618" xr:uid="{90A61658-C676-41E9-AE1D-F2159225B933}"/>
    <cellStyle name="Normal 4 4 9 7" xfId="7071" xr:uid="{3B9657B6-2776-4C06-B00B-D5BF82FB8EBB}"/>
    <cellStyle name="Normal 4 4 9 7 2" xfId="17451" xr:uid="{1EB034C5-53AA-46EE-94D3-339F728C90A8}"/>
    <cellStyle name="Normal 4 4 9 8" xfId="9904" xr:uid="{0324C80B-CF82-4EAF-971C-9218D29CB131}"/>
    <cellStyle name="Normal 4 4 9 8 2" xfId="20284" xr:uid="{28350CE1-D0C6-48D3-B3A0-BCCB4DF62AA3}"/>
    <cellStyle name="Normal 4 4 9 9" xfId="23444" xr:uid="{52970C66-47E4-431A-A6CC-18EE61A73DF0}"/>
    <cellStyle name="Normal 4 5" xfId="1018" xr:uid="{00000000-0005-0000-0000-0000AC050000}"/>
    <cellStyle name="Normal 4 5 10" xfId="5321" xr:uid="{AA327A81-5DC8-4692-9340-18993223415C}"/>
    <cellStyle name="Normal 4 5 10 2" xfId="14619" xr:uid="{7AB21E60-FA17-4254-B2B7-89D2BF5D690D}"/>
    <cellStyle name="Normal 4 5 11" xfId="7072" xr:uid="{C32C56F1-0EAB-44E2-9660-3E5C3F7ADDD7}"/>
    <cellStyle name="Normal 4 5 11 2" xfId="17452" xr:uid="{6D3AC4D4-2603-4D59-9880-7C347BAB594F}"/>
    <cellStyle name="Normal 4 5 12" xfId="9905" xr:uid="{8A633793-0BE1-48E7-9C01-528C21AF03E3}"/>
    <cellStyle name="Normal 4 5 12 2" xfId="20285" xr:uid="{48BB7326-53B9-4CF0-990F-441553D826C0}"/>
    <cellStyle name="Normal 4 5 13" xfId="25555" xr:uid="{2F7C80D2-515F-4B37-B3C2-0F41716B2516}"/>
    <cellStyle name="Normal 4 5 14" xfId="12409" xr:uid="{B417FB53-83C9-4E23-AAD7-B3EAE28C9430}"/>
    <cellStyle name="Normal 4 5 15" xfId="29574" xr:uid="{342C3EE9-6C31-424A-9F89-DC76ECE22115}"/>
    <cellStyle name="Normal 4 5 2" xfId="1019" xr:uid="{00000000-0005-0000-0000-0000AD050000}"/>
    <cellStyle name="Normal 4 5 2 10" xfId="7073" xr:uid="{F155FB5D-A444-46A9-93BA-D8A9F0A5D191}"/>
    <cellStyle name="Normal 4 5 2 10 2" xfId="17453" xr:uid="{0F2B164B-DE3C-46D9-B07B-7FCBDE3FF356}"/>
    <cellStyle name="Normal 4 5 2 11" xfId="9906" xr:uid="{0D429FD2-0B1E-4471-B9F3-559075B323D7}"/>
    <cellStyle name="Normal 4 5 2 11 2" xfId="20286" xr:uid="{77EB6FD4-BFDD-4C63-A826-EAF2B1D2DB15}"/>
    <cellStyle name="Normal 4 5 2 12" xfId="22647" xr:uid="{37A174BD-5DC6-4FD8-94FD-A049106B499C}"/>
    <cellStyle name="Normal 4 5 2 13" xfId="12469" xr:uid="{C96A457C-163F-4A39-B685-9058D2B1740E}"/>
    <cellStyle name="Normal 4 5 2 2" xfId="1020" xr:uid="{00000000-0005-0000-0000-0000AE050000}"/>
    <cellStyle name="Normal 4 5 2 2 10" xfId="9907" xr:uid="{FFBED01D-56C2-4DB9-A0A4-A4A176A4EB92}"/>
    <cellStyle name="Normal 4 5 2 2 10 2" xfId="20287" xr:uid="{18E5ED31-4796-427B-9D96-7A548B10B54A}"/>
    <cellStyle name="Normal 4 5 2 2 11" xfId="25565" xr:uid="{81FE1A69-411D-4DDA-AF27-D125FA94B8BA}"/>
    <cellStyle name="Normal 4 5 2 2 12" xfId="12608" xr:uid="{E5BE488E-DB85-46C7-B4FB-96ECB8A84659}"/>
    <cellStyle name="Normal 4 5 2 2 2" xfId="2795" xr:uid="{00000000-0005-0000-0000-00006B060000}"/>
    <cellStyle name="Normal 4 5 2 2 2 2" xfId="3363" xr:uid="{00000000-0005-0000-0000-00006C060000}"/>
    <cellStyle name="Normal 4 5 2 2 2 2 2" xfId="6421" xr:uid="{CB9A58F2-7890-4B6A-B0C4-08609EA3C9E0}"/>
    <cellStyle name="Normal 4 5 2 2 2 2 2 2" xfId="27473" xr:uid="{6A596950-F3A1-4201-8AF3-BD26A11E2E56}"/>
    <cellStyle name="Normal 4 5 2 2 2 2 2 3" xfId="27698" xr:uid="{659DC479-2BD7-4C6B-A33F-4D56A628B69D}"/>
    <cellStyle name="Normal 4 5 2 2 2 2 2 4" xfId="15990" xr:uid="{AF62BC5F-90DA-48E2-9A61-D3AB3816239E}"/>
    <cellStyle name="Normal 4 5 2 2 2 2 3" xfId="8443" xr:uid="{E90C640C-377B-4859-B0B4-A0564CE7D292}"/>
    <cellStyle name="Normal 4 5 2 2 2 2 3 2" xfId="28916" xr:uid="{54DEA4A0-01F6-40FB-A2AC-E0F618CA4A75}"/>
    <cellStyle name="Normal 4 5 2 2 2 2 3 3" xfId="18823" xr:uid="{1B15CFE1-10C9-40DA-B3F8-660B318D9E18}"/>
    <cellStyle name="Normal 4 5 2 2 2 2 4" xfId="11276" xr:uid="{CBF7840A-2BA2-490C-B408-4DFF8EA1F616}"/>
    <cellStyle name="Normal 4 5 2 2 2 2 4 2" xfId="21656" xr:uid="{45A1692A-DBBE-4571-949E-33F95E2F398C}"/>
    <cellStyle name="Normal 4 5 2 2 2 2 5" xfId="24920" xr:uid="{93AE2126-44B0-49B6-B346-061AC55C26EC}"/>
    <cellStyle name="Normal 4 5 2 2 2 2 6" xfId="13929" xr:uid="{01FF4D2D-6593-4498-AE66-ED53884D3B92}"/>
    <cellStyle name="Normal 4 5 2 2 2 3" xfId="4346" xr:uid="{F0DDF63A-1063-4A2C-834C-B0B9CC1595CB}"/>
    <cellStyle name="Normal 4 5 2 2 2 3 2" xfId="9118" xr:uid="{BE46173D-FC4C-4278-8555-0A3E13585A74}"/>
    <cellStyle name="Normal 4 5 2 2 2 3 2 2" xfId="29161" xr:uid="{EC26D65F-F883-4724-B3CF-72B900784BA4}"/>
    <cellStyle name="Normal 4 5 2 2 2 3 2 3" xfId="19498" xr:uid="{1037B84C-96B6-4E71-AE42-DB51C5047C4E}"/>
    <cellStyle name="Normal 4 5 2 2 2 3 3" xfId="11951" xr:uid="{BF4F16E1-1A00-4456-8E40-339F03E81D01}"/>
    <cellStyle name="Normal 4 5 2 2 2 3 3 2" xfId="22331" xr:uid="{CAEE0D91-E467-4130-A58D-FF5E780ED312}"/>
    <cellStyle name="Normal 4 5 2 2 2 3 4" xfId="24863" xr:uid="{7EAC0034-6BE9-4D0F-B584-A2C11E70DF05}"/>
    <cellStyle name="Normal 4 5 2 2 2 3 5" xfId="16665" xr:uid="{1A28BFBF-7731-4AB4-9B8B-9B1F1C447379}"/>
    <cellStyle name="Normal 4 5 2 2 2 4" xfId="6013" xr:uid="{8B49FA82-7B6D-4BE6-9B2F-5FB1467284B1}"/>
    <cellStyle name="Normal 4 5 2 2 2 4 2" xfId="26080" xr:uid="{D88B92DB-CA08-4AB4-83F0-0D8CC800957B}"/>
    <cellStyle name="Normal 4 5 2 2 2 4 3" xfId="15466" xr:uid="{03A527EE-D9C7-4438-83E1-C40E04B31A48}"/>
    <cellStyle name="Normal 4 5 2 2 2 5" xfId="7919" xr:uid="{46148B9B-5C5A-4E98-A683-7FF0356F6619}"/>
    <cellStyle name="Normal 4 5 2 2 2 5 2" xfId="18299" xr:uid="{FF1EB973-064D-4FD9-A7AF-A7BBDF5F6F43}"/>
    <cellStyle name="Normal 4 5 2 2 2 6" xfId="10752" xr:uid="{2FEAE426-4839-4F92-B94B-9B739D1958A8}"/>
    <cellStyle name="Normal 4 5 2 2 2 6 2" xfId="21132" xr:uid="{12431F26-C05B-4F11-95C5-F538C981F164}"/>
    <cellStyle name="Normal 4 5 2 2 2 7" xfId="24937" xr:uid="{386C30BC-3402-47D3-9CFA-77B7D0AC2B8C}"/>
    <cellStyle name="Normal 4 5 2 2 2 8" xfId="13257" xr:uid="{8151A255-92E0-4CAC-9A64-15EE978BF4BE}"/>
    <cellStyle name="Normal 4 5 2 2 3" xfId="3364" xr:uid="{00000000-0005-0000-0000-00006D060000}"/>
    <cellStyle name="Normal 4 5 2 2 3 2" xfId="4542" xr:uid="{5C992072-2692-40FE-BBF8-3D18743AFE66}"/>
    <cellStyle name="Normal 4 5 2 2 3 2 2" xfId="9314" xr:uid="{880D3A2B-4B2B-4A13-88D5-2BA0CFB149A3}"/>
    <cellStyle name="Normal 4 5 2 2 3 2 2 2" xfId="29291" xr:uid="{1B627872-8AE1-46BF-A8CA-B163849C6562}"/>
    <cellStyle name="Normal 4 5 2 2 3 2 2 3" xfId="19694" xr:uid="{81E00CB2-4CE0-4B43-9C1C-FFDF9B48CF3D}"/>
    <cellStyle name="Normal 4 5 2 2 3 2 3" xfId="12147" xr:uid="{4B085F41-08B4-4921-9306-0A37EB0AF2C5}"/>
    <cellStyle name="Normal 4 5 2 2 3 2 3 2" xfId="22527" xr:uid="{EB117C4D-BCAC-4C76-B3F6-79B66B8993B4}"/>
    <cellStyle name="Normal 4 5 2 2 3 2 4" xfId="26029" xr:uid="{B3F1682C-B58B-4F7B-9F3D-74263D292ABA}"/>
    <cellStyle name="Normal 4 5 2 2 3 2 5" xfId="16861" xr:uid="{D6B3FA64-94BE-402C-BB86-C7993554070A}"/>
    <cellStyle name="Normal 4 5 2 2 3 3" xfId="6422" xr:uid="{5D6D05FC-D0CA-4C56-BAD2-CA5C978CA780}"/>
    <cellStyle name="Normal 4 5 2 2 3 3 2" xfId="26715" xr:uid="{E2CA73D3-3870-41C5-A03B-CC41F8E2DA6E}"/>
    <cellStyle name="Normal 4 5 2 2 3 3 3" xfId="15991" xr:uid="{29D8A29D-7E64-4EA9-9528-D0F4D5EAA5CB}"/>
    <cellStyle name="Normal 4 5 2 2 3 4" xfId="8444" xr:uid="{F0E8D58E-5344-4E20-9372-6C93F92B2146}"/>
    <cellStyle name="Normal 4 5 2 2 3 4 2" xfId="18824" xr:uid="{27A8C04E-8DC4-4EE2-BB1E-2AEF5B1E16C1}"/>
    <cellStyle name="Normal 4 5 2 2 3 5" xfId="11277" xr:uid="{B7FFCAE5-5548-4065-97EF-997CE04E62F1}"/>
    <cellStyle name="Normal 4 5 2 2 3 5 2" xfId="21657" xr:uid="{1E8AE756-E401-42AB-B3D3-BC8125FA3A3E}"/>
    <cellStyle name="Normal 4 5 2 2 3 6" xfId="23298" xr:uid="{550288F8-7D60-4E23-9FEF-C72139F89487}"/>
    <cellStyle name="Normal 4 5 2 2 3 7" xfId="13930" xr:uid="{36AF86DA-92CA-4F5F-A5AA-A6C7EF40C8D0}"/>
    <cellStyle name="Normal 4 5 2 2 4" xfId="3362" xr:uid="{00000000-0005-0000-0000-00006E060000}"/>
    <cellStyle name="Normal 4 5 2 2 4 2" xfId="6420" xr:uid="{CD83A63A-1FFB-48A3-A5DE-2D94ACA440B6}"/>
    <cellStyle name="Normal 4 5 2 2 4 2 2" xfId="27854" xr:uid="{54548210-F9F5-4602-BD11-4984616A93E4}"/>
    <cellStyle name="Normal 4 5 2 2 4 2 3" xfId="15989" xr:uid="{8110A5F6-916F-4FD4-A60D-45568431B32A}"/>
    <cellStyle name="Normal 4 5 2 2 4 3" xfId="8442" xr:uid="{E0961122-8F68-4881-9183-7F705686D820}"/>
    <cellStyle name="Normal 4 5 2 2 4 3 2" xfId="18822" xr:uid="{FC938CFF-74C2-4051-98BE-3EEA45A5EC24}"/>
    <cellStyle name="Normal 4 5 2 2 4 4" xfId="11275" xr:uid="{111655AF-AE58-47F3-A4AD-AB796075E294}"/>
    <cellStyle name="Normal 4 5 2 2 4 4 2" xfId="21655" xr:uid="{BB70FE4F-2CB6-4C7C-AE5B-41648F4D565B}"/>
    <cellStyle name="Normal 4 5 2 2 4 5" xfId="25037" xr:uid="{A4ACC562-9D88-4446-97DF-68459C044C90}"/>
    <cellStyle name="Normal 4 5 2 2 4 6" xfId="13928" xr:uid="{15B98E35-58CB-46EB-9E15-D874394D2F3D}"/>
    <cellStyle name="Normal 4 5 2 2 5" xfId="2645" xr:uid="{00000000-0005-0000-0000-00006F060000}"/>
    <cellStyle name="Normal 4 5 2 2 5 2" xfId="5907" xr:uid="{1CBBE5B8-2179-443A-818B-CA9B82EF9375}"/>
    <cellStyle name="Normal 4 5 2 2 5 2 2" xfId="25869" xr:uid="{B87E1C25-8F25-44D1-9378-D84667DAE326}"/>
    <cellStyle name="Normal 4 5 2 2 5 2 3" xfId="15317" xr:uid="{345AB8E1-DE30-4CF1-B317-80BFA59C3620}"/>
    <cellStyle name="Normal 4 5 2 2 5 3" xfId="7770" xr:uid="{676A888C-7747-4326-BE4B-B6CA19088927}"/>
    <cellStyle name="Normal 4 5 2 2 5 3 2" xfId="18150" xr:uid="{F4A771CB-8EA8-4731-A993-49F9908CE8AF}"/>
    <cellStyle name="Normal 4 5 2 2 5 4" xfId="10603" xr:uid="{BEEF8A5C-90B7-4714-8664-ACF95091B647}"/>
    <cellStyle name="Normal 4 5 2 2 5 4 2" xfId="20983" xr:uid="{D7DDBACC-EB41-40DA-813D-BC1CB3771D23}"/>
    <cellStyle name="Normal 4 5 2 2 5 5" xfId="23116" xr:uid="{8B80382E-C38A-47FA-A5AF-6A30D1D83791}"/>
    <cellStyle name="Normal 4 5 2 2 5 6" xfId="13034" xr:uid="{61309A57-C24C-4900-8B50-03040D9E9E3A}"/>
    <cellStyle name="Normal 4 5 2 2 6" xfId="2374" xr:uid="{00000000-0005-0000-0000-00006A060000}"/>
    <cellStyle name="Normal 4 5 2 2 6 2" xfId="7501" xr:uid="{F5DDBCD1-A370-4BE4-ADF7-46BD5E7DD97F}"/>
    <cellStyle name="Normal 4 5 2 2 6 2 2" xfId="17881" xr:uid="{F453CDBF-C831-42A3-BFC3-C961D652161E}"/>
    <cellStyle name="Normal 4 5 2 2 6 3" xfId="10334" xr:uid="{860BBF6A-8155-4DE9-949D-80FEB27F3863}"/>
    <cellStyle name="Normal 4 5 2 2 6 3 2" xfId="20714" xr:uid="{8AE5DF16-29D6-4421-9F51-9317E93651F0}"/>
    <cellStyle name="Normal 4 5 2 2 6 4" xfId="23378" xr:uid="{DF3EB088-984B-417A-BB85-B384657AE050}"/>
    <cellStyle name="Normal 4 5 2 2 6 5" xfId="15048" xr:uid="{293FAE86-6E93-4DFD-A93B-E82E1E6422AC}"/>
    <cellStyle name="Normal 4 5 2 2 7" xfId="3925" xr:uid="{7E2B3D55-D6D0-4C09-B428-C3AD35411B83}"/>
    <cellStyle name="Normal 4 5 2 2 7 2" xfId="8757" xr:uid="{A650A9D6-C2AB-487C-ADB2-2CE5DE7F65AC}"/>
    <cellStyle name="Normal 4 5 2 2 7 2 2" xfId="19137" xr:uid="{3F3709B6-1FFE-4BDD-9910-F531057AF7F1}"/>
    <cellStyle name="Normal 4 5 2 2 7 3" xfId="11590" xr:uid="{470C3297-9168-421A-A970-7E70E99F9138}"/>
    <cellStyle name="Normal 4 5 2 2 7 3 2" xfId="21970" xr:uid="{AA8A2487-E093-4AFD-A277-EE1F5C962F5E}"/>
    <cellStyle name="Normal 4 5 2 2 7 4" xfId="16304" xr:uid="{2C93F13E-B605-4915-8773-D57DC68E5694}"/>
    <cellStyle name="Normal 4 5 2 2 8" xfId="5323" xr:uid="{CAF91BE3-2382-40FE-9F2E-80D1F470AEA1}"/>
    <cellStyle name="Normal 4 5 2 2 8 2" xfId="14621" xr:uid="{E082096E-F5A6-479A-8B05-758495EE71E3}"/>
    <cellStyle name="Normal 4 5 2 2 9" xfId="7074" xr:uid="{DF087704-CA16-4900-BF9B-2E6F667E0BEA}"/>
    <cellStyle name="Normal 4 5 2 2 9 2" xfId="17454" xr:uid="{B2E5202B-3541-4813-ADD1-48D3D22AFC0D}"/>
    <cellStyle name="Normal 4 5 2 3" xfId="1021" xr:uid="{00000000-0005-0000-0000-0000AF050000}"/>
    <cellStyle name="Normal 4 5 2 3 2" xfId="3365" xr:uid="{00000000-0005-0000-0000-000071060000}"/>
    <cellStyle name="Normal 4 5 2 3 2 2" xfId="6423" xr:uid="{459C8634-173F-4FA7-8F98-1D1FB39BDB13}"/>
    <cellStyle name="Normal 4 5 2 3 2 2 2" xfId="26713" xr:uid="{014981DB-CA37-4B50-9DC7-B2236888C132}"/>
    <cellStyle name="Normal 4 5 2 3 2 2 3" xfId="28206" xr:uid="{2287D21F-F269-4EDE-A5E9-9239AC3D462F}"/>
    <cellStyle name="Normal 4 5 2 3 2 2 4" xfId="15992" xr:uid="{13033BDD-4417-4546-8CFD-8638009AD7C8}"/>
    <cellStyle name="Normal 4 5 2 3 2 3" xfId="8445" xr:uid="{40D61485-F520-49B1-9C29-E069B765A44C}"/>
    <cellStyle name="Normal 4 5 2 3 2 3 2" xfId="28917" xr:uid="{E6E461C7-6D28-4E72-8949-A7E04526583A}"/>
    <cellStyle name="Normal 4 5 2 3 2 3 3" xfId="18825" xr:uid="{A3C05C27-2EDC-4FC4-8A78-2D6E14971659}"/>
    <cellStyle name="Normal 4 5 2 3 2 4" xfId="11278" xr:uid="{EA636CB6-32B7-450C-9E87-0CCC537034BA}"/>
    <cellStyle name="Normal 4 5 2 3 2 4 2" xfId="21658" xr:uid="{8341F538-F959-47F1-81DD-444AAB02536D}"/>
    <cellStyle name="Normal 4 5 2 3 2 5" xfId="23924" xr:uid="{CE4AC6F4-76E0-4F1C-B9A5-5E31E24684C3}"/>
    <cellStyle name="Normal 4 5 2 3 2 6" xfId="13931" xr:uid="{76ADFE17-F2FC-413F-8265-DF1E47501A2D}"/>
    <cellStyle name="Normal 4 5 2 3 3" xfId="2794" xr:uid="{00000000-0005-0000-0000-000072060000}"/>
    <cellStyle name="Normal 4 5 2 3 3 2" xfId="6012" xr:uid="{400D8516-E8C7-4321-B8DB-54514AC3D66C}"/>
    <cellStyle name="Normal 4 5 2 3 3 2 2" xfId="26349" xr:uid="{057C0257-4C3C-4E3B-801C-62361A39334D}"/>
    <cellStyle name="Normal 4 5 2 3 3 2 3" xfId="15465" xr:uid="{E8F3B38E-D972-406C-B8EB-8AF202F55272}"/>
    <cellStyle name="Normal 4 5 2 3 3 3" xfId="7918" xr:uid="{3A3DA035-EEE4-4D6C-8388-45D36777A705}"/>
    <cellStyle name="Normal 4 5 2 3 3 3 2" xfId="18298" xr:uid="{D53A0738-1DC9-45B6-BC04-1A735BF5253C}"/>
    <cellStyle name="Normal 4 5 2 3 3 4" xfId="10751" xr:uid="{3B260D01-0AEC-4BEC-AD71-C0FC7295E086}"/>
    <cellStyle name="Normal 4 5 2 3 3 4 2" xfId="21131" xr:uid="{84D30868-90AE-401A-8540-72E9ED39E07F}"/>
    <cellStyle name="Normal 4 5 2 3 3 5" xfId="24763" xr:uid="{6DD962BE-D982-4AA3-8D54-B11338C5AA27}"/>
    <cellStyle name="Normal 4 5 2 3 3 6" xfId="13256" xr:uid="{3CE8EF1E-53AE-466E-9903-35699626116A}"/>
    <cellStyle name="Normal 4 5 2 3 4" xfId="4200" xr:uid="{1BBE04BA-B312-41DF-8E4F-91CE866111F9}"/>
    <cellStyle name="Normal 4 5 2 3 4 2" xfId="8972" xr:uid="{8C0CCA2C-B560-4ABF-A070-379E56CB628F}"/>
    <cellStyle name="Normal 4 5 2 3 4 2 2" xfId="29056" xr:uid="{CBBEF2D0-1ACB-4FAA-9118-0988D24ACFA7}"/>
    <cellStyle name="Normal 4 5 2 3 4 2 3" xfId="19352" xr:uid="{F6C7C216-708E-4EFA-9CFD-5BF38621E0DB}"/>
    <cellStyle name="Normal 4 5 2 3 4 3" xfId="11805" xr:uid="{64CE70D4-A754-41B3-A960-A290C3878BF3}"/>
    <cellStyle name="Normal 4 5 2 3 4 3 2" xfId="22185" xr:uid="{4942E4E4-488E-4036-A981-3401653602CF}"/>
    <cellStyle name="Normal 4 5 2 3 4 4" xfId="23123" xr:uid="{9037FD61-653D-4558-825E-7AB8F20BDFF9}"/>
    <cellStyle name="Normal 4 5 2 3 4 5" xfId="16519" xr:uid="{B950B559-2C43-4BBF-BAF9-19C3D9A4D097}"/>
    <cellStyle name="Normal 4 5 2 3 5" xfId="5324" xr:uid="{E8C9F035-67B4-4D4E-BEFC-1A01562ADC02}"/>
    <cellStyle name="Normal 4 5 2 3 5 2" xfId="28103" xr:uid="{2B506E37-FFA8-4E02-BAA6-F1B68752E6DD}"/>
    <cellStyle name="Normal 4 5 2 3 5 3" xfId="14622" xr:uid="{B7FEE906-8681-416A-A08E-03393217D948}"/>
    <cellStyle name="Normal 4 5 2 3 6" xfId="7075" xr:uid="{FF80577F-0C14-415F-B02B-440809EF298E}"/>
    <cellStyle name="Normal 4 5 2 3 6 2" xfId="17455" xr:uid="{DCFAB2C2-192E-470A-BDA5-A15F0C6A1833}"/>
    <cellStyle name="Normal 4 5 2 3 7" xfId="9908" xr:uid="{35230ABF-FEB9-4A17-9B50-76B113473D69}"/>
    <cellStyle name="Normal 4 5 2 3 7 2" xfId="20288" xr:uid="{6DF26397-F749-4566-8724-3EAC1C0B5F21}"/>
    <cellStyle name="Normal 4 5 2 3 8" xfId="24273" xr:uid="{DEF51CA1-A777-4F59-AEA8-7F597CE65896}"/>
    <cellStyle name="Normal 4 5 2 3 9" xfId="12766" xr:uid="{F4CD9708-8509-49EF-9028-1858B70BD86E}"/>
    <cellStyle name="Normal 4 5 2 4" xfId="3366" xr:uid="{00000000-0005-0000-0000-000073060000}"/>
    <cellStyle name="Normal 4 5 2 4 2" xfId="4543" xr:uid="{D2E0A647-8B6B-484D-8EE5-B1FB6E1E52A5}"/>
    <cellStyle name="Normal 4 5 2 4 2 2" xfId="9315" xr:uid="{75B32AE0-920B-4E50-9E4B-443BB07783DE}"/>
    <cellStyle name="Normal 4 5 2 4 2 2 2" xfId="29292" xr:uid="{D8687BEB-7788-403F-A995-83E18A9367FE}"/>
    <cellStyle name="Normal 4 5 2 4 2 2 3" xfId="19695" xr:uid="{59100568-AC60-4A4C-A9CC-44EF4D006FA5}"/>
    <cellStyle name="Normal 4 5 2 4 2 3" xfId="12148" xr:uid="{894BA2BA-90E1-4317-A624-28764CE900B2}"/>
    <cellStyle name="Normal 4 5 2 4 2 3 2" xfId="22528" xr:uid="{82A5730E-C394-4437-BA7F-722AC2D07145}"/>
    <cellStyle name="Normal 4 5 2 4 2 4" xfId="25020" xr:uid="{D713E987-184A-413A-B836-C3B46E2666CF}"/>
    <cellStyle name="Normal 4 5 2 4 2 5" xfId="16862" xr:uid="{D933F60A-5A4E-4698-91E8-20233232B81F}"/>
    <cellStyle name="Normal 4 5 2 4 3" xfId="6424" xr:uid="{983D88EE-DF78-4F1B-83D8-DC36886EF344}"/>
    <cellStyle name="Normal 4 5 2 4 3 2" xfId="27520" xr:uid="{A6954AA8-0820-4173-BE56-4C426E4ECE2F}"/>
    <cellStyle name="Normal 4 5 2 4 3 3" xfId="15993" xr:uid="{F5992DB5-F890-4C29-B7BE-91756223422F}"/>
    <cellStyle name="Normal 4 5 2 4 4" xfId="8446" xr:uid="{50121966-DFAF-4303-B730-9406E0ED63E3}"/>
    <cellStyle name="Normal 4 5 2 4 4 2" xfId="18826" xr:uid="{4C0F9CDA-5884-4E28-B870-8DAC82B50996}"/>
    <cellStyle name="Normal 4 5 2 4 5" xfId="11279" xr:uid="{F532776D-2596-4BF2-A6EE-39E9B3A2C549}"/>
    <cellStyle name="Normal 4 5 2 4 5 2" xfId="21659" xr:uid="{D3AB1E21-DB7C-40F0-B25E-2B913D76A52B}"/>
    <cellStyle name="Normal 4 5 2 4 6" xfId="25025" xr:uid="{944C4AA1-0864-47DF-BF38-2010D49F015F}"/>
    <cellStyle name="Normal 4 5 2 4 7" xfId="13932" xr:uid="{89F49A4B-4346-4D42-8E10-799312E09AEF}"/>
    <cellStyle name="Normal 4 5 2 5" xfId="2943" xr:uid="{00000000-0005-0000-0000-000074060000}"/>
    <cellStyle name="Normal 4 5 2 5 2" xfId="6123" xr:uid="{2744C5C0-75C5-4713-BC0A-F01BAADDBA57}"/>
    <cellStyle name="Normal 4 5 2 5 2 2" xfId="27369" xr:uid="{FC4C0F38-2B2C-4837-A1DA-BEF2D68B0720}"/>
    <cellStyle name="Normal 4 5 2 5 2 3" xfId="28358" xr:uid="{40DFC500-5AA3-4A15-9614-05182B12FC67}"/>
    <cellStyle name="Normal 4 5 2 5 2 4" xfId="15601" xr:uid="{77C204C5-CCBA-4322-A4BF-6B2C917B659C}"/>
    <cellStyle name="Normal 4 5 2 5 3" xfId="8054" xr:uid="{A2BE1429-F9BC-4D60-A195-C274BBBBACE0}"/>
    <cellStyle name="Normal 4 5 2 5 3 2" xfId="27518" xr:uid="{EEB7D116-4090-4B01-A5A0-E3B19006C968}"/>
    <cellStyle name="Normal 4 5 2 5 3 3" xfId="18434" xr:uid="{5C80B42C-1955-4E42-8F61-F75CCEAFD189}"/>
    <cellStyle name="Normal 4 5 2 5 4" xfId="10887" xr:uid="{8C22F40A-C5D8-44A4-AED1-028559AEB72C}"/>
    <cellStyle name="Normal 4 5 2 5 4 2" xfId="21267" xr:uid="{90631456-16A4-48B0-A410-5FCA7318B9C2}"/>
    <cellStyle name="Normal 4 5 2 5 5" xfId="23794" xr:uid="{62B9C0EA-202A-4492-81AA-215BEC066F55}"/>
    <cellStyle name="Normal 4 5 2 5 6" xfId="13464" xr:uid="{7C28B4C5-3FCA-4F98-B5BB-5B6EEB327288}"/>
    <cellStyle name="Normal 4 5 2 6" xfId="2543" xr:uid="{00000000-0005-0000-0000-000075060000}"/>
    <cellStyle name="Normal 4 5 2 6 2" xfId="5815" xr:uid="{5986A24A-3267-44F7-BDFA-37391523A0FF}"/>
    <cellStyle name="Normal 4 5 2 6 2 2" xfId="27974" xr:uid="{3A4835A5-C5F7-468B-A642-C7D071561171}"/>
    <cellStyle name="Normal 4 5 2 6 2 3" xfId="15215" xr:uid="{7C4775D2-24AD-4EAA-85A9-BD50BD163413}"/>
    <cellStyle name="Normal 4 5 2 6 3" xfId="7668" xr:uid="{436CBBD9-8020-4EEC-B6DD-0911D57FF9E3}"/>
    <cellStyle name="Normal 4 5 2 6 3 2" xfId="18048" xr:uid="{FF9CBDD4-2A00-48C9-8FAE-F1013466C211}"/>
    <cellStyle name="Normal 4 5 2 6 4" xfId="10501" xr:uid="{FF77A2ED-2A16-46EF-B1A4-178BBD7F2FDB}"/>
    <cellStyle name="Normal 4 5 2 6 4 2" xfId="20881" xr:uid="{D4971610-CD2E-4D89-9CD5-F79318FEB2CE}"/>
    <cellStyle name="Normal 4 5 2 6 5" xfId="23152" xr:uid="{310123C0-F71E-414D-B200-08ED6D598F4B}"/>
    <cellStyle name="Normal 4 5 2 6 6" xfId="12931" xr:uid="{C0662821-CD8B-45D1-A046-854C09043DA1}"/>
    <cellStyle name="Normal 4 5 2 7" xfId="2237" xr:uid="{00000000-0005-0000-0000-000069060000}"/>
    <cellStyle name="Normal 4 5 2 7 2" xfId="7364" xr:uid="{28FE7E03-AD46-4741-A7FC-A676B678967A}"/>
    <cellStyle name="Normal 4 5 2 7 2 2" xfId="17744" xr:uid="{139A849F-7CFF-45E6-9FFD-CE714C088692}"/>
    <cellStyle name="Normal 4 5 2 7 3" xfId="10197" xr:uid="{2173FA89-6B46-4218-B70F-152B78916DF5}"/>
    <cellStyle name="Normal 4 5 2 7 3 2" xfId="20577" xr:uid="{75A2AA50-3592-490A-AF97-366D825E3B28}"/>
    <cellStyle name="Normal 4 5 2 7 4" xfId="23207" xr:uid="{D29F9E26-F9BE-4CD8-BE8C-62F0E5D26E59}"/>
    <cellStyle name="Normal 4 5 2 7 5" xfId="14911" xr:uid="{B891686C-B505-442D-BAC8-21228870E711}"/>
    <cellStyle name="Normal 4 5 2 8" xfId="3995" xr:uid="{E629CDDD-B813-4D71-807C-07FDC78629DF}"/>
    <cellStyle name="Normal 4 5 2 8 2" xfId="8819" xr:uid="{5D54BAB1-67C3-4710-AA67-8A6221137546}"/>
    <cellStyle name="Normal 4 5 2 8 2 2" xfId="19199" xr:uid="{1A57B2EE-5F55-4B87-9DE1-E0E3E445277B}"/>
    <cellStyle name="Normal 4 5 2 8 3" xfId="11652" xr:uid="{05572E02-0B75-4D1E-8E13-82C2E4DC02ED}"/>
    <cellStyle name="Normal 4 5 2 8 3 2" xfId="22032" xr:uid="{C058CAE0-4D4F-4D35-B4C2-74E1FD69A372}"/>
    <cellStyle name="Normal 4 5 2 8 4" xfId="16366" xr:uid="{192B4CD1-614C-44AD-95D8-C6E8AAF67198}"/>
    <cellStyle name="Normal 4 5 2 9" xfId="5322" xr:uid="{93AF8565-2114-4AB8-9876-2498C27D9664}"/>
    <cellStyle name="Normal 4 5 2 9 2" xfId="14620" xr:uid="{D40FF11D-13DB-426F-8633-5700B906C03C}"/>
    <cellStyle name="Normal 4 5 3" xfId="1022" xr:uid="{00000000-0005-0000-0000-0000B0050000}"/>
    <cellStyle name="Normal 4 5 3 10" xfId="9909" xr:uid="{C2AB3C88-B4D7-40DD-9379-8DA92DC41E3F}"/>
    <cellStyle name="Normal 4 5 3 10 2" xfId="20289" xr:uid="{D6FEA916-69B3-43D5-BD39-069339D93CF8}"/>
    <cellStyle name="Normal 4 5 3 11" xfId="23559" xr:uid="{14E72F27-0EBF-4CC1-A22C-453E4D7BA1BE}"/>
    <cellStyle name="Normal 4 5 3 12" xfId="12607" xr:uid="{C04F5E53-07FE-4D1D-BA93-92A7622E5671}"/>
    <cellStyle name="Normal 4 5 3 2" xfId="2796" xr:uid="{00000000-0005-0000-0000-000077060000}"/>
    <cellStyle name="Normal 4 5 3 2 2" xfId="3368" xr:uid="{00000000-0005-0000-0000-000078060000}"/>
    <cellStyle name="Normal 4 5 3 2 2 2" xfId="6426" xr:uid="{CDDD6384-D4EA-4EA1-8AF3-B22C1319784C}"/>
    <cellStyle name="Normal 4 5 3 2 2 2 2" xfId="27036" xr:uid="{47718808-69D2-44BB-B6B5-62AF05398240}"/>
    <cellStyle name="Normal 4 5 3 2 2 2 3" xfId="26023" xr:uid="{E50F255F-8400-46BD-A4E4-C149E4D49D5B}"/>
    <cellStyle name="Normal 4 5 3 2 2 2 4" xfId="15995" xr:uid="{6D2B7213-828E-4619-B9F3-D70C355E9B51}"/>
    <cellStyle name="Normal 4 5 3 2 2 3" xfId="8448" xr:uid="{3350974A-82A5-42D5-8A32-C89687AA424F}"/>
    <cellStyle name="Normal 4 5 3 2 2 3 2" xfId="28918" xr:uid="{329F68BD-C226-49FF-8344-A0B9B3AA855A}"/>
    <cellStyle name="Normal 4 5 3 2 2 3 3" xfId="18828" xr:uid="{1CB9FBE1-4FEF-432E-9AD9-962B501B277D}"/>
    <cellStyle name="Normal 4 5 3 2 2 4" xfId="11281" xr:uid="{B7203EA3-5441-4CE2-83E4-AEDA06983B0C}"/>
    <cellStyle name="Normal 4 5 3 2 2 4 2" xfId="21661" xr:uid="{3EF7E2BC-84C1-45B1-AF06-39A02C2A1AFA}"/>
    <cellStyle name="Normal 4 5 3 2 2 5" xfId="23371" xr:uid="{E9F2DCF3-D677-45D0-9FB0-2130CF05C61F}"/>
    <cellStyle name="Normal 4 5 3 2 2 6" xfId="13934" xr:uid="{C6C8432E-61CB-400A-B4F9-A8ABB02ABA66}"/>
    <cellStyle name="Normal 4 5 3 2 3" xfId="4347" xr:uid="{A37089E4-C760-4D54-9BCC-60B110A38149}"/>
    <cellStyle name="Normal 4 5 3 2 3 2" xfId="9119" xr:uid="{9BC4DA4B-FC10-4819-8AA3-C70EE0DB1A02}"/>
    <cellStyle name="Normal 4 5 3 2 3 2 2" xfId="29162" xr:uid="{A2279844-75AF-4F2D-B8A7-437A9CF27E6B}"/>
    <cellStyle name="Normal 4 5 3 2 3 2 3" xfId="19499" xr:uid="{BA1D082C-F915-4E86-ACB0-4D7152133CDC}"/>
    <cellStyle name="Normal 4 5 3 2 3 3" xfId="11952" xr:uid="{AC170593-1E44-4D79-9C04-59B3C7464D98}"/>
    <cellStyle name="Normal 4 5 3 2 3 3 2" xfId="22332" xr:uid="{8B2FA5CB-B576-4D9B-8B95-FB3C1B17E2D8}"/>
    <cellStyle name="Normal 4 5 3 2 3 4" xfId="24945" xr:uid="{EE8082B8-E8C8-4F16-A431-3BF33F466BA4}"/>
    <cellStyle name="Normal 4 5 3 2 3 5" xfId="16666" xr:uid="{E0D545DC-D036-42AF-82A6-A474358E058F}"/>
    <cellStyle name="Normal 4 5 3 2 4" xfId="6014" xr:uid="{46DC8AD1-A778-4A9B-B266-465C1F6E965B}"/>
    <cellStyle name="Normal 4 5 3 2 4 2" xfId="28208" xr:uid="{C5352B8D-2D4C-4A94-995D-3C2B527636C9}"/>
    <cellStyle name="Normal 4 5 3 2 4 3" xfId="15467" xr:uid="{6242F917-36F3-4071-86C8-B3B61B2199C9}"/>
    <cellStyle name="Normal 4 5 3 2 5" xfId="7920" xr:uid="{ADD9E9B6-DF64-4CEE-960E-3D57D32A6A47}"/>
    <cellStyle name="Normal 4 5 3 2 5 2" xfId="18300" xr:uid="{A6182F69-0633-467E-9C16-FCC5887F5846}"/>
    <cellStyle name="Normal 4 5 3 2 6" xfId="10753" xr:uid="{9B3B9507-35B2-4C6F-A081-90707E0F1F50}"/>
    <cellStyle name="Normal 4 5 3 2 6 2" xfId="21133" xr:uid="{3EDE4003-8002-4D57-ADFD-C8FC42B87326}"/>
    <cellStyle name="Normal 4 5 3 2 7" xfId="23118" xr:uid="{9214831E-63EB-4F9B-8C37-001619DFF200}"/>
    <cellStyle name="Normal 4 5 3 2 8" xfId="13258" xr:uid="{FDD54B08-2957-4F4A-9D51-84AA185B23C0}"/>
    <cellStyle name="Normal 4 5 3 3" xfId="3369" xr:uid="{00000000-0005-0000-0000-000079060000}"/>
    <cellStyle name="Normal 4 5 3 3 2" xfId="4544" xr:uid="{A4BB8FCD-A516-4B8F-9FD5-C02633F3C41E}"/>
    <cellStyle name="Normal 4 5 3 3 2 2" xfId="9316" xr:uid="{65762DF2-16C9-4A1A-AE53-3A9D22630157}"/>
    <cellStyle name="Normal 4 5 3 3 2 2 2" xfId="29293" xr:uid="{80807EDB-C4A0-4C78-9063-146F367F8D4C}"/>
    <cellStyle name="Normal 4 5 3 3 2 2 3" xfId="19696" xr:uid="{02ADD01E-9B8A-4F56-9A26-642AAA4D2B33}"/>
    <cellStyle name="Normal 4 5 3 3 2 3" xfId="12149" xr:uid="{C80691F1-2334-4321-8D18-251F439DD494}"/>
    <cellStyle name="Normal 4 5 3 3 2 3 2" xfId="22529" xr:uid="{2F889955-AA65-4881-BBFD-860DE60993DC}"/>
    <cellStyle name="Normal 4 5 3 3 2 4" xfId="23489" xr:uid="{3C8BB0E9-8267-4FDE-906A-29C20B22F8D2}"/>
    <cellStyle name="Normal 4 5 3 3 2 5" xfId="16863" xr:uid="{8DD6D398-9E33-42CC-A6CE-6741A5213352}"/>
    <cellStyle name="Normal 4 5 3 3 3" xfId="6427" xr:uid="{04605D07-819B-4931-A888-86D2BBB822DE}"/>
    <cellStyle name="Normal 4 5 3 3 3 2" xfId="27372" xr:uid="{51F70EB8-F14F-429C-BA73-AB6E1AC9A64E}"/>
    <cellStyle name="Normal 4 5 3 3 3 3" xfId="15996" xr:uid="{39445E8F-35DC-4CA0-B413-8EA55E918A8D}"/>
    <cellStyle name="Normal 4 5 3 3 4" xfId="8449" xr:uid="{51FAD66A-6840-4746-9F75-BC02A246452D}"/>
    <cellStyle name="Normal 4 5 3 3 4 2" xfId="18829" xr:uid="{B7429266-C428-4494-A399-EE860F13549F}"/>
    <cellStyle name="Normal 4 5 3 3 5" xfId="11282" xr:uid="{D2ED3D46-00C4-4A38-A158-B65142EC9065}"/>
    <cellStyle name="Normal 4 5 3 3 5 2" xfId="21662" xr:uid="{530C4BBB-824C-49F0-A9DC-DB10B354F7CC}"/>
    <cellStyle name="Normal 4 5 3 3 6" xfId="22883" xr:uid="{1C341B25-BD3F-41B0-B7EE-8DFA4F6E1CEA}"/>
    <cellStyle name="Normal 4 5 3 3 7" xfId="13935" xr:uid="{7CF23737-597D-4A42-A2B8-BAAB5597C0DC}"/>
    <cellStyle name="Normal 4 5 3 4" xfId="3367" xr:uid="{00000000-0005-0000-0000-00007A060000}"/>
    <cellStyle name="Normal 4 5 3 4 2" xfId="6425" xr:uid="{3B5BE5A0-FE42-4104-8BA0-6887C298DC19}"/>
    <cellStyle name="Normal 4 5 3 4 2 2" xfId="26748" xr:uid="{143F4099-0362-4499-81BD-AC03DC35B8F0}"/>
    <cellStyle name="Normal 4 5 3 4 2 3" xfId="15994" xr:uid="{4FE40EE6-7168-4E83-98D2-0664591EE9DF}"/>
    <cellStyle name="Normal 4 5 3 4 3" xfId="8447" xr:uid="{CC9B6CF3-EC75-481E-944B-E23CF2B12C38}"/>
    <cellStyle name="Normal 4 5 3 4 3 2" xfId="18827" xr:uid="{F0DB8B7F-4AED-4334-BD3E-0BBC9D40E83B}"/>
    <cellStyle name="Normal 4 5 3 4 4" xfId="11280" xr:uid="{B21DA2A6-4EDC-4D97-A93A-56CB47644E05}"/>
    <cellStyle name="Normal 4 5 3 4 4 2" xfId="21660" xr:uid="{F6E1F950-E577-4949-B354-057561187360}"/>
    <cellStyle name="Normal 4 5 3 4 5" xfId="24618" xr:uid="{E53C5F61-2C38-4EB3-B244-E079DB1AA7D5}"/>
    <cellStyle name="Normal 4 5 3 4 6" xfId="13933" xr:uid="{8266669C-C74A-4B7F-A416-9556F42899E8}"/>
    <cellStyle name="Normal 4 5 3 5" xfId="2586" xr:uid="{00000000-0005-0000-0000-00007B060000}"/>
    <cellStyle name="Normal 4 5 3 5 2" xfId="5851" xr:uid="{8CA30565-C8A5-499F-81EB-C994E3E26CEE}"/>
    <cellStyle name="Normal 4 5 3 5 2 2" xfId="27404" xr:uid="{8A1E56C1-E235-45ED-B0BD-EC133C950A3B}"/>
    <cellStyle name="Normal 4 5 3 5 2 3" xfId="15258" xr:uid="{37F6C1BB-08F0-44A1-9E20-6BC7914D6BE8}"/>
    <cellStyle name="Normal 4 5 3 5 3" xfId="7711" xr:uid="{50692379-D91D-4C07-9DE9-BE085C0335BE}"/>
    <cellStyle name="Normal 4 5 3 5 3 2" xfId="18091" xr:uid="{C877F4E8-7A38-4352-8699-FCC053A57F58}"/>
    <cellStyle name="Normal 4 5 3 5 4" xfId="10544" xr:uid="{15446674-6301-48C8-9CB0-2EA325897001}"/>
    <cellStyle name="Normal 4 5 3 5 4 2" xfId="20924" xr:uid="{37BDA2F8-A64F-4002-A7DD-8B4F2804EB6B}"/>
    <cellStyle name="Normal 4 5 3 5 5" xfId="22974" xr:uid="{E6CC10CC-52FD-46AC-8D1F-4DD7F00D1514}"/>
    <cellStyle name="Normal 4 5 3 5 6" xfId="12974" xr:uid="{3B6D2ED0-900B-4492-8078-22C0B1BCF264}"/>
    <cellStyle name="Normal 4 5 3 6" xfId="2373" xr:uid="{00000000-0005-0000-0000-000076060000}"/>
    <cellStyle name="Normal 4 5 3 6 2" xfId="7500" xr:uid="{58506A69-CFA6-43BA-B90F-1F6DE4551B15}"/>
    <cellStyle name="Normal 4 5 3 6 2 2" xfId="17880" xr:uid="{67F92608-0627-42DC-A26E-011E7DB9BA0B}"/>
    <cellStyle name="Normal 4 5 3 6 3" xfId="10333" xr:uid="{5F4B949F-1C47-433B-8FCF-AC8CD7996BB9}"/>
    <cellStyle name="Normal 4 5 3 6 3 2" xfId="20713" xr:uid="{906D78E2-EAE7-4162-BFD2-15DE8D0F865C}"/>
    <cellStyle name="Normal 4 5 3 6 4" xfId="24346" xr:uid="{E56095CB-0FD6-47CE-9FFB-5D7B2BCE14C0}"/>
    <cellStyle name="Normal 4 5 3 6 5" xfId="15047" xr:uid="{F79FCD76-54CF-4281-83CD-A03A535328F4}"/>
    <cellStyle name="Normal 4 5 3 7" xfId="3916" xr:uid="{06D6F7B0-88A1-4FDA-8A5F-40FAE895E25D}"/>
    <cellStyle name="Normal 4 5 3 7 2" xfId="8748" xr:uid="{8C74A894-709E-4754-BFB5-5F7D9FF716F4}"/>
    <cellStyle name="Normal 4 5 3 7 2 2" xfId="19128" xr:uid="{0DDC1B0B-9292-4631-82B1-91D20E242ECA}"/>
    <cellStyle name="Normal 4 5 3 7 3" xfId="11581" xr:uid="{D276F419-BF9B-4084-A51A-24B3258A579C}"/>
    <cellStyle name="Normal 4 5 3 7 3 2" xfId="21961" xr:uid="{9843EC8B-BA8B-4292-9ECD-ED7BD7DC45BE}"/>
    <cellStyle name="Normal 4 5 3 7 4" xfId="16295" xr:uid="{777C31E9-A830-4EF1-AD59-0E59428A5CB7}"/>
    <cellStyle name="Normal 4 5 3 8" xfId="5325" xr:uid="{93F95F2E-482A-4836-8938-B5C31F660364}"/>
    <cellStyle name="Normal 4 5 3 8 2" xfId="14623" xr:uid="{DB3D4FCF-F1EF-42C4-A98E-86FEC5CF11D4}"/>
    <cellStyle name="Normal 4 5 3 9" xfId="7076" xr:uid="{B5063EEE-FC94-4CBE-A8AD-3A41213A7627}"/>
    <cellStyle name="Normal 4 5 3 9 2" xfId="17456" xr:uid="{0AD4AEF5-C9EE-4A09-B9B4-83B4A0D2A573}"/>
    <cellStyle name="Normal 4 5 4" xfId="1023" xr:uid="{00000000-0005-0000-0000-0000B1050000}"/>
    <cellStyle name="Normal 4 5 4 2" xfId="3370" xr:uid="{00000000-0005-0000-0000-00007D060000}"/>
    <cellStyle name="Normal 4 5 4 2 2" xfId="6428" xr:uid="{F531157A-8A64-42AD-AB38-367C0467017D}"/>
    <cellStyle name="Normal 4 5 4 2 2 2" xfId="24466" xr:uid="{B3D47B1A-51C4-46BC-B691-5C33A014E6D4}"/>
    <cellStyle name="Normal 4 5 4 2 2 3" xfId="26584" xr:uid="{C253BFE2-5027-412F-B218-E93582380519}"/>
    <cellStyle name="Normal 4 5 4 2 2 4" xfId="15997" xr:uid="{967B74A0-774A-48C8-A3C3-EE0F4881CD60}"/>
    <cellStyle name="Normal 4 5 4 2 3" xfId="8450" xr:uid="{4608D409-D28F-4C57-A452-F3B6B05C59D0}"/>
    <cellStyle name="Normal 4 5 4 2 3 2" xfId="28919" xr:uid="{5E4706F0-DD60-4F70-8867-F1F0D1436203}"/>
    <cellStyle name="Normal 4 5 4 2 3 3" xfId="18830" xr:uid="{05511378-9591-44A6-99D5-436A7B51C350}"/>
    <cellStyle name="Normal 4 5 4 2 4" xfId="11283" xr:uid="{1C2F02AD-0D79-453B-8623-F1824FCA615E}"/>
    <cellStyle name="Normal 4 5 4 2 4 2" xfId="21663" xr:uid="{FDC49964-05F1-46FF-8D38-5C337274A0A5}"/>
    <cellStyle name="Normal 4 5 4 2 5" xfId="24104" xr:uid="{328E76FF-8BA1-46E4-86D9-CE673D7A12B9}"/>
    <cellStyle name="Normal 4 5 4 2 6" xfId="13936" xr:uid="{EEB5AF47-5AB2-43F8-85D6-716D9CBCCEE8}"/>
    <cellStyle name="Normal 4 5 4 3" xfId="2793" xr:uid="{00000000-0005-0000-0000-00007E060000}"/>
    <cellStyle name="Normal 4 5 4 3 2" xfId="6011" xr:uid="{F6AD08A0-96EC-440C-9AB6-9D9E39FE0DC4}"/>
    <cellStyle name="Normal 4 5 4 3 2 2" xfId="27432" xr:uid="{650275E6-7018-49FE-A978-E0C83CCC0AD9}"/>
    <cellStyle name="Normal 4 5 4 3 2 3" xfId="15464" xr:uid="{33431AFC-DDFD-48AE-B90D-5EC13EECDEF7}"/>
    <cellStyle name="Normal 4 5 4 3 3" xfId="7917" xr:uid="{F4B719A7-0708-449D-A5BB-ED35762B8AD3}"/>
    <cellStyle name="Normal 4 5 4 3 3 2" xfId="18297" xr:uid="{995D6AC7-C01E-4BAC-9742-19DE13A75250}"/>
    <cellStyle name="Normal 4 5 4 3 4" xfId="10750" xr:uid="{4EEA8DBB-3E22-49B4-86BF-6A81EFACD9FB}"/>
    <cellStyle name="Normal 4 5 4 3 4 2" xfId="21130" xr:uid="{2E25CABE-E320-4D74-8C85-82664600F774}"/>
    <cellStyle name="Normal 4 5 4 3 5" xfId="23095" xr:uid="{AA11B069-EA2A-4668-A7B6-F5ECF714A43F}"/>
    <cellStyle name="Normal 4 5 4 3 6" xfId="13255" xr:uid="{9750CDEC-06B1-4C19-9948-01DBBBDED92F}"/>
    <cellStyle name="Normal 4 5 4 4" xfId="4199" xr:uid="{1645401E-F3F5-499C-937A-D575F5ECD0AA}"/>
    <cellStyle name="Normal 4 5 4 4 2" xfId="8971" xr:uid="{0E6992F0-99C0-4977-AD8D-3395200AD305}"/>
    <cellStyle name="Normal 4 5 4 4 2 2" xfId="29055" xr:uid="{97B7D4EB-0199-4532-9965-1BB565797835}"/>
    <cellStyle name="Normal 4 5 4 4 2 3" xfId="19351" xr:uid="{A42B2B0B-22BB-46E0-BD4E-28ECEBB7D5B3}"/>
    <cellStyle name="Normal 4 5 4 4 3" xfId="11804" xr:uid="{7C2F02D2-678D-4BEF-BBFA-BBF4BDF3F8BA}"/>
    <cellStyle name="Normal 4 5 4 4 3 2" xfId="22184" xr:uid="{33BA402A-475D-403F-8FAC-1503C6D735EC}"/>
    <cellStyle name="Normal 4 5 4 4 4" xfId="23080" xr:uid="{4E375AF9-F0C9-4BC5-82B5-4EC7130621D2}"/>
    <cellStyle name="Normal 4 5 4 4 5" xfId="16518" xr:uid="{63A5E80F-9A87-45C6-BD04-1DA7C178BD4B}"/>
    <cellStyle name="Normal 4 5 4 5" xfId="5326" xr:uid="{597FCC5F-6ACB-4CBA-B673-3ED675AD1915}"/>
    <cellStyle name="Normal 4 5 4 5 2" xfId="28222" xr:uid="{B33BE7A2-09B2-450E-B19D-FECEAC5557B9}"/>
    <cellStyle name="Normal 4 5 4 5 3" xfId="14624" xr:uid="{2B05A4D0-AA97-4EC9-8F7A-17C3998C94FB}"/>
    <cellStyle name="Normal 4 5 4 6" xfId="7077" xr:uid="{757A1225-C23F-47F8-95B9-F8311BE49047}"/>
    <cellStyle name="Normal 4 5 4 6 2" xfId="17457" xr:uid="{98F37E42-1A29-470C-9116-A5404DBF1E4C}"/>
    <cellStyle name="Normal 4 5 4 7" xfId="9910" xr:uid="{FC781E71-4D27-4251-B981-1041BA33DD64}"/>
    <cellStyle name="Normal 4 5 4 7 2" xfId="20290" xr:uid="{605493C5-F06D-43D7-8AE5-FE21B2FA985D}"/>
    <cellStyle name="Normal 4 5 4 8" xfId="23843" xr:uid="{DEE4D0D6-DDAA-47DD-B407-4B63FA530AB1}"/>
    <cellStyle name="Normal 4 5 4 9" xfId="12765" xr:uid="{0F3A30A5-CAF6-4F9B-BDFF-2A7831AAE39D}"/>
    <cellStyle name="Normal 4 5 5" xfId="1024" xr:uid="{00000000-0005-0000-0000-0000B2050000}"/>
    <cellStyle name="Normal 4 5 5 2" xfId="4545" xr:uid="{E7906615-1A5F-4F5F-934B-349A841D2AFE}"/>
    <cellStyle name="Normal 4 5 5 2 2" xfId="9317" xr:uid="{A3029EBE-55A0-4222-869C-1FC4A98761CB}"/>
    <cellStyle name="Normal 4 5 5 2 2 2" xfId="29294" xr:uid="{345A85FA-BE7E-4055-960B-132753D3A999}"/>
    <cellStyle name="Normal 4 5 5 2 2 3" xfId="19697" xr:uid="{524577B2-A602-4A7B-8F62-D52F9266DADC}"/>
    <cellStyle name="Normal 4 5 5 2 3" xfId="12150" xr:uid="{56628441-C5E7-49A3-BFB0-AA576BF9735A}"/>
    <cellStyle name="Normal 4 5 5 2 3 2" xfId="22530" xr:uid="{246B1EAC-4FBF-4A92-8E7F-F20C5FE7E3BB}"/>
    <cellStyle name="Normal 4 5 5 2 4" xfId="24609" xr:uid="{80C73287-3944-4B55-A42C-6138875D6D1F}"/>
    <cellStyle name="Normal 4 5 5 2 5" xfId="16864" xr:uid="{D9BEFC78-FD4F-4A56-9F30-3A5454786AF5}"/>
    <cellStyle name="Normal 4 5 5 3" xfId="5327" xr:uid="{D6D78FE2-1BB5-404C-857A-CF014809247C}"/>
    <cellStyle name="Normal 4 5 5 3 2" xfId="26728" xr:uid="{121DF6EC-14E1-4BFB-8DA2-1285D002466D}"/>
    <cellStyle name="Normal 4 5 5 3 3" xfId="14625" xr:uid="{E140B0F9-CD58-450C-9751-70C636B0EFDC}"/>
    <cellStyle name="Normal 4 5 5 4" xfId="7078" xr:uid="{AE803436-D80B-4D57-B979-6621B8C71ED8}"/>
    <cellStyle name="Normal 4 5 5 4 2" xfId="17458" xr:uid="{FE8FCFAD-D612-458F-8111-9B172F8CDC8B}"/>
    <cellStyle name="Normal 4 5 5 5" xfId="9911" xr:uid="{09018AD2-7195-4BCD-A200-DB43248BB54A}"/>
    <cellStyle name="Normal 4 5 5 5 2" xfId="20291" xr:uid="{DEBBE446-73DC-42F4-A2CE-F06CE3F5CC13}"/>
    <cellStyle name="Normal 4 5 5 6" xfId="24110" xr:uid="{8295CE0F-969D-4DEC-B1FD-A2B0851FBB93}"/>
    <cellStyle name="Normal 4 5 5 7" xfId="13937" xr:uid="{ED9C66A4-C167-408D-A40E-CCD3909AAB32}"/>
    <cellStyle name="Normal 4 5 6" xfId="2942" xr:uid="{00000000-0005-0000-0000-000080060000}"/>
    <cellStyle name="Normal 4 5 6 2" xfId="6122" xr:uid="{8289F053-B125-4065-9B80-4CE1903DC934}"/>
    <cellStyle name="Normal 4 5 6 2 2" xfId="25633" xr:uid="{FB938224-4086-43FB-B5EE-CF78584A9791}"/>
    <cellStyle name="Normal 4 5 6 2 3" xfId="27491" xr:uid="{7D4C0B84-FFDD-489C-A5A5-322D84EA64AB}"/>
    <cellStyle name="Normal 4 5 6 2 4" xfId="15600" xr:uid="{F2DE9FFD-A9D0-4777-AABA-3933C92E408A}"/>
    <cellStyle name="Normal 4 5 6 3" xfId="8053" xr:uid="{97E97715-25E4-45DD-BBB9-7EE1D8D26A29}"/>
    <cellStyle name="Normal 4 5 6 3 2" xfId="28758" xr:uid="{481442CD-098A-4693-AEE9-B34E445C8564}"/>
    <cellStyle name="Normal 4 5 6 3 3" xfId="18433" xr:uid="{A4D5C3BA-C727-49AE-B674-1569EE4AEC46}"/>
    <cellStyle name="Normal 4 5 6 4" xfId="10886" xr:uid="{7FB32AF5-F084-47F5-9D59-1E96D73637F7}"/>
    <cellStyle name="Normal 4 5 6 4 2" xfId="21266" xr:uid="{0E26F104-831C-4146-BBFD-9B01FAAEB27F}"/>
    <cellStyle name="Normal 4 5 6 5" xfId="25564" xr:uid="{C740A216-2D57-4DC2-9D60-F28DEF7CFA53}"/>
    <cellStyle name="Normal 4 5 6 6" xfId="13463" xr:uid="{BEA4189C-BDE5-406D-8106-BAA681283927}"/>
    <cellStyle name="Normal 4 5 7" xfId="2483" xr:uid="{00000000-0005-0000-0000-000081060000}"/>
    <cellStyle name="Normal 4 5 7 2" xfId="5769" xr:uid="{D53AFC23-5220-4212-9169-92706A1A5E76}"/>
    <cellStyle name="Normal 4 5 7 2 2" xfId="28516" xr:uid="{FC06777D-9BE7-45DB-9AFF-1E1E2878CFF4}"/>
    <cellStyle name="Normal 4 5 7 2 3" xfId="15155" xr:uid="{1CF306E4-6761-4571-8151-7925ECDA9294}"/>
    <cellStyle name="Normal 4 5 7 3" xfId="7608" xr:uid="{40B0CBA3-1331-441F-A438-DCCE573111BC}"/>
    <cellStyle name="Normal 4 5 7 3 2" xfId="17988" xr:uid="{93D1D9F1-970E-4FB5-9F4E-9FCC5E03E973}"/>
    <cellStyle name="Normal 4 5 7 4" xfId="10441" xr:uid="{50C57C61-110F-482B-B2D6-9E74AAF3C889}"/>
    <cellStyle name="Normal 4 5 7 4 2" xfId="20821" xr:uid="{088DCA51-F8F7-45F3-8ADE-3690CA5A4DA9}"/>
    <cellStyle name="Normal 4 5 7 5" xfId="25072" xr:uid="{93913901-167A-4853-89BE-CD5C9E2D55BE}"/>
    <cellStyle name="Normal 4 5 7 6" xfId="12871" xr:uid="{D3A27890-A68A-480F-947A-55E902196E2B}"/>
    <cellStyle name="Normal 4 5 8" xfId="2177" xr:uid="{00000000-0005-0000-0000-000068060000}"/>
    <cellStyle name="Normal 4 5 8 2" xfId="7304" xr:uid="{291A5AB1-AC31-49A1-8203-9F51529AD636}"/>
    <cellStyle name="Normal 4 5 8 2 2" xfId="17684" xr:uid="{DE9FB33E-AB3A-47D6-90CB-2CBA608AEA40}"/>
    <cellStyle name="Normal 4 5 8 3" xfId="10137" xr:uid="{EC6E9979-1D68-42ED-BF78-07F100900E03}"/>
    <cellStyle name="Normal 4 5 8 3 2" xfId="20517" xr:uid="{DAF369CA-2D58-4AFD-A919-9EAD2C3CF720}"/>
    <cellStyle name="Normal 4 5 8 4" xfId="22894" xr:uid="{40973BC3-78C2-47D6-ABCC-E65DCBF39FB6}"/>
    <cellStyle name="Normal 4 5 8 5" xfId="14851" xr:uid="{ACAF7595-D900-400F-96B1-516EB766474D}"/>
    <cellStyle name="Normal 4 5 9" xfId="3994" xr:uid="{91D3A399-68E9-469C-8A0A-350305A8561B}"/>
    <cellStyle name="Normal 4 5 9 2" xfId="8818" xr:uid="{EF6897BD-557A-4A45-9F60-B014DCE4A927}"/>
    <cellStyle name="Normal 4 5 9 2 2" xfId="19198" xr:uid="{ACF224B1-ACA4-4ACA-8CC8-004E5D016286}"/>
    <cellStyle name="Normal 4 5 9 3" xfId="11651" xr:uid="{345967C5-DAE6-4233-A16F-747397CE158E}"/>
    <cellStyle name="Normal 4 5 9 3 2" xfId="22031" xr:uid="{97B64D74-B138-4706-A078-CCFD9F606C89}"/>
    <cellStyle name="Normal 4 5 9 4" xfId="16365" xr:uid="{E3E0A48C-0EE3-4A4F-984F-7C509E41F676}"/>
    <cellStyle name="Normal 4 6" xfId="1025" xr:uid="{00000000-0005-0000-0000-0000B3050000}"/>
    <cellStyle name="Normal 4 6 10" xfId="5328" xr:uid="{0C28CB16-68EA-42ED-BB70-906C37DC531A}"/>
    <cellStyle name="Normal 4 6 10 2" xfId="14626" xr:uid="{FF9121A2-83A1-4951-B51F-0ABD25335A2E}"/>
    <cellStyle name="Normal 4 6 11" xfId="7079" xr:uid="{33A56829-01D2-4684-9E7C-A90C663291F2}"/>
    <cellStyle name="Normal 4 6 11 2" xfId="17459" xr:uid="{722E9304-BBD0-4679-B3C2-65715E6CC4A7}"/>
    <cellStyle name="Normal 4 6 12" xfId="9912" xr:uid="{CD9E0B6E-51AE-4A65-BC1B-658D1E621266}"/>
    <cellStyle name="Normal 4 6 12 2" xfId="20292" xr:uid="{814F4D16-02C4-451E-9192-8C98D690B1DD}"/>
    <cellStyle name="Normal 4 6 13" xfId="23302" xr:uid="{62C3DB15-E4ED-45C7-9B52-8901B051FE55}"/>
    <cellStyle name="Normal 4 6 14" xfId="12415" xr:uid="{C633D6F3-9737-4C2E-B84E-2AC91B2C0E85}"/>
    <cellStyle name="Normal 4 6 2" xfId="1026" xr:uid="{00000000-0005-0000-0000-0000B4050000}"/>
    <cellStyle name="Normal 4 6 2 10" xfId="7080" xr:uid="{7A1A84C5-39EF-4122-B38A-C515D21A5FE6}"/>
    <cellStyle name="Normal 4 6 2 10 2" xfId="17460" xr:uid="{F468F3F2-39EF-423B-BEFD-55041D6A2BB3}"/>
    <cellStyle name="Normal 4 6 2 11" xfId="9913" xr:uid="{FCE9CA63-E303-4279-BCEB-BB1AFC702794}"/>
    <cellStyle name="Normal 4 6 2 11 2" xfId="20293" xr:uid="{C70D2436-8A40-40FD-96E2-2F6B5E428B92}"/>
    <cellStyle name="Normal 4 6 2 12" xfId="22694" xr:uid="{669146A1-A520-4013-8D63-08A79CDED512}"/>
    <cellStyle name="Normal 4 6 2 13" xfId="12475" xr:uid="{90241AAD-0CD6-41BC-A879-79AAE70544AC}"/>
    <cellStyle name="Normal 4 6 2 2" xfId="1027" xr:uid="{00000000-0005-0000-0000-0000B5050000}"/>
    <cellStyle name="Normal 4 6 2 2 10" xfId="13040" xr:uid="{6FA01EE3-F9F0-4984-AD38-5C094CD9AE5A}"/>
    <cellStyle name="Normal 4 6 2 2 2" xfId="2799" xr:uid="{00000000-0005-0000-0000-000085060000}"/>
    <cellStyle name="Normal 4 6 2 2 2 2" xfId="3373" xr:uid="{00000000-0005-0000-0000-000086060000}"/>
    <cellStyle name="Normal 4 6 2 2 2 2 2" xfId="6431" xr:uid="{46C1C465-1ECA-4F70-97B0-A5127B806E50}"/>
    <cellStyle name="Normal 4 6 2 2 2 2 2 2" xfId="25946" xr:uid="{EB53E93D-A7E3-4A0B-94AE-601D33B70F7C}"/>
    <cellStyle name="Normal 4 6 2 2 2 2 2 3" xfId="16000" xr:uid="{A9A08517-D890-449F-9AE8-DB3AC7156A4B}"/>
    <cellStyle name="Normal 4 6 2 2 2 2 3" xfId="8453" xr:uid="{FFD41181-32F6-4DB2-BDBA-22F84A18C731}"/>
    <cellStyle name="Normal 4 6 2 2 2 2 3 2" xfId="18833" xr:uid="{D5EEAA85-B873-42BB-A1D6-C3D692D98009}"/>
    <cellStyle name="Normal 4 6 2 2 2 2 4" xfId="11286" xr:uid="{AC591E7F-A936-47AE-8D97-8E58F0CC77C1}"/>
    <cellStyle name="Normal 4 6 2 2 2 2 4 2" xfId="21666" xr:uid="{ED92329A-0CDA-40FA-B99A-6DAE0049D0EE}"/>
    <cellStyle name="Normal 4 6 2 2 2 2 5" xfId="22711" xr:uid="{29DD1439-4647-45C0-A5BB-D8A53D8EA0C6}"/>
    <cellStyle name="Normal 4 6 2 2 2 2 6" xfId="13940" xr:uid="{117987FD-D06D-4E3F-B84D-C32959E27025}"/>
    <cellStyle name="Normal 4 6 2 2 2 3" xfId="4349" xr:uid="{D5DEB954-C0A1-4A31-8478-A8A05F96D4B8}"/>
    <cellStyle name="Normal 4 6 2 2 2 3 2" xfId="9121" xr:uid="{8EF489EF-50C0-43F1-B259-76B2B1811B71}"/>
    <cellStyle name="Normal 4 6 2 2 2 3 2 2" xfId="29164" xr:uid="{F317FB8D-F678-4CC8-9ACD-97F03CF0E5CB}"/>
    <cellStyle name="Normal 4 6 2 2 2 3 2 3" xfId="19501" xr:uid="{4C00B135-26C6-451D-9974-2C80BE207696}"/>
    <cellStyle name="Normal 4 6 2 2 2 3 3" xfId="11954" xr:uid="{14C4C8B8-24FD-4825-A155-75173C10E544}"/>
    <cellStyle name="Normal 4 6 2 2 2 3 3 2" xfId="22334" xr:uid="{329F8AF8-FF7C-4181-B235-DEEA3343C9B7}"/>
    <cellStyle name="Normal 4 6 2 2 2 3 4" xfId="25431" xr:uid="{B521D83F-449A-48BF-917B-E534CA576C87}"/>
    <cellStyle name="Normal 4 6 2 2 2 3 5" xfId="16668" xr:uid="{8102EE3F-FEE4-437B-8EB4-A477D4941138}"/>
    <cellStyle name="Normal 4 6 2 2 2 4" xfId="6017" xr:uid="{C783EF5B-C02D-4E1D-80B9-0CF81A0D89A1}"/>
    <cellStyle name="Normal 4 6 2 2 2 4 2" xfId="26086" xr:uid="{5846167A-769B-4FE7-BD08-54AB5BACF3C7}"/>
    <cellStyle name="Normal 4 6 2 2 2 4 3" xfId="15470" xr:uid="{41262F22-8D53-4A0B-AD9F-5619F796BB3D}"/>
    <cellStyle name="Normal 4 6 2 2 2 5" xfId="7923" xr:uid="{3C2C3F16-B06A-4716-A24E-76E03C1BD422}"/>
    <cellStyle name="Normal 4 6 2 2 2 5 2" xfId="18303" xr:uid="{DD8FE170-101B-42FD-A7F3-255F21271763}"/>
    <cellStyle name="Normal 4 6 2 2 2 6" xfId="10756" xr:uid="{735402AE-AA86-4645-BC87-5D037ED6794D}"/>
    <cellStyle name="Normal 4 6 2 2 2 6 2" xfId="21136" xr:uid="{0BAB771B-960F-4482-9C45-054D3D05C2CD}"/>
    <cellStyle name="Normal 4 6 2 2 2 7" xfId="24347" xr:uid="{4C301CF6-6B74-4665-92EC-864110B94E09}"/>
    <cellStyle name="Normal 4 6 2 2 2 8" xfId="13261" xr:uid="{7B9A48AF-8C5B-463E-91AD-FBC68180DEDF}"/>
    <cellStyle name="Normal 4 6 2 2 3" xfId="3374" xr:uid="{00000000-0005-0000-0000-000087060000}"/>
    <cellStyle name="Normal 4 6 2 2 3 2" xfId="4546" xr:uid="{BFCF5E32-216A-483A-AD55-2722FAC4318F}"/>
    <cellStyle name="Normal 4 6 2 2 3 2 2" xfId="9318" xr:uid="{BA7CAE72-2177-49EC-A9B2-BC87F4E70D4E}"/>
    <cellStyle name="Normal 4 6 2 2 3 2 2 2" xfId="19698" xr:uid="{7228007E-DC5B-44AE-AAE9-11E8B76A8BFF}"/>
    <cellStyle name="Normal 4 6 2 2 3 2 3" xfId="12151" xr:uid="{29DCCD41-7DE6-4377-9C16-0307B6B7E77A}"/>
    <cellStyle name="Normal 4 6 2 2 3 2 3 2" xfId="22531" xr:uid="{23C9BCEB-E65C-45F0-9F26-55E7B1D335CD}"/>
    <cellStyle name="Normal 4 6 2 2 3 2 4" xfId="27464" xr:uid="{021EF560-5E99-4968-9F1D-7509E16725F3}"/>
    <cellStyle name="Normal 4 6 2 2 3 2 5" xfId="16865" xr:uid="{D55ADE14-B7B1-4D41-9029-FDFC077556B0}"/>
    <cellStyle name="Normal 4 6 2 2 3 3" xfId="6432" xr:uid="{DD6B51D7-D03E-466E-BCF0-7778F96B21F9}"/>
    <cellStyle name="Normal 4 6 2 2 3 3 2" xfId="16001" xr:uid="{247704BE-F97F-4C13-8470-47A729758F75}"/>
    <cellStyle name="Normal 4 6 2 2 3 4" xfId="8454" xr:uid="{861ACCDF-A24B-4060-A0E3-8CD3E8CA9A52}"/>
    <cellStyle name="Normal 4 6 2 2 3 4 2" xfId="18834" xr:uid="{DD830CC8-3449-4E92-A65F-AD122329EA83}"/>
    <cellStyle name="Normal 4 6 2 2 3 5" xfId="11287" xr:uid="{2048C4C1-A745-48D0-8F53-7ECC9DC9EE58}"/>
    <cellStyle name="Normal 4 6 2 2 3 5 2" xfId="21667" xr:uid="{D983ABD9-A86E-40CF-9A2C-17BA76DB65F3}"/>
    <cellStyle name="Normal 4 6 2 2 3 6" xfId="23571" xr:uid="{2814C6B9-AF17-482E-BCAD-B9F62AA51F35}"/>
    <cellStyle name="Normal 4 6 2 2 3 7" xfId="13941" xr:uid="{F5739022-5223-406A-BA03-1C91FECBADEF}"/>
    <cellStyle name="Normal 4 6 2 2 4" xfId="3372" xr:uid="{00000000-0005-0000-0000-000088060000}"/>
    <cellStyle name="Normal 4 6 2 2 4 2" xfId="6430" xr:uid="{238C84E5-6F33-43AE-8C8A-00735DF97ECB}"/>
    <cellStyle name="Normal 4 6 2 2 4 2 2" xfId="27685" xr:uid="{217227E8-B500-43BA-A371-EF25835FC96C}"/>
    <cellStyle name="Normal 4 6 2 2 4 2 3" xfId="15999" xr:uid="{A5A40F7E-9E60-4856-B011-E6B594DEDD77}"/>
    <cellStyle name="Normal 4 6 2 2 4 3" xfId="8452" xr:uid="{7702EDA0-DDD6-4B61-A178-22E38269048C}"/>
    <cellStyle name="Normal 4 6 2 2 4 3 2" xfId="18832" xr:uid="{C549DCEC-4430-47E0-B2EC-44589FA07C0C}"/>
    <cellStyle name="Normal 4 6 2 2 4 4" xfId="11285" xr:uid="{AAC401BE-E29B-468C-9674-D73F6EEF4246}"/>
    <cellStyle name="Normal 4 6 2 2 4 4 2" xfId="21665" xr:uid="{01E2D04D-4996-4EBB-AF62-62703EAEF02D}"/>
    <cellStyle name="Normal 4 6 2 2 4 5" xfId="25574" xr:uid="{E1C4CBC8-9ED7-4382-BF6B-7BBCE7379DC1}"/>
    <cellStyle name="Normal 4 6 2 2 4 6" xfId="13939" xr:uid="{AB21AA70-4C29-4E40-82A6-27E05CEFD33C}"/>
    <cellStyle name="Normal 4 6 2 2 5" xfId="4241" xr:uid="{7BBC9497-82B0-4ADB-A7A3-2F1533CE31CC}"/>
    <cellStyle name="Normal 4 6 2 2 5 2" xfId="9013" xr:uid="{B9ED2CFE-69D1-4188-ADEF-5D6363C8360F}"/>
    <cellStyle name="Normal 4 6 2 2 5 2 2" xfId="29084" xr:uid="{7CE498E7-E51D-4A07-B524-3164CAB63061}"/>
    <cellStyle name="Normal 4 6 2 2 5 2 3" xfId="19393" xr:uid="{043CDCFB-1C20-4D1F-91C0-F42D8CEADAE4}"/>
    <cellStyle name="Normal 4 6 2 2 5 3" xfId="11846" xr:uid="{B5DE2472-92FD-4AD6-B80E-8F7054A7112C}"/>
    <cellStyle name="Normal 4 6 2 2 5 3 2" xfId="22226" xr:uid="{2C3B597A-756B-4D67-9D62-0C244C280664}"/>
    <cellStyle name="Normal 4 6 2 2 5 4" xfId="22888" xr:uid="{C6014893-A7C7-4A82-9CA3-CA61DA4F29D4}"/>
    <cellStyle name="Normal 4 6 2 2 5 5" xfId="16560" xr:uid="{4BB7572C-CABF-4AB6-A614-BBE127A3BA44}"/>
    <cellStyle name="Normal 4 6 2 2 6" xfId="5330" xr:uid="{0BC6F27B-5223-4C6B-A1BD-C0DAAC3F5FFA}"/>
    <cellStyle name="Normal 4 6 2 2 6 2" xfId="26511" xr:uid="{B9489960-85F9-4505-A5C2-1F8532D4F4DF}"/>
    <cellStyle name="Normal 4 6 2 2 6 3" xfId="14628" xr:uid="{CF5B7C4E-A7A0-4306-97EE-8FEBF7CAB449}"/>
    <cellStyle name="Normal 4 6 2 2 7" xfId="7081" xr:uid="{DC6C013B-8A94-4095-AF5D-268893FFE2A2}"/>
    <cellStyle name="Normal 4 6 2 2 7 2" xfId="17461" xr:uid="{3E27D583-53B5-49F9-8AA4-8796FABFE141}"/>
    <cellStyle name="Normal 4 6 2 2 8" xfId="9914" xr:uid="{CBB50BD5-681D-443C-9868-4193C8A822BE}"/>
    <cellStyle name="Normal 4 6 2 2 8 2" xfId="20294" xr:uid="{47608F98-F220-4E32-A389-7F1FF8F58975}"/>
    <cellStyle name="Normal 4 6 2 2 9" xfId="25554" xr:uid="{F51A6025-3625-4273-96DD-FA29E6925DE5}"/>
    <cellStyle name="Normal 4 6 2 3" xfId="2798" xr:uid="{00000000-0005-0000-0000-000089060000}"/>
    <cellStyle name="Normal 4 6 2 3 2" xfId="3375" xr:uid="{00000000-0005-0000-0000-00008A060000}"/>
    <cellStyle name="Normal 4 6 2 3 2 2" xfId="6433" xr:uid="{880CAF5C-4AC2-4228-BFF6-717331E14064}"/>
    <cellStyle name="Normal 4 6 2 3 2 2 2" xfId="27459" xr:uid="{C2291383-4F7F-471B-B6F6-643F1244FFA0}"/>
    <cellStyle name="Normal 4 6 2 3 2 2 3" xfId="16002" xr:uid="{8D5A8F50-BECA-49B4-9B6F-7F3E5334F744}"/>
    <cellStyle name="Normal 4 6 2 3 2 3" xfId="8455" xr:uid="{9FD6D99F-F8BC-4485-89F9-262AD42F3226}"/>
    <cellStyle name="Normal 4 6 2 3 2 3 2" xfId="18835" xr:uid="{03B18222-BF3C-42FE-A591-71C34DA0E657}"/>
    <cellStyle name="Normal 4 6 2 3 2 4" xfId="11288" xr:uid="{4D8CE8A3-16C8-4C1F-ADA3-A839C5636C16}"/>
    <cellStyle name="Normal 4 6 2 3 2 4 2" xfId="21668" xr:uid="{3EB5A2D3-8416-40DA-85A2-7E435DA59E15}"/>
    <cellStyle name="Normal 4 6 2 3 2 5" xfId="23457" xr:uid="{A9AE0ADF-588F-433F-BC38-596516722669}"/>
    <cellStyle name="Normal 4 6 2 3 2 6" xfId="13942" xr:uid="{EA1AC588-B608-4722-8945-FC4F3505763E}"/>
    <cellStyle name="Normal 4 6 2 3 3" xfId="4348" xr:uid="{33991BCD-F775-4318-80DB-758A0F992761}"/>
    <cellStyle name="Normal 4 6 2 3 3 2" xfId="9120" xr:uid="{B420165E-4375-445C-A6FA-7FDFBC7CFB61}"/>
    <cellStyle name="Normal 4 6 2 3 3 2 2" xfId="29163" xr:uid="{7C4D684C-7F2D-4649-ABF0-FCD9C55140AA}"/>
    <cellStyle name="Normal 4 6 2 3 3 2 3" xfId="19500" xr:uid="{9E68BC75-A358-42E8-ACFB-EDBA14863A2E}"/>
    <cellStyle name="Normal 4 6 2 3 3 3" xfId="11953" xr:uid="{261320A2-93F7-4A07-9958-424AAD113807}"/>
    <cellStyle name="Normal 4 6 2 3 3 3 2" xfId="22333" xr:uid="{949CAFC4-8871-4ACE-BEDE-5CF90CEFC2B9}"/>
    <cellStyle name="Normal 4 6 2 3 3 4" xfId="23790" xr:uid="{74D6E03D-3524-44D2-95CC-50F897D80617}"/>
    <cellStyle name="Normal 4 6 2 3 3 5" xfId="16667" xr:uid="{2236F4F1-DC6E-4ADC-B66E-8AD3A6423D89}"/>
    <cellStyle name="Normal 4 6 2 3 4" xfId="6016" xr:uid="{549DDB82-193B-40EB-BA86-5591FDFDE21C}"/>
    <cellStyle name="Normal 4 6 2 3 4 2" xfId="28741" xr:uid="{66E455AA-C372-40FF-BCAA-19EB6694B7F7}"/>
    <cellStyle name="Normal 4 6 2 3 4 3" xfId="15469" xr:uid="{05D3D57B-DDB3-41F1-82B1-B823E9146CA9}"/>
    <cellStyle name="Normal 4 6 2 3 5" xfId="7922" xr:uid="{578D98C4-7BBC-4E51-A64A-87B87A34B3A3}"/>
    <cellStyle name="Normal 4 6 2 3 5 2" xfId="18302" xr:uid="{887E17B5-1162-4D84-910B-C7259F3F7D5C}"/>
    <cellStyle name="Normal 4 6 2 3 6" xfId="10755" xr:uid="{EC7B1093-E08D-43FB-A576-FB7BF1F8C0E9}"/>
    <cellStyle name="Normal 4 6 2 3 6 2" xfId="21135" xr:uid="{002DD402-31AF-43C4-A8FD-480AABED7F2F}"/>
    <cellStyle name="Normal 4 6 2 3 7" xfId="24847" xr:uid="{5FA861CB-960F-4F70-8496-8715392A77B1}"/>
    <cellStyle name="Normal 4 6 2 3 8" xfId="13260" xr:uid="{5F45DE9B-7C40-47FD-A7B2-AA4DF5042440}"/>
    <cellStyle name="Normal 4 6 2 4" xfId="3376" xr:uid="{00000000-0005-0000-0000-00008B060000}"/>
    <cellStyle name="Normal 4 6 2 4 2" xfId="4547" xr:uid="{749E27D2-7FCE-4D76-9AA5-6D44FC29F920}"/>
    <cellStyle name="Normal 4 6 2 4 2 2" xfId="9319" xr:uid="{9EFD28D9-37C4-4EDC-AA86-4C8EFF8AF0C6}"/>
    <cellStyle name="Normal 4 6 2 4 2 2 2" xfId="19699" xr:uid="{9DEFEACB-BD51-4E5C-ADB6-7EE6CE7D305E}"/>
    <cellStyle name="Normal 4 6 2 4 2 3" xfId="12152" xr:uid="{1422BA2B-04C1-464D-8F5A-C55CBB0A4305}"/>
    <cellStyle name="Normal 4 6 2 4 2 3 2" xfId="22532" xr:uid="{E0E79656-BC44-4B8D-BC07-773BF57F1545}"/>
    <cellStyle name="Normal 4 6 2 4 2 4" xfId="28225" xr:uid="{27FFF2D2-6DF0-4A23-9AE8-59C2B0104837}"/>
    <cellStyle name="Normal 4 6 2 4 2 5" xfId="16866" xr:uid="{ABE290DE-BBD1-4714-B8E9-936D08C7DAC6}"/>
    <cellStyle name="Normal 4 6 2 4 3" xfId="6434" xr:uid="{9E72A876-C62D-4F44-8E52-DCAC54AC59A6}"/>
    <cellStyle name="Normal 4 6 2 4 3 2" xfId="16003" xr:uid="{5ED750DD-F985-4D60-B795-87EA2355995A}"/>
    <cellStyle name="Normal 4 6 2 4 4" xfId="8456" xr:uid="{FCCF48FB-37BC-42B7-9431-B4CDCEFB7844}"/>
    <cellStyle name="Normal 4 6 2 4 4 2" xfId="18836" xr:uid="{FFA19266-D96D-4747-AA47-FD9F5C716AC7}"/>
    <cellStyle name="Normal 4 6 2 4 5" xfId="11289" xr:uid="{52B16D53-16A7-4D69-B14D-5E03BD6D4452}"/>
    <cellStyle name="Normal 4 6 2 4 5 2" xfId="21669" xr:uid="{E7995802-90F3-422F-8B7F-E0636E370639}"/>
    <cellStyle name="Normal 4 6 2 4 6" xfId="23821" xr:uid="{F2D36C3B-1B93-4771-8680-B2C00BEE802A}"/>
    <cellStyle name="Normal 4 6 2 4 7" xfId="13943" xr:uid="{F2571187-447E-4431-998D-0C219264E416}"/>
    <cellStyle name="Normal 4 6 2 5" xfId="3371" xr:uid="{00000000-0005-0000-0000-00008C060000}"/>
    <cellStyle name="Normal 4 6 2 5 2" xfId="6429" xr:uid="{01A369A0-5815-472D-97F3-A707B176889F}"/>
    <cellStyle name="Normal 4 6 2 5 2 2" xfId="26382" xr:uid="{16CB294B-F5FE-4515-BC4C-7748DEE1246C}"/>
    <cellStyle name="Normal 4 6 2 5 2 3" xfId="15998" xr:uid="{72F13864-9C06-40FA-BE5B-611CC6680535}"/>
    <cellStyle name="Normal 4 6 2 5 3" xfId="8451" xr:uid="{329386A7-6D86-40F6-8462-4DBE5BCB0B6D}"/>
    <cellStyle name="Normal 4 6 2 5 3 2" xfId="18831" xr:uid="{66D3882B-A6BA-47A6-8426-7BF6347CC412}"/>
    <cellStyle name="Normal 4 6 2 5 4" xfId="11284" xr:uid="{0D6E7808-C939-4A45-835C-6D27BEA1445A}"/>
    <cellStyle name="Normal 4 6 2 5 4 2" xfId="21664" xr:uid="{0C4BD208-8BE2-47DF-95F1-9787C9753DB7}"/>
    <cellStyle name="Normal 4 6 2 5 5" xfId="23231" xr:uid="{A0757412-99F0-4C37-9858-3E46AAA0C5DD}"/>
    <cellStyle name="Normal 4 6 2 5 6" xfId="13938" xr:uid="{E9B9564E-68B5-4E24-9065-9266C55071EC}"/>
    <cellStyle name="Normal 4 6 2 6" xfId="2549" xr:uid="{00000000-0005-0000-0000-00008D060000}"/>
    <cellStyle name="Normal 4 6 2 6 2" xfId="5821" xr:uid="{41544DA0-315C-44C7-AB6A-C9E301631538}"/>
    <cellStyle name="Normal 4 6 2 6 2 2" xfId="27511" xr:uid="{B3544BF6-F1E3-4B61-A540-E164104E4554}"/>
    <cellStyle name="Normal 4 6 2 6 2 3" xfId="15221" xr:uid="{7CD8B811-98BB-46E5-9CBA-D4CB87EA26E7}"/>
    <cellStyle name="Normal 4 6 2 6 3" xfId="7674" xr:uid="{7DCDBF62-8E47-4CB3-B802-602270E11C65}"/>
    <cellStyle name="Normal 4 6 2 6 3 2" xfId="18054" xr:uid="{61C0FDFA-84FE-454C-BD28-7756B99CB7D9}"/>
    <cellStyle name="Normal 4 6 2 6 4" xfId="10507" xr:uid="{0844F20E-431F-4A55-9533-1A1A9A61E0C7}"/>
    <cellStyle name="Normal 4 6 2 6 4 2" xfId="20887" xr:uid="{2882705B-DE5A-47A0-980E-CCA99F13C3A7}"/>
    <cellStyle name="Normal 4 6 2 6 5" xfId="22884" xr:uid="{E569D9BE-2496-4E68-BCDB-7012DD07E64E}"/>
    <cellStyle name="Normal 4 6 2 6 6" xfId="12937" xr:uid="{5886AA2B-A425-4F55-ACF6-F4BA10054406}"/>
    <cellStyle name="Normal 4 6 2 7" xfId="2243" xr:uid="{00000000-0005-0000-0000-000083060000}"/>
    <cellStyle name="Normal 4 6 2 7 2" xfId="7370" xr:uid="{84744B32-E0B7-4FC2-BB3B-B844A50F7DD0}"/>
    <cellStyle name="Normal 4 6 2 7 2 2" xfId="17750" xr:uid="{EDB24E2C-1183-4A31-B407-E5DFC0DCEDDC}"/>
    <cellStyle name="Normal 4 6 2 7 3" xfId="10203" xr:uid="{BA064AAF-62D6-4D3E-A5FB-B26EF5E73022}"/>
    <cellStyle name="Normal 4 6 2 7 3 2" xfId="20583" xr:uid="{FC3E2AD7-2C23-44A9-8943-266601646C4B}"/>
    <cellStyle name="Normal 4 6 2 7 4" xfId="25327" xr:uid="{222E9E21-D11A-4201-9FF5-9E84412AD29A}"/>
    <cellStyle name="Normal 4 6 2 7 5" xfId="14917" xr:uid="{8E47B897-A7B3-49F2-94FB-E0E005800D29}"/>
    <cellStyle name="Normal 4 6 2 8" xfId="3796" xr:uid="{66B84ED8-BC9E-4498-A73B-35889857A41E}"/>
    <cellStyle name="Normal 4 6 2 8 2" xfId="8632" xr:uid="{0F4416F8-99F8-41E9-A3CF-47FF7549839A}"/>
    <cellStyle name="Normal 4 6 2 8 2 2" xfId="19012" xr:uid="{A666FD74-CE94-4372-8D89-8248332C0E1E}"/>
    <cellStyle name="Normal 4 6 2 8 3" xfId="11465" xr:uid="{A0875D6F-228A-4E12-BCF7-F94FD1AB637F}"/>
    <cellStyle name="Normal 4 6 2 8 3 2" xfId="21845" xr:uid="{DE2D0665-F305-444B-955F-D1DD4BFCD16F}"/>
    <cellStyle name="Normal 4 6 2 8 4" xfId="16179" xr:uid="{38500B39-885A-4599-BE45-97D879E734F5}"/>
    <cellStyle name="Normal 4 6 2 9" xfId="5329" xr:uid="{65FE34F6-2A0D-4B2D-BC52-5DA0F62E3CEE}"/>
    <cellStyle name="Normal 4 6 2 9 2" xfId="14627" xr:uid="{005A2762-6103-4BE6-A709-99F685D5DE72}"/>
    <cellStyle name="Normal 4 6 3" xfId="1028" xr:uid="{00000000-0005-0000-0000-0000B6050000}"/>
    <cellStyle name="Normal 4 6 3 10" xfId="9915" xr:uid="{65D62F54-5204-4AF7-A9C3-2B42FD0785E3}"/>
    <cellStyle name="Normal 4 6 3 10 2" xfId="20295" xr:uid="{8B81BF18-E32E-4551-B32C-DD2102694D8F}"/>
    <cellStyle name="Normal 4 6 3 11" xfId="24210" xr:uid="{C8F8A3B3-7610-4B3D-88F8-49B14B8E669F}"/>
    <cellStyle name="Normal 4 6 3 12" xfId="12609" xr:uid="{92ACC22C-1DCF-4694-902C-29F38736A8E4}"/>
    <cellStyle name="Normal 4 6 3 2" xfId="2800" xr:uid="{00000000-0005-0000-0000-00008F060000}"/>
    <cellStyle name="Normal 4 6 3 2 2" xfId="3378" xr:uid="{00000000-0005-0000-0000-000090060000}"/>
    <cellStyle name="Normal 4 6 3 2 2 2" xfId="6436" xr:uid="{ECC1323C-BBCE-4C05-85B0-B7CD0379B66F}"/>
    <cellStyle name="Normal 4 6 3 2 2 2 2" xfId="28307" xr:uid="{CC38E7A4-818E-4713-AA1B-5EDBDD564FF5}"/>
    <cellStyle name="Normal 4 6 3 2 2 2 3" xfId="16005" xr:uid="{5D2BBA40-6627-4DA8-894C-64BF6AFF0124}"/>
    <cellStyle name="Normal 4 6 3 2 2 3" xfId="8458" xr:uid="{43FD189E-CF21-4F1F-84A3-354648D057E9}"/>
    <cellStyle name="Normal 4 6 3 2 2 3 2" xfId="18838" xr:uid="{2B00C903-3F5A-47B0-8475-DB1A2595A7FF}"/>
    <cellStyle name="Normal 4 6 3 2 2 4" xfId="11291" xr:uid="{9F945B0E-35D3-47C6-B261-9488E148600D}"/>
    <cellStyle name="Normal 4 6 3 2 2 4 2" xfId="21671" xr:uid="{9BE4E36D-2165-4661-B95D-60B47B200893}"/>
    <cellStyle name="Normal 4 6 3 2 2 5" xfId="23902" xr:uid="{99ADA984-40C4-405F-9146-D49474D20BF9}"/>
    <cellStyle name="Normal 4 6 3 2 2 6" xfId="13945" xr:uid="{4251F45D-B259-4191-887B-749C4FDC8CE6}"/>
    <cellStyle name="Normal 4 6 3 2 3" xfId="4350" xr:uid="{901FB3A0-8012-498C-9CCB-3EF37ACD6D75}"/>
    <cellStyle name="Normal 4 6 3 2 3 2" xfId="9122" xr:uid="{D16C0C56-8186-4342-8995-BAEF3C464C17}"/>
    <cellStyle name="Normal 4 6 3 2 3 2 2" xfId="29165" xr:uid="{C7EF66EA-693F-4B28-9BBC-25B8894BDAE5}"/>
    <cellStyle name="Normal 4 6 3 2 3 2 3" xfId="19502" xr:uid="{5E451109-4797-4230-9A2C-67668D2DDAFC}"/>
    <cellStyle name="Normal 4 6 3 2 3 3" xfId="11955" xr:uid="{BEEED125-E58D-4368-AED4-BBD4584C6ED8}"/>
    <cellStyle name="Normal 4 6 3 2 3 3 2" xfId="22335" xr:uid="{33CE28C0-6194-40B2-BB08-EEACDD9E6787}"/>
    <cellStyle name="Normal 4 6 3 2 3 4" xfId="24025" xr:uid="{7989FA24-BFED-499B-9E24-07FDD2DAA521}"/>
    <cellStyle name="Normal 4 6 3 2 3 5" xfId="16669" xr:uid="{91CA9D4E-359C-4C52-8609-A7C8330665B8}"/>
    <cellStyle name="Normal 4 6 3 2 4" xfId="6018" xr:uid="{59E052AB-7D7E-4A3D-976D-4709C348FFB7}"/>
    <cellStyle name="Normal 4 6 3 2 4 2" xfId="26948" xr:uid="{02767540-DF5E-4B92-80D7-9FD45739C69D}"/>
    <cellStyle name="Normal 4 6 3 2 4 3" xfId="15471" xr:uid="{DDDB477A-4CD4-4AC8-84C7-B0A32B3EBDDC}"/>
    <cellStyle name="Normal 4 6 3 2 5" xfId="7924" xr:uid="{4E6E7CA1-9D4F-4542-984E-C278AFFBBC10}"/>
    <cellStyle name="Normal 4 6 3 2 5 2" xfId="18304" xr:uid="{61542B72-7518-472E-BD8F-792E0FF34D99}"/>
    <cellStyle name="Normal 4 6 3 2 6" xfId="10757" xr:uid="{ABD51765-B398-485E-8795-9B8333D02366}"/>
    <cellStyle name="Normal 4 6 3 2 6 2" xfId="21137" xr:uid="{93867C53-5D9A-4BD7-90FE-2978CC3A71BD}"/>
    <cellStyle name="Normal 4 6 3 2 7" xfId="23038" xr:uid="{D9FA77CE-9ED0-4400-9135-1F8631E9D081}"/>
    <cellStyle name="Normal 4 6 3 2 8" xfId="13262" xr:uid="{51C5BCC4-BF37-4FC8-A816-6C0EC2E4824E}"/>
    <cellStyle name="Normal 4 6 3 3" xfId="3379" xr:uid="{00000000-0005-0000-0000-000091060000}"/>
    <cellStyle name="Normal 4 6 3 3 2" xfId="4548" xr:uid="{E221C829-7C95-4079-854A-5EBDF76DD425}"/>
    <cellStyle name="Normal 4 6 3 3 2 2" xfId="9320" xr:uid="{4DEF5092-6EB7-4BC7-9957-FECF1C25D9F1}"/>
    <cellStyle name="Normal 4 6 3 3 2 2 2" xfId="29295" xr:uid="{D3A93D07-91C3-4843-A204-60D26D324504}"/>
    <cellStyle name="Normal 4 6 3 3 2 2 3" xfId="19700" xr:uid="{DD7743E5-D6EA-4048-BE56-A3455AB786FD}"/>
    <cellStyle name="Normal 4 6 3 3 2 3" xfId="12153" xr:uid="{77A8F7AB-4E87-4258-807B-C7F69B105ADF}"/>
    <cellStyle name="Normal 4 6 3 3 2 3 2" xfId="22533" xr:uid="{58610B75-D3AA-4372-AE19-009B80C3D1A7}"/>
    <cellStyle name="Normal 4 6 3 3 2 4" xfId="24087" xr:uid="{0D6BCC69-94B7-4F2D-AFED-7BA5C54DEC4A}"/>
    <cellStyle name="Normal 4 6 3 3 2 5" xfId="16867" xr:uid="{27469A74-8DD6-41A1-B7AC-C6C4FAAFD828}"/>
    <cellStyle name="Normal 4 6 3 3 3" xfId="6437" xr:uid="{623468F2-DB1D-4A25-9F04-83975724908B}"/>
    <cellStyle name="Normal 4 6 3 3 3 2" xfId="27818" xr:uid="{EBF82967-C964-4B43-BCF0-0679A04E8F94}"/>
    <cellStyle name="Normal 4 6 3 3 3 3" xfId="16006" xr:uid="{5494DBDC-DD7D-4D87-8DEE-442698AE16EA}"/>
    <cellStyle name="Normal 4 6 3 3 4" xfId="8459" xr:uid="{A8365E87-BB44-439D-9A0C-3F33A415FE65}"/>
    <cellStyle name="Normal 4 6 3 3 4 2" xfId="18839" xr:uid="{18EEF64B-50EE-4128-A3E3-2DA4BBF896F7}"/>
    <cellStyle name="Normal 4 6 3 3 5" xfId="11292" xr:uid="{789E31E8-3EB5-48E4-B8B1-CABF5AA7D4A0}"/>
    <cellStyle name="Normal 4 6 3 3 5 2" xfId="21672" xr:uid="{0DEB7017-66B9-4564-A4BB-9E3C9FE50BAC}"/>
    <cellStyle name="Normal 4 6 3 3 6" xfId="25504" xr:uid="{3436378B-9E79-4637-A21E-71AC240B0DDD}"/>
    <cellStyle name="Normal 4 6 3 3 7" xfId="13946" xr:uid="{9AF3BE5F-10EF-4920-A4B5-935A140E3D04}"/>
    <cellStyle name="Normal 4 6 3 4" xfId="3377" xr:uid="{00000000-0005-0000-0000-000092060000}"/>
    <cellStyle name="Normal 4 6 3 4 2" xfId="6435" xr:uid="{A886D118-9798-4B5F-B36C-335C108265F6}"/>
    <cellStyle name="Normal 4 6 3 4 2 2" xfId="26706" xr:uid="{FAB36108-C6D0-47AF-BEE1-BC28397C8375}"/>
    <cellStyle name="Normal 4 6 3 4 2 3" xfId="16004" xr:uid="{CB19526C-0119-4CF9-AAB4-86A3527D295C}"/>
    <cellStyle name="Normal 4 6 3 4 3" xfId="8457" xr:uid="{AF3CC76E-0B3E-4EB8-A8A1-5953B3F0274B}"/>
    <cellStyle name="Normal 4 6 3 4 3 2" xfId="18837" xr:uid="{2EFF01A5-BFE2-42F0-B845-57884D25FD7F}"/>
    <cellStyle name="Normal 4 6 3 4 4" xfId="11290" xr:uid="{625C0DC1-3F0E-4E75-8366-20573A204629}"/>
    <cellStyle name="Normal 4 6 3 4 4 2" xfId="21670" xr:uid="{F42CB666-5D98-4AB0-8DA7-A311C7ED6FFD}"/>
    <cellStyle name="Normal 4 6 3 4 5" xfId="25122" xr:uid="{8232A13F-E8FD-43DB-A4C5-900C2D745B05}"/>
    <cellStyle name="Normal 4 6 3 4 6" xfId="13944" xr:uid="{E230A255-7C47-4E73-9DCC-7CC97062DFB8}"/>
    <cellStyle name="Normal 4 6 3 5" xfId="2592" xr:uid="{00000000-0005-0000-0000-000093060000}"/>
    <cellStyle name="Normal 4 6 3 5 2" xfId="5857" xr:uid="{6D81AD73-E358-4DC6-B538-A344F8457572}"/>
    <cellStyle name="Normal 4 6 3 5 2 2" xfId="26791" xr:uid="{16CED827-F0E7-46A8-96CD-1D6D37DD6EC7}"/>
    <cellStyle name="Normal 4 6 3 5 2 3" xfId="15264" xr:uid="{44B554EA-51CE-4740-88C4-673048E6CE4E}"/>
    <cellStyle name="Normal 4 6 3 5 3" xfId="7717" xr:uid="{E5302134-8F60-4297-9414-BF9364858382}"/>
    <cellStyle name="Normal 4 6 3 5 3 2" xfId="18097" xr:uid="{95A2416F-C317-4DCF-B9B0-F5D2680D25D6}"/>
    <cellStyle name="Normal 4 6 3 5 4" xfId="10550" xr:uid="{6189DE3A-7947-47B5-BFBB-FE8ED5761E0A}"/>
    <cellStyle name="Normal 4 6 3 5 4 2" xfId="20930" xr:uid="{44CBDEB3-C6B6-4F6D-A1B9-6FE03C2B83B1}"/>
    <cellStyle name="Normal 4 6 3 5 5" xfId="23929" xr:uid="{BC0E6D03-EBDA-495D-884C-09FD51EE881D}"/>
    <cellStyle name="Normal 4 6 3 5 6" xfId="12980" xr:uid="{40EAB2F3-82C5-4BFA-8CBB-A38D930B46D9}"/>
    <cellStyle name="Normal 4 6 3 6" xfId="2375" xr:uid="{00000000-0005-0000-0000-00008E060000}"/>
    <cellStyle name="Normal 4 6 3 6 2" xfId="7502" xr:uid="{D5F0E475-829F-4382-B8E0-F6660E807072}"/>
    <cellStyle name="Normal 4 6 3 6 2 2" xfId="17882" xr:uid="{4937C117-2160-4AB8-BEBD-AABD170FF688}"/>
    <cellStyle name="Normal 4 6 3 6 3" xfId="10335" xr:uid="{EBC08E7D-5530-47D8-A3F4-26578A6FE87F}"/>
    <cellStyle name="Normal 4 6 3 6 3 2" xfId="20715" xr:uid="{7AC2691F-6757-43AF-BCC2-16AE5386A8B5}"/>
    <cellStyle name="Normal 4 6 3 6 4" xfId="25446" xr:uid="{9C4F7415-8D2D-4E21-9BFE-337BF7D76875}"/>
    <cellStyle name="Normal 4 6 3 6 5" xfId="15049" xr:uid="{F992069E-7030-4E0F-8FC2-7DF6BC38C7D4}"/>
    <cellStyle name="Normal 4 6 3 7" xfId="3926" xr:uid="{924801CF-FC74-4CA9-B147-9E360EDB88E6}"/>
    <cellStyle name="Normal 4 6 3 7 2" xfId="8758" xr:uid="{4D943242-7C2D-42A4-A9EF-D885DE73F0F0}"/>
    <cellStyle name="Normal 4 6 3 7 2 2" xfId="19138" xr:uid="{88F63E08-9EF1-4D65-85FD-DB425D9DEE45}"/>
    <cellStyle name="Normal 4 6 3 7 3" xfId="11591" xr:uid="{D4F74956-11A9-4EC4-881E-71BDF2275367}"/>
    <cellStyle name="Normal 4 6 3 7 3 2" xfId="21971" xr:uid="{19FDC02D-D04F-456E-9356-E9B81E218EC7}"/>
    <cellStyle name="Normal 4 6 3 7 4" xfId="16305" xr:uid="{E6E6D48B-F82C-45C2-B441-F678F8C3916E}"/>
    <cellStyle name="Normal 4 6 3 8" xfId="5331" xr:uid="{607ADC84-15AD-45CE-8404-B51B4BCF585F}"/>
    <cellStyle name="Normal 4 6 3 8 2" xfId="14629" xr:uid="{423F566A-93EB-4271-9D48-AE6925D4E99E}"/>
    <cellStyle name="Normal 4 6 3 9" xfId="7082" xr:uid="{6B1299FA-5846-4160-B210-58C7C0DDF07D}"/>
    <cellStyle name="Normal 4 6 3 9 2" xfId="17462" xr:uid="{3A67E0D5-267D-4E35-8F08-7307358D77B8}"/>
    <cellStyle name="Normal 4 6 4" xfId="1029" xr:uid="{00000000-0005-0000-0000-0000B7050000}"/>
    <cellStyle name="Normal 4 6 4 2" xfId="3380" xr:uid="{00000000-0005-0000-0000-000095060000}"/>
    <cellStyle name="Normal 4 6 4 2 2" xfId="6438" xr:uid="{DF2BC96C-2FB0-4962-9806-62CD31B7ECED}"/>
    <cellStyle name="Normal 4 6 4 2 2 2" xfId="26974" xr:uid="{8716AC8C-11C4-474C-8456-E9B906350AA6}"/>
    <cellStyle name="Normal 4 6 4 2 2 3" xfId="16007" xr:uid="{A2B4B55D-AE48-42DA-9B4D-D608BAA9A44D}"/>
    <cellStyle name="Normal 4 6 4 2 3" xfId="8460" xr:uid="{6DBD12A6-2213-429C-AC16-8933FD49C409}"/>
    <cellStyle name="Normal 4 6 4 2 3 2" xfId="18840" xr:uid="{8135583A-409D-4449-BE67-C70F4FC82A0F}"/>
    <cellStyle name="Normal 4 6 4 2 4" xfId="11293" xr:uid="{974BD558-C368-47BB-B456-94E3E124EE42}"/>
    <cellStyle name="Normal 4 6 4 2 4 2" xfId="21673" xr:uid="{8B909957-D330-4C32-9A3C-E9EA72CC9DF6}"/>
    <cellStyle name="Normal 4 6 4 2 5" xfId="23756" xr:uid="{80E40EDF-AC2D-43E5-AF8D-8B8412EA8E75}"/>
    <cellStyle name="Normal 4 6 4 2 6" xfId="13947" xr:uid="{9AC6C785-FA2C-4C59-9E87-BABB63367A3C}"/>
    <cellStyle name="Normal 4 6 4 3" xfId="2797" xr:uid="{00000000-0005-0000-0000-000096060000}"/>
    <cellStyle name="Normal 4 6 4 3 2" xfId="6015" xr:uid="{6C483FC5-646A-4F50-85C1-8E995DCF95F1}"/>
    <cellStyle name="Normal 4 6 4 3 2 2" xfId="27504" xr:uid="{8ADA07F8-9A0B-4FC4-A429-84D780E180CE}"/>
    <cellStyle name="Normal 4 6 4 3 2 3" xfId="15468" xr:uid="{C62DDB48-E9B1-4C52-9486-4A9C55884380}"/>
    <cellStyle name="Normal 4 6 4 3 3" xfId="7921" xr:uid="{10E3C720-B3FB-4150-8280-9F5978754AB3}"/>
    <cellStyle name="Normal 4 6 4 3 3 2" xfId="18301" xr:uid="{8BB6CA60-1AC8-47E9-9408-6B49377EC56A}"/>
    <cellStyle name="Normal 4 6 4 3 4" xfId="10754" xr:uid="{21F570A0-3A0C-4A55-830B-E33CF98C2F1B}"/>
    <cellStyle name="Normal 4 6 4 3 4 2" xfId="21134" xr:uid="{BE0654F7-F076-4459-B2AE-3701B9BDDD41}"/>
    <cellStyle name="Normal 4 6 4 3 5" xfId="24885" xr:uid="{5608BF8D-F8BE-4E20-9495-238DAD20BFD1}"/>
    <cellStyle name="Normal 4 6 4 3 6" xfId="13259" xr:uid="{D4DC4BC2-2489-434E-B83E-F5C77EB46244}"/>
    <cellStyle name="Normal 4 6 4 4" xfId="4201" xr:uid="{A57E2CE8-3522-4BE4-A60A-936B9032D4FA}"/>
    <cellStyle name="Normal 4 6 4 4 2" xfId="8973" xr:uid="{C94728F6-AC6E-455A-908E-50D33529407D}"/>
    <cellStyle name="Normal 4 6 4 4 2 2" xfId="19353" xr:uid="{0CA64AC8-0492-4B95-9D47-014B6E1AABEE}"/>
    <cellStyle name="Normal 4 6 4 4 3" xfId="11806" xr:uid="{4AD76A22-88B8-4419-862B-F0BD30D77D2E}"/>
    <cellStyle name="Normal 4 6 4 4 3 2" xfId="22186" xr:uid="{4EB621FE-93A1-4D11-87A8-8318FEB65438}"/>
    <cellStyle name="Normal 4 6 4 4 4" xfId="23076" xr:uid="{733A50BF-9F77-4A27-B6D3-AC1CAF03E720}"/>
    <cellStyle name="Normal 4 6 4 4 5" xfId="16520" xr:uid="{645438F7-51BC-45C7-AE07-E4D07A053734}"/>
    <cellStyle name="Normal 4 6 4 5" xfId="5332" xr:uid="{9AB68C42-FC3A-4C78-8542-B8DA3FD6B9FB}"/>
    <cellStyle name="Normal 4 6 4 5 2" xfId="14630" xr:uid="{73F47F6E-2A0E-4804-AC52-DADCA8073015}"/>
    <cellStyle name="Normal 4 6 4 6" xfId="7083" xr:uid="{73D88EF4-697B-4643-B67A-ADBF92497027}"/>
    <cellStyle name="Normal 4 6 4 6 2" xfId="17463" xr:uid="{E2F6927A-9127-41AD-A8A9-A72D9C1DEF4A}"/>
    <cellStyle name="Normal 4 6 4 7" xfId="9916" xr:uid="{505BD350-6781-42B3-B3A5-60CCEB242031}"/>
    <cellStyle name="Normal 4 6 4 7 2" xfId="20296" xr:uid="{BC126441-CDF2-49F7-8E8E-C90F634FFA7D}"/>
    <cellStyle name="Normal 4 6 4 8" xfId="24942" xr:uid="{8CBEC4C0-6167-4ACD-B708-2F1EF5FCBA0D}"/>
    <cellStyle name="Normal 4 6 4 9" xfId="12767" xr:uid="{F1573951-130D-4364-86D9-F96C85D8EA5C}"/>
    <cellStyle name="Normal 4 6 5" xfId="3381" xr:uid="{00000000-0005-0000-0000-000097060000}"/>
    <cellStyle name="Normal 4 6 5 2" xfId="4549" xr:uid="{581CFBF6-C1AC-444F-A46C-02981E676F45}"/>
    <cellStyle name="Normal 4 6 5 2 2" xfId="9321" xr:uid="{CFAAE2CF-B7A9-4A13-A923-164E8CDC0A96}"/>
    <cellStyle name="Normal 4 6 5 2 2 2" xfId="29296" xr:uid="{ED4DE572-AFE9-42EB-A725-25F832C8068A}"/>
    <cellStyle name="Normal 4 6 5 2 2 3" xfId="19701" xr:uid="{E0FCC1E7-FE38-42F2-B0E0-07FCC59D20A8}"/>
    <cellStyle name="Normal 4 6 5 2 3" xfId="12154" xr:uid="{A1925F0E-E782-467A-B13D-335839335128}"/>
    <cellStyle name="Normal 4 6 5 2 3 2" xfId="22534" xr:uid="{AC00FD10-3A98-4B2C-827D-6861B8AA029B}"/>
    <cellStyle name="Normal 4 6 5 2 4" xfId="23305" xr:uid="{C9677F74-E8DA-4B04-B1E5-90A610B7759B}"/>
    <cellStyle name="Normal 4 6 5 2 5" xfId="16868" xr:uid="{BBFEB372-A371-413B-BB71-5A998ACFD46D}"/>
    <cellStyle name="Normal 4 6 5 3" xfId="6439" xr:uid="{7BEDD6E8-8DEB-4481-93FD-E3DDF32C9C2E}"/>
    <cellStyle name="Normal 4 6 5 3 2" xfId="26244" xr:uid="{243F8F15-6787-4C0A-A720-7FADCA7EEA10}"/>
    <cellStyle name="Normal 4 6 5 3 3" xfId="16008" xr:uid="{A5D04E9F-CB05-4A4F-8261-564A0F8E7F47}"/>
    <cellStyle name="Normal 4 6 5 4" xfId="8461" xr:uid="{532730D0-B859-46F1-8F49-E074F3AD6383}"/>
    <cellStyle name="Normal 4 6 5 4 2" xfId="18841" xr:uid="{DBB5BC43-DA6F-4B42-B0E7-8C259BA09246}"/>
    <cellStyle name="Normal 4 6 5 5" xfId="11294" xr:uid="{162DD07D-91B8-403D-9E9D-0E51B22F1306}"/>
    <cellStyle name="Normal 4 6 5 5 2" xfId="21674" xr:uid="{A456DF34-40D1-4C8D-9238-1A647AA31703}"/>
    <cellStyle name="Normal 4 6 5 6" xfId="25112" xr:uid="{0CC5BDD8-8D65-423E-85DA-4B5C43D446A2}"/>
    <cellStyle name="Normal 4 6 5 7" xfId="13948" xr:uid="{197DA3D7-F9EF-4319-8013-37E02FA82DBE}"/>
    <cellStyle name="Normal 4 6 6" xfId="2944" xr:uid="{00000000-0005-0000-0000-000098060000}"/>
    <cellStyle name="Normal 4 6 6 2" xfId="6124" xr:uid="{AB61B0ED-0C05-4DA9-A5B5-9B1C7FDA926D}"/>
    <cellStyle name="Normal 4 6 6 2 2" xfId="26509" xr:uid="{4E26FDE3-85AD-41CB-BE54-C9C7D9AED855}"/>
    <cellStyle name="Normal 4 6 6 2 3" xfId="15602" xr:uid="{FEB8E9C5-960A-4575-8FDE-A17B18FE6308}"/>
    <cellStyle name="Normal 4 6 6 3" xfId="8055" xr:uid="{7E7448F5-FD6C-40E9-A151-B5B80535108C}"/>
    <cellStyle name="Normal 4 6 6 3 2" xfId="18435" xr:uid="{DE24D157-716F-431F-890B-BD71DF75388E}"/>
    <cellStyle name="Normal 4 6 6 4" xfId="10888" xr:uid="{4AF5FA3F-E5DF-451E-B08B-27DE264D3C73}"/>
    <cellStyle name="Normal 4 6 6 4 2" xfId="21268" xr:uid="{85296F37-8CF4-4711-AAD8-2164B0504D56}"/>
    <cellStyle name="Normal 4 6 6 5" xfId="24035" xr:uid="{EFD7E220-F198-47E0-B4BD-5358AAF6C1A3}"/>
    <cellStyle name="Normal 4 6 6 6" xfId="13465" xr:uid="{2503850D-3D78-45E2-B8FA-EB848C72E4DA}"/>
    <cellStyle name="Normal 4 6 7" xfId="2489" xr:uid="{00000000-0005-0000-0000-000099060000}"/>
    <cellStyle name="Normal 4 6 7 2" xfId="5774" xr:uid="{50B46806-7D8D-42E2-9C6C-C21CBC4D37E3}"/>
    <cellStyle name="Normal 4 6 7 2 2" xfId="26160" xr:uid="{5256F9A0-EFB7-41AC-8504-22C92C43AF49}"/>
    <cellStyle name="Normal 4 6 7 2 3" xfId="15161" xr:uid="{6897A209-42EE-48B8-BFAE-E2EB752E78D0}"/>
    <cellStyle name="Normal 4 6 7 3" xfId="7614" xr:uid="{928CE829-45FF-468E-A724-D3EE3587A3C7}"/>
    <cellStyle name="Normal 4 6 7 3 2" xfId="17994" xr:uid="{F45296D9-6049-45CD-B7D0-0CFB0861CF15}"/>
    <cellStyle name="Normal 4 6 7 4" xfId="10447" xr:uid="{BA5CEA8B-76A7-4BFB-BA5E-EAEA0955FEB6}"/>
    <cellStyle name="Normal 4 6 7 4 2" xfId="20827" xr:uid="{A8D583BB-F8BD-4143-BF7C-57AA7EAD4000}"/>
    <cellStyle name="Normal 4 6 7 5" xfId="23320" xr:uid="{103450DD-2735-4A4C-A33D-984DF1C76EF3}"/>
    <cellStyle name="Normal 4 6 7 6" xfId="12877" xr:uid="{5E9881F1-2B8A-4A6A-B900-3DD69FFF754E}"/>
    <cellStyle name="Normal 4 6 8" xfId="2183" xr:uid="{00000000-0005-0000-0000-000082060000}"/>
    <cellStyle name="Normal 4 6 8 2" xfId="7310" xr:uid="{15F803F6-1D1C-408C-8311-625EC20A9C42}"/>
    <cellStyle name="Normal 4 6 8 2 2" xfId="17690" xr:uid="{ECBBA2BE-6D98-41EE-955A-755DC0787FD2}"/>
    <cellStyle name="Normal 4 6 8 3" xfId="10143" xr:uid="{D7A27A57-4429-427A-B428-FE3C620908DD}"/>
    <cellStyle name="Normal 4 6 8 3 2" xfId="20523" xr:uid="{27F0C316-878F-4708-A6DC-5E58065A94E5}"/>
    <cellStyle name="Normal 4 6 8 4" xfId="24271" xr:uid="{57A341D5-D594-4091-B7AB-8FBEB2695850}"/>
    <cellStyle name="Normal 4 6 8 5" xfId="14857" xr:uid="{B9219575-002C-4DFB-927E-315FE24DBD76}"/>
    <cellStyle name="Normal 4 6 9" xfId="3996" xr:uid="{5B3FB2E7-98AC-4D7F-BA21-C2139A83A87B}"/>
    <cellStyle name="Normal 4 6 9 2" xfId="8820" xr:uid="{3E5090D4-3654-4158-BCF2-FABCE5B40C12}"/>
    <cellStyle name="Normal 4 6 9 2 2" xfId="19200" xr:uid="{7D347B0F-9A4C-4D9C-8307-CFF1A1F2517E}"/>
    <cellStyle name="Normal 4 6 9 3" xfId="11653" xr:uid="{86DCD437-03D8-46D8-8996-3ADBC1159A65}"/>
    <cellStyle name="Normal 4 6 9 3 2" xfId="22033" xr:uid="{50E8EB04-21AB-46A5-8681-584EA55457EA}"/>
    <cellStyle name="Normal 4 6 9 4" xfId="16367" xr:uid="{6FA59F06-511F-49EB-9289-21244F33BEA0}"/>
    <cellStyle name="Normal 4 7" xfId="1030" xr:uid="{00000000-0005-0000-0000-0000B8050000}"/>
    <cellStyle name="Normal 4 7 10" xfId="5333" xr:uid="{ECD87BB0-BD90-49E2-9EE4-1F117221ACC5}"/>
    <cellStyle name="Normal 4 7 10 2" xfId="14631" xr:uid="{578552DA-6914-4709-8E5C-C93C603F32F4}"/>
    <cellStyle name="Normal 4 7 11" xfId="7084" xr:uid="{9290D053-35CD-4DAD-B80F-CACC9D3EF23C}"/>
    <cellStyle name="Normal 4 7 11 2" xfId="17464" xr:uid="{9A5C5777-3C3B-4BE8-A61E-31C493E774F9}"/>
    <cellStyle name="Normal 4 7 12" xfId="9917" xr:uid="{54880313-3C79-496B-A6D2-CCD9E0A1380A}"/>
    <cellStyle name="Normal 4 7 12 2" xfId="20297" xr:uid="{A2342BC1-9AA9-4364-9E56-FE359188ABB0}"/>
    <cellStyle name="Normal 4 7 13" xfId="23856" xr:uid="{EBC395B5-5298-4DCD-92C9-D8E9E3D2D57F}"/>
    <cellStyle name="Normal 4 7 14" xfId="12449" xr:uid="{FCC9BB74-58F6-4344-8DA8-0B927FF84A14}"/>
    <cellStyle name="Normal 4 7 2" xfId="1031" xr:uid="{00000000-0005-0000-0000-0000B9050000}"/>
    <cellStyle name="Normal 4 7 2 10" xfId="9918" xr:uid="{94CF7FCF-8478-4AE2-BFEB-AA8994DB8173}"/>
    <cellStyle name="Normal 4 7 2 10 2" xfId="20298" xr:uid="{B8110599-1DF2-4031-8E30-7BC6F555E3E1}"/>
    <cellStyle name="Normal 4 7 2 11" xfId="23059" xr:uid="{C66A64D2-0115-49AB-8BAC-36C4C9F008CD}"/>
    <cellStyle name="Normal 4 7 2 12" xfId="12610" xr:uid="{372D399D-0D52-40E3-994E-BA9ACBAB3711}"/>
    <cellStyle name="Normal 4 7 2 2" xfId="1032" xr:uid="{00000000-0005-0000-0000-0000BA050000}"/>
    <cellStyle name="Normal 4 7 2 2 2" xfId="3383" xr:uid="{00000000-0005-0000-0000-00009D060000}"/>
    <cellStyle name="Normal 4 7 2 2 2 2" xfId="6441" xr:uid="{E8A3B782-7144-4FB0-A0EE-14B664F1AEEF}"/>
    <cellStyle name="Normal 4 7 2 2 2 2 2" xfId="28066" xr:uid="{29F7E3EA-44BD-4021-8043-DAFB97F08BE6}"/>
    <cellStyle name="Normal 4 7 2 2 2 2 3" xfId="28198" xr:uid="{4F7C77A2-78FE-4A4A-B990-19A68F9D2F5F}"/>
    <cellStyle name="Normal 4 7 2 2 2 2 4" xfId="16010" xr:uid="{F484AA9B-596C-4BA3-AAF6-DE2DAFBC6117}"/>
    <cellStyle name="Normal 4 7 2 2 2 3" xfId="8463" xr:uid="{DB1A5F90-6857-43A1-8F1C-44EADF4E8061}"/>
    <cellStyle name="Normal 4 7 2 2 2 3 2" xfId="28920" xr:uid="{76A5D998-14F7-4EAD-91A8-CE53040F9BFB}"/>
    <cellStyle name="Normal 4 7 2 2 2 3 3" xfId="18843" xr:uid="{5A3404FA-1001-4144-A50A-EE677EE8B9B8}"/>
    <cellStyle name="Normal 4 7 2 2 2 4" xfId="11296" xr:uid="{A28B9933-EC09-4B39-9F68-FD7D5F491CFA}"/>
    <cellStyle name="Normal 4 7 2 2 2 4 2" xfId="21676" xr:uid="{139D2729-7A86-450C-ADE0-E252CD4B5BC9}"/>
    <cellStyle name="Normal 4 7 2 2 2 5" xfId="25331" xr:uid="{8FF248EE-F638-42F5-ACC7-A7C7BDB6519A}"/>
    <cellStyle name="Normal 4 7 2 2 2 6" xfId="13950" xr:uid="{29518F3D-1C02-4796-BB61-1355E1A9BFAF}"/>
    <cellStyle name="Normal 4 7 2 2 3" xfId="4352" xr:uid="{7C9569F9-0B92-4310-B4E2-53E9059F7EF8}"/>
    <cellStyle name="Normal 4 7 2 2 3 2" xfId="9124" xr:uid="{63FAED40-B796-4AEF-BC17-2BF11FA5189D}"/>
    <cellStyle name="Normal 4 7 2 2 3 2 2" xfId="29167" xr:uid="{F085E40B-C5E6-49D6-AEE1-8FC4AA0BDC7C}"/>
    <cellStyle name="Normal 4 7 2 2 3 2 3" xfId="19504" xr:uid="{98648650-F394-48D4-AE0E-51BE9FF8CA15}"/>
    <cellStyle name="Normal 4 7 2 2 3 3" xfId="11957" xr:uid="{8F26758B-F365-4B22-97EB-7FE5B65756B4}"/>
    <cellStyle name="Normal 4 7 2 2 3 3 2" xfId="22337" xr:uid="{F4405DCB-26E9-4D89-AA90-63F15D2747C7}"/>
    <cellStyle name="Normal 4 7 2 2 3 4" xfId="24691" xr:uid="{7F0753E8-F1BD-409E-8269-F6CE2CD8D05E}"/>
    <cellStyle name="Normal 4 7 2 2 3 5" xfId="16671" xr:uid="{09AD0ACB-335F-4A42-90EB-CAD05ED9EB23}"/>
    <cellStyle name="Normal 4 7 2 2 4" xfId="5335" xr:uid="{DB1BE809-91C4-4487-99CB-BA78682A7C08}"/>
    <cellStyle name="Normal 4 7 2 2 4 2" xfId="28189" xr:uid="{A26A072C-D439-465F-8D03-1CF7DF9CD02C}"/>
    <cellStyle name="Normal 4 7 2 2 4 3" xfId="14633" xr:uid="{0139C56B-5A9C-45D6-BBB5-8554DD1B4F94}"/>
    <cellStyle name="Normal 4 7 2 2 5" xfId="7086" xr:uid="{B0630248-094C-483E-9963-30E693C048AA}"/>
    <cellStyle name="Normal 4 7 2 2 5 2" xfId="17466" xr:uid="{E06B5C2A-5D99-4097-B1BA-91F8173A2815}"/>
    <cellStyle name="Normal 4 7 2 2 6" xfId="9919" xr:uid="{7D9B4A9C-318A-435B-8C9E-76189CD7F2C3}"/>
    <cellStyle name="Normal 4 7 2 2 6 2" xfId="20299" xr:uid="{A6ED4FA1-0582-4D26-AC7A-0D47AB97FF54}"/>
    <cellStyle name="Normal 4 7 2 2 7" xfId="25434" xr:uid="{EB845783-5C7F-4EDB-A2B7-8BC7C5A27B2D}"/>
    <cellStyle name="Normal 4 7 2 2 8" xfId="13264" xr:uid="{913CF532-A37B-483B-993E-FE9409C1DF05}"/>
    <cellStyle name="Normal 4 7 2 3" xfId="3384" xr:uid="{00000000-0005-0000-0000-00009E060000}"/>
    <cellStyle name="Normal 4 7 2 3 2" xfId="4550" xr:uid="{46E8E3F4-9AB2-4D0B-B228-F3DC92A59B02}"/>
    <cellStyle name="Normal 4 7 2 3 2 2" xfId="9322" xr:uid="{2DA334AD-81EE-4891-BCB6-5089645CC691}"/>
    <cellStyle name="Normal 4 7 2 3 2 2 2" xfId="29297" xr:uid="{19A243B4-9041-4A6A-8E43-BA4AA68BEF79}"/>
    <cellStyle name="Normal 4 7 2 3 2 2 3" xfId="19702" xr:uid="{7C21054C-ACE6-499C-8990-14AA71D66B40}"/>
    <cellStyle name="Normal 4 7 2 3 2 3" xfId="12155" xr:uid="{2F241494-6F03-4B86-825D-30B31DD43E71}"/>
    <cellStyle name="Normal 4 7 2 3 2 3 2" xfId="22535" xr:uid="{AF42D84B-7E58-4283-B265-DE2E94B06C5A}"/>
    <cellStyle name="Normal 4 7 2 3 2 4" xfId="23486" xr:uid="{5B829299-0FCA-4C9C-9574-D55A1DC93103}"/>
    <cellStyle name="Normal 4 7 2 3 2 5" xfId="16869" xr:uid="{07513BF6-2D82-4EC8-B8B0-AC57E661D50E}"/>
    <cellStyle name="Normal 4 7 2 3 3" xfId="6442" xr:uid="{1DDC8553-A0E4-4B99-B2E0-F701DA3F52F6}"/>
    <cellStyle name="Normal 4 7 2 3 3 2" xfId="27028" xr:uid="{C46C6744-48A7-43D5-8CD9-3FD923C8623C}"/>
    <cellStyle name="Normal 4 7 2 3 3 3" xfId="16011" xr:uid="{070E18B2-A9DA-412A-9425-8F969BB857C8}"/>
    <cellStyle name="Normal 4 7 2 3 4" xfId="8464" xr:uid="{0B5C1032-4D0D-46D5-ADEA-0B598EFEC199}"/>
    <cellStyle name="Normal 4 7 2 3 4 2" xfId="18844" xr:uid="{71DD5A18-900F-41BE-BF88-CC0809D70932}"/>
    <cellStyle name="Normal 4 7 2 3 5" xfId="11297" xr:uid="{79F1994A-278B-4DEF-AEC2-B86E8FFB31C5}"/>
    <cellStyle name="Normal 4 7 2 3 5 2" xfId="21677" xr:uid="{B6BBE588-2FB3-42B0-A3A6-9ECB44F53A85}"/>
    <cellStyle name="Normal 4 7 2 3 6" xfId="25019" xr:uid="{AE535D31-2888-43C8-804E-538BFB7C8FF7}"/>
    <cellStyle name="Normal 4 7 2 3 7" xfId="13951" xr:uid="{EF8865A0-2634-419C-81AC-1714230109F7}"/>
    <cellStyle name="Normal 4 7 2 4" xfId="3382" xr:uid="{00000000-0005-0000-0000-00009F060000}"/>
    <cellStyle name="Normal 4 7 2 4 2" xfId="6440" xr:uid="{44311F7F-2340-4F7A-9344-E05C23D09BCD}"/>
    <cellStyle name="Normal 4 7 2 4 2 2" xfId="28424" xr:uid="{1C11FF97-9659-4FB7-AC3B-B25BE5B4DB15}"/>
    <cellStyle name="Normal 4 7 2 4 2 3" xfId="16009" xr:uid="{C08F120F-7CC1-4EEB-A06A-816B435EB5B2}"/>
    <cellStyle name="Normal 4 7 2 4 3" xfId="8462" xr:uid="{A22906B9-4109-4F4C-BBF4-B084F26F0CCC}"/>
    <cellStyle name="Normal 4 7 2 4 3 2" xfId="18842" xr:uid="{1C94C6A9-D861-4BBE-9AA3-04ABD8CF95D3}"/>
    <cellStyle name="Normal 4 7 2 4 4" xfId="11295" xr:uid="{6BD22341-7B6C-4FB8-90AE-11D2A7650CD1}"/>
    <cellStyle name="Normal 4 7 2 4 4 2" xfId="21675" xr:uid="{2F38134A-C2EE-47AB-A1CD-74FA4985A5C7}"/>
    <cellStyle name="Normal 4 7 2 4 5" xfId="24340" xr:uid="{6965742A-DABB-4B5D-9CE3-B0D88D66FD56}"/>
    <cellStyle name="Normal 4 7 2 4 6" xfId="13949" xr:uid="{B6052090-0D22-43E5-88F5-DDA9F623168E}"/>
    <cellStyle name="Normal 4 7 2 5" xfId="2523" xr:uid="{00000000-0005-0000-0000-0000A0060000}"/>
    <cellStyle name="Normal 4 7 2 5 2" xfId="5800" xr:uid="{1AC14EAF-8ADA-411F-A2C1-37BEE74DE42E}"/>
    <cellStyle name="Normal 4 7 2 5 2 2" xfId="26469" xr:uid="{117D4155-8638-4B52-8860-014C54F77B84}"/>
    <cellStyle name="Normal 4 7 2 5 2 3" xfId="15195" xr:uid="{F470E651-EC4D-4C74-8AF6-4B70F2FCE2D5}"/>
    <cellStyle name="Normal 4 7 2 5 3" xfId="7648" xr:uid="{AC2A7936-D137-45E5-821B-FF609AA4C807}"/>
    <cellStyle name="Normal 4 7 2 5 3 2" xfId="18028" xr:uid="{58297419-9B42-45A9-8950-5062F9D9CCED}"/>
    <cellStyle name="Normal 4 7 2 5 4" xfId="10481" xr:uid="{05309789-5721-4EE0-BED9-D5CC4AA4F93F}"/>
    <cellStyle name="Normal 4 7 2 5 4 2" xfId="20861" xr:uid="{16FD0403-A5A0-41B4-980F-E4E5CA6782A1}"/>
    <cellStyle name="Normal 4 7 2 5 5" xfId="23081" xr:uid="{71E1624A-1843-43BD-9FAC-84A73E78AD77}"/>
    <cellStyle name="Normal 4 7 2 5 6" xfId="12911" xr:uid="{F3420428-407E-4F95-BBFF-207AD811E7A4}"/>
    <cellStyle name="Normal 4 7 2 6" xfId="2376" xr:uid="{00000000-0005-0000-0000-00009B060000}"/>
    <cellStyle name="Normal 4 7 2 6 2" xfId="7503" xr:uid="{769F161F-E878-49EA-8072-B568DBC03A28}"/>
    <cellStyle name="Normal 4 7 2 6 2 2" xfId="17883" xr:uid="{7C18E9CA-EA6B-48B2-A9F0-EA0B1DAC3E03}"/>
    <cellStyle name="Normal 4 7 2 6 3" xfId="10336" xr:uid="{90998299-42E9-496E-8965-36CD62139D03}"/>
    <cellStyle name="Normal 4 7 2 6 3 2" xfId="20716" xr:uid="{6FAC6990-7233-46E1-B31D-9D1FDFF969E7}"/>
    <cellStyle name="Normal 4 7 2 6 4" xfId="24502" xr:uid="{1924E8D1-A701-45E4-82EE-829B5B013230}"/>
    <cellStyle name="Normal 4 7 2 6 5" xfId="15050" xr:uid="{F18E1523-3355-49B4-80C9-2784B61EFC05}"/>
    <cellStyle name="Normal 4 7 2 7" xfId="3941" xr:uid="{9A2BB48D-FADA-4B23-A83B-8D431BD98AFA}"/>
    <cellStyle name="Normal 4 7 2 7 2" xfId="8773" xr:uid="{205B2BCB-1F78-4D50-B231-1502D096C554}"/>
    <cellStyle name="Normal 4 7 2 7 2 2" xfId="19153" xr:uid="{A77F6656-C547-4095-9BA2-3AA9FE2C626B}"/>
    <cellStyle name="Normal 4 7 2 7 3" xfId="11606" xr:uid="{81CBB1C2-C06C-4A59-B37A-19E4D285DD49}"/>
    <cellStyle name="Normal 4 7 2 7 3 2" xfId="21986" xr:uid="{826A3372-9C55-4A35-8393-4EA473919891}"/>
    <cellStyle name="Normal 4 7 2 7 4" xfId="16320" xr:uid="{68465F4B-39FB-4BAF-A0DD-78AC77D86B4E}"/>
    <cellStyle name="Normal 4 7 2 8" xfId="5334" xr:uid="{13546F49-DAB2-463E-958C-F5E4FC99F3B6}"/>
    <cellStyle name="Normal 4 7 2 8 2" xfId="14632" xr:uid="{2269BC98-E52E-4AEF-9318-3A0C7BF899CA}"/>
    <cellStyle name="Normal 4 7 2 9" xfId="7085" xr:uid="{33C0665B-8DFC-4FC7-BA5E-9DFF3D24B26A}"/>
    <cellStyle name="Normal 4 7 2 9 2" xfId="17465" xr:uid="{32C2A2A0-758E-4D70-A747-30F54F2880C2}"/>
    <cellStyle name="Normal 4 7 3" xfId="1033" xr:uid="{00000000-0005-0000-0000-0000BB050000}"/>
    <cellStyle name="Normal 4 7 3 10" xfId="23218" xr:uid="{B23255F7-F4B4-46C6-BDC3-F7F7DFB45E4A}"/>
    <cellStyle name="Normal 4 7 3 11" xfId="12768" xr:uid="{5B9B4569-F3DC-453F-AD77-C2CDBB04CD4C}"/>
    <cellStyle name="Normal 4 7 3 2" xfId="2801" xr:uid="{00000000-0005-0000-0000-0000A2060000}"/>
    <cellStyle name="Normal 4 7 3 2 2" xfId="3386" xr:uid="{00000000-0005-0000-0000-0000A3060000}"/>
    <cellStyle name="Normal 4 7 3 2 2 2" xfId="6444" xr:uid="{53810B6E-C53B-43D6-AE3D-46C149E1B3A1}"/>
    <cellStyle name="Normal 4 7 3 2 2 2 2" xfId="27861" xr:uid="{922C9D80-9D89-4676-A90B-FCD9E2F55F3A}"/>
    <cellStyle name="Normal 4 7 3 2 2 2 3" xfId="16013" xr:uid="{EE8F8F7A-6623-4A9F-AC91-6EE3BC856599}"/>
    <cellStyle name="Normal 4 7 3 2 2 3" xfId="8466" xr:uid="{987597A1-1E85-465F-8B60-C8E171A18F9A}"/>
    <cellStyle name="Normal 4 7 3 2 2 3 2" xfId="18846" xr:uid="{AD69400C-C4E8-42CD-8880-52DE0A26604D}"/>
    <cellStyle name="Normal 4 7 3 2 2 4" xfId="11299" xr:uid="{25156719-1487-4052-A1B6-39B57135340C}"/>
    <cellStyle name="Normal 4 7 3 2 2 4 2" xfId="21679" xr:uid="{0694350B-6E7D-4D01-B7CC-180A5898F4DF}"/>
    <cellStyle name="Normal 4 7 3 2 2 5" xfId="24236" xr:uid="{1AA7E446-D1B4-4ADD-BC9E-A6D05A68F541}"/>
    <cellStyle name="Normal 4 7 3 2 2 6" xfId="13953" xr:uid="{57FFFDF5-F0ED-4873-B3C0-9C23ED89195F}"/>
    <cellStyle name="Normal 4 7 3 2 3" xfId="4353" xr:uid="{F2D3C5C8-BAE8-4D9C-8DFE-4C96ED79DDF2}"/>
    <cellStyle name="Normal 4 7 3 2 3 2" xfId="9125" xr:uid="{A49144D0-4FE4-49F0-A873-33B5C37A2C6A}"/>
    <cellStyle name="Normal 4 7 3 2 3 2 2" xfId="29168" xr:uid="{1A3937BD-0170-4894-8AD8-4C2E846B41A3}"/>
    <cellStyle name="Normal 4 7 3 2 3 2 3" xfId="19505" xr:uid="{174F01A6-25FE-4035-A4BF-51FD59274363}"/>
    <cellStyle name="Normal 4 7 3 2 3 3" xfId="11958" xr:uid="{8C135C48-1145-490B-B793-34B596722489}"/>
    <cellStyle name="Normal 4 7 3 2 3 3 2" xfId="22338" xr:uid="{4F9D8817-78BB-4B17-A34F-5D9FC35D447A}"/>
    <cellStyle name="Normal 4 7 3 2 3 4" xfId="25532" xr:uid="{DFC30A2A-229D-400B-B244-DFA9FC8D4734}"/>
    <cellStyle name="Normal 4 7 3 2 3 5" xfId="16672" xr:uid="{1C831B97-2D5D-4E91-86F5-9A9EEC6E1B8E}"/>
    <cellStyle name="Normal 4 7 3 2 4" xfId="6019" xr:uid="{8FFFC580-834C-44BE-8CD3-430B44793A15}"/>
    <cellStyle name="Normal 4 7 3 2 4 2" xfId="28637" xr:uid="{15FC67DB-08EC-4071-88B1-443275FF92F3}"/>
    <cellStyle name="Normal 4 7 3 2 4 3" xfId="15472" xr:uid="{F902FE6B-2ED5-47E7-91FE-6E0FF680D717}"/>
    <cellStyle name="Normal 4 7 3 2 5" xfId="7925" xr:uid="{D959163E-A8B4-47B6-96F1-4D896F486CB6}"/>
    <cellStyle name="Normal 4 7 3 2 5 2" xfId="18305" xr:uid="{0018F348-2C9B-41A8-A852-EE2BC648AA2E}"/>
    <cellStyle name="Normal 4 7 3 2 6" xfId="10758" xr:uid="{027BA73A-DF2F-4918-82A3-C0134AE5FF7B}"/>
    <cellStyle name="Normal 4 7 3 2 6 2" xfId="21138" xr:uid="{C64351CD-0232-4399-8F6D-BE020A06A669}"/>
    <cellStyle name="Normal 4 7 3 2 7" xfId="22934" xr:uid="{64832F62-A492-4AE4-BE82-8EFB4A39830D}"/>
    <cellStyle name="Normal 4 7 3 2 8" xfId="13265" xr:uid="{3905BF4B-7F26-4FB9-AD8A-D397C10486DE}"/>
    <cellStyle name="Normal 4 7 3 3" xfId="3387" xr:uid="{00000000-0005-0000-0000-0000A4060000}"/>
    <cellStyle name="Normal 4 7 3 3 2" xfId="4551" xr:uid="{1A165274-7D2D-4845-81C7-9F9CA3DCC295}"/>
    <cellStyle name="Normal 4 7 3 3 2 2" xfId="9323" xr:uid="{21017B07-9533-48F2-B76A-A9904B1E572D}"/>
    <cellStyle name="Normal 4 7 3 3 2 2 2" xfId="29298" xr:uid="{92DAF1EC-399A-4473-9A26-D4AD3C49A537}"/>
    <cellStyle name="Normal 4 7 3 3 2 2 3" xfId="19703" xr:uid="{E71B1D6B-637F-41AC-B085-44710507AB2C}"/>
    <cellStyle name="Normal 4 7 3 3 2 3" xfId="12156" xr:uid="{76545C79-C1E2-4205-AEB0-60C9055EB96D}"/>
    <cellStyle name="Normal 4 7 3 3 2 3 2" xfId="22536" xr:uid="{8252839B-50AF-4E47-B69C-62417D030820}"/>
    <cellStyle name="Normal 4 7 3 3 2 4" xfId="25616" xr:uid="{637A9F53-2129-4063-921B-5BD1687D5E8B}"/>
    <cellStyle name="Normal 4 7 3 3 2 5" xfId="16870" xr:uid="{2CBBAB85-9FF0-42EB-8DC7-FCAAD67F3D9B}"/>
    <cellStyle name="Normal 4 7 3 3 3" xfId="6445" xr:uid="{2559EC73-01AB-4BE6-A858-866E4A0C693F}"/>
    <cellStyle name="Normal 4 7 3 3 3 2" xfId="28121" xr:uid="{AB0AF7AD-5560-48ED-BBAE-26CC74CFAACA}"/>
    <cellStyle name="Normal 4 7 3 3 3 3" xfId="16014" xr:uid="{FB973B5B-099F-4680-AF5B-352F45B579C1}"/>
    <cellStyle name="Normal 4 7 3 3 4" xfId="8467" xr:uid="{367044B2-E779-46AB-A5B5-81DFF701B7A8}"/>
    <cellStyle name="Normal 4 7 3 3 4 2" xfId="18847" xr:uid="{D40E5ABF-24A8-4F3E-813F-4EA94B08E4CC}"/>
    <cellStyle name="Normal 4 7 3 3 5" xfId="11300" xr:uid="{B9B4D268-90DE-40C9-8B09-C131EF47E421}"/>
    <cellStyle name="Normal 4 7 3 3 5 2" xfId="21680" xr:uid="{8A80F0E3-ED14-4D82-8BC7-7D8F9EA01122}"/>
    <cellStyle name="Normal 4 7 3 3 6" xfId="24999" xr:uid="{7F6158B9-9876-495F-8DF5-4CACFE99AB03}"/>
    <cellStyle name="Normal 4 7 3 3 7" xfId="13954" xr:uid="{177470DF-4091-4B6E-B0A3-4B0D9B91F2E4}"/>
    <cellStyle name="Normal 4 7 3 4" xfId="3385" xr:uid="{00000000-0005-0000-0000-0000A5060000}"/>
    <cellStyle name="Normal 4 7 3 4 2" xfId="6443" xr:uid="{B57E6A99-9D37-46F1-86C4-1665A67C78CA}"/>
    <cellStyle name="Normal 4 7 3 4 2 2" xfId="27720" xr:uid="{35086D57-83FE-470F-9779-AD8EA3F5608F}"/>
    <cellStyle name="Normal 4 7 3 4 2 3" xfId="16012" xr:uid="{93D24E2A-F630-477B-9CF3-DB560698D985}"/>
    <cellStyle name="Normal 4 7 3 4 3" xfId="8465" xr:uid="{67BFA435-4966-48C1-9AEE-BE2730AED301}"/>
    <cellStyle name="Normal 4 7 3 4 3 2" xfId="18845" xr:uid="{C4D13922-CE08-4A44-A88F-FD569EC6A9B5}"/>
    <cellStyle name="Normal 4 7 3 4 4" xfId="11298" xr:uid="{BABB8930-1355-46D6-A763-80D50C44C383}"/>
    <cellStyle name="Normal 4 7 3 4 4 2" xfId="21678" xr:uid="{C907EC8E-8F9B-4F15-88B2-FD60624213FF}"/>
    <cellStyle name="Normal 4 7 3 4 5" xfId="24445" xr:uid="{C135DED2-7814-4405-B062-AEB9A2623711}"/>
    <cellStyle name="Normal 4 7 3 4 6" xfId="13952" xr:uid="{925FDADB-741E-453C-BDB1-A14A8AFBF160}"/>
    <cellStyle name="Normal 4 7 3 5" xfId="2626" xr:uid="{00000000-0005-0000-0000-0000A6060000}"/>
    <cellStyle name="Normal 4 7 3 5 2" xfId="5888" xr:uid="{467E7569-D1DD-41C7-8C42-647AD7DF3179}"/>
    <cellStyle name="Normal 4 7 3 5 2 2" xfId="26532" xr:uid="{76B339F9-1083-444A-9CBE-37140A9D40E6}"/>
    <cellStyle name="Normal 4 7 3 5 2 3" xfId="15298" xr:uid="{948ECB5D-E4FA-42A5-80B8-D9B79CF7CD33}"/>
    <cellStyle name="Normal 4 7 3 5 3" xfId="7751" xr:uid="{F56D7C1A-5CC2-4803-8EC0-F89C274DEF58}"/>
    <cellStyle name="Normal 4 7 3 5 3 2" xfId="18131" xr:uid="{84E8834E-20A7-46A3-9C3E-C6E062ED13C8}"/>
    <cellStyle name="Normal 4 7 3 5 4" xfId="10584" xr:uid="{C7D846FE-8615-42A3-BF1D-2893344EBB91}"/>
    <cellStyle name="Normal 4 7 3 5 4 2" xfId="20964" xr:uid="{BB17348A-AB35-40FE-B741-367C816F42E2}"/>
    <cellStyle name="Normal 4 7 3 5 5" xfId="24285" xr:uid="{F61C2860-C58E-46C6-8409-4FFC8CA3C0A9}"/>
    <cellStyle name="Normal 4 7 3 5 6" xfId="13014" xr:uid="{78609EAF-EFE9-4A1E-B1AE-DE10254DF8F3}"/>
    <cellStyle name="Normal 4 7 3 6" xfId="4202" xr:uid="{FB33D749-A623-47A1-A7DC-8EC67DD0405B}"/>
    <cellStyle name="Normal 4 7 3 6 2" xfId="8974" xr:uid="{FDA51955-8791-428A-8F87-6E902F65568A}"/>
    <cellStyle name="Normal 4 7 3 6 2 2" xfId="19354" xr:uid="{7140A27B-0B13-40A9-A699-67404A1F7F75}"/>
    <cellStyle name="Normal 4 7 3 6 3" xfId="11807" xr:uid="{02D7088C-C31C-4B88-947A-DDC072D56879}"/>
    <cellStyle name="Normal 4 7 3 6 3 2" xfId="22187" xr:uid="{1A8FAFBF-CC8B-4EA7-82A4-F2D76EBBB64A}"/>
    <cellStyle name="Normal 4 7 3 6 4" xfId="24266" xr:uid="{E02FEA3B-468A-40C0-BC2D-348E7AE01BFF}"/>
    <cellStyle name="Normal 4 7 3 6 5" xfId="16521" xr:uid="{B367F241-D9A8-4AB9-A5AD-1000D26A3B42}"/>
    <cellStyle name="Normal 4 7 3 7" xfId="5336" xr:uid="{58BE4E7E-F5FF-439E-978A-AF357221A2F9}"/>
    <cellStyle name="Normal 4 7 3 7 2" xfId="14634" xr:uid="{B160EAE7-2B0E-401E-8AC0-4034E825233C}"/>
    <cellStyle name="Normal 4 7 3 8" xfId="7087" xr:uid="{CECA2A84-0C2A-4E0E-BB1F-EE2345128D84}"/>
    <cellStyle name="Normal 4 7 3 8 2" xfId="17467" xr:uid="{DB124342-2633-4FBF-BD15-2D33BC0A29E7}"/>
    <cellStyle name="Normal 4 7 3 9" xfId="9920" xr:uid="{B588683A-1EF9-49B5-A3BD-82F505139439}"/>
    <cellStyle name="Normal 4 7 3 9 2" xfId="20300" xr:uid="{106BF3F6-63AD-4F0C-A036-62CAC7501F23}"/>
    <cellStyle name="Normal 4 7 4" xfId="1034" xr:uid="{00000000-0005-0000-0000-0000BC050000}"/>
    <cellStyle name="Normal 4 7 4 2" xfId="3388" xr:uid="{00000000-0005-0000-0000-0000A8060000}"/>
    <cellStyle name="Normal 4 7 4 2 2" xfId="6446" xr:uid="{FD891397-8334-4F44-B2C4-56922778E1F9}"/>
    <cellStyle name="Normal 4 7 4 2 2 2" xfId="27169" xr:uid="{14E18352-F4FB-4D06-92DF-366278A948F0}"/>
    <cellStyle name="Normal 4 7 4 2 2 3" xfId="16015" xr:uid="{A728E423-9CBE-452C-84D6-DA8535635E1E}"/>
    <cellStyle name="Normal 4 7 4 2 3" xfId="8468" xr:uid="{43FDE11D-6573-4D36-A25B-606951578EAB}"/>
    <cellStyle name="Normal 4 7 4 2 3 2" xfId="18848" xr:uid="{0E50BC27-C20A-4AAB-A0B7-C919FE3AE2BA}"/>
    <cellStyle name="Normal 4 7 4 2 4" xfId="11301" xr:uid="{5055A7E8-A0FC-4BD5-910C-28427D9345B0}"/>
    <cellStyle name="Normal 4 7 4 2 4 2" xfId="21681" xr:uid="{EB971B07-4D8E-4A44-B85D-AF9C7609AF55}"/>
    <cellStyle name="Normal 4 7 4 2 5" xfId="25510" xr:uid="{79801D7F-59F0-4C0B-93D3-156EC60B82D5}"/>
    <cellStyle name="Normal 4 7 4 2 6" xfId="13955" xr:uid="{966C5FA1-B594-4EED-9289-57738A45AFF7}"/>
    <cellStyle name="Normal 4 7 4 3" xfId="4351" xr:uid="{0171176F-39CE-44B5-A480-3D9153E12332}"/>
    <cellStyle name="Normal 4 7 4 3 2" xfId="9123" xr:uid="{FEE9070C-3614-4F3E-B87E-CC3269B95B6C}"/>
    <cellStyle name="Normal 4 7 4 3 2 2" xfId="29166" xr:uid="{CE131DC5-BF72-42BF-8EBE-38EB427C7BEC}"/>
    <cellStyle name="Normal 4 7 4 3 2 3" xfId="19503" xr:uid="{6C44936C-282E-4706-8A77-6721B9A79177}"/>
    <cellStyle name="Normal 4 7 4 3 3" xfId="11956" xr:uid="{04F42CBE-42E1-4190-BA4C-F8C08E80A45B}"/>
    <cellStyle name="Normal 4 7 4 3 3 2" xfId="22336" xr:uid="{B6D132A1-D984-4C1C-A3E6-2063CCE02F8C}"/>
    <cellStyle name="Normal 4 7 4 3 4" xfId="24656" xr:uid="{08338032-EEE5-4928-875B-7E0858B9F159}"/>
    <cellStyle name="Normal 4 7 4 3 5" xfId="16670" xr:uid="{B8B7285C-A24E-4A2C-A53B-D96F4C63D471}"/>
    <cellStyle name="Normal 4 7 4 4" xfId="5337" xr:uid="{B016F4A0-D05B-4FE3-B6DC-3B377F36D9D9}"/>
    <cellStyle name="Normal 4 7 4 4 2" xfId="27134" xr:uid="{AFBDEBCF-A32A-4D62-8D60-42CEC6EA2C9B}"/>
    <cellStyle name="Normal 4 7 4 4 3" xfId="14635" xr:uid="{B30A266E-ADB7-4B04-8ED4-270865894F7D}"/>
    <cellStyle name="Normal 4 7 4 5" xfId="7088" xr:uid="{8656F3D8-2A5D-4D5B-BBBC-E5464E3E3920}"/>
    <cellStyle name="Normal 4 7 4 5 2" xfId="17468" xr:uid="{71C7C10F-B6D6-4218-A674-F13DA0471321}"/>
    <cellStyle name="Normal 4 7 4 6" xfId="9921" xr:uid="{C4D45CEE-C45F-4FDB-A4B4-54CE41E6640E}"/>
    <cellStyle name="Normal 4 7 4 6 2" xfId="20301" xr:uid="{923A9ECC-B39B-42BE-AE4F-848FCB9F9C9A}"/>
    <cellStyle name="Normal 4 7 4 7" xfId="23635" xr:uid="{059C9136-819D-42E1-B24B-81E5236E9C4C}"/>
    <cellStyle name="Normal 4 7 4 8" xfId="13263" xr:uid="{78A61C52-0EB4-4A22-B21E-6AC973B0CB2B}"/>
    <cellStyle name="Normal 4 7 5" xfId="3389" xr:uid="{00000000-0005-0000-0000-0000A9060000}"/>
    <cellStyle name="Normal 4 7 5 2" xfId="4552" xr:uid="{1AC12079-FAAE-4952-8A63-9E520EA71BD6}"/>
    <cellStyle name="Normal 4 7 5 2 2" xfId="9324" xr:uid="{8F237C10-887B-406C-9296-1B65BC9ECACE}"/>
    <cellStyle name="Normal 4 7 5 2 2 2" xfId="29299" xr:uid="{2700BF11-F8F9-4C83-BEC9-DF9DEB27EE8A}"/>
    <cellStyle name="Normal 4 7 5 2 2 3" xfId="19704" xr:uid="{06CFF376-4B8A-4378-BD56-36D1F63F9218}"/>
    <cellStyle name="Normal 4 7 5 2 3" xfId="12157" xr:uid="{06B4C537-F745-4E19-B271-A79299626284}"/>
    <cellStyle name="Normal 4 7 5 2 3 2" xfId="22537" xr:uid="{CB6D4BA7-0D72-4DD1-948F-BC28E4DC62E2}"/>
    <cellStyle name="Normal 4 7 5 2 4" xfId="23504" xr:uid="{7A2135C5-4325-4B96-8CA5-4658F0B8CAE5}"/>
    <cellStyle name="Normal 4 7 5 2 5" xfId="16871" xr:uid="{91FEC4DC-D85D-4ECF-828A-109546493296}"/>
    <cellStyle name="Normal 4 7 5 3" xfId="6447" xr:uid="{1010A598-4F8B-4B42-BA60-88973C19D759}"/>
    <cellStyle name="Normal 4 7 5 3 2" xfId="28410" xr:uid="{EF52E748-5F8A-4362-9E35-4E655BE28529}"/>
    <cellStyle name="Normal 4 7 5 3 3" xfId="16016" xr:uid="{F7F982E8-3334-4350-9811-03001F6F76C9}"/>
    <cellStyle name="Normal 4 7 5 4" xfId="8469" xr:uid="{403FCCE6-6F4D-46CC-A7EA-58A68A8988A6}"/>
    <cellStyle name="Normal 4 7 5 4 2" xfId="18849" xr:uid="{6161F666-5627-4304-A235-3A091AE22388}"/>
    <cellStyle name="Normal 4 7 5 5" xfId="11302" xr:uid="{8B281023-1159-4147-AC5E-52CD14096041}"/>
    <cellStyle name="Normal 4 7 5 5 2" xfId="21682" xr:uid="{B0F7BB96-F83E-472F-AE1A-73C1FEE99CD3}"/>
    <cellStyle name="Normal 4 7 5 6" xfId="24109" xr:uid="{5B227303-F15B-4221-AD36-24A5A5068E25}"/>
    <cellStyle name="Normal 4 7 5 7" xfId="13956" xr:uid="{E48D1D16-C7EF-4283-9258-9D6B0B2DB5BE}"/>
    <cellStyle name="Normal 4 7 6" xfId="2945" xr:uid="{00000000-0005-0000-0000-0000AA060000}"/>
    <cellStyle name="Normal 4 7 6 2" xfId="6125" xr:uid="{F615DED7-A8A1-4773-8FB6-A8CFFB8A3E29}"/>
    <cellStyle name="Normal 4 7 6 2 2" xfId="26019" xr:uid="{EDD28773-EB40-43A0-81A7-D8703487BEFE}"/>
    <cellStyle name="Normal 4 7 6 2 3" xfId="15603" xr:uid="{2AE3843D-DAA7-4879-95D1-9719036EED47}"/>
    <cellStyle name="Normal 4 7 6 3" xfId="8056" xr:uid="{AC28A63F-6B80-4564-988E-C166759FBEA6}"/>
    <cellStyle name="Normal 4 7 6 3 2" xfId="18436" xr:uid="{F6019E17-2720-4A10-98D8-361802ADE904}"/>
    <cellStyle name="Normal 4 7 6 4" xfId="10889" xr:uid="{37A84365-2A49-43CC-A4F0-4B7CE36ADA6C}"/>
    <cellStyle name="Normal 4 7 6 4 2" xfId="21269" xr:uid="{B364E9EE-1067-4834-8492-3B98479CFE23}"/>
    <cellStyle name="Normal 4 7 6 5" xfId="23692" xr:uid="{8329929E-E0B0-43D4-A5B4-DF7C31A3F077}"/>
    <cellStyle name="Normal 4 7 6 6" xfId="13466" xr:uid="{32EC6C28-971A-4668-B6F6-4013290CF67E}"/>
    <cellStyle name="Normal 4 7 7" xfId="2463" xr:uid="{00000000-0005-0000-0000-0000AB060000}"/>
    <cellStyle name="Normal 4 7 7 2" xfId="5754" xr:uid="{1E182BFF-53A3-419D-8B78-9CF8C2552F20}"/>
    <cellStyle name="Normal 4 7 7 2 2" xfId="26646" xr:uid="{6DE66B16-01B0-4400-8558-9A854364871F}"/>
    <cellStyle name="Normal 4 7 7 2 3" xfId="15135" xr:uid="{189A590E-9E8B-4FAE-AB18-A6A3DF38D4D2}"/>
    <cellStyle name="Normal 4 7 7 3" xfId="7588" xr:uid="{9631383F-EA73-420F-9B7C-B7DBB081BD3F}"/>
    <cellStyle name="Normal 4 7 7 3 2" xfId="17968" xr:uid="{8DCEF87A-4EBB-4150-BA66-B616970B0F28}"/>
    <cellStyle name="Normal 4 7 7 4" xfId="10421" xr:uid="{E881F229-E8F5-431F-BF42-0D7520F8F52B}"/>
    <cellStyle name="Normal 4 7 7 4 2" xfId="20801" xr:uid="{50F9BEC4-804D-48B7-B495-FC7FF5063A4C}"/>
    <cellStyle name="Normal 4 7 7 5" xfId="25400" xr:uid="{182EF9FF-8287-4F59-9452-65A72BE06BC2}"/>
    <cellStyle name="Normal 4 7 7 6" xfId="12851" xr:uid="{8420457E-9B08-4741-8C26-390042569F50}"/>
    <cellStyle name="Normal 4 7 8" xfId="2217" xr:uid="{00000000-0005-0000-0000-00009A060000}"/>
    <cellStyle name="Normal 4 7 8 2" xfId="7344" xr:uid="{391F0690-FC1E-4043-AB5F-2D55CB99CFDE}"/>
    <cellStyle name="Normal 4 7 8 2 2" xfId="17724" xr:uid="{BB350AC2-7109-4CB0-B5D9-ACAF48401B53}"/>
    <cellStyle name="Normal 4 7 8 3" xfId="10177" xr:uid="{2D5AC400-5AEA-4B23-A763-438F939FC9C1}"/>
    <cellStyle name="Normal 4 7 8 3 2" xfId="20557" xr:uid="{DD553A7C-8908-4545-AB7B-0874A202CDF3}"/>
    <cellStyle name="Normal 4 7 8 4" xfId="25273" xr:uid="{44F47FBC-07A1-452C-B590-775A4DD7ECC2}"/>
    <cellStyle name="Normal 4 7 8 5" xfId="14891" xr:uid="{141A1A32-2580-4523-8911-D5D48711AF63}"/>
    <cellStyle name="Normal 4 7 9" xfId="3997" xr:uid="{F9366F69-AABF-49B2-ACE2-2A92D4BFADA6}"/>
    <cellStyle name="Normal 4 7 9 2" xfId="8821" xr:uid="{DF857D7A-A4BA-4849-BAA1-99D352DC3C25}"/>
    <cellStyle name="Normal 4 7 9 2 2" xfId="19201" xr:uid="{B4FDC014-8D46-424D-88C9-8795081D17FD}"/>
    <cellStyle name="Normal 4 7 9 3" xfId="11654" xr:uid="{0F212C51-7461-4ACB-946C-A88A76CA55D0}"/>
    <cellStyle name="Normal 4 7 9 3 2" xfId="22034" xr:uid="{42E3AB64-8C3D-4294-8A24-241D6B7BC120}"/>
    <cellStyle name="Normal 4 7 9 4" xfId="16368" xr:uid="{0F6DCDA7-6629-4A18-9260-323E0A63C54D}"/>
    <cellStyle name="Normal 4 8" xfId="1035" xr:uid="{00000000-0005-0000-0000-0000BD050000}"/>
    <cellStyle name="Normal 4 8 10" xfId="7089" xr:uid="{0E68DBD6-B580-4FB4-A252-D85A6822BE94}"/>
    <cellStyle name="Normal 4 8 10 2" xfId="17469" xr:uid="{8824C5FA-9947-42C6-AD38-C3E6D1739F48}"/>
    <cellStyle name="Normal 4 8 11" xfId="9922" xr:uid="{25430173-3613-4ECB-A55F-FC8C49491788}"/>
    <cellStyle name="Normal 4 8 11 2" xfId="20302" xr:uid="{4F67A3E3-6E0B-4957-8ABA-DD956505FBC6}"/>
    <cellStyle name="Normal 4 8 12" xfId="24988" xr:uid="{54460413-664E-4E30-BE9E-48C3BB321303}"/>
    <cellStyle name="Normal 4 8 13" xfId="12432" xr:uid="{ED88C738-33A7-448E-827E-42403932E6F6}"/>
    <cellStyle name="Normal 4 8 2" xfId="1036" xr:uid="{00000000-0005-0000-0000-0000BE050000}"/>
    <cellStyle name="Normal 4 8 2 10" xfId="9923" xr:uid="{52E3C84E-B966-45DB-8254-F2F7DEB13D1D}"/>
    <cellStyle name="Normal 4 8 2 10 2" xfId="20303" xr:uid="{DA8A5918-5FA1-481C-A682-EED4A60277A9}"/>
    <cellStyle name="Normal 4 8 2 11" xfId="23528" xr:uid="{4383186B-EFAA-4C26-B1E2-3524DDA7E32D}"/>
    <cellStyle name="Normal 4 8 2 12" xfId="12611" xr:uid="{E7A10BB2-5975-4E4F-9870-033EECFD50EB}"/>
    <cellStyle name="Normal 4 8 2 2" xfId="1037" xr:uid="{00000000-0005-0000-0000-0000BF050000}"/>
    <cellStyle name="Normal 4 8 2 2 2" xfId="3391" xr:uid="{00000000-0005-0000-0000-0000AF060000}"/>
    <cellStyle name="Normal 4 8 2 2 2 2" xfId="6449" xr:uid="{4D6A5572-506B-4738-A098-8740C14C0E42}"/>
    <cellStyle name="Normal 4 8 2 2 2 2 2" xfId="26342" xr:uid="{BE6B9EF0-AC47-43E0-B016-F13AEC884F0F}"/>
    <cellStyle name="Normal 4 8 2 2 2 2 3" xfId="27307" xr:uid="{4FDA63DE-1E05-4711-98A9-1322BB99A607}"/>
    <cellStyle name="Normal 4 8 2 2 2 2 4" xfId="16018" xr:uid="{0E300A29-A2B3-482C-8C33-AA1E0CFC7F2C}"/>
    <cellStyle name="Normal 4 8 2 2 2 3" xfId="8471" xr:uid="{C50F841F-A775-48C7-ACE5-816F7E765325}"/>
    <cellStyle name="Normal 4 8 2 2 2 3 2" xfId="28921" xr:uid="{75AF749C-2826-497C-A038-1E4DAFDDE239}"/>
    <cellStyle name="Normal 4 8 2 2 2 3 3" xfId="18851" xr:uid="{84CC2466-7A0F-4FCA-83BF-9B4FED299935}"/>
    <cellStyle name="Normal 4 8 2 2 2 4" xfId="11304" xr:uid="{57F4A539-C415-4349-B4C9-2DFEE462097F}"/>
    <cellStyle name="Normal 4 8 2 2 2 4 2" xfId="21684" xr:uid="{3CB5222B-EE71-4A68-BEA0-C37FFEDBD398}"/>
    <cellStyle name="Normal 4 8 2 2 2 5" xfId="23698" xr:uid="{94635B12-FD7A-43DA-BA4D-6DE95FA5EB48}"/>
    <cellStyle name="Normal 4 8 2 2 2 6" xfId="13958" xr:uid="{832892E7-520A-41C8-A90D-07BA918B1FCA}"/>
    <cellStyle name="Normal 4 8 2 2 3" xfId="4354" xr:uid="{46BF9421-B460-4CEA-AD65-4E77C63643CC}"/>
    <cellStyle name="Normal 4 8 2 2 3 2" xfId="9126" xr:uid="{A422A131-7302-48F1-AAE4-90C9AD87957D}"/>
    <cellStyle name="Normal 4 8 2 2 3 2 2" xfId="29169" xr:uid="{294C0ECC-CA0D-4F6F-AA64-9154E4DDEB0A}"/>
    <cellStyle name="Normal 4 8 2 2 3 2 3" xfId="19506" xr:uid="{5CBD84B9-7B0E-4182-A126-A387E0E76624}"/>
    <cellStyle name="Normal 4 8 2 2 3 3" xfId="11959" xr:uid="{416F40D4-C528-4670-9900-C208EDF59E30}"/>
    <cellStyle name="Normal 4 8 2 2 3 3 2" xfId="22339" xr:uid="{00B1E31D-A4A2-45C3-97CA-86A58ADD1BC7}"/>
    <cellStyle name="Normal 4 8 2 2 3 4" xfId="22788" xr:uid="{63212859-BC98-4112-8BEF-6665B53BAE35}"/>
    <cellStyle name="Normal 4 8 2 2 3 5" xfId="16673" xr:uid="{94F82AF7-9392-4E31-9F6B-45C925077D59}"/>
    <cellStyle name="Normal 4 8 2 2 4" xfId="5340" xr:uid="{92FF8351-AB21-49A2-B6A0-C694DF35FCDA}"/>
    <cellStyle name="Normal 4 8 2 2 4 2" xfId="25954" xr:uid="{528296E9-E0CB-4EED-8AF0-BCE95ED72426}"/>
    <cellStyle name="Normal 4 8 2 2 4 3" xfId="14638" xr:uid="{CC1D89E6-F4EC-493D-BBF1-726B013C8046}"/>
    <cellStyle name="Normal 4 8 2 2 5" xfId="7091" xr:uid="{AD482192-52D6-4C76-B092-4015CB6876A2}"/>
    <cellStyle name="Normal 4 8 2 2 5 2" xfId="17471" xr:uid="{1C37D1B3-5026-4F66-8A87-B397473DE93F}"/>
    <cellStyle name="Normal 4 8 2 2 6" xfId="9924" xr:uid="{A2453B6D-EC41-42EF-B276-E49878F827C4}"/>
    <cellStyle name="Normal 4 8 2 2 6 2" xfId="20304" xr:uid="{5C8DC2F1-B8E3-4264-9DDE-1DD6AC8F8A5B}"/>
    <cellStyle name="Normal 4 8 2 2 7" xfId="24321" xr:uid="{4FF295D4-2EB3-4F3B-AE7E-3BEF51C8677C}"/>
    <cellStyle name="Normal 4 8 2 2 8" xfId="13267" xr:uid="{703CF99C-4DA0-421C-A25E-CE4D036BF2A8}"/>
    <cellStyle name="Normal 4 8 2 3" xfId="3392" xr:uid="{00000000-0005-0000-0000-0000B0060000}"/>
    <cellStyle name="Normal 4 8 2 3 2" xfId="4553" xr:uid="{1141795F-4970-4282-A437-A02733F5A0F8}"/>
    <cellStyle name="Normal 4 8 2 3 2 2" xfId="9325" xr:uid="{3C873FE4-0564-472E-864B-1C6A151969B6}"/>
    <cellStyle name="Normal 4 8 2 3 2 2 2" xfId="29300" xr:uid="{3315FAAD-144E-47FC-9945-3BCA6AF2304B}"/>
    <cellStyle name="Normal 4 8 2 3 2 2 3" xfId="19705" xr:uid="{57807E75-751D-4D7B-8013-DC671C3CC680}"/>
    <cellStyle name="Normal 4 8 2 3 2 3" xfId="12158" xr:uid="{27D5F749-3BA6-490A-A6AD-92B708FF5813}"/>
    <cellStyle name="Normal 4 8 2 3 2 3 2" xfId="22538" xr:uid="{FC102CA3-67E6-4835-A3DD-21204F44984A}"/>
    <cellStyle name="Normal 4 8 2 3 2 4" xfId="25316" xr:uid="{FC3A0BE0-4424-4B73-A103-BF8D9D09AD60}"/>
    <cellStyle name="Normal 4 8 2 3 2 5" xfId="16872" xr:uid="{48C5E890-F0FD-4A21-8D49-3BAEEAF74020}"/>
    <cellStyle name="Normal 4 8 2 3 3" xfId="6450" xr:uid="{3F9E7AF4-5E8F-4C9A-8343-C812E4436998}"/>
    <cellStyle name="Normal 4 8 2 3 3 2" xfId="28109" xr:uid="{A7FDA864-715C-4377-B7BA-43426A29F161}"/>
    <cellStyle name="Normal 4 8 2 3 3 3" xfId="16019" xr:uid="{C7FF072F-0902-4DDE-B846-E24342A749C4}"/>
    <cellStyle name="Normal 4 8 2 3 4" xfId="8472" xr:uid="{624BB4C6-C480-4D43-97F1-5DFEECBF6BF4}"/>
    <cellStyle name="Normal 4 8 2 3 4 2" xfId="18852" xr:uid="{CEC1651B-32B1-48F6-8B75-3D5C40A6311C}"/>
    <cellStyle name="Normal 4 8 2 3 5" xfId="11305" xr:uid="{C29A85E2-83AC-4A09-9970-A5EF9DA94884}"/>
    <cellStyle name="Normal 4 8 2 3 5 2" xfId="21685" xr:uid="{90BCEC2C-9ECF-460A-A569-052CCF24F8D8}"/>
    <cellStyle name="Normal 4 8 2 3 6" xfId="24787" xr:uid="{45DFC502-CC72-4268-B85E-6082DD850264}"/>
    <cellStyle name="Normal 4 8 2 3 7" xfId="13959" xr:uid="{AC055922-E2CD-43CC-8BA4-98B09E42C8C5}"/>
    <cellStyle name="Normal 4 8 2 4" xfId="3390" xr:uid="{00000000-0005-0000-0000-0000B1060000}"/>
    <cellStyle name="Normal 4 8 2 4 2" xfId="6448" xr:uid="{3798026B-38A6-4296-9ECD-B3DA5FA7B80D}"/>
    <cellStyle name="Normal 4 8 2 4 2 2" xfId="25996" xr:uid="{91044338-5D8B-4A4B-9C80-234B5EA1807C}"/>
    <cellStyle name="Normal 4 8 2 4 2 3" xfId="16017" xr:uid="{063A03D4-A676-469E-9ECF-7E0F6126DC3F}"/>
    <cellStyle name="Normal 4 8 2 4 3" xfId="8470" xr:uid="{B1F73A7A-2F5F-42DA-92A2-5229B7FFD291}"/>
    <cellStyle name="Normal 4 8 2 4 3 2" xfId="18850" xr:uid="{143363F1-5603-4EB7-8625-8E08D1B72DD9}"/>
    <cellStyle name="Normal 4 8 2 4 4" xfId="11303" xr:uid="{90DE5F27-D816-42D1-A24E-02F4D294DDE5}"/>
    <cellStyle name="Normal 4 8 2 4 4 2" xfId="21683" xr:uid="{9CCE3B56-B7F9-4E72-89C8-B7103F3AD266}"/>
    <cellStyle name="Normal 4 8 2 4 5" xfId="25062" xr:uid="{F2EFB454-6840-45DD-94BD-C5FC99910EA0}"/>
    <cellStyle name="Normal 4 8 2 4 6" xfId="13957" xr:uid="{79473D91-F358-4B53-8DD7-29CC7AA308C5}"/>
    <cellStyle name="Normal 4 8 2 5" xfId="2609" xr:uid="{00000000-0005-0000-0000-0000B2060000}"/>
    <cellStyle name="Normal 4 8 2 5 2" xfId="5873" xr:uid="{1BB1FCFC-5CF7-4CCC-B2A9-1229C5DDA142}"/>
    <cellStyle name="Normal 4 8 2 5 2 2" xfId="28570" xr:uid="{A13AD14A-D3DB-4D74-9461-E29CCE6B6935}"/>
    <cellStyle name="Normal 4 8 2 5 2 3" xfId="15281" xr:uid="{2EDCE808-A8D3-4316-B2C5-26C904252B45}"/>
    <cellStyle name="Normal 4 8 2 5 3" xfId="7734" xr:uid="{06C16159-EB5D-4718-8E34-5371EEF470A2}"/>
    <cellStyle name="Normal 4 8 2 5 3 2" xfId="18114" xr:uid="{8B52E96D-4AC7-42B3-A93C-4CAC5AB92841}"/>
    <cellStyle name="Normal 4 8 2 5 4" xfId="10567" xr:uid="{D9501F38-DF9C-44F6-9B7D-6AF33241A956}"/>
    <cellStyle name="Normal 4 8 2 5 4 2" xfId="20947" xr:uid="{88CA89B8-1BFD-41F0-BA8A-B7A846B1A0B0}"/>
    <cellStyle name="Normal 4 8 2 5 5" xfId="24137" xr:uid="{3BC2C6F0-0BEF-47B1-B0E8-AC9481FCA77B}"/>
    <cellStyle name="Normal 4 8 2 5 6" xfId="12997" xr:uid="{47BAE656-EC9E-4146-85AB-F86AA13E01A0}"/>
    <cellStyle name="Normal 4 8 2 6" xfId="2377" xr:uid="{00000000-0005-0000-0000-0000AD060000}"/>
    <cellStyle name="Normal 4 8 2 6 2" xfId="7504" xr:uid="{DAC97AA2-E5A4-4EEA-B897-303CA1FB9CF7}"/>
    <cellStyle name="Normal 4 8 2 6 2 2" xfId="17884" xr:uid="{87971EE5-E131-4053-98C9-DDD212EC3D11}"/>
    <cellStyle name="Normal 4 8 2 6 3" xfId="10337" xr:uid="{9232C93A-DF49-480D-A771-BAE47882AFBC}"/>
    <cellStyle name="Normal 4 8 2 6 3 2" xfId="20717" xr:uid="{64F56D8A-D43E-4CA8-8BBD-0B5C4AFA41DF}"/>
    <cellStyle name="Normal 4 8 2 6 4" xfId="24630" xr:uid="{E1A84F69-C757-4E1B-9D93-15638EB0F0AF}"/>
    <cellStyle name="Normal 4 8 2 6 5" xfId="15051" xr:uid="{4D938FE7-CE85-494D-91B5-B40622B3C74F}"/>
    <cellStyle name="Normal 4 8 2 7" xfId="3942" xr:uid="{7A88FBDE-9507-4134-97EA-80923727E376}"/>
    <cellStyle name="Normal 4 8 2 7 2" xfId="8774" xr:uid="{B1FF5D05-9626-4E88-9E84-A7251C9F663E}"/>
    <cellStyle name="Normal 4 8 2 7 2 2" xfId="19154" xr:uid="{E2EF7EA5-A2CF-4CBD-8688-05541F82525E}"/>
    <cellStyle name="Normal 4 8 2 7 3" xfId="11607" xr:uid="{E0EC3274-30EB-451C-BDB3-A0323C2B11C6}"/>
    <cellStyle name="Normal 4 8 2 7 3 2" xfId="21987" xr:uid="{CF90CC8B-9D60-4ADF-B54C-454958AB6D34}"/>
    <cellStyle name="Normal 4 8 2 7 4" xfId="16321" xr:uid="{7CED60C4-3FFA-44FD-A30F-83EE1FEE1DBD}"/>
    <cellStyle name="Normal 4 8 2 8" xfId="5339" xr:uid="{902C0B0E-C4A0-4981-9707-DC0113C37539}"/>
    <cellStyle name="Normal 4 8 2 8 2" xfId="14637" xr:uid="{AA2E2A77-DEAA-4A1B-81C1-2BCA8305B4F0}"/>
    <cellStyle name="Normal 4 8 2 9" xfId="7090" xr:uid="{D0D07CCA-276A-41C2-9F72-54F476CDFE24}"/>
    <cellStyle name="Normal 4 8 2 9 2" xfId="17470" xr:uid="{A72D69C6-C74C-414E-A521-E425C04AD6D1}"/>
    <cellStyle name="Normal 4 8 3" xfId="1038" xr:uid="{00000000-0005-0000-0000-0000C0050000}"/>
    <cellStyle name="Normal 4 8 3 2" xfId="3393" xr:uid="{00000000-0005-0000-0000-0000B4060000}"/>
    <cellStyle name="Normal 4 8 3 2 2" xfId="6451" xr:uid="{6EFCB61C-7357-4684-9E3A-0FCD927DD456}"/>
    <cellStyle name="Normal 4 8 3 2 2 2" xfId="25798" xr:uid="{E04C89D1-BAA7-40C1-BC46-F7CE41911F85}"/>
    <cellStyle name="Normal 4 8 3 2 2 3" xfId="27957" xr:uid="{B28F36EE-3268-4C28-A6BC-D4ED592E6965}"/>
    <cellStyle name="Normal 4 8 3 2 2 4" xfId="16020" xr:uid="{0C7E26DA-2B7A-4895-B864-1CAB123016A7}"/>
    <cellStyle name="Normal 4 8 3 2 3" xfId="8473" xr:uid="{EED53452-5939-466E-8695-45E55BA1D2CB}"/>
    <cellStyle name="Normal 4 8 3 2 3 2" xfId="28922" xr:uid="{4FAD5E52-B238-484A-8AD5-4926695E24BF}"/>
    <cellStyle name="Normal 4 8 3 2 3 3" xfId="18853" xr:uid="{B5B0DCE4-48DA-480E-A1E0-3D2A91C35A32}"/>
    <cellStyle name="Normal 4 8 3 2 4" xfId="11306" xr:uid="{77082873-FC23-4D52-84B3-16E16D740661}"/>
    <cellStyle name="Normal 4 8 3 2 4 2" xfId="21686" xr:uid="{745341AC-5B45-4254-8AEA-490B25F78984}"/>
    <cellStyle name="Normal 4 8 3 2 5" xfId="22826" xr:uid="{A5AF6C31-5CE8-481B-BABC-0C7C8CD0A23A}"/>
    <cellStyle name="Normal 4 8 3 2 6" xfId="13960" xr:uid="{A33A0049-D6F8-4E3C-8917-26F7161B722D}"/>
    <cellStyle name="Normal 4 8 3 3" xfId="2802" xr:uid="{00000000-0005-0000-0000-0000B5060000}"/>
    <cellStyle name="Normal 4 8 3 3 2" xfId="6020" xr:uid="{A69378F3-7126-43E8-957C-AEF3A8217A72}"/>
    <cellStyle name="Normal 4 8 3 3 2 2" xfId="26564" xr:uid="{9920AF1B-1502-4153-86EE-9E491C23E980}"/>
    <cellStyle name="Normal 4 8 3 3 2 3" xfId="15473" xr:uid="{B1567AF6-EF33-4AB9-8B8F-63FE914A07E5}"/>
    <cellStyle name="Normal 4 8 3 3 3" xfId="7926" xr:uid="{2D1BB9FA-4D4A-4C54-898F-B770F4965FBD}"/>
    <cellStyle name="Normal 4 8 3 3 3 2" xfId="18306" xr:uid="{FE3FC21E-E23C-4118-ABE2-1A66E94B9357}"/>
    <cellStyle name="Normal 4 8 3 3 4" xfId="10759" xr:uid="{E2F9B43E-0A02-4C38-BA5D-ECC510BC70E6}"/>
    <cellStyle name="Normal 4 8 3 3 4 2" xfId="21139" xr:uid="{5EEA83E8-121B-42E9-94D0-B744FCB7C7D5}"/>
    <cellStyle name="Normal 4 8 3 3 5" xfId="23605" xr:uid="{6470B5F1-FD1F-4995-8318-8EC822E2DD3C}"/>
    <cellStyle name="Normal 4 8 3 3 6" xfId="13266" xr:uid="{29FB101E-D901-48D2-BE02-0A0BDDC9A648}"/>
    <cellStyle name="Normal 4 8 3 4" xfId="4203" xr:uid="{5FFDCD3D-191C-4816-9CA7-FB6D45A05F99}"/>
    <cellStyle name="Normal 4 8 3 4 2" xfId="8975" xr:uid="{070C8C1D-8AEF-46BE-8C98-0091E8D5CB10}"/>
    <cellStyle name="Normal 4 8 3 4 2 2" xfId="29057" xr:uid="{4C8275A9-C16B-4EC9-9863-FF7A8CDDDD99}"/>
    <cellStyle name="Normal 4 8 3 4 2 3" xfId="19355" xr:uid="{893AE50F-8DCF-4C57-B16A-FE83FE00F9A5}"/>
    <cellStyle name="Normal 4 8 3 4 3" xfId="11808" xr:uid="{32AC2F98-E71F-4095-BAC4-574F9FAC974E}"/>
    <cellStyle name="Normal 4 8 3 4 3 2" xfId="22188" xr:uid="{5716DFA4-B51D-4F99-95E7-5C279343345C}"/>
    <cellStyle name="Normal 4 8 3 4 4" xfId="24359" xr:uid="{1F3D2E20-3A87-41F9-AEEC-5C3F44D9E70F}"/>
    <cellStyle name="Normal 4 8 3 4 5" xfId="16522" xr:uid="{329DE75E-7547-4F7D-A283-DE84FDC4B800}"/>
    <cellStyle name="Normal 4 8 3 5" xfId="5341" xr:uid="{59B8A850-AE58-4417-9B79-645D1117C3F9}"/>
    <cellStyle name="Normal 4 8 3 5 2" xfId="27586" xr:uid="{47C431D5-BF21-485E-B445-D73E7C5FF7F3}"/>
    <cellStyle name="Normal 4 8 3 5 3" xfId="14639" xr:uid="{A085ECE6-AAED-4853-AA6D-E6CE7606978A}"/>
    <cellStyle name="Normal 4 8 3 6" xfId="7092" xr:uid="{BF5B1421-7114-4C59-84E6-FF22BF14D01C}"/>
    <cellStyle name="Normal 4 8 3 6 2" xfId="17472" xr:uid="{50F66810-BC52-4D59-B3A9-CBD2F562B7C1}"/>
    <cellStyle name="Normal 4 8 3 7" xfId="9925" xr:uid="{E1E5A673-FD43-4767-9671-202BFC3237CE}"/>
    <cellStyle name="Normal 4 8 3 7 2" xfId="20305" xr:uid="{ABB182C6-5691-4072-A342-0FE314AA56DD}"/>
    <cellStyle name="Normal 4 8 3 8" xfId="23362" xr:uid="{DA7BCDF4-2302-49E7-AFEC-1183D2581450}"/>
    <cellStyle name="Normal 4 8 3 9" xfId="12769" xr:uid="{66A1D130-8853-47BE-9E8F-EB39290D0E65}"/>
    <cellStyle name="Normal 4 8 4" xfId="1039" xr:uid="{00000000-0005-0000-0000-0000C1050000}"/>
    <cellStyle name="Normal 4 8 4 2" xfId="4554" xr:uid="{4A53458D-E17E-4BB7-9B78-E41E6108CD46}"/>
    <cellStyle name="Normal 4 8 4 2 2" xfId="9326" xr:uid="{DC6DF52B-15E0-407A-8FD8-91CCFA995276}"/>
    <cellStyle name="Normal 4 8 4 2 2 2" xfId="29301" xr:uid="{22CBBC2C-6EB7-4F8D-9BF3-8C6A7E2E0971}"/>
    <cellStyle name="Normal 4 8 4 2 2 3" xfId="19706" xr:uid="{BBE92403-9659-4990-9EB1-3C980877811E}"/>
    <cellStyle name="Normal 4 8 4 2 3" xfId="12159" xr:uid="{EC1E7D03-E6CD-4B6A-A889-E82AA6D291E8}"/>
    <cellStyle name="Normal 4 8 4 2 3 2" xfId="22539" xr:uid="{0FEE8662-2D8F-4A33-AB47-1B88ED44E02E}"/>
    <cellStyle name="Normal 4 8 4 2 4" xfId="25729" xr:uid="{B29B947F-BF6C-4162-9758-A19DE764DCC0}"/>
    <cellStyle name="Normal 4 8 4 2 5" xfId="16873" xr:uid="{BAE9BF8E-D4C8-44F9-A359-3FCB88ADBC3D}"/>
    <cellStyle name="Normal 4 8 4 3" xfId="5342" xr:uid="{2F7E15B8-6D4F-40EF-A62B-5AC6AB5CE46A}"/>
    <cellStyle name="Normal 4 8 4 3 2" xfId="27514" xr:uid="{E12BE31D-F7D8-41F8-B8F2-FF5737E4F9B6}"/>
    <cellStyle name="Normal 4 8 4 3 3" xfId="14640" xr:uid="{BAC52ED1-B28A-4108-B645-8BADC5ECED70}"/>
    <cellStyle name="Normal 4 8 4 4" xfId="7093" xr:uid="{64C2FEF8-951F-4D16-A7AE-2EC7C1FFFCB3}"/>
    <cellStyle name="Normal 4 8 4 4 2" xfId="17473" xr:uid="{9704C883-5736-4EA5-8187-F66451D5E9A7}"/>
    <cellStyle name="Normal 4 8 4 5" xfId="9926" xr:uid="{2D7F1617-CC5B-43FE-8F93-D0245C9DAE4E}"/>
    <cellStyle name="Normal 4 8 4 5 2" xfId="20306" xr:uid="{64309F65-88F7-4EF9-A4EE-6046D6192837}"/>
    <cellStyle name="Normal 4 8 4 6" xfId="24597" xr:uid="{FAFE0EDA-07F8-4FE7-9744-558229B9E9CF}"/>
    <cellStyle name="Normal 4 8 4 7" xfId="13961" xr:uid="{98860BFA-E002-4D04-B6BC-10368C072A02}"/>
    <cellStyle name="Normal 4 8 5" xfId="2946" xr:uid="{00000000-0005-0000-0000-0000B7060000}"/>
    <cellStyle name="Normal 4 8 5 2" xfId="6126" xr:uid="{3A90E411-B0E1-4D1D-8CBF-0FA213C408C9}"/>
    <cellStyle name="Normal 4 8 5 2 2" xfId="22889" xr:uid="{323BCB07-E0C4-4324-9387-BB441B091CBA}"/>
    <cellStyle name="Normal 4 8 5 2 3" xfId="27022" xr:uid="{0ADDFC1F-FD80-4CB0-9417-459BB5DA67EE}"/>
    <cellStyle name="Normal 4 8 5 2 4" xfId="15604" xr:uid="{2EE76BEA-D134-4681-ABFD-D9E13ED59382}"/>
    <cellStyle name="Normal 4 8 5 3" xfId="8057" xr:uid="{49F03E7D-F8CF-4539-A4E2-8D4E390C1C2C}"/>
    <cellStyle name="Normal 4 8 5 3 2" xfId="28759" xr:uid="{1F490A06-3F6F-4F75-AAFD-3FC8E68046D8}"/>
    <cellStyle name="Normal 4 8 5 3 3" xfId="18437" xr:uid="{663CB6D6-FD8C-425B-A1B7-45FBFF432DCC}"/>
    <cellStyle name="Normal 4 8 5 4" xfId="10890" xr:uid="{420CEDED-F913-4CED-A0A6-C8812B15D841}"/>
    <cellStyle name="Normal 4 8 5 4 2" xfId="21270" xr:uid="{7E3BF973-9134-4A00-9B1A-BA0C7D081897}"/>
    <cellStyle name="Normal 4 8 5 5" xfId="24125" xr:uid="{393509DD-5235-442B-A267-5E4D400C7C73}"/>
    <cellStyle name="Normal 4 8 5 6" xfId="13467" xr:uid="{982210BB-347A-4FD7-B053-F2B565925200}"/>
    <cellStyle name="Normal 4 8 6" xfId="2446" xr:uid="{00000000-0005-0000-0000-0000B8060000}"/>
    <cellStyle name="Normal 4 8 6 2" xfId="5740" xr:uid="{4D6A6D2A-C857-4FFE-A450-2E160D6EF7CD}"/>
    <cellStyle name="Normal 4 8 6 2 2" xfId="27102" xr:uid="{DEFD9B35-CA72-4AED-BB02-EB6A90E849D3}"/>
    <cellStyle name="Normal 4 8 6 2 3" xfId="15118" xr:uid="{D47C087F-8414-4BDA-B2D0-6329B80D357B}"/>
    <cellStyle name="Normal 4 8 6 3" xfId="7571" xr:uid="{AF799A62-90A1-4278-8CAC-411CABE1649B}"/>
    <cellStyle name="Normal 4 8 6 3 2" xfId="17951" xr:uid="{692457AA-E4A8-4130-B954-A586181B5B49}"/>
    <cellStyle name="Normal 4 8 6 4" xfId="10404" xr:uid="{04E2B5B6-D284-4423-9A0A-6EE8830E5E22}"/>
    <cellStyle name="Normal 4 8 6 4 2" xfId="20784" xr:uid="{DF578FD9-7125-4605-9C27-85F372D05A66}"/>
    <cellStyle name="Normal 4 8 6 5" xfId="22696" xr:uid="{729EE0F8-E1C5-4C04-8DF5-244E9ACA131C}"/>
    <cellStyle name="Normal 4 8 6 6" xfId="12834" xr:uid="{BC199602-588A-4E28-A840-5C19D5FBD532}"/>
    <cellStyle name="Normal 4 8 7" xfId="2200" xr:uid="{00000000-0005-0000-0000-0000AC060000}"/>
    <cellStyle name="Normal 4 8 7 2" xfId="7327" xr:uid="{6DC10D9B-AD30-4AFE-B5AB-C9BDDADD2450}"/>
    <cellStyle name="Normal 4 8 7 2 2" xfId="17707" xr:uid="{3688C2AB-DAA0-4D32-9B01-3A58F0803499}"/>
    <cellStyle name="Normal 4 8 7 3" xfId="10160" xr:uid="{2145218E-5174-4AB5-9392-445EA353E7DE}"/>
    <cellStyle name="Normal 4 8 7 3 2" xfId="20540" xr:uid="{D4414ED4-57FB-4635-A875-1F72F8E92A7F}"/>
    <cellStyle name="Normal 4 8 7 4" xfId="25047" xr:uid="{7AFBC9C0-08AB-470D-B140-140688BC0FD1}"/>
    <cellStyle name="Normal 4 8 7 5" xfId="14874" xr:uid="{F24D1869-95EF-4B26-9CB9-D07A8B793B64}"/>
    <cellStyle name="Normal 4 8 8" xfId="3998" xr:uid="{281ACFA1-D698-4080-8D6B-0AF4D83A6F8E}"/>
    <cellStyle name="Normal 4 8 8 2" xfId="8822" xr:uid="{CFB66AB3-D734-4A79-A87B-9A2EFF98D5E4}"/>
    <cellStyle name="Normal 4 8 8 2 2" xfId="19202" xr:uid="{E19055ED-866D-4B93-91A7-6B9EFA80B315}"/>
    <cellStyle name="Normal 4 8 8 3" xfId="11655" xr:uid="{639A8475-980A-43F0-953D-AA1C4BC8A225}"/>
    <cellStyle name="Normal 4 8 8 3 2" xfId="22035" xr:uid="{238B5422-CD6E-4709-A692-929601A47CEA}"/>
    <cellStyle name="Normal 4 8 8 4" xfId="16369" xr:uid="{EED70B44-2A93-4B41-9D5A-91AD6D5EE158}"/>
    <cellStyle name="Normal 4 8 9" xfId="5338" xr:uid="{AEAD4F3A-23BD-4982-A966-DE7F04C30F37}"/>
    <cellStyle name="Normal 4 8 9 2" xfId="14636" xr:uid="{88B9D1B0-17D6-4FD9-BC3D-D627679CD327}"/>
    <cellStyle name="Normal 4 9" xfId="1040" xr:uid="{00000000-0005-0000-0000-0000C2050000}"/>
    <cellStyle name="Normal 4 9 10" xfId="7094" xr:uid="{FED65E8B-9E0C-4993-9D9D-09C6A5CCBF77}"/>
    <cellStyle name="Normal 4 9 10 2" xfId="17474" xr:uid="{85C94C34-2764-4D4A-A55A-3CC3B94E06B0}"/>
    <cellStyle name="Normal 4 9 11" xfId="9927" xr:uid="{8592E14F-7933-451D-9CE9-B4860A2D52B7}"/>
    <cellStyle name="Normal 4 9 11 2" xfId="20307" xr:uid="{02417B0E-5595-45E5-90CB-41EC334685D5}"/>
    <cellStyle name="Normal 4 9 12" xfId="23729" xr:uid="{BD948A75-B0F9-44FF-BBAB-26E8C81CCBE0}"/>
    <cellStyle name="Normal 4 9 13" xfId="12494" xr:uid="{CD8A0886-089C-446A-8DE1-556D66857C2D}"/>
    <cellStyle name="Normal 4 9 2" xfId="1041" xr:uid="{00000000-0005-0000-0000-0000C3050000}"/>
    <cellStyle name="Normal 4 9 2 10" xfId="9928" xr:uid="{28370A61-F559-432A-B25C-14DD633AD195}"/>
    <cellStyle name="Normal 4 9 2 10 2" xfId="20308" xr:uid="{201A2F93-DAA0-4A27-BF79-B00C29977018}"/>
    <cellStyle name="Normal 4 9 2 11" xfId="22763" xr:uid="{0087A8B8-93CC-4BFE-AA5E-D6C7D2CA9A00}"/>
    <cellStyle name="Normal 4 9 2 12" xfId="12612" xr:uid="{74C7346E-50B0-47C0-BB11-55DFB2707C47}"/>
    <cellStyle name="Normal 4 9 2 2" xfId="1042" xr:uid="{00000000-0005-0000-0000-0000C4050000}"/>
    <cellStyle name="Normal 4 9 2 2 2" xfId="3395" xr:uid="{00000000-0005-0000-0000-0000BC060000}"/>
    <cellStyle name="Normal 4 9 2 2 2 2" xfId="6453" xr:uid="{11E9BE83-9BEF-456C-844D-D31925E7C983}"/>
    <cellStyle name="Normal 4 9 2 2 2 2 2" xfId="28694" xr:uid="{B7AD161C-F341-4DA4-8DE4-27608ACA660B}"/>
    <cellStyle name="Normal 4 9 2 2 2 2 3" xfId="28199" xr:uid="{38F0B293-0D62-432D-9C4F-EE43645FC28D}"/>
    <cellStyle name="Normal 4 9 2 2 2 2 4" xfId="16022" xr:uid="{8BDDD3B4-B9A2-45C7-AF12-56D5B99F1810}"/>
    <cellStyle name="Normal 4 9 2 2 2 3" xfId="8475" xr:uid="{9038C36F-0961-43F9-92E9-2FBEC2FD15A9}"/>
    <cellStyle name="Normal 4 9 2 2 2 3 2" xfId="28923" xr:uid="{F7762159-4A43-4FD5-B9A3-4DD12BD141F2}"/>
    <cellStyle name="Normal 4 9 2 2 2 3 3" xfId="18855" xr:uid="{917F8D4E-1CFD-4DAC-815C-226344EE8AAB}"/>
    <cellStyle name="Normal 4 9 2 2 2 4" xfId="11308" xr:uid="{FF99C08E-2FD0-44B9-A815-374563E54528}"/>
    <cellStyle name="Normal 4 9 2 2 2 4 2" xfId="21688" xr:uid="{59C14F52-2CDE-44D9-B32A-5AD6C2967E44}"/>
    <cellStyle name="Normal 4 9 2 2 2 5" xfId="24386" xr:uid="{3C35500F-A6B9-49B4-BB95-075B0AEC0C74}"/>
    <cellStyle name="Normal 4 9 2 2 2 6" xfId="13963" xr:uid="{EAE0E571-E60D-47E1-93EB-992FA5AF217A}"/>
    <cellStyle name="Normal 4 9 2 2 3" xfId="4355" xr:uid="{B7CECDB9-48DC-4889-B3EF-7E0171FF32B0}"/>
    <cellStyle name="Normal 4 9 2 2 3 2" xfId="9127" xr:uid="{B287CC7E-81A6-4F37-95CD-77D3B7A9D44B}"/>
    <cellStyle name="Normal 4 9 2 2 3 2 2" xfId="29170" xr:uid="{01E746A7-4123-43E0-AB3E-B028EF387EB6}"/>
    <cellStyle name="Normal 4 9 2 2 3 2 3" xfId="19507" xr:uid="{39187655-B24B-4182-BDE2-038D1B8846B2}"/>
    <cellStyle name="Normal 4 9 2 2 3 3" xfId="11960" xr:uid="{8211DA65-4B71-4084-AF16-B8C6040CE355}"/>
    <cellStyle name="Normal 4 9 2 2 3 3 2" xfId="22340" xr:uid="{8A3F3DA4-464D-44A0-BF17-399DABF26D3E}"/>
    <cellStyle name="Normal 4 9 2 2 3 4" xfId="24746" xr:uid="{53C96F65-A9A7-47BE-804A-52A54B7CBC06}"/>
    <cellStyle name="Normal 4 9 2 2 3 5" xfId="16674" xr:uid="{AEF97B57-EBB3-40C7-A330-5F1D3B247A08}"/>
    <cellStyle name="Normal 4 9 2 2 4" xfId="5345" xr:uid="{96342CCA-55A5-47D1-A797-2C36D42FFB2A}"/>
    <cellStyle name="Normal 4 9 2 2 4 2" xfId="27027" xr:uid="{DBE57265-6D69-4443-95A6-FC9DC1A9B761}"/>
    <cellStyle name="Normal 4 9 2 2 4 3" xfId="14643" xr:uid="{8C4ADD13-00FC-4CC3-AD26-03FC256F0E18}"/>
    <cellStyle name="Normal 4 9 2 2 5" xfId="7096" xr:uid="{3C1AF9BA-F553-4120-B127-A4197615CA77}"/>
    <cellStyle name="Normal 4 9 2 2 5 2" xfId="17476" xr:uid="{632F33F2-D68C-4055-927E-790550974824}"/>
    <cellStyle name="Normal 4 9 2 2 6" xfId="9929" xr:uid="{2C8C1A72-261D-44D7-96A5-2516D17DBD05}"/>
    <cellStyle name="Normal 4 9 2 2 6 2" xfId="20309" xr:uid="{79CDB092-0135-4613-B647-132677FBB4DC}"/>
    <cellStyle name="Normal 4 9 2 2 7" xfId="23126" xr:uid="{723A8EC1-6226-49C0-95A1-E85A20D6241E}"/>
    <cellStyle name="Normal 4 9 2 2 8" xfId="13269" xr:uid="{1C00D6FC-68F7-4724-A70D-4669B52F1AA0}"/>
    <cellStyle name="Normal 4 9 2 3" xfId="3396" xr:uid="{00000000-0005-0000-0000-0000BD060000}"/>
    <cellStyle name="Normal 4 9 2 3 2" xfId="4555" xr:uid="{429A3C00-EA96-4A8D-852C-E18122DA3BFC}"/>
    <cellStyle name="Normal 4 9 2 3 2 2" xfId="9327" xr:uid="{078A8D01-3A66-4BF7-A0C3-9EA9566C4FBA}"/>
    <cellStyle name="Normal 4 9 2 3 2 2 2" xfId="29302" xr:uid="{81E919EC-171F-4337-8F54-BAF4FAA1875E}"/>
    <cellStyle name="Normal 4 9 2 3 2 2 3" xfId="19707" xr:uid="{AEF3400C-B76F-41BC-A7D4-E6ACE6A7356F}"/>
    <cellStyle name="Normal 4 9 2 3 2 3" xfId="12160" xr:uid="{3A9B6F7D-697F-4A82-94EE-0008EAD9B053}"/>
    <cellStyle name="Normal 4 9 2 3 2 3 2" xfId="22540" xr:uid="{EF7F18C2-0586-4A8A-BEE2-3AFDB87ABC8E}"/>
    <cellStyle name="Normal 4 9 2 3 2 4" xfId="24302" xr:uid="{281778F3-8B05-4B77-B5C9-E8664219A3E7}"/>
    <cellStyle name="Normal 4 9 2 3 2 5" xfId="16874" xr:uid="{26292AE9-A676-4867-8354-8FDF65FF8704}"/>
    <cellStyle name="Normal 4 9 2 3 3" xfId="6454" xr:uid="{E0E8314D-1134-4E1C-B19E-01A0BC6639B8}"/>
    <cellStyle name="Normal 4 9 2 3 3 2" xfId="26876" xr:uid="{54796271-879F-4167-BA9B-BD66C88C0419}"/>
    <cellStyle name="Normal 4 9 2 3 3 3" xfId="16023" xr:uid="{51271DC9-1A29-44F5-97D7-BCACACE46210}"/>
    <cellStyle name="Normal 4 9 2 3 4" xfId="8476" xr:uid="{AB9A5261-844D-4CD8-A4BA-30EAD92011D8}"/>
    <cellStyle name="Normal 4 9 2 3 4 2" xfId="18856" xr:uid="{AD961A38-47B8-4F6B-937B-81803D0557EA}"/>
    <cellStyle name="Normal 4 9 2 3 5" xfId="11309" xr:uid="{B27C72B8-AD1B-44BC-BDD7-12ADA905F9B6}"/>
    <cellStyle name="Normal 4 9 2 3 5 2" xfId="21689" xr:uid="{B3F3CBB2-6F69-4275-AAFA-CB8D22E05A51}"/>
    <cellStyle name="Normal 4 9 2 3 6" xfId="23990" xr:uid="{EE707BDF-7721-4690-8488-D9E5F4960A9C}"/>
    <cellStyle name="Normal 4 9 2 3 7" xfId="13964" xr:uid="{425ACECC-3E0F-46C2-8378-FFD904F5B98A}"/>
    <cellStyle name="Normal 4 9 2 4" xfId="3394" xr:uid="{00000000-0005-0000-0000-0000BE060000}"/>
    <cellStyle name="Normal 4 9 2 4 2" xfId="6452" xr:uid="{E9DBFBC1-94F8-4265-B53D-C168DE8425DE}"/>
    <cellStyle name="Normal 4 9 2 4 2 2" xfId="27636" xr:uid="{D134B4F9-958C-4105-8EB7-56E094FF549D}"/>
    <cellStyle name="Normal 4 9 2 4 2 3" xfId="16021" xr:uid="{CD533D81-4227-4367-AD8A-972D87E4277A}"/>
    <cellStyle name="Normal 4 9 2 4 3" xfId="8474" xr:uid="{3F24AFFD-A75E-450C-A9EF-92566A7C3F04}"/>
    <cellStyle name="Normal 4 9 2 4 3 2" xfId="18854" xr:uid="{558DB0AB-D2E0-4ADC-8A48-18296A3BBF68}"/>
    <cellStyle name="Normal 4 9 2 4 4" xfId="11307" xr:uid="{1A76F0A1-8D28-4290-8946-F2B4A37D6264}"/>
    <cellStyle name="Normal 4 9 2 4 4 2" xfId="21687" xr:uid="{8B7841B6-B6A5-43C6-9864-9348B6A6EB0E}"/>
    <cellStyle name="Normal 4 9 2 4 5" xfId="25330" xr:uid="{7C7C8256-B9E5-4613-B263-AB4056C9349D}"/>
    <cellStyle name="Normal 4 9 2 4 6" xfId="13962" xr:uid="{FF2032C4-8BF9-4137-BD49-7B217EF6F85A}"/>
    <cellStyle name="Normal 4 9 2 5" xfId="2657" xr:uid="{00000000-0005-0000-0000-0000BF060000}"/>
    <cellStyle name="Normal 4 9 2 5 2" xfId="5917" xr:uid="{41952D99-ABDB-4293-834B-F38C838B1168}"/>
    <cellStyle name="Normal 4 9 2 5 2 2" xfId="27668" xr:uid="{B83C8430-3C67-4460-8840-7F0BDA03DB8B}"/>
    <cellStyle name="Normal 4 9 2 5 2 3" xfId="15329" xr:uid="{BC35F09B-CE5B-4916-9597-B10216CAA486}"/>
    <cellStyle name="Normal 4 9 2 5 3" xfId="7782" xr:uid="{9DD94790-E2C5-4C61-9D03-570B091E3C4D}"/>
    <cellStyle name="Normal 4 9 2 5 3 2" xfId="18162" xr:uid="{0ABF3531-97C8-4476-9FAD-A96156326B2F}"/>
    <cellStyle name="Normal 4 9 2 5 4" xfId="10615" xr:uid="{8C1CF07B-3467-4C48-912E-2E1C444A4F06}"/>
    <cellStyle name="Normal 4 9 2 5 4 2" xfId="20995" xr:uid="{252AC7F1-0AB2-4B98-9212-B2CC72E9BB0C}"/>
    <cellStyle name="Normal 4 9 2 5 5" xfId="24390" xr:uid="{531B2959-78A0-4777-AF18-50FB596D273D}"/>
    <cellStyle name="Normal 4 9 2 5 6" xfId="13059" xr:uid="{1A269D4F-B737-489D-B7A7-D1D28B78EA22}"/>
    <cellStyle name="Normal 4 9 2 6" xfId="2378" xr:uid="{00000000-0005-0000-0000-0000BA060000}"/>
    <cellStyle name="Normal 4 9 2 6 2" xfId="7505" xr:uid="{D6504F32-9E30-4636-8E43-11D3A1544429}"/>
    <cellStyle name="Normal 4 9 2 6 2 2" xfId="17885" xr:uid="{0A365267-F0E1-4CB9-8305-0282D4AD3D06}"/>
    <cellStyle name="Normal 4 9 2 6 3" xfId="10338" xr:uid="{E4B342D6-E1E6-4E71-B82A-B35FC665DD40}"/>
    <cellStyle name="Normal 4 9 2 6 3 2" xfId="20718" xr:uid="{6073AC3D-C593-4C95-970E-A50E189650EC}"/>
    <cellStyle name="Normal 4 9 2 6 4" xfId="24543" xr:uid="{215AFCB9-7E53-4A64-A0F6-85835A7537F7}"/>
    <cellStyle name="Normal 4 9 2 6 5" xfId="15052" xr:uid="{99D15716-0A26-4820-A1B9-0E615D69DB7C}"/>
    <cellStyle name="Normal 4 9 2 7" xfId="3955" xr:uid="{5662DC37-F90E-41B1-8934-44962F194A3A}"/>
    <cellStyle name="Normal 4 9 2 7 2" xfId="8787" xr:uid="{7D06C3E6-4AF0-4B89-8901-A8CEEF48497E}"/>
    <cellStyle name="Normal 4 9 2 7 2 2" xfId="19167" xr:uid="{D8782B79-623B-4E23-BD16-08969CEE0135}"/>
    <cellStyle name="Normal 4 9 2 7 3" xfId="11620" xr:uid="{24202C2E-E9BC-4B30-A123-54FB0FE2BA5B}"/>
    <cellStyle name="Normal 4 9 2 7 3 2" xfId="22000" xr:uid="{6B243055-76E8-4D7F-93D0-717A0B52A8C3}"/>
    <cellStyle name="Normal 4 9 2 7 4" xfId="16334" xr:uid="{D16B8EEB-DBF4-45EA-8E00-E56CA3FA07FB}"/>
    <cellStyle name="Normal 4 9 2 8" xfId="5344" xr:uid="{FA09D750-66D3-46F2-AA20-E5C5C6D5A7A2}"/>
    <cellStyle name="Normal 4 9 2 8 2" xfId="14642" xr:uid="{EB460EF6-969D-48F3-9585-CD572D0075A6}"/>
    <cellStyle name="Normal 4 9 2 9" xfId="7095" xr:uid="{7A8048F7-241E-4979-B207-70F8C28C3BBA}"/>
    <cellStyle name="Normal 4 9 2 9 2" xfId="17475" xr:uid="{9DD638C0-C0F0-4C0A-A277-0655FAB0BB6A}"/>
    <cellStyle name="Normal 4 9 3" xfId="1043" xr:uid="{00000000-0005-0000-0000-0000C5050000}"/>
    <cellStyle name="Normal 4 9 3 2" xfId="3397" xr:uid="{00000000-0005-0000-0000-0000C1060000}"/>
    <cellStyle name="Normal 4 9 3 2 2" xfId="6455" xr:uid="{EC58CF77-95B6-42C0-8B6D-E6C38386E713}"/>
    <cellStyle name="Normal 4 9 3 2 2 2" xfId="23775" xr:uid="{DC92D57D-5795-4BFD-B9C6-40860AECCF78}"/>
    <cellStyle name="Normal 4 9 3 2 2 3" xfId="27659" xr:uid="{BD270951-A7CB-4512-B042-ED92B3AF51B0}"/>
    <cellStyle name="Normal 4 9 3 2 2 4" xfId="16024" xr:uid="{F7DFEFAD-B8A4-4014-A965-79AC03EE98CA}"/>
    <cellStyle name="Normal 4 9 3 2 3" xfId="8477" xr:uid="{D017D5D2-9F67-46D6-9C65-8D3ADB37B85E}"/>
    <cellStyle name="Normal 4 9 3 2 3 2" xfId="28924" xr:uid="{3CE00559-6AD8-4A77-8FD5-69456922A500}"/>
    <cellStyle name="Normal 4 9 3 2 3 3" xfId="18857" xr:uid="{127CBB48-2A01-470A-BD74-3890FD0642C8}"/>
    <cellStyle name="Normal 4 9 3 2 4" xfId="11310" xr:uid="{72168985-3B71-4213-80CA-7C09896A4598}"/>
    <cellStyle name="Normal 4 9 3 2 4 2" xfId="21690" xr:uid="{BD9DCD0E-2F77-44EF-97C0-5BB4BFF291DF}"/>
    <cellStyle name="Normal 4 9 3 2 5" xfId="24906" xr:uid="{9BFE87F1-B694-4E99-B970-076C7ACAE04A}"/>
    <cellStyle name="Normal 4 9 3 2 6" xfId="13965" xr:uid="{BCF44529-9CE9-460D-B060-C9F0FB761974}"/>
    <cellStyle name="Normal 4 9 3 3" xfId="2803" xr:uid="{00000000-0005-0000-0000-0000C2060000}"/>
    <cellStyle name="Normal 4 9 3 3 2" xfId="6021" xr:uid="{9EDD67D1-5C2C-41FB-8DB5-F20ED392B8C6}"/>
    <cellStyle name="Normal 4 9 3 3 2 2" xfId="26495" xr:uid="{D2B1457E-7C6D-43FE-97D1-D741065D3543}"/>
    <cellStyle name="Normal 4 9 3 3 2 3" xfId="15474" xr:uid="{4C1DDB65-F2A6-453B-9303-D769A622CC45}"/>
    <cellStyle name="Normal 4 9 3 3 3" xfId="7927" xr:uid="{C4B41890-42D4-4559-BB21-ACCE2AE869DB}"/>
    <cellStyle name="Normal 4 9 3 3 3 2" xfId="18307" xr:uid="{3A0D7D73-2444-4B2D-AE17-EAC42634EFA4}"/>
    <cellStyle name="Normal 4 9 3 3 4" xfId="10760" xr:uid="{CFAD69D5-A814-46DE-87BE-BF954F5E5BF9}"/>
    <cellStyle name="Normal 4 9 3 3 4 2" xfId="21140" xr:uid="{EBAEB439-29CF-471F-B1AE-7CBD9143C4D3}"/>
    <cellStyle name="Normal 4 9 3 3 5" xfId="23430" xr:uid="{5E6BB81F-081E-4ACD-B0C1-13DEA25765B8}"/>
    <cellStyle name="Normal 4 9 3 3 6" xfId="13268" xr:uid="{17F04C83-C241-4809-AF38-EF377A2E1468}"/>
    <cellStyle name="Normal 4 9 3 4" xfId="4204" xr:uid="{59B0931E-45F8-4742-866F-5C5AC23997A1}"/>
    <cellStyle name="Normal 4 9 3 4 2" xfId="8976" xr:uid="{154E08C5-8FF7-48F4-B67A-35F5CAF52B32}"/>
    <cellStyle name="Normal 4 9 3 4 2 2" xfId="29058" xr:uid="{039F68C9-4D7A-420B-A116-ED61329DE099}"/>
    <cellStyle name="Normal 4 9 3 4 2 3" xfId="19356" xr:uid="{75FD03FC-72A0-4F5E-A0CA-5FE0B27F42F2}"/>
    <cellStyle name="Normal 4 9 3 4 3" xfId="11809" xr:uid="{B23AF0B9-02E9-4983-96E2-542D5F5C0818}"/>
    <cellStyle name="Normal 4 9 3 4 3 2" xfId="22189" xr:uid="{B783A89E-86D7-4233-B590-0C0232E081AF}"/>
    <cellStyle name="Normal 4 9 3 4 4" xfId="24448" xr:uid="{ECE1713B-6C36-4DD6-816C-09DF059B87B7}"/>
    <cellStyle name="Normal 4 9 3 4 5" xfId="16523" xr:uid="{D0E91311-55B1-4F1E-B6D0-1D0E1521AF8F}"/>
    <cellStyle name="Normal 4 9 3 5" xfId="5346" xr:uid="{B95C7F4B-9A71-4AEC-BF82-3710F3D2C35B}"/>
    <cellStyle name="Normal 4 9 3 5 2" xfId="26033" xr:uid="{D5C88AE1-B3BD-4C8F-BA05-C1B0AB621E4B}"/>
    <cellStyle name="Normal 4 9 3 5 3" xfId="14644" xr:uid="{946793D5-930B-438A-BA01-92F106EAA79C}"/>
    <cellStyle name="Normal 4 9 3 6" xfId="7097" xr:uid="{45A6AE62-1A27-4679-9355-C7565243CC36}"/>
    <cellStyle name="Normal 4 9 3 6 2" xfId="17477" xr:uid="{5E875325-DDEF-43E5-88B0-36663A002E3A}"/>
    <cellStyle name="Normal 4 9 3 7" xfId="9930" xr:uid="{438C59F0-280F-4A01-B1FA-B98BB434E128}"/>
    <cellStyle name="Normal 4 9 3 7 2" xfId="20310" xr:uid="{9760F551-7F49-4B66-9392-BC4ED1C07275}"/>
    <cellStyle name="Normal 4 9 3 8" xfId="24810" xr:uid="{06BCB86A-1997-4F11-B114-820C012B0138}"/>
    <cellStyle name="Normal 4 9 3 9" xfId="12770" xr:uid="{4234F2F0-DD76-48C3-858A-37108DC7FF33}"/>
    <cellStyle name="Normal 4 9 4" xfId="1044" xr:uid="{00000000-0005-0000-0000-0000C6050000}"/>
    <cellStyle name="Normal 4 9 4 2" xfId="4556" xr:uid="{B60F7FE0-303D-4809-9FF9-BA03D1C69B44}"/>
    <cellStyle name="Normal 4 9 4 2 2" xfId="9328" xr:uid="{D898483C-C1B9-4E7F-8610-5E7B7DD99729}"/>
    <cellStyle name="Normal 4 9 4 2 2 2" xfId="29303" xr:uid="{411B5B70-8F18-4E55-B496-BE944566B165}"/>
    <cellStyle name="Normal 4 9 4 2 2 3" xfId="19708" xr:uid="{091F6D37-CB88-4DE7-8317-5909FD2E580A}"/>
    <cellStyle name="Normal 4 9 4 2 3" xfId="12161" xr:uid="{BB3FE38A-1F1B-4F3D-B629-ADA754C185CC}"/>
    <cellStyle name="Normal 4 9 4 2 3 2" xfId="22541" xr:uid="{5FFEF487-F08A-48EB-A592-4927EE828390}"/>
    <cellStyle name="Normal 4 9 4 2 4" xfId="24397" xr:uid="{BAB0A28D-4E99-4B0E-BBA3-3FA6958A4ED7}"/>
    <cellStyle name="Normal 4 9 4 2 5" xfId="16875" xr:uid="{15504F81-1EA2-4C0E-B012-16BAE8A59B70}"/>
    <cellStyle name="Normal 4 9 4 3" xfId="5347" xr:uid="{0E040CF3-0042-422A-BA5E-6AAA80545842}"/>
    <cellStyle name="Normal 4 9 4 3 2" xfId="26420" xr:uid="{9737F622-9F4D-4215-9D5E-4603C76300E2}"/>
    <cellStyle name="Normal 4 9 4 3 3" xfId="14645" xr:uid="{1605F229-F8A2-4434-9B75-426B7260F6B9}"/>
    <cellStyle name="Normal 4 9 4 4" xfId="7098" xr:uid="{154A79A8-E326-4846-BD3C-FCF566EEFF09}"/>
    <cellStyle name="Normal 4 9 4 4 2" xfId="17478" xr:uid="{48CE7B65-0A47-49AA-A0FB-D19A0D3D9D98}"/>
    <cellStyle name="Normal 4 9 4 5" xfId="9931" xr:uid="{E883B33E-6308-4FF6-9680-F215C520DFC2}"/>
    <cellStyle name="Normal 4 9 4 5 2" xfId="20311" xr:uid="{5F0F5074-2CF6-416D-BFD7-6299FC13A09D}"/>
    <cellStyle name="Normal 4 9 4 6" xfId="25406" xr:uid="{BA7D3C25-E40B-4434-A1BB-73C9F27BBACC}"/>
    <cellStyle name="Normal 4 9 4 7" xfId="13966" xr:uid="{CE3262C7-FE81-4080-A643-90F204935236}"/>
    <cellStyle name="Normal 4 9 5" xfId="2947" xr:uid="{00000000-0005-0000-0000-0000C4060000}"/>
    <cellStyle name="Normal 4 9 5 2" xfId="6127" xr:uid="{8FE178C2-CBA3-433F-A7C2-84FC619F5B81}"/>
    <cellStyle name="Normal 4 9 5 2 2" xfId="24057" xr:uid="{4E4E5A2D-359D-46B2-A19E-DBF03D5EF5F9}"/>
    <cellStyle name="Normal 4 9 5 2 3" xfId="27544" xr:uid="{C39916A2-C003-4C43-9C9A-9AC63521D991}"/>
    <cellStyle name="Normal 4 9 5 2 4" xfId="15605" xr:uid="{4543F762-D666-4FA6-ABE4-C9631A5B5E34}"/>
    <cellStyle name="Normal 4 9 5 3" xfId="8058" xr:uid="{DE5353BF-C4EC-4276-9C20-3C9D1B71ABCA}"/>
    <cellStyle name="Normal 4 9 5 3 2" xfId="28760" xr:uid="{BC05135D-49F9-4C43-8779-B049198642E6}"/>
    <cellStyle name="Normal 4 9 5 3 3" xfId="18438" xr:uid="{AD4191F7-A8FF-4446-ABBC-0AF88631DCE5}"/>
    <cellStyle name="Normal 4 9 5 4" xfId="10891" xr:uid="{FA8A25CE-B31C-43F8-A59B-36EA28645A33}"/>
    <cellStyle name="Normal 4 9 5 4 2" xfId="21271" xr:uid="{4927AD9C-0BD5-4299-BC43-309E2FA370C1}"/>
    <cellStyle name="Normal 4 9 5 5" xfId="23972" xr:uid="{34073EE8-2408-4029-BCA1-F24C370C643F}"/>
    <cellStyle name="Normal 4 9 5 6" xfId="13468" xr:uid="{AC7DC948-1164-4B8F-BA4C-16C1F6D5BBCA}"/>
    <cellStyle name="Normal 4 9 6" xfId="2506" xr:uid="{00000000-0005-0000-0000-0000C5060000}"/>
    <cellStyle name="Normal 4 9 6 2" xfId="5786" xr:uid="{C5DB1F4C-84E0-4922-9AF3-EB13B41C9A24}"/>
    <cellStyle name="Normal 4 9 6 2 2" xfId="27873" xr:uid="{87BC2480-2AB3-4E58-946B-68C1A6688A73}"/>
    <cellStyle name="Normal 4 9 6 2 3" xfId="15178" xr:uid="{6429479B-48DE-4743-A1AE-AE3E25563ABC}"/>
    <cellStyle name="Normal 4 9 6 3" xfId="7631" xr:uid="{DC26186C-24BB-4851-B8BA-E951777B6486}"/>
    <cellStyle name="Normal 4 9 6 3 2" xfId="18011" xr:uid="{8D143DA6-04AA-4573-A04D-157B4DFCECA0}"/>
    <cellStyle name="Normal 4 9 6 4" xfId="10464" xr:uid="{6E09233B-E859-4C16-B2F7-186BEBD86034}"/>
    <cellStyle name="Normal 4 9 6 4 2" xfId="20844" xr:uid="{B2EBD67C-2D94-4BBC-9EC9-755791AC361C}"/>
    <cellStyle name="Normal 4 9 6 5" xfId="23171" xr:uid="{F03EBC55-AE1F-42DF-AB33-8551F9067632}"/>
    <cellStyle name="Normal 4 9 6 6" xfId="12894" xr:uid="{3021E087-4766-4419-B53E-DFF3977350AA}"/>
    <cellStyle name="Normal 4 9 7" xfId="2262" xr:uid="{00000000-0005-0000-0000-0000B9060000}"/>
    <cellStyle name="Normal 4 9 7 2" xfId="7389" xr:uid="{32C9A824-0488-4806-8D99-CFC51AABAF81}"/>
    <cellStyle name="Normal 4 9 7 2 2" xfId="17769" xr:uid="{DA96CD8A-5157-4F8F-9A9C-59010E38E781}"/>
    <cellStyle name="Normal 4 9 7 3" xfId="10222" xr:uid="{DC37B7A9-8333-428A-AFF8-B24F26B0F802}"/>
    <cellStyle name="Normal 4 9 7 3 2" xfId="20602" xr:uid="{09BA70BB-9E2F-4C92-BDE6-A2D55D353E26}"/>
    <cellStyle name="Normal 4 9 7 4" xfId="24845" xr:uid="{4CB515D3-9236-4373-A92A-18A2F5F6E62F}"/>
    <cellStyle name="Normal 4 9 7 5" xfId="14936" xr:uid="{A33D728C-722B-4236-A9CF-7BF81F686EC4}"/>
    <cellStyle name="Normal 4 9 8" xfId="3999" xr:uid="{FB00525F-F625-4EBD-91ED-9DCBAED536F6}"/>
    <cellStyle name="Normal 4 9 8 2" xfId="8823" xr:uid="{18EB733E-EE76-4921-A96E-C69C33C3D8B9}"/>
    <cellStyle name="Normal 4 9 8 2 2" xfId="19203" xr:uid="{30B088D8-493E-4B50-8AE3-E18AEF7C462B}"/>
    <cellStyle name="Normal 4 9 8 3" xfId="11656" xr:uid="{85D8D720-9657-4EE8-BBCD-0244CF3EF351}"/>
    <cellStyle name="Normal 4 9 8 3 2" xfId="22036" xr:uid="{0A524794-595E-421E-98C3-5BD4E863566A}"/>
    <cellStyle name="Normal 4 9 8 4" xfId="16370" xr:uid="{C46AB949-0015-4839-8683-C34DB6ABA655}"/>
    <cellStyle name="Normal 4 9 9" xfId="5343" xr:uid="{9F32A828-194D-41BB-86AC-BC1E9E4BD583}"/>
    <cellStyle name="Normal 4 9 9 2" xfId="14641" xr:uid="{48C8B0A3-4F68-493C-9981-7A51C895F469}"/>
    <cellStyle name="Normal 5" xfId="1045" xr:uid="{00000000-0005-0000-0000-0000C7050000}"/>
    <cellStyle name="Normal 5 2" xfId="1046" xr:uid="{00000000-0005-0000-0000-0000C8050000}"/>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4" xr:uid="{54CDD460-EA0A-4C9F-A2E9-D83616F70B34}"/>
    <cellStyle name="Normal 5 2 2 3 3 2 3 2 2 3" xfId="22975" xr:uid="{4F628876-254C-42A5-A33A-0B9E9D415554}"/>
    <cellStyle name="Normal 5 2 2 3 3 2 3 2 3" xfId="1057" xr:uid="{00000000-0005-0000-0000-0000D3050000}"/>
    <cellStyle name="Normal 5 2 2 3 3 2 3 2 3 2" xfId="1994" xr:uid="{00000000-0005-0000-0000-0000D4050000}"/>
    <cellStyle name="Normal 5 2 2 3 3 2 3 2 3 3" xfId="3718" xr:uid="{00000000-0005-0000-0000-000040050000}"/>
    <cellStyle name="Normal 5 2 2 3 3 2 3 2 3 3 2" xfId="4692" xr:uid="{51905AF2-C163-47F0-8B1F-2980361FD244}"/>
    <cellStyle name="Normal 5 2 2 3 3 2 3 2 3 3 3" xfId="29732" xr:uid="{5DC729DC-433F-4211-91C5-7FE5B8305F8D}"/>
    <cellStyle name="Normal 5 2 2 3 3 2 3 2 4" xfId="25788" xr:uid="{1D08EFFC-DA7F-41BE-978E-EC07123E36B4}"/>
    <cellStyle name="Normal 5 2 2 3 3 2 3 2 4 2" xfId="29870" xr:uid="{85685842-FEF1-41FC-868C-752BD317DBA6}"/>
    <cellStyle name="Normal 5 2 2 3 3 2 3 3" xfId="1058" xr:uid="{00000000-0005-0000-0000-0000D5050000}"/>
    <cellStyle name="Normal 5 2 2 3 3 2 3 4" xfId="2949" xr:uid="{00000000-0005-0000-0000-0000D2060000}"/>
    <cellStyle name="Normal 5 2 2 3 3 2 3 5" xfId="2102" xr:uid="{00000000-0005-0000-0000-000062020000}"/>
    <cellStyle name="Normal 5 2 2 3 3 2 3 5 2" xfId="4646" xr:uid="{DCF2241D-14ED-485A-9D65-B2AB943923E7}"/>
    <cellStyle name="Normal 5 2 2 3 3 2 3 5 3" xfId="29672" xr:uid="{913A3D3E-7845-4F18-9791-D01B626B631F}"/>
    <cellStyle name="Normal 5 2 2 3 3 2 3 6" xfId="4001" xr:uid="{F1B4F0B9-FD33-4680-A501-B9D0765C51F9}"/>
    <cellStyle name="Normal 5 2 2 3 3 2 3 6 2" xfId="4696" xr:uid="{87C651C8-4B39-4467-81FB-F4E1577DF4A5}"/>
    <cellStyle name="Normal 5 2 2 3 3 2 3 6 3" xfId="29793" xr:uid="{78CC0E8D-9F79-4DC9-A935-6D7434712584}"/>
    <cellStyle name="Normal 5 2 2 3 3 2 4" xfId="1059" xr:uid="{00000000-0005-0000-0000-0000D6050000}"/>
    <cellStyle name="Normal 5 2 2 3 3 2 4 2" xfId="2948" xr:uid="{00000000-0005-0000-0000-0000D3060000}"/>
    <cellStyle name="Normal 5 2 2 3 3 2 4 3" xfId="25593" xr:uid="{5B9280FC-9264-4B15-A200-680DEEC4D82C}"/>
    <cellStyle name="Normal 5 2 2 3 3 2 4 3 2" xfId="29625" xr:uid="{10ECCC93-74F9-4A09-802F-48DA5B303C31}"/>
    <cellStyle name="Normal 5 2 2 3 3 2 4 3 3" xfId="29601" xr:uid="{C8E61550-9BF6-4809-AD63-521FABB334AF}"/>
    <cellStyle name="Normal 5 2 2 3 3 2 4 3 3 2" xfId="29645" xr:uid="{CBBE4A4C-8051-48A5-A221-A862F98BE9FB}"/>
    <cellStyle name="Normal 5 2 2 3 3 2 4 3 4" xfId="29848" xr:uid="{3E563B39-5BEB-4E84-AE94-460D93B6454B}"/>
    <cellStyle name="Normal 5 2 2 3 3 2 5" xfId="2101" xr:uid="{00000000-0005-0000-0000-000060020000}"/>
    <cellStyle name="Normal 5 2 2 3 3 2 5 2" xfId="4665" xr:uid="{456E6ACB-B92B-4E09-90D7-9887AC9A6356}"/>
    <cellStyle name="Normal 5 2 2 3 3 2 5 3" xfId="29671" xr:uid="{6B712646-DD0D-4103-A294-FDA40413F095}"/>
    <cellStyle name="Normal 5 2 2 3 3 2 6" xfId="4000" xr:uid="{A738EDEF-3EA0-4135-885D-6506E619A596}"/>
    <cellStyle name="Normal 5 2 2 3 3 2 6 2" xfId="4815" xr:uid="{54779593-FE24-451B-9985-E9D706451F82}"/>
    <cellStyle name="Normal 5 2 2 3 3 2 6 3" xfId="29792" xr:uid="{19425B5D-C1BD-44EA-BEDD-9A722D445354}"/>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5" xr:uid="{00000000-0005-0000-0000-0000DC050000}"/>
    <cellStyle name="Normal 5 2 2 3 3 4 2 2 2 3" xfId="3719" xr:uid="{00000000-0005-0000-0000-000047050000}"/>
    <cellStyle name="Normal 5 2 2 3 3 4 2 2 2 3 2" xfId="4816" xr:uid="{A9DAC7E2-553D-4565-B80F-940B97A51BE8}"/>
    <cellStyle name="Normal 5 2 2 3 3 4 2 2 2 3 3" xfId="29733" xr:uid="{3458E1AF-5ACA-4BE6-91AC-64AD6E6C3DA2}"/>
    <cellStyle name="Normal 5 2 2 3 3 4 2 2 2 4" xfId="25783" xr:uid="{36E75808-49D3-4D14-9DA6-61DB80D655FD}"/>
    <cellStyle name="Normal 5 2 2 3 3 4 2 2 3" xfId="1996" xr:uid="{00000000-0005-0000-0000-0000DD050000}"/>
    <cellStyle name="Normal 5 2 2 3 3 4 2 2 4" xfId="23414" xr:uid="{BA854DC5-60A5-4E12-82F7-BBD7FC263D3A}"/>
    <cellStyle name="Normal 5 2 2 3 3 4 2 2 4 2" xfId="29871" xr:uid="{EEA0D6E0-0E04-46DE-AD84-DFE839149630}"/>
    <cellStyle name="Normal 5 2 2 3 3 4 2 3" xfId="1065" xr:uid="{00000000-0005-0000-0000-0000DE050000}"/>
    <cellStyle name="Normal 5 2 2 3 3 4 2 3 2" xfId="1066" xr:uid="{00000000-0005-0000-0000-0000DF050000}"/>
    <cellStyle name="Normal 5 2 2 3 3 4 2 3 2 2" xfId="25815" xr:uid="{0AE676AB-4C86-4CA3-9C45-55D8413D79AD}"/>
    <cellStyle name="Normal 5 2 2 3 3 4 2 3 2 3" xfId="23197" xr:uid="{A05CFCBC-1C32-439E-B3B0-8BBB5EA27847}"/>
    <cellStyle name="Normal 5 2 2 3 3 4 2 3 2 3 2" xfId="29897" xr:uid="{D96FE411-F4B5-4AB3-AC00-2BFD0C0708CC}"/>
    <cellStyle name="Normal 5 2 2 3 3 4 2 3 3" xfId="1067" xr:uid="{00000000-0005-0000-0000-0000E0050000}"/>
    <cellStyle name="Normal 5 2 2 3 3 4 2 3 3 2" xfId="24262" xr:uid="{4E635149-A9CA-4E61-A008-49F6F6E6E5A8}"/>
    <cellStyle name="Normal 5 2 2 3 3 4 2 3 3 3" xfId="24683" xr:uid="{F7A47AF9-6E5B-4813-8096-B603E3BB974D}"/>
    <cellStyle name="Normal 5 2 2 3 3 4 2 3 4" xfId="2104" xr:uid="{00000000-0005-0000-0000-000068020000}"/>
    <cellStyle name="Normal 5 2 2 3 3 4 2 3 4 2" xfId="4709" xr:uid="{B07E0505-B8A6-484D-AAA8-0C41974ED4F4}"/>
    <cellStyle name="Normal 5 2 2 3 3 4 2 3 4 3" xfId="29674" xr:uid="{EC2E9C12-929C-4E16-B6D1-5FA66C6FD04E}"/>
    <cellStyle name="Normal 5 2 2 3 3 4 2 3 5" xfId="25793" xr:uid="{BE81E2B3-54B5-44DA-A7B7-DF27FBF44B0E}"/>
    <cellStyle name="Normal 5 2 2 3 3 4 2 4" xfId="24195" xr:uid="{8D3CA287-FEA1-4E49-ADF5-2EF14E33D055}"/>
    <cellStyle name="Normal 5 2 2 3 3 4 3" xfId="1068" xr:uid="{00000000-0005-0000-0000-0000E1050000}"/>
    <cellStyle name="Normal 5 2 2 3 3 4 4" xfId="2950" xr:uid="{00000000-0005-0000-0000-0000DB060000}"/>
    <cellStyle name="Normal 5 2 2 3 3 4 5" xfId="2103" xr:uid="{00000000-0005-0000-0000-000065020000}"/>
    <cellStyle name="Normal 5 2 2 3 3 4 5 2" xfId="3791" xr:uid="{BC5A38D1-BFF3-476A-8A69-EA1EE0617EC6}"/>
    <cellStyle name="Normal 5 2 2 3 3 4 5 3" xfId="29673" xr:uid="{9D6CE011-7909-4BE6-8B7E-485822BEBA15}"/>
    <cellStyle name="Normal 5 2 2 3 3 4 6" xfId="4002" xr:uid="{D8FD9E04-9092-4C4B-A910-C73C5CD42691}"/>
    <cellStyle name="Normal 5 2 2 3 3 4 6 2" xfId="4695" xr:uid="{E279391E-A262-4102-8448-E71B06C35C79}"/>
    <cellStyle name="Normal 5 2 2 3 3 4 6 3" xfId="29794" xr:uid="{8B20AED4-55AC-4E50-B618-3A30CA00DE5F}"/>
    <cellStyle name="Normal 5 2 2 3 3 5" xfId="1069" xr:uid="{00000000-0005-0000-0000-0000E2050000}"/>
    <cellStyle name="Normal 5 2 2 3 3 5 2" xfId="1070" xr:uid="{00000000-0005-0000-0000-0000E3050000}"/>
    <cellStyle name="Normal 5 2 2 3 3 5 3" xfId="3720" xr:uid="{00000000-0005-0000-0000-00004E050000}"/>
    <cellStyle name="Normal 5 2 2 3 3 5 3 2" xfId="4795" xr:uid="{DF0BC7BF-5428-4780-84E3-7F8E288418C8}"/>
    <cellStyle name="Normal 5 2 2 3 3 5 3 2 2" xfId="27327" xr:uid="{F12C00FE-6AFB-4D00-84B2-71822DC2DF6A}"/>
    <cellStyle name="Normal 5 2 2 3 3 5 3 3" xfId="22849" xr:uid="{659AE614-353A-4FE0-9C98-E3D2FE7BC367}"/>
    <cellStyle name="Normal 5 2 2 3 3 5 3 4" xfId="29734" xr:uid="{6D521378-4DBD-4A6F-812A-6A311228D22E}"/>
    <cellStyle name="Normal 5 2 2 3 3 5 4" xfId="25353"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2" xr:uid="{B47C1D1D-4990-4E6D-8D87-F2D0EA821190}"/>
    <cellStyle name="Normal 5 2 2 3 4 3 2 2 3" xfId="25685" xr:uid="{C0596603-1DB0-4B26-9F87-3B5181B6B939}"/>
    <cellStyle name="Normal 5 2 2 3 4 3 2 3" xfId="1076" xr:uid="{00000000-0005-0000-0000-0000E9050000}"/>
    <cellStyle name="Normal 5 2 2 3 4 3 2 3 2" xfId="1997" xr:uid="{00000000-0005-0000-0000-0000EA050000}"/>
    <cellStyle name="Normal 5 2 2 3 4 3 2 3 3" xfId="3721" xr:uid="{00000000-0005-0000-0000-000055050000}"/>
    <cellStyle name="Normal 5 2 2 3 4 3 2 3 3 2" xfId="4779" xr:uid="{2AAB0A08-DE9A-4C96-9B2A-1DB1A63BD9DB}"/>
    <cellStyle name="Normal 5 2 2 3 4 3 2 3 3 3" xfId="29735" xr:uid="{E33C5D66-C77C-48BB-95B8-B87D751D9FA6}"/>
    <cellStyle name="Normal 5 2 2 3 4 3 2 4" xfId="25686" xr:uid="{D36B2ED3-0F57-4BA2-8ECD-62BF05B0572F}"/>
    <cellStyle name="Normal 5 2 2 3 4 3 2 4 2" xfId="29872" xr:uid="{67A99916-8FDD-4DE9-91FF-9D8B8B10586C}"/>
    <cellStyle name="Normal 5 2 2 3 4 3 3" xfId="1077" xr:uid="{00000000-0005-0000-0000-0000EB050000}"/>
    <cellStyle name="Normal 5 2 2 3 4 3 4" xfId="2951" xr:uid="{00000000-0005-0000-0000-0000E1060000}"/>
    <cellStyle name="Normal 5 2 2 3 4 3 5" xfId="2106" xr:uid="{00000000-0005-0000-0000-00006C020000}"/>
    <cellStyle name="Normal 5 2 2 3 4 3 5 2" xfId="4053" xr:uid="{49B8B7A8-4856-40A4-A58F-9BFE37881BD3}"/>
    <cellStyle name="Normal 5 2 2 3 4 3 5 3" xfId="29676" xr:uid="{70A2251B-7C91-48E6-9731-555E92F85C1E}"/>
    <cellStyle name="Normal 5 2 2 3 4 3 6" xfId="4004" xr:uid="{2E9BA179-24FF-4822-9D6C-F2734EFD2CB0}"/>
    <cellStyle name="Normal 5 2 2 3 4 3 6 2" xfId="4805" xr:uid="{2387F2B7-3B47-4789-BF4E-B979001A8FAA}"/>
    <cellStyle name="Normal 5 2 2 3 4 3 6 3" xfId="29796" xr:uid="{F99F8A06-5D57-42FA-80F6-E3D2C3A9A94C}"/>
    <cellStyle name="Normal 5 2 2 3 4 4" xfId="1078" xr:uid="{00000000-0005-0000-0000-0000EC050000}"/>
    <cellStyle name="Normal 5 2 2 3 4 4 2" xfId="1998" xr:uid="{00000000-0005-0000-0000-0000ED050000}"/>
    <cellStyle name="Normal 5 2 2 3 4 4 3" xfId="3722" xr:uid="{00000000-0005-0000-0000-000058050000}"/>
    <cellStyle name="Normal 5 2 2 3 4 4 3 2" xfId="4707" xr:uid="{FB999CD8-02A8-4F7C-89CE-DB6631DE48C4}"/>
    <cellStyle name="Normal 5 2 2 3 4 4 3 3" xfId="29736" xr:uid="{4469C4C2-FD01-4F68-908F-ADBE0CD41B4B}"/>
    <cellStyle name="Normal 5 2 2 3 4 5" xfId="2105" xr:uid="{00000000-0005-0000-0000-00006A020000}"/>
    <cellStyle name="Normal 5 2 2 3 4 5 2" xfId="4659" xr:uid="{67E9FDA9-5A2B-445D-B40D-93E8A98A8238}"/>
    <cellStyle name="Normal 5 2 2 3 4 5 3" xfId="29675" xr:uid="{6BCB06A5-A7AA-4B45-9CA8-FE188D4DA4CE}"/>
    <cellStyle name="Normal 5 2 2 3 4 6" xfId="4003" xr:uid="{483D2F10-7048-47B5-8EC8-C27C7ED5C5D2}"/>
    <cellStyle name="Normal 5 2 2 3 4 6 2" xfId="4722" xr:uid="{9099B238-0B4B-4E4D-B266-C731E14F65F2}"/>
    <cellStyle name="Normal 5 2 2 3 4 6 3" xfId="29795" xr:uid="{33B7B52E-50E3-47BA-9287-C0E76C953C14}"/>
    <cellStyle name="Normal 5 2 2 3 5" xfId="2067" xr:uid="{00000000-0005-0000-0000-00005D020000}"/>
    <cellStyle name="Normal 5 2 2 3 5 2" xfId="4745" xr:uid="{D9BCE5B0-F41F-41F6-A6AC-41E5B78235A9}"/>
    <cellStyle name="Normal 5 2 2 3 5 3" xfId="29656" xr:uid="{1C5C0335-D89A-47FF-9577-0F6634939AAF}"/>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6" xr:uid="{B7ABCA13-C252-49DE-8A75-C393116E6978}"/>
    <cellStyle name="Normal 5 2 2 4 3 2 2 3" xfId="25772" xr:uid="{D99DDDD1-ADF3-4C2F-9B0B-0766981E1FE4}"/>
    <cellStyle name="Normal 5 2 2 4 3 2 3" xfId="1084" xr:uid="{00000000-0005-0000-0000-0000F3050000}"/>
    <cellStyle name="Normal 5 2 2 4 3 2 3 2" xfId="1999" xr:uid="{00000000-0005-0000-0000-0000F4050000}"/>
    <cellStyle name="Normal 5 2 2 4 3 2 3 3" xfId="3723" xr:uid="{00000000-0005-0000-0000-00005F050000}"/>
    <cellStyle name="Normal 5 2 2 4 3 2 3 3 2" xfId="4737" xr:uid="{E49EB17C-CF0A-4F32-A8B8-D0C3423F7ADE}"/>
    <cellStyle name="Normal 5 2 2 4 3 2 3 3 3" xfId="29737" xr:uid="{944FA45E-7C2F-4C03-9B20-FF3566F0DFA8}"/>
    <cellStyle name="Normal 5 2 2 4 3 2 4" xfId="24571" xr:uid="{CA10D6C3-1290-4ABF-AABF-26E17988ED1A}"/>
    <cellStyle name="Normal 5 2 2 4 3 2 4 2" xfId="29873" xr:uid="{1DED49BF-13D5-47C6-BF6A-62382660CC95}"/>
    <cellStyle name="Normal 5 2 2 4 3 3" xfId="1085" xr:uid="{00000000-0005-0000-0000-0000F5050000}"/>
    <cellStyle name="Normal 5 2 2 4 3 4" xfId="2952" xr:uid="{00000000-0005-0000-0000-0000E8060000}"/>
    <cellStyle name="Normal 5 2 2 4 3 5" xfId="2108" xr:uid="{00000000-0005-0000-0000-000070020000}"/>
    <cellStyle name="Normal 5 2 2 4 3 5 2" xfId="4630" xr:uid="{CB491582-F2CB-4E36-BE6E-EFC681D7156D}"/>
    <cellStyle name="Normal 5 2 2 4 3 5 3" xfId="29678" xr:uid="{E0A9C789-419A-42D7-8E38-71B6536BF8B7}"/>
    <cellStyle name="Normal 5 2 2 4 3 6" xfId="4006" xr:uid="{D558FD0F-23C1-46DD-B9F0-9F8795729785}"/>
    <cellStyle name="Normal 5 2 2 4 3 6 2" xfId="4714" xr:uid="{B120F520-B966-4AD5-8EBE-409F270073F9}"/>
    <cellStyle name="Normal 5 2 2 4 3 6 3" xfId="29798" xr:uid="{B55ECB90-6774-47C9-87F6-556434B36930}"/>
    <cellStyle name="Normal 5 2 2 4 4" xfId="1086" xr:uid="{00000000-0005-0000-0000-0000F6050000}"/>
    <cellStyle name="Normal 5 2 2 4 4 2" xfId="1087" xr:uid="{00000000-0005-0000-0000-0000F7050000}"/>
    <cellStyle name="Normal 5 2 2 4 4 3" xfId="3724" xr:uid="{00000000-0005-0000-0000-000062050000}"/>
    <cellStyle name="Normal 5 2 2 4 4 3 2" xfId="4742" xr:uid="{85B5A93A-A824-41A3-9870-5FB5020B28AB}"/>
    <cellStyle name="Normal 5 2 2 4 4 3 3" xfId="29738" xr:uid="{C3B9CAC1-135A-4968-A9DC-0EB75CC3736F}"/>
    <cellStyle name="Normal 5 2 2 4 5" xfId="2107" xr:uid="{00000000-0005-0000-0000-00006E020000}"/>
    <cellStyle name="Normal 5 2 2 4 5 2" xfId="4679" xr:uid="{1C1F360D-C6E5-496D-8E0B-7C61EF688A4B}"/>
    <cellStyle name="Normal 5 2 2 4 5 3" xfId="29677" xr:uid="{8F52DE7A-4DB0-4927-AED0-177A382412DA}"/>
    <cellStyle name="Normal 5 2 2 4 6" xfId="4005" xr:uid="{487C8B09-2829-42FC-9B86-25DB3AB10663}"/>
    <cellStyle name="Normal 5 2 2 4 6 2" xfId="4778" xr:uid="{C7B64242-53F0-4D37-B483-14A3329CCC0F}"/>
    <cellStyle name="Normal 5 2 2 4 6 3" xfId="29797" xr:uid="{1056A1B9-94AC-4EB3-A93F-C3A2407A7FEB}"/>
    <cellStyle name="Normal 5 2 2 5" xfId="29602" xr:uid="{51A7D0CB-4AEF-4815-897D-E9DF6C04761B}"/>
    <cellStyle name="Normal 5 2 2 5 2" xfId="29633" xr:uid="{4D46F027-DFAF-43F3-8432-E8ADA4FEF75B}"/>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8" xr:uid="{4777385D-2B03-4739-880A-360C2F6CA172}"/>
    <cellStyle name="Normal 5 2 4 3 2 3 2 2 3" xfId="25592" xr:uid="{4194AEC9-B5D1-4293-B8C5-62D7DE423C61}"/>
    <cellStyle name="Normal 5 2 4 3 2 3 2 3" xfId="1100" xr:uid="{00000000-0005-0000-0000-000004060000}"/>
    <cellStyle name="Normal 5 2 4 3 2 3 2 3 2" xfId="2000" xr:uid="{00000000-0005-0000-0000-000005060000}"/>
    <cellStyle name="Normal 5 2 4 3 2 3 2 3 3" xfId="3725" xr:uid="{00000000-0005-0000-0000-000070050000}"/>
    <cellStyle name="Normal 5 2 4 3 2 3 2 3 3 2" xfId="4754" xr:uid="{FD3276C6-408C-4237-B809-AE73C12F6AE6}"/>
    <cellStyle name="Normal 5 2 4 3 2 3 2 3 3 3" xfId="29739" xr:uid="{782967D1-3FBC-4F3A-ABDB-81D758803CD0}"/>
    <cellStyle name="Normal 5 2 4 3 2 3 2 4" xfId="23146" xr:uid="{70717655-02F4-404C-95BB-4DB5536E3E99}"/>
    <cellStyle name="Normal 5 2 4 3 2 3 2 4 2" xfId="29874" xr:uid="{9C32027F-A6A9-4CC6-9DFB-0415B39B002D}"/>
    <cellStyle name="Normal 5 2 4 3 2 3 3" xfId="1101" xr:uid="{00000000-0005-0000-0000-000006060000}"/>
    <cellStyle name="Normal 5 2 4 3 2 3 4" xfId="2954" xr:uid="{00000000-0005-0000-0000-0000F4060000}"/>
    <cellStyle name="Normal 5 2 4 3 2 3 5" xfId="2110" xr:uid="{00000000-0005-0000-0000-000079020000}"/>
    <cellStyle name="Normal 5 2 4 3 2 3 5 2" xfId="4629" xr:uid="{D9BC3CB2-5DA1-450C-BCAA-C84E226AB1E6}"/>
    <cellStyle name="Normal 5 2 4 3 2 3 5 3" xfId="29680" xr:uid="{3809D0F0-1F76-4B20-AF36-24589A3ED8DE}"/>
    <cellStyle name="Normal 5 2 4 3 2 3 6" xfId="4008" xr:uid="{993A1062-C514-464B-A529-806C1AF30B6A}"/>
    <cellStyle name="Normal 5 2 4 3 2 3 6 2" xfId="4694" xr:uid="{C18C23D0-B407-4C1A-B972-7E83A621B743}"/>
    <cellStyle name="Normal 5 2 4 3 2 3 6 3" xfId="29800" xr:uid="{BCF5BF28-C8A3-4145-A66C-56216678E660}"/>
    <cellStyle name="Normal 5 2 4 3 2 4" xfId="1102" xr:uid="{00000000-0005-0000-0000-000007060000}"/>
    <cellStyle name="Normal 5 2 4 3 2 4 2" xfId="2953" xr:uid="{00000000-0005-0000-0000-0000F5060000}"/>
    <cellStyle name="Normal 5 2 4 3 2 4 3" xfId="24690" xr:uid="{973BBD0D-C702-493A-B63A-7B759697D574}"/>
    <cellStyle name="Normal 5 2 4 3 2 4 3 2" xfId="29622" xr:uid="{75BA985B-775E-4986-B0DE-8AF96A156831}"/>
    <cellStyle name="Normal 5 2 4 3 2 4 3 3" xfId="29603" xr:uid="{406D4EA0-1A70-4389-8944-9FA1A8219A8A}"/>
    <cellStyle name="Normal 5 2 4 3 2 4 3 3 2" xfId="29646" xr:uid="{923DCAA1-B380-4E41-9BA9-6417B9F666E0}"/>
    <cellStyle name="Normal 5 2 4 3 2 4 3 4" xfId="29849" xr:uid="{50C50098-75CD-4B8B-8F25-FE93362D77A3}"/>
    <cellStyle name="Normal 5 2 4 3 2 5" xfId="2109" xr:uid="{00000000-0005-0000-0000-000077020000}"/>
    <cellStyle name="Normal 5 2 4 3 2 5 2" xfId="4634" xr:uid="{CE0C5B6A-2719-4A04-925F-57872C2DEC2B}"/>
    <cellStyle name="Normal 5 2 4 3 2 5 3" xfId="29679" xr:uid="{0948C9A9-F70D-4E8B-8512-1A4FF01BC52A}"/>
    <cellStyle name="Normal 5 2 4 3 2 6" xfId="4007" xr:uid="{21BCC244-DE2D-4E05-B4CA-800C7ACB717D}"/>
    <cellStyle name="Normal 5 2 4 3 2 6 2" xfId="4809" xr:uid="{FE4BE598-DEBE-491E-8102-65FC12E0DC06}"/>
    <cellStyle name="Normal 5 2 4 3 2 6 3" xfId="29799" xr:uid="{653414C6-ECAB-4CDC-A7D9-306C1F174DBA}"/>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1" xr:uid="{00000000-0005-0000-0000-00000D060000}"/>
    <cellStyle name="Normal 5 2 4 3 4 2 2 2 3" xfId="3726" xr:uid="{00000000-0005-0000-0000-000077050000}"/>
    <cellStyle name="Normal 5 2 4 3 4 2 2 2 3 2" xfId="4700" xr:uid="{D86AE0E5-80AB-45CC-BB51-27009840DF19}"/>
    <cellStyle name="Normal 5 2 4 3 4 2 2 2 3 3" xfId="29740" xr:uid="{A62EC001-6DB4-40C0-BE5C-918F57A95A94}"/>
    <cellStyle name="Normal 5 2 4 3 4 2 2 2 4" xfId="25814" xr:uid="{68E33F85-01FB-4372-96FF-2C95551D6F42}"/>
    <cellStyle name="Normal 5 2 4 3 4 2 2 3" xfId="2002" xr:uid="{00000000-0005-0000-0000-00000E060000}"/>
    <cellStyle name="Normal 5 2 4 3 4 2 2 4" xfId="24563" xr:uid="{1ABF2154-0515-420D-BA6C-050AA83C1161}"/>
    <cellStyle name="Normal 5 2 4 3 4 2 2 4 2" xfId="29875" xr:uid="{5164AAEA-B575-40F7-8696-000925F06122}"/>
    <cellStyle name="Normal 5 2 4 3 4 2 3" xfId="1108" xr:uid="{00000000-0005-0000-0000-00000F060000}"/>
    <cellStyle name="Normal 5 2 4 3 4 2 3 2" xfId="1109" xr:uid="{00000000-0005-0000-0000-000010060000}"/>
    <cellStyle name="Normal 5 2 4 3 4 2 3 2 2" xfId="25780" xr:uid="{C55AA561-4A9A-4C64-850D-C3D11D4FEE4B}"/>
    <cellStyle name="Normal 5 2 4 3 4 2 3 2 3" xfId="24693" xr:uid="{A05F800E-9125-4B87-98E6-688A386B1177}"/>
    <cellStyle name="Normal 5 2 4 3 4 2 3 2 3 2" xfId="29898" xr:uid="{403A75E6-D193-458C-957D-3B04F0DA2934}"/>
    <cellStyle name="Normal 5 2 4 3 4 2 3 3" xfId="1110" xr:uid="{00000000-0005-0000-0000-000011060000}"/>
    <cellStyle name="Normal 5 2 4 3 4 2 3 3 2" xfId="25379" xr:uid="{F68CF08F-A168-4264-B126-2A6CE38A1A26}"/>
    <cellStyle name="Normal 5 2 4 3 4 2 3 3 3" xfId="25764" xr:uid="{FAF7D7DA-B154-4388-9D93-722B021D173F}"/>
    <cellStyle name="Normal 5 2 4 3 4 2 3 4" xfId="2112" xr:uid="{00000000-0005-0000-0000-00007F020000}"/>
    <cellStyle name="Normal 5 2 4 3 4 2 3 4 2" xfId="4772" xr:uid="{C01071CA-2E5F-4969-B1C0-9DBB04C21783}"/>
    <cellStyle name="Normal 5 2 4 3 4 2 3 4 3" xfId="29682" xr:uid="{981F7A9B-CB35-4A72-A10C-AED3A7D7F0ED}"/>
    <cellStyle name="Normal 5 2 4 3 4 2 3 5" xfId="25282" xr:uid="{C7B4FAF3-1BA0-45BB-BA6F-44260C736B84}"/>
    <cellStyle name="Normal 5 2 4 3 4 2 4" xfId="23058" xr:uid="{C7716834-6B7F-4C7C-AB0F-D110ACFBAC7A}"/>
    <cellStyle name="Normal 5 2 4 3 4 3" xfId="1111" xr:uid="{00000000-0005-0000-0000-000012060000}"/>
    <cellStyle name="Normal 5 2 4 3 4 4" xfId="2955" xr:uid="{00000000-0005-0000-0000-0000FD060000}"/>
    <cellStyle name="Normal 5 2 4 3 4 5" xfId="2111" xr:uid="{00000000-0005-0000-0000-00007C020000}"/>
    <cellStyle name="Normal 5 2 4 3 4 5 2" xfId="4640" xr:uid="{9499810A-4B41-448D-89FA-46D00AE72935}"/>
    <cellStyle name="Normal 5 2 4 3 4 5 3" xfId="29681" xr:uid="{0E42D207-01DF-4D4C-AE92-93CD19463FDD}"/>
    <cellStyle name="Normal 5 2 4 3 4 6" xfId="4009" xr:uid="{F6561F36-B5FA-449D-8623-6523BDF6513B}"/>
    <cellStyle name="Normal 5 2 4 3 4 6 2" xfId="4822" xr:uid="{2C1739FD-A387-4815-9D44-5238B913A269}"/>
    <cellStyle name="Normal 5 2 4 3 4 6 3" xfId="29801" xr:uid="{319BBBE8-4210-4927-A171-2E7D59A25E2D}"/>
    <cellStyle name="Normal 5 2 4 3 5" xfId="1112" xr:uid="{00000000-0005-0000-0000-000013060000}"/>
    <cellStyle name="Normal 5 2 4 3 5 2" xfId="1113" xr:uid="{00000000-0005-0000-0000-000014060000}"/>
    <cellStyle name="Normal 5 2 4 3 5 3" xfId="3727" xr:uid="{00000000-0005-0000-0000-00007E050000}"/>
    <cellStyle name="Normal 5 2 4 3 5 3 2" xfId="4770" xr:uid="{CC143ED1-937D-4F73-A068-C4CF9C5A1DF7}"/>
    <cellStyle name="Normal 5 2 4 3 5 3 2 2" xfId="27328" xr:uid="{17D2031A-E82D-4478-9366-F21AB81BBD6E}"/>
    <cellStyle name="Normal 5 2 4 3 5 3 3" xfId="25641" xr:uid="{DFF53FD4-FEAE-46B9-BCF3-B4723EA48D7C}"/>
    <cellStyle name="Normal 5 2 4 3 5 3 4" xfId="29741" xr:uid="{8132ACA6-3FF8-4E78-8495-91E221347A6E}"/>
    <cellStyle name="Normal 5 2 4 3 5 4" xfId="24430"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5" xr:uid="{AF438C16-2BAB-4175-8465-C867CB828BCF}"/>
    <cellStyle name="Normal 5 2 4 4 3 2 2 3" xfId="25292" xr:uid="{7DBC5392-EC70-48EA-818B-C50A30347B3B}"/>
    <cellStyle name="Normal 5 2 4 4 3 2 3" xfId="1119" xr:uid="{00000000-0005-0000-0000-00001A060000}"/>
    <cellStyle name="Normal 5 2 4 4 3 2 3 2" xfId="2003" xr:uid="{00000000-0005-0000-0000-00001B060000}"/>
    <cellStyle name="Normal 5 2 4 4 3 2 3 3" xfId="3728" xr:uid="{00000000-0005-0000-0000-000085050000}"/>
    <cellStyle name="Normal 5 2 4 4 3 2 3 3 2" xfId="4720" xr:uid="{F35494D6-FE07-48A7-A0C8-E98B5ABBC110}"/>
    <cellStyle name="Normal 5 2 4 4 3 2 3 3 3" xfId="29742" xr:uid="{47F87ECC-C72A-458C-A096-1EEBFD341979}"/>
    <cellStyle name="Normal 5 2 4 4 3 2 4" xfId="24799" xr:uid="{868BB01E-4989-41C7-8624-51DC12DB0459}"/>
    <cellStyle name="Normal 5 2 4 4 3 2 4 2" xfId="29876" xr:uid="{C5DD3B17-2954-4B3C-9C9D-F1D55FA67DC7}"/>
    <cellStyle name="Normal 5 2 4 4 3 3" xfId="1120" xr:uid="{00000000-0005-0000-0000-00001C060000}"/>
    <cellStyle name="Normal 5 2 4 4 3 4" xfId="2956" xr:uid="{00000000-0005-0000-0000-000003070000}"/>
    <cellStyle name="Normal 5 2 4 4 3 5" xfId="2114" xr:uid="{00000000-0005-0000-0000-000083020000}"/>
    <cellStyle name="Normal 5 2 4 4 3 5 2" xfId="3783" xr:uid="{D037D556-2DF5-490C-8D04-4D0D0B902C7F}"/>
    <cellStyle name="Normal 5 2 4 4 3 5 3" xfId="29684" xr:uid="{22D64AC9-1344-4DBD-8336-2A253997B399}"/>
    <cellStyle name="Normal 5 2 4 4 3 6" xfId="4011" xr:uid="{48584F99-0955-4DD2-8F83-B7B1E99DDE13}"/>
    <cellStyle name="Normal 5 2 4 4 3 6 2" xfId="4710" xr:uid="{05F490C6-261E-4F3C-99BE-89B9730F2236}"/>
    <cellStyle name="Normal 5 2 4 4 3 6 3" xfId="29803" xr:uid="{6FC407F8-6793-4449-81D7-728B859D7A7B}"/>
    <cellStyle name="Normal 5 2 4 4 4" xfId="1121" xr:uid="{00000000-0005-0000-0000-00001D060000}"/>
    <cellStyle name="Normal 5 2 4 4 4 2" xfId="1122" xr:uid="{00000000-0005-0000-0000-00001E060000}"/>
    <cellStyle name="Normal 5 2 4 4 4 3" xfId="3729" xr:uid="{00000000-0005-0000-0000-000088050000}"/>
    <cellStyle name="Normal 5 2 4 4 4 3 2" xfId="4705" xr:uid="{2B3CDEAC-4952-4F4E-97D6-E795D826D395}"/>
    <cellStyle name="Normal 5 2 4 4 4 3 3" xfId="29743" xr:uid="{A98BC516-EC56-4CB8-90D9-7F944AD7354D}"/>
    <cellStyle name="Normal 5 2 4 4 5" xfId="1123" xr:uid="{00000000-0005-0000-0000-00001F060000}"/>
    <cellStyle name="Normal 5 2 4 4 5 2" xfId="4685" xr:uid="{00564EB2-1CAC-4E4B-B4B3-F5A40DFD44F8}"/>
    <cellStyle name="Normal 5 2 4 4 5 2 2" xfId="4826" xr:uid="{83E1FB17-2E9A-4803-B6F4-091CC3A05E18}"/>
    <cellStyle name="Normal 5 2 4 4 5 2 3" xfId="29841" xr:uid="{3FB8863A-D75D-45C0-B335-173C25C171A0}"/>
    <cellStyle name="Normal 5 2 4 4 5 3" xfId="4660" xr:uid="{B6A07F6F-9F13-4228-A8E1-D1C6B6C8E7AD}"/>
    <cellStyle name="Normal 5 2 4 4 5 4" xfId="24642" xr:uid="{11EB602C-CBF5-439D-843C-5A00AA8F3884}"/>
    <cellStyle name="Normal 5 2 4 4 6" xfId="2113" xr:uid="{00000000-0005-0000-0000-000081020000}"/>
    <cellStyle name="Normal 5 2 4 4 6 2" xfId="4697" xr:uid="{FE5B8EF5-9CD7-4287-865B-5A904A0E530B}"/>
    <cellStyle name="Normal 5 2 4 4 6 3" xfId="29683" xr:uid="{AF0A58D8-DBD1-42B7-B22C-50A34A6DE61E}"/>
    <cellStyle name="Normal 5 2 4 4 7" xfId="4010" xr:uid="{AD80C160-AEC5-4928-B410-574B477C1DBC}"/>
    <cellStyle name="Normal 5 2 4 4 7 2" xfId="4787" xr:uid="{F6E3D3A6-20C3-4DDD-A8D0-C82F8B32B771}"/>
    <cellStyle name="Normal 5 2 4 4 7 3" xfId="29802" xr:uid="{2D7098C5-2E5D-40D7-9D17-D690E076F21C}"/>
    <cellStyle name="Normal 5 2 4 5" xfId="1124" xr:uid="{00000000-0005-0000-0000-000020060000}"/>
    <cellStyle name="Normal 5 2 4 5 2" xfId="1125" xr:uid="{00000000-0005-0000-0000-000021060000}"/>
    <cellStyle name="Normal 5 2 4 5 3" xfId="3730" xr:uid="{00000000-0005-0000-0000-00008A050000}"/>
    <cellStyle name="Normal 5 2 4 5 3 2" xfId="4794" xr:uid="{D64666DE-161D-45A7-8501-FCDF6FF74294}"/>
    <cellStyle name="Normal 5 2 4 5 3 3" xfId="29744" xr:uid="{070FFF5B-8C83-4489-8331-DBC516C8D604}"/>
    <cellStyle name="Normal 5 2 4 6" xfId="2068" xr:uid="{00000000-0005-0000-0000-000074020000}"/>
    <cellStyle name="Normal 5 2 4 6 2" xfId="4761" xr:uid="{35A1BC4F-2451-4737-BD49-D3AC91FFB2BF}"/>
    <cellStyle name="Normal 5 2 4 6 3" xfId="29657" xr:uid="{459CCB39-B4A6-4FC3-9C28-370DB9CC0CA4}"/>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81" xr:uid="{C484C0D9-74CC-4C6B-88A9-79BE48F69CF0}"/>
    <cellStyle name="Normal 5 2 6 3 2 2 3" xfId="23164" xr:uid="{577E5655-507A-4621-891F-DE0F7D1E369D}"/>
    <cellStyle name="Normal 5 2 6 3 2 3" xfId="1132" xr:uid="{00000000-0005-0000-0000-000028060000}"/>
    <cellStyle name="Normal 5 2 6 3 2 3 2" xfId="2004" xr:uid="{00000000-0005-0000-0000-000029060000}"/>
    <cellStyle name="Normal 5 2 6 3 2 3 3" xfId="3731" xr:uid="{00000000-0005-0000-0000-000092050000}"/>
    <cellStyle name="Normal 5 2 6 3 2 3 3 2" xfId="4712" xr:uid="{7604220B-D70E-4A63-A63C-24114FAE80C9}"/>
    <cellStyle name="Normal 5 2 6 3 2 3 3 3" xfId="29745" xr:uid="{AD278218-8B38-4A98-BA60-F88BB37709F1}"/>
    <cellStyle name="Normal 5 2 6 3 2 4" xfId="23097" xr:uid="{84EBBAC2-5BAF-4007-9F20-78E3A440C6FD}"/>
    <cellStyle name="Normal 5 2 6 3 2 4 2" xfId="29877" xr:uid="{DAEA15D5-FB14-4EF7-8375-B6619273C96B}"/>
    <cellStyle name="Normal 5 2 6 3 3" xfId="1133" xr:uid="{00000000-0005-0000-0000-00002A060000}"/>
    <cellStyle name="Normal 5 2 6 3 4" xfId="2958" xr:uid="{00000000-0005-0000-0000-00000B070000}"/>
    <cellStyle name="Normal 5 2 6 3 5" xfId="2116" xr:uid="{00000000-0005-0000-0000-000088020000}"/>
    <cellStyle name="Normal 5 2 6 3 5 2" xfId="4643" xr:uid="{55F936E5-2268-4048-890B-2E7F45921A47}"/>
    <cellStyle name="Normal 5 2 6 3 5 3" xfId="29686" xr:uid="{9A28DC31-08E9-457D-98D9-6BD7CD985389}"/>
    <cellStyle name="Normal 5 2 6 3 6" xfId="4013" xr:uid="{28ED6A24-2FD5-4CA1-A14B-0556FD75683B}"/>
    <cellStyle name="Normal 5 2 6 3 6 2" xfId="4702" xr:uid="{B1BE088F-0CAA-4678-941E-5E508D832414}"/>
    <cellStyle name="Normal 5 2 6 3 6 3" xfId="29805" xr:uid="{AC3EA1EA-D7C4-4375-A3DA-649A30AAAEE1}"/>
    <cellStyle name="Normal 5 2 6 4" xfId="2957" xr:uid="{00000000-0005-0000-0000-00000C070000}"/>
    <cellStyle name="Normal 5 2 6 4 2" xfId="24398" xr:uid="{2449F7EF-3427-4B32-B170-EFC2A75FD0B4}"/>
    <cellStyle name="Normal 5 2 6 4 2 2" xfId="29620" xr:uid="{6BBA2B63-2EFB-461D-82A5-559378679EC0}"/>
    <cellStyle name="Normal 5 2 6 4 2 3" xfId="29604" xr:uid="{134584C4-53AD-45C7-B411-6D77BBDF85B0}"/>
    <cellStyle name="Normal 5 2 6 4 2 3 2" xfId="29647" xr:uid="{461ECB6C-10C9-41E7-B594-2C35C2ABB073}"/>
    <cellStyle name="Normal 5 2 6 4 3" xfId="25736" xr:uid="{4B868893-5D9C-42B3-BD3C-3EDE8A95AE5E}"/>
    <cellStyle name="Normal 5 2 6 5" xfId="2115" xr:uid="{00000000-0005-0000-0000-000086020000}"/>
    <cellStyle name="Normal 5 2 6 5 2" xfId="3961" xr:uid="{FFE7DF02-3E33-41D1-A9B4-B30866C5927C}"/>
    <cellStyle name="Normal 5 2 6 5 3" xfId="29685" xr:uid="{1749327F-2393-4265-A380-00E6A5DA4197}"/>
    <cellStyle name="Normal 5 2 6 6" xfId="4012" xr:uid="{C0B50273-D7A8-4911-83A8-B33EA77B3B8D}"/>
    <cellStyle name="Normal 5 2 6 6 2" xfId="4768" xr:uid="{B2AFAC66-1BE6-4CD0-9FFF-950CE52A8934}"/>
    <cellStyle name="Normal 5 2 6 6 3" xfId="29804" xr:uid="{EEE7BA3C-4E99-4252-BAC9-7769E71D0E19}"/>
    <cellStyle name="Normal 5 2 7" xfId="1134" xr:uid="{00000000-0005-0000-0000-00002B060000}"/>
    <cellStyle name="Normal 5 2 7 2" xfId="1135" xr:uid="{00000000-0005-0000-0000-00002C060000}"/>
    <cellStyle name="Normal 5 2 7 3" xfId="1136" xr:uid="{00000000-0005-0000-0000-00002D060000}"/>
    <cellStyle name="Normal 5 2 7 4" xfId="3732" xr:uid="{00000000-0005-0000-0000-000095050000}"/>
    <cellStyle name="Normal 5 2 7 4 2" xfId="4773" xr:uid="{5E06A59F-611A-44B3-A971-E98276EE6A1C}"/>
    <cellStyle name="Normal 5 2 7 4 3" xfId="29746" xr:uid="{D07CFD1B-2750-4A6D-9EFC-8F2CF3D4C3A2}"/>
    <cellStyle name="Normal 5 2 7 5" xfId="29605" xr:uid="{0A6BA937-6FA9-46C5-B401-7A4E2A3B41BE}"/>
    <cellStyle name="Normal 5 2 7 5 2" xfId="29636" xr:uid="{35914BEE-4FA7-4AE4-8E19-11A63582B5DB}"/>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9" xr:uid="{7AABC8CD-E7F8-4AD3-82FF-7CFED1DB242B}"/>
    <cellStyle name="Normal 5 3 3 2 3 2 2 3" xfId="23202" xr:uid="{D84663E2-9630-4E63-AD15-6FC3E0D20873}"/>
    <cellStyle name="Normal 5 3 3 2 3 2 3" xfId="1145" xr:uid="{00000000-0005-0000-0000-000036060000}"/>
    <cellStyle name="Normal 5 3 3 2 3 2 3 2" xfId="2005" xr:uid="{00000000-0005-0000-0000-000037060000}"/>
    <cellStyle name="Normal 5 3 3 2 3 2 3 3" xfId="3733" xr:uid="{00000000-0005-0000-0000-00009F050000}"/>
    <cellStyle name="Normal 5 3 3 2 3 2 3 3 2" xfId="4801" xr:uid="{3B592359-610D-414E-8647-51F1C23BDEBE}"/>
    <cellStyle name="Normal 5 3 3 2 3 2 3 3 3" xfId="29747" xr:uid="{A0D69973-052F-4541-B323-DCE4C972AEAF}"/>
    <cellStyle name="Normal 5 3 3 2 3 2 4" xfId="25763" xr:uid="{228DCD5C-5DC3-4868-97DD-445981D2F756}"/>
    <cellStyle name="Normal 5 3 3 2 3 2 4 2" xfId="29878" xr:uid="{CEE08021-ACA1-4CA1-B4AF-C35ED1FCAE94}"/>
    <cellStyle name="Normal 5 3 3 2 3 3" xfId="1146" xr:uid="{00000000-0005-0000-0000-000038060000}"/>
    <cellStyle name="Normal 5 3 3 2 3 4" xfId="2959" xr:uid="{00000000-0005-0000-0000-000015070000}"/>
    <cellStyle name="Normal 5 3 3 2 3 5" xfId="2118" xr:uid="{00000000-0005-0000-0000-00008F020000}"/>
    <cellStyle name="Normal 5 3 3 2 3 5 2" xfId="4667" xr:uid="{9506A050-893F-44B9-8047-501E583497C1}"/>
    <cellStyle name="Normal 5 3 3 2 3 5 3" xfId="29688" xr:uid="{22865CCE-2044-4534-ACEA-3B90BD761BEA}"/>
    <cellStyle name="Normal 5 3 3 2 3 6" xfId="4015" xr:uid="{31A0DB43-85D3-4869-AD70-E01D62E64B6B}"/>
    <cellStyle name="Normal 5 3 3 2 3 6 2" xfId="4746" xr:uid="{6436B6BC-B08C-4B15-8C97-B396796FEFE9}"/>
    <cellStyle name="Normal 5 3 3 2 3 6 3" xfId="29807" xr:uid="{332A7133-1D17-4064-8D14-A59C5F634F5B}"/>
    <cellStyle name="Normal 5 3 3 2 4" xfId="1147" xr:uid="{00000000-0005-0000-0000-000039060000}"/>
    <cellStyle name="Normal 5 3 3 2 4 2" xfId="1148" xr:uid="{00000000-0005-0000-0000-00003A060000}"/>
    <cellStyle name="Normal 5 3 3 2 4 3" xfId="1149" xr:uid="{00000000-0005-0000-0000-00003B060000}"/>
    <cellStyle name="Normal 5 3 3 2 4 4" xfId="3734" xr:uid="{00000000-0005-0000-0000-0000A2050000}"/>
    <cellStyle name="Normal 5 3 3 2 4 4 2" xfId="4825" xr:uid="{D70A007E-549D-49FA-BB0C-2AAD55339FA5}"/>
    <cellStyle name="Normal 5 3 3 2 4 4 3" xfId="29748" xr:uid="{82D96F3B-F01B-4D29-BEAF-0D19340ADF7E}"/>
    <cellStyle name="Normal 5 3 3 2 5" xfId="2117" xr:uid="{00000000-0005-0000-0000-00008D020000}"/>
    <cellStyle name="Normal 5 3 3 2 5 2" xfId="4642" xr:uid="{6378A6EC-FE82-4A4D-B72E-F6F245354E18}"/>
    <cellStyle name="Normal 5 3 3 2 5 3" xfId="29687" xr:uid="{9C323B39-3CEF-4F79-89EB-9FD2A2547CAF}"/>
    <cellStyle name="Normal 5 3 3 2 6" xfId="4014" xr:uid="{336F4594-40A6-452F-A442-AD096348AEFF}"/>
    <cellStyle name="Normal 5 3 3 2 6 2" xfId="4753" xr:uid="{9079EEE4-247F-4C6E-9514-EE91EF9D4BBA}"/>
    <cellStyle name="Normal 5 3 3 2 6 3" xfId="29806" xr:uid="{FB6534F0-F471-4ED9-BB08-493EDE2BF294}"/>
    <cellStyle name="Normal 5 3 3 3" xfId="1150" xr:uid="{00000000-0005-0000-0000-00003C060000}"/>
    <cellStyle name="Normal 5 3 3 3 2" xfId="1151" xr:uid="{00000000-0005-0000-0000-00003D060000}"/>
    <cellStyle name="Normal 5 3 3 3 3" xfId="3735" xr:uid="{00000000-0005-0000-0000-0000A4050000}"/>
    <cellStyle name="Normal 5 3 3 3 3 2" xfId="4719" xr:uid="{8F567422-14B6-49FC-9961-886E57C38FD3}"/>
    <cellStyle name="Normal 5 3 3 3 3 3" xfId="29749" xr:uid="{CD3D0D69-E26A-4869-9300-7EEE8A937EF0}"/>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6" xr:uid="{00000000-0005-0000-0000-000042060000}"/>
    <cellStyle name="Normal 5 3 3 4 2 2 2 3" xfId="3736" xr:uid="{00000000-0005-0000-0000-0000A9050000}"/>
    <cellStyle name="Normal 5 3 3 4 2 2 2 3 2" xfId="4718" xr:uid="{445C2ED0-AA7A-4C15-99E2-A6CE07F7E750}"/>
    <cellStyle name="Normal 5 3 3 4 2 2 2 3 3" xfId="29750" xr:uid="{7BC6B204-C011-4793-AB70-936B23CC3C6F}"/>
    <cellStyle name="Normal 5 3 3 4 2 2 2 4" xfId="24307" xr:uid="{B84CB32D-E550-4F7F-8234-69C0A8DFB328}"/>
    <cellStyle name="Normal 5 3 3 4 2 2 3" xfId="2007" xr:uid="{00000000-0005-0000-0000-000043060000}"/>
    <cellStyle name="Normal 5 3 3 4 2 2 4" xfId="25457" xr:uid="{8817E783-FA64-4F82-BECB-0B2150089D6E}"/>
    <cellStyle name="Normal 5 3 3 4 2 2 4 2" xfId="29879" xr:uid="{1F3348F8-4794-444E-B4FF-4FB4E7FA9C10}"/>
    <cellStyle name="Normal 5 3 3 4 2 3" xfId="1156" xr:uid="{00000000-0005-0000-0000-000044060000}"/>
    <cellStyle name="Normal 5 3 3 4 2 3 2" xfId="1157" xr:uid="{00000000-0005-0000-0000-000045060000}"/>
    <cellStyle name="Normal 5 3 3 4 2 3 2 2" xfId="23075" xr:uid="{734DB718-C965-4982-84A7-9AB74327D0C2}"/>
    <cellStyle name="Normal 5 3 3 4 2 3 2 3" xfId="23239" xr:uid="{B7DA6B19-166C-4C18-AA12-FA39D1A5F057}"/>
    <cellStyle name="Normal 5 3 3 4 2 3 2 3 2" xfId="29899" xr:uid="{2DCFB194-96C6-4DC2-BE88-045E364752F5}"/>
    <cellStyle name="Normal 5 3 3 4 2 3 3" xfId="1158" xr:uid="{00000000-0005-0000-0000-000046060000}"/>
    <cellStyle name="Normal 5 3 3 4 2 3 3 2" xfId="25739" xr:uid="{F10BEF07-3DB5-4991-93CD-1FB98106BECB}"/>
    <cellStyle name="Normal 5 3 3 4 2 3 3 3" xfId="25090" xr:uid="{F1AF3DEA-DD47-4D7C-AA76-F553B9892BA2}"/>
    <cellStyle name="Normal 5 3 3 4 2 3 4" xfId="2120" xr:uid="{00000000-0005-0000-0000-000095020000}"/>
    <cellStyle name="Normal 5 3 3 4 2 3 4 2" xfId="4717" xr:uid="{9B130290-3EDE-4BC8-974D-86A484E65339}"/>
    <cellStyle name="Normal 5 3 3 4 2 3 4 3" xfId="29690" xr:uid="{AD73057A-809A-4AB2-A0C1-83D87A65869E}"/>
    <cellStyle name="Normal 5 3 3 4 2 3 5" xfId="24944" xr:uid="{9F045087-C642-46A8-91FD-AAF692F573EC}"/>
    <cellStyle name="Normal 5 3 3 4 2 4" xfId="24108" xr:uid="{948204CC-FE7E-44DB-B145-20BC57C9DDCF}"/>
    <cellStyle name="Normal 5 3 3 4 3" xfId="1159" xr:uid="{00000000-0005-0000-0000-000047060000}"/>
    <cellStyle name="Normal 5 3 3 4 4" xfId="2960" xr:uid="{00000000-0005-0000-0000-00001E070000}"/>
    <cellStyle name="Normal 5 3 3 4 5" xfId="2119" xr:uid="{00000000-0005-0000-0000-000092020000}"/>
    <cellStyle name="Normal 5 3 3 4 5 2" xfId="4670" xr:uid="{C1D65F0E-85F0-4012-A373-B75FD3E1BAA3}"/>
    <cellStyle name="Normal 5 3 3 4 5 3" xfId="29689" xr:uid="{97B3FC37-4A51-4635-8DFE-55E46BDED507}"/>
    <cellStyle name="Normal 5 3 3 4 6" xfId="4016" xr:uid="{D2756F3F-6B90-4F0D-A058-F63FBCF3FF7E}"/>
    <cellStyle name="Normal 5 3 3 4 6 2" xfId="4783" xr:uid="{6E3C98E3-D3AA-4BD6-A38C-7B56FF88A673}"/>
    <cellStyle name="Normal 5 3 3 4 6 3" xfId="29808" xr:uid="{B1383A87-CBCA-4B10-B087-9B266FAEEE29}"/>
    <cellStyle name="Normal 5 3 3 5" xfId="1160" xr:uid="{00000000-0005-0000-0000-000048060000}"/>
    <cellStyle name="Normal 5 3 3 5 2" xfId="1161" xr:uid="{00000000-0005-0000-0000-000049060000}"/>
    <cellStyle name="Normal 5 3 3 5 3" xfId="3737" xr:uid="{00000000-0005-0000-0000-0000B0050000}"/>
    <cellStyle name="Normal 5 3 3 5 3 2" xfId="4808" xr:uid="{13429663-B3E8-4F7D-8BB0-5D8781B62C1D}"/>
    <cellStyle name="Normal 5 3 3 5 3 2 2" xfId="27329" xr:uid="{D1D742DB-1D3F-4ADA-891E-043A0C8CE4C5}"/>
    <cellStyle name="Normal 5 3 3 5 3 3" xfId="25684" xr:uid="{AE73F470-D748-4439-B078-FE8783C376B5}"/>
    <cellStyle name="Normal 5 3 3 5 3 4" xfId="29751" xr:uid="{3101A54C-3F7E-4074-8EEC-0D4A0953BB04}"/>
    <cellStyle name="Normal 5 3 3 5 4" xfId="25356" xr:uid="{F5A8C535-4FB1-4A24-9D3B-16620EFF46D1}"/>
    <cellStyle name="Normal 5 3 3 6" xfId="1162" xr:uid="{00000000-0005-0000-0000-00004A060000}"/>
    <cellStyle name="Normal 5 3 3 6 2" xfId="2008" xr:uid="{00000000-0005-0000-0000-00004B060000}"/>
    <cellStyle name="Normal 5 3 3 6 3" xfId="3738" xr:uid="{00000000-0005-0000-0000-0000B2050000}"/>
    <cellStyle name="Normal 5 3 3 6 3 2" xfId="4733" xr:uid="{F69489D8-2553-48CA-8E76-55D2E5877230}"/>
    <cellStyle name="Normal 5 3 3 6 3 3" xfId="29752" xr:uid="{2A23FBF1-6DD8-469A-9DC7-64B977D06D9E}"/>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3" xr:uid="{84C347B8-748F-45AB-A28A-FBC4824CE893}"/>
    <cellStyle name="Normal 5 3 4 3 2 2 3" xfId="24140" xr:uid="{FA3D550E-3B4F-40AE-8C7B-1B723D4CDDFF}"/>
    <cellStyle name="Normal 5 3 4 3 2 3" xfId="1168" xr:uid="{00000000-0005-0000-0000-000051060000}"/>
    <cellStyle name="Normal 5 3 4 3 2 3 2" xfId="2009" xr:uid="{00000000-0005-0000-0000-000052060000}"/>
    <cellStyle name="Normal 5 3 4 3 2 3 3" xfId="3739" xr:uid="{00000000-0005-0000-0000-0000B9050000}"/>
    <cellStyle name="Normal 5 3 4 3 2 3 3 2" xfId="4759" xr:uid="{27CD84D7-B911-4190-A3D0-FB0C125E7707}"/>
    <cellStyle name="Normal 5 3 4 3 2 3 3 3" xfId="29753" xr:uid="{F4B9CC71-9478-44A0-8980-2D9F5D3C2B62}"/>
    <cellStyle name="Normal 5 3 4 3 2 4" xfId="24655" xr:uid="{5F063B03-3FE5-47FE-9028-D7BB1C893E88}"/>
    <cellStyle name="Normal 5 3 4 3 2 4 2" xfId="29880" xr:uid="{94266032-6759-4A85-B349-6A4E363B0582}"/>
    <cellStyle name="Normal 5 3 4 3 3" xfId="1169" xr:uid="{00000000-0005-0000-0000-000053060000}"/>
    <cellStyle name="Normal 5 3 4 3 4" xfId="2961" xr:uid="{00000000-0005-0000-0000-000024070000}"/>
    <cellStyle name="Normal 5 3 4 3 5" xfId="2122" xr:uid="{00000000-0005-0000-0000-000099020000}"/>
    <cellStyle name="Normal 5 3 4 3 5 2" xfId="3818" xr:uid="{9369DBB9-DD67-4338-8EB8-DA10B04D3AFA}"/>
    <cellStyle name="Normal 5 3 4 3 5 3" xfId="29692" xr:uid="{E824C05A-A17C-42C0-9520-850E9834B777}"/>
    <cellStyle name="Normal 5 3 4 3 6" xfId="4018" xr:uid="{1613ADCD-F7DC-4D24-BE2E-0512CCDB9F7E}"/>
    <cellStyle name="Normal 5 3 4 3 6 2" xfId="4698" xr:uid="{DE044A17-1F25-42F0-A6B5-42ABCA6D7CD9}"/>
    <cellStyle name="Normal 5 3 4 3 6 3" xfId="29810" xr:uid="{590BB4A0-5720-4355-9FAA-AB72A329A6E4}"/>
    <cellStyle name="Normal 5 3 4 4" xfId="1170" xr:uid="{00000000-0005-0000-0000-000054060000}"/>
    <cellStyle name="Normal 5 3 4 4 2" xfId="2010" xr:uid="{00000000-0005-0000-0000-000055060000}"/>
    <cellStyle name="Normal 5 3 4 4 3" xfId="3740" xr:uid="{00000000-0005-0000-0000-0000BC050000}"/>
    <cellStyle name="Normal 5 3 4 4 3 2" xfId="4814" xr:uid="{0CFAAAB0-0B1B-448C-AA6F-6335CBAD8CA9}"/>
    <cellStyle name="Normal 5 3 4 4 3 3" xfId="29754" xr:uid="{D8CF06E9-0181-4D68-A624-1724FDD6D18D}"/>
    <cellStyle name="Normal 5 3 4 5" xfId="2121" xr:uid="{00000000-0005-0000-0000-000097020000}"/>
    <cellStyle name="Normal 5 3 4 5 2" xfId="4652" xr:uid="{AE4239F0-8210-40A2-B60A-C02B564418C5}"/>
    <cellStyle name="Normal 5 3 4 5 3" xfId="29691" xr:uid="{8AB6CFE1-66CA-481B-ACAE-CBC327A01014}"/>
    <cellStyle name="Normal 5 3 4 6" xfId="4017" xr:uid="{CB599806-7C8A-45F6-9C5C-00B11E4887E0}"/>
    <cellStyle name="Normal 5 3 4 6 2" xfId="4689" xr:uid="{C33C1D9E-89E1-44FF-859F-F450C4814C70}"/>
    <cellStyle name="Normal 5 3 4 6 3" xfId="29809" xr:uid="{5242E11D-BEA4-42EB-8980-130839DC7724}"/>
    <cellStyle name="Normal 5 3 5" xfId="2069" xr:uid="{00000000-0005-0000-0000-00008A020000}"/>
    <cellStyle name="Normal 5 3 5 2" xfId="4724" xr:uid="{FB219402-4458-4731-8217-11E2AB428DAD}"/>
    <cellStyle name="Normal 5 3 5 3" xfId="29658" xr:uid="{82827558-8837-4D2C-A8EF-F5E8593C834E}"/>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1" xr:uid="{00000000-0005-0000-0000-0000C0050000}"/>
    <cellStyle name="Normal 5 4 3 3 2" xfId="4735" xr:uid="{BBB8E0E2-487A-48FB-95C7-D6B07942FE10}"/>
    <cellStyle name="Normal 5 4 3 3 3" xfId="29755" xr:uid="{8FD4E2D2-6D74-4862-9D58-3D07EBF79A6B}"/>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4" xr:uid="{7BEF7BD9-5746-4FE3-9C2C-1E90F10823D3}"/>
    <cellStyle name="Normal 5 5 10 2 2 3" xfId="24785" xr:uid="{48FBF7A8-E27A-4A77-93F4-283DB42E8DF1}"/>
    <cellStyle name="Normal 5 5 10 2 3" xfId="1179" xr:uid="{00000000-0005-0000-0000-00005E060000}"/>
    <cellStyle name="Normal 5 5 10 2 3 2" xfId="2011" xr:uid="{00000000-0005-0000-0000-00005F060000}"/>
    <cellStyle name="Normal 5 5 10 2 3 3" xfId="3742" xr:uid="{00000000-0005-0000-0000-0000C6050000}"/>
    <cellStyle name="Normal 5 5 10 2 3 3 2" xfId="4769" xr:uid="{D86CB2CB-E6BC-4EBE-8C63-9FA0944B44AD}"/>
    <cellStyle name="Normal 5 5 10 2 3 3 3" xfId="29756" xr:uid="{F3F52272-D505-4BCC-AE24-FA0DF85F98D6}"/>
    <cellStyle name="Normal 5 5 10 2 4" xfId="25773" xr:uid="{C3D50B18-259C-4014-9BCC-0D850B8A97C8}"/>
    <cellStyle name="Normal 5 5 10 2 4 2" xfId="29881" xr:uid="{2F326974-41E6-41B5-B8D2-003C5E6283B4}"/>
    <cellStyle name="Normal 5 5 10 3" xfId="1180" xr:uid="{00000000-0005-0000-0000-000060060000}"/>
    <cellStyle name="Normal 5 5 10 4" xfId="2962" xr:uid="{00000000-0005-0000-0000-00002C070000}"/>
    <cellStyle name="Normal 5 5 10 5" xfId="2124" xr:uid="{00000000-0005-0000-0000-00009E020000}"/>
    <cellStyle name="Normal 5 5 10 5 2" xfId="3790" xr:uid="{3E02F4FD-1C4C-4539-A2B7-19465E26278C}"/>
    <cellStyle name="Normal 5 5 10 5 3" xfId="29694" xr:uid="{AC52E957-2059-4DAA-BD73-19707E8F3941}"/>
    <cellStyle name="Normal 5 5 10 6" xfId="4020" xr:uid="{337F88F3-5843-4A8A-A4B2-DC8C7B59A64B}"/>
    <cellStyle name="Normal 5 5 10 6 2" xfId="4806" xr:uid="{9AEE980B-AC49-472C-ABA8-56F2FAA76E03}"/>
    <cellStyle name="Normal 5 5 10 6 3" xfId="29812" xr:uid="{AF398C37-416F-41DD-B566-0706B54A0851}"/>
    <cellStyle name="Normal 5 5 11" xfId="1181" xr:uid="{00000000-0005-0000-0000-000061060000}"/>
    <cellStyle name="Normal 5 5 11 10" xfId="12613" xr:uid="{3695D5BB-0027-43FC-862D-FE558296E53C}"/>
    <cellStyle name="Normal 5 5 11 2" xfId="2422" xr:uid="{00000000-0005-0000-0000-00002E070000}"/>
    <cellStyle name="Normal 5 5 11 2 2" xfId="2963" xr:uid="{00000000-0005-0000-0000-00002F070000}"/>
    <cellStyle name="Normal 5 5 11 2 2 2" xfId="6128" xr:uid="{6B6DFC32-4C86-484E-9F0D-05B0CA9AFC4E}"/>
    <cellStyle name="Normal 5 5 11 2 2 2 2" xfId="28663" xr:uid="{AB134B89-BE15-45E9-8841-CE546E5E36B1}"/>
    <cellStyle name="Normal 5 5 11 2 2 2 3" xfId="15606" xr:uid="{4D39A6A8-7A7F-438F-A7D2-922C4E407832}"/>
    <cellStyle name="Normal 5 5 11 2 2 3" xfId="8059" xr:uid="{D73A85DE-8AFC-4B29-A497-15A97CDC8239}"/>
    <cellStyle name="Normal 5 5 11 2 2 3 2" xfId="18439" xr:uid="{D015D82A-5C92-43F1-A834-20DE716815CA}"/>
    <cellStyle name="Normal 5 5 11 2 2 4" xfId="10892" xr:uid="{D7F68CFE-1F16-43B1-91AF-967BDDF8B1EA}"/>
    <cellStyle name="Normal 5 5 11 2 2 4 2" xfId="21272" xr:uid="{3E5E31A2-BC10-4DEC-A3C3-1B5362DBF4E4}"/>
    <cellStyle name="Normal 5 5 11 2 2 5" xfId="22810" xr:uid="{E340BE55-C53D-4F9C-AA48-991977BA3FFB}"/>
    <cellStyle name="Normal 5 5 11 2 2 6" xfId="13469" xr:uid="{7CC0BDF1-6F6C-4746-850D-023E13317478}"/>
    <cellStyle name="Normal 5 5 11 2 3" xfId="5722" xr:uid="{9BE5C6E4-E2C9-48C3-AB52-3478219966FB}"/>
    <cellStyle name="Normal 5 5 11 2 3 2" xfId="27026" xr:uid="{B1287434-8E5C-4373-8888-488DDEEC0B6C}"/>
    <cellStyle name="Normal 5 5 11 2 3 3" xfId="27159" xr:uid="{806EAF91-4C2D-47DE-B377-2CE9A7AA0708}"/>
    <cellStyle name="Normal 5 5 11 2 3 4" xfId="15096" xr:uid="{C3B6A006-328F-418C-BB38-F69FBD755191}"/>
    <cellStyle name="Normal 5 5 11 2 4" xfId="7549" xr:uid="{415416B5-E375-4437-87B7-0758EC39A30B}"/>
    <cellStyle name="Normal 5 5 11 2 4 2" xfId="27291" xr:uid="{AEFB8BCF-F11B-45DE-9971-ECE126C5CE6F}"/>
    <cellStyle name="Normal 5 5 11 2 4 3" xfId="17929" xr:uid="{E548CEBA-9B5D-4B7E-9B3E-8136EECC299E}"/>
    <cellStyle name="Normal 5 5 11 2 5" xfId="10382" xr:uid="{B7434DEA-6F17-46AA-9E39-B50A5312E7E5}"/>
    <cellStyle name="Normal 5 5 11 2 5 2" xfId="20762" xr:uid="{FC75A6E3-5DDB-43D4-B3A6-95BBF0818C2D}"/>
    <cellStyle name="Normal 5 5 11 2 6" xfId="24107" xr:uid="{2D4EA2C9-7135-49BC-ADCE-AA5ACAC67B81}"/>
    <cellStyle name="Normal 5 5 11 2 7" xfId="12771" xr:uid="{62206668-18DB-43EA-9408-0077C7249362}"/>
    <cellStyle name="Normal 5 5 11 3" xfId="2804" xr:uid="{00000000-0005-0000-0000-000030070000}"/>
    <cellStyle name="Normal 5 5 11 3 2" xfId="6022" xr:uid="{76E518A2-B733-4064-B276-5CD1D06EB90E}"/>
    <cellStyle name="Normal 5 5 11 3 2 2" xfId="27256" xr:uid="{425BE3AF-6ED2-44EB-9844-BC4DA8F32718}"/>
    <cellStyle name="Normal 5 5 11 3 2 3" xfId="15475" xr:uid="{FFB8BC64-B790-495D-9EA9-B7745AC47F64}"/>
    <cellStyle name="Normal 5 5 11 3 3" xfId="7928" xr:uid="{4DB0E811-7A07-4B47-94C9-51910B29B70F}"/>
    <cellStyle name="Normal 5 5 11 3 3 2" xfId="18308" xr:uid="{6F54EB1A-1311-4D27-8097-8CD8D1563D00}"/>
    <cellStyle name="Normal 5 5 11 3 4" xfId="10761" xr:uid="{48B315A3-3C3E-4BEA-8461-C941A4EB87CC}"/>
    <cellStyle name="Normal 5 5 11 3 4 2" xfId="21141" xr:uid="{B930A244-317C-412E-8650-57C826C87A35}"/>
    <cellStyle name="Normal 5 5 11 3 5" xfId="22662" xr:uid="{4334BD2E-352E-42EE-A7C7-D2F9B2A11289}"/>
    <cellStyle name="Normal 5 5 11 3 6" xfId="13270" xr:uid="{604FBC59-3295-4B13-A9F1-F981AAB3DE81}"/>
    <cellStyle name="Normal 5 5 11 4" xfId="2379" xr:uid="{00000000-0005-0000-0000-00002D070000}"/>
    <cellStyle name="Normal 5 5 11 4 2" xfId="7506" xr:uid="{FCF08EC3-F309-4899-81CE-96FD1B16F63A}"/>
    <cellStyle name="Normal 5 5 11 4 2 2" xfId="25977" xr:uid="{2F8CFD30-2F39-4BF0-AA2D-0FF044118CA5}"/>
    <cellStyle name="Normal 5 5 11 4 2 3" xfId="17886" xr:uid="{04A88E33-8E60-442A-ACB4-D5B6750B17F3}"/>
    <cellStyle name="Normal 5 5 11 4 3" xfId="10339" xr:uid="{17D7B839-A0C6-4451-8C04-70D84E4DBEDC}"/>
    <cellStyle name="Normal 5 5 11 4 3 2" xfId="20719" xr:uid="{DCCB5FD8-3287-41BE-881B-BF4A28D4EB70}"/>
    <cellStyle name="Normal 5 5 11 4 4" xfId="24784" xr:uid="{9C89D61B-0979-4EE4-8EAE-4F41590389BD}"/>
    <cellStyle name="Normal 5 5 11 4 5" xfId="15053" xr:uid="{EE4A4ECD-ED50-426C-A966-AC3CA98DA575}"/>
    <cellStyle name="Normal 5 5 11 5" xfId="4021" xr:uid="{48FCAB28-1DBD-45FB-903C-24765057A287}"/>
    <cellStyle name="Normal 5 5 11 5 2" xfId="8824" xr:uid="{9DCC1B39-D915-4DEC-98C8-9A4B33B982B5}"/>
    <cellStyle name="Normal 5 5 11 5 2 2" xfId="19204" xr:uid="{3836725B-8785-4F07-A102-D6BA5B9BBB56}"/>
    <cellStyle name="Normal 5 5 11 5 3" xfId="11657" xr:uid="{9912C377-C28E-4D27-BE9A-6F6221DE7E31}"/>
    <cellStyle name="Normal 5 5 11 5 3 2" xfId="22037" xr:uid="{E4CC2B2D-5B99-4DD1-8C43-1C4FEE8F706D}"/>
    <cellStyle name="Normal 5 5 11 5 4" xfId="27259" xr:uid="{E1C89664-C2E8-43E4-9FBC-FFE5060CDD3E}"/>
    <cellStyle name="Normal 5 5 11 5 5" xfId="16371" xr:uid="{17B663D9-77B7-4F71-B339-7819DE68ED7F}"/>
    <cellStyle name="Normal 5 5 11 6" xfId="5348" xr:uid="{8A7CB6DC-62A6-4A41-BD63-39B130266C07}"/>
    <cellStyle name="Normal 5 5 11 6 2" xfId="14646" xr:uid="{8502C43C-794E-4B6F-B67D-BD0D4D682ECE}"/>
    <cellStyle name="Normal 5 5 11 7" xfId="7099" xr:uid="{75D9ED91-7E43-489A-A8B4-89D35DF5508A}"/>
    <cellStyle name="Normal 5 5 11 7 2" xfId="17479" xr:uid="{D3798922-15BD-4391-B2DB-2869E632F67C}"/>
    <cellStyle name="Normal 5 5 11 8" xfId="9932" xr:uid="{C9B053E7-DAD6-4D4E-AF63-D9C4E93DF7D7}"/>
    <cellStyle name="Normal 5 5 11 8 2" xfId="20312" xr:uid="{6D49E5DE-4DD4-4781-A18A-ECEDA2030118}"/>
    <cellStyle name="Normal 5 5 11 9" xfId="24225" xr:uid="{7F2AEEC7-788B-48EF-8D12-1F317B985EA8}"/>
    <cellStyle name="Normal 5 5 12" xfId="1182" xr:uid="{00000000-0005-0000-0000-000062060000}"/>
    <cellStyle name="Normal 5 5 12 2" xfId="1183" xr:uid="{00000000-0005-0000-0000-000063060000}"/>
    <cellStyle name="Normal 5 5 12 2 2" xfId="25907" xr:uid="{ACDBEB07-C175-4F8A-AF35-7A83D073F597}"/>
    <cellStyle name="Normal 5 5 12 2 2 2" xfId="27059" xr:uid="{73488BCF-2C51-42DE-9E58-72168444506D}"/>
    <cellStyle name="Normal 5 5 12 2 3" xfId="27500" xr:uid="{C60B8A07-C87E-417E-81F5-A75D4AE0518D}"/>
    <cellStyle name="Normal 5 5 12 2 4" xfId="27364" xr:uid="{FCABEA70-D790-4657-BF9A-CD1687570BD1}"/>
    <cellStyle name="Normal 5 5 12 3" xfId="1184" xr:uid="{00000000-0005-0000-0000-000064060000}"/>
    <cellStyle name="Normal 5 5 12 3 2" xfId="1185" xr:uid="{00000000-0005-0000-0000-000065060000}"/>
    <cellStyle name="Normal 5 5 12 3 2 2" xfId="7100" xr:uid="{7DC8D161-DB25-42F7-A675-B9ABA09E6623}"/>
    <cellStyle name="Normal 5 5 12 3 2 2 2" xfId="17480" xr:uid="{CB8E9133-3D83-4494-9F60-E776A3EA70F0}"/>
    <cellStyle name="Normal 5 5 12 3 2 3" xfId="9933" xr:uid="{75CD5C8B-75F0-4E18-B7D2-91830223CFAA}"/>
    <cellStyle name="Normal 5 5 12 3 2 3 2" xfId="20313" xr:uid="{4A077567-9598-4D3C-9AEB-03C07E8EA24F}"/>
    <cellStyle name="Normal 5 5 12 3 2 4" xfId="25581" xr:uid="{DBCD1220-8789-4BF8-809A-A3A65496A92B}"/>
    <cellStyle name="Normal 5 5 12 3 2 5" xfId="14647" xr:uid="{A45105C8-7446-4B1D-BB0F-E6E66EEAF4EB}"/>
    <cellStyle name="Normal 5 5 12 3 3" xfId="3773" xr:uid="{D3491984-6149-4A4F-97CA-96AC04F0A2CD}"/>
    <cellStyle name="Normal 5 5 12 3 3 2" xfId="4807" xr:uid="{62869006-B692-4B88-AA1D-967FD650D28C}"/>
    <cellStyle name="Normal 5 5 12 3 3 3" xfId="29784" xr:uid="{3C545B2C-BDE4-41F8-80A4-55744A4F10D4}"/>
    <cellStyle name="Normal 5 5 12 3 4" xfId="24796" xr:uid="{EC1A1E87-7558-46ED-8398-DDED782A19A9}"/>
    <cellStyle name="Normal 5 5 12 4" xfId="1186" xr:uid="{00000000-0005-0000-0000-000066060000}"/>
    <cellStyle name="Normal 5 5 12 4 2" xfId="2012" xr:uid="{00000000-0005-0000-0000-000067060000}"/>
    <cellStyle name="Normal 5 5 12 4 2 2" xfId="28245" xr:uid="{C0C981C0-058E-4026-91E4-71DD03B00545}"/>
    <cellStyle name="Normal 5 5 12 4 2 3" xfId="27488" xr:uid="{1A5E8FF4-C6F3-4045-99D5-5EFB1C02A4ED}"/>
    <cellStyle name="Normal 5 5 12 4 3" xfId="3743" xr:uid="{00000000-0005-0000-0000-0000CD050000}"/>
    <cellStyle name="Normal 5 5 12 4 3 2" xfId="4732" xr:uid="{D383C0AB-15AA-4183-8653-F3BF4C9DCA49}"/>
    <cellStyle name="Normal 5 5 12 4 3 3" xfId="29757" xr:uid="{7FB678F0-1B11-4CD2-BC40-30F60F9F8662}"/>
    <cellStyle name="Normal 5 5 12 4 4" xfId="23739" xr:uid="{584E66C2-83BD-4415-897A-413EAACEC637}"/>
    <cellStyle name="Normal 5 5 12 4 5" xfId="23070" xr:uid="{445314E8-3702-42F9-96C4-4F1E3E1FC2C9}"/>
    <cellStyle name="Normal 5 5 12 4 6" xfId="26121" xr:uid="{972A4539-7000-4879-8DC1-AC3C9DAB57C7}"/>
    <cellStyle name="Normal 5 5 12 5" xfId="1187" xr:uid="{00000000-0005-0000-0000-000068060000}"/>
    <cellStyle name="Normal 5 5 12 5 2" xfId="26128" xr:uid="{0C3713C4-0CF4-45B5-BE60-F039348800A1}"/>
    <cellStyle name="Normal 5 5 12 5 3" xfId="26556" xr:uid="{46B5948C-5A50-4947-9B43-BD3926155E12}"/>
    <cellStyle name="Normal 5 5 12 6" xfId="2013" xr:uid="{00000000-0005-0000-0000-000069060000}"/>
    <cellStyle name="Normal 5 5 12 6 2" xfId="25719" xr:uid="{6E76D09D-B907-43F5-8545-1CFD81722536}"/>
    <cellStyle name="Normal 5 5 12 6 2 2" xfId="30086" xr:uid="{E6BEACC0-90AA-4D35-A3B9-7D5540D65E78}"/>
    <cellStyle name="Normal 5 5 12 6 3" xfId="24485" xr:uid="{D6BD1202-D166-4806-99B6-7721F3E5DC6E}"/>
    <cellStyle name="Normal 5 5 12 7" xfId="2134" xr:uid="{00000000-0005-0000-0000-0000A1020000}"/>
    <cellStyle name="Normal 5 5 12 7 2" xfId="4820" xr:uid="{933CD350-3DDB-4FFC-B65F-DBC9B5AC6FAA}"/>
    <cellStyle name="Normal 5 5 12 7 3" xfId="29704" xr:uid="{D74EC65B-CE27-42FA-9D17-404BF5D17A01}"/>
    <cellStyle name="Normal 5 5 12 8" xfId="4040" xr:uid="{339DDFF4-B60C-4AB4-A281-8CA03C0100FF}"/>
    <cellStyle name="Normal 5 5 12 8 2" xfId="4818" xr:uid="{7550A7D3-C1EF-43A3-A121-A8E9FC3C1D0F}"/>
    <cellStyle name="Normal 5 5 12 8 3" xfId="29821" xr:uid="{20FADF0F-76AD-450A-ADDE-77DAB08776DC}"/>
    <cellStyle name="Normal 5 5 12 9" xfId="25796" xr:uid="{E3CEE472-2575-4086-9B70-8587E190341C}"/>
    <cellStyle name="Normal 5 5 12 9 2" xfId="26401" xr:uid="{EE6D3784-0C10-40B4-B5A5-246641421871}"/>
    <cellStyle name="Normal 5 5 13" xfId="1188" xr:uid="{00000000-0005-0000-0000-00006A060000}"/>
    <cellStyle name="Normal 5 5 13 2" xfId="4557" xr:uid="{38105DB8-0B13-45DB-93CB-A7A2B7B10682}"/>
    <cellStyle name="Normal 5 5 13 2 2" xfId="9329" xr:uid="{0F5DC92B-D17F-4932-B880-4EB216E0BB19}"/>
    <cellStyle name="Normal 5 5 13 2 2 2" xfId="29304" xr:uid="{A528E6A3-E5CF-41CD-8A5A-85D9B57ECB1A}"/>
    <cellStyle name="Normal 5 5 13 2 2 3" xfId="19709" xr:uid="{B187A614-F1FD-4C04-8325-25B84F0A4B75}"/>
    <cellStyle name="Normal 5 5 13 2 3" xfId="12162" xr:uid="{7CDD758D-F939-4E92-9942-827284B6582E}"/>
    <cellStyle name="Normal 5 5 13 2 3 2" xfId="22542" xr:uid="{15B03982-7DF5-45B6-B4D5-42116C944D4D}"/>
    <cellStyle name="Normal 5 5 13 2 4" xfId="23764" xr:uid="{1C157A74-79B0-4AE9-B1C8-C0BCC2BE83BE}"/>
    <cellStyle name="Normal 5 5 13 2 5" xfId="16876" xr:uid="{039AE286-CAD9-40EC-9813-C989AE274BDE}"/>
    <cellStyle name="Normal 5 5 13 3" xfId="5349" xr:uid="{5A847891-704E-4D1C-A49B-5183AFA3F5F8}"/>
    <cellStyle name="Normal 5 5 13 3 2" xfId="25718" xr:uid="{BA89B0B9-DB42-4CE7-A4A3-ECE24486E886}"/>
    <cellStyle name="Normal 5 5 13 3 3" xfId="25874" xr:uid="{45F60256-2B71-41F7-8537-374E0F6D4207}"/>
    <cellStyle name="Normal 5 5 13 3 4" xfId="14648" xr:uid="{5CE4162D-AD48-4C0F-BA62-B934F4EA9B59}"/>
    <cellStyle name="Normal 5 5 13 4" xfId="7101" xr:uid="{9A900B08-9AE9-41AC-BA20-2AA538F9927D}"/>
    <cellStyle name="Normal 5 5 13 4 2" xfId="22948" xr:uid="{97C5DAE0-DA9C-4F0F-BCD1-117901AE5D5C}"/>
    <cellStyle name="Normal 5 5 13 4 3" xfId="27065" xr:uid="{D13F99A1-37DD-4A26-B175-7EDE3659B42B}"/>
    <cellStyle name="Normal 5 5 13 4 4" xfId="17481" xr:uid="{5AED7AF1-2763-4797-82AA-CF475C5E3EE4}"/>
    <cellStyle name="Normal 5 5 13 5" xfId="9934" xr:uid="{18FE5CF4-E9A5-4356-8158-B3F8919FD961}"/>
    <cellStyle name="Normal 5 5 13 5 2" xfId="29433" xr:uid="{5879B14D-2429-4E4A-9882-196F79DE5875}"/>
    <cellStyle name="Normal 5 5 13 5 3" xfId="20314" xr:uid="{0267A0D3-C892-4DAA-A391-47195DB4C23E}"/>
    <cellStyle name="Normal 5 5 13 6" xfId="24214" xr:uid="{6BA6356E-FEFE-4288-B90B-406AF9C7B10D}"/>
    <cellStyle name="Normal 5 5 13 7" xfId="13967" xr:uid="{9949E944-6653-48A5-B6AF-827C31A6C8F2}"/>
    <cellStyle name="Normal 5 5 14" xfId="1189" xr:uid="{00000000-0005-0000-0000-00006B060000}"/>
    <cellStyle name="Normal 5 5 14 2" xfId="1190" xr:uid="{00000000-0005-0000-0000-00006C060000}"/>
    <cellStyle name="Normal 5 5 14 3" xfId="3744" xr:uid="{00000000-0005-0000-0000-0000D2050000}"/>
    <cellStyle name="Normal 5 5 14 3 2" xfId="4727" xr:uid="{38D387F4-79B0-4AC8-8B84-16D0B67DE4C8}"/>
    <cellStyle name="Normal 5 5 14 3 2 2" xfId="28467" xr:uid="{8C94C9FE-AE2A-4793-A8B8-55E759787D53}"/>
    <cellStyle name="Normal 5 5 14 3 3" xfId="26889" xr:uid="{B149FF73-7C82-4791-B193-8AF6ACE56154}"/>
    <cellStyle name="Normal 5 5 14 3 4" xfId="29758" xr:uid="{25A59EF2-B40B-47C7-9A3E-F5C6289AEDCC}"/>
    <cellStyle name="Normal 5 5 14 4" xfId="28548" xr:uid="{11F1C702-C94E-40E4-AA7E-C36BBAF97840}"/>
    <cellStyle name="Normal 5 5 15" xfId="2440" xr:uid="{00000000-0005-0000-0000-000035070000}"/>
    <cellStyle name="Normal 5 5 15 2" xfId="5735" xr:uid="{7DB3CBEA-D902-42B2-B26F-9421550EC6CD}"/>
    <cellStyle name="Normal 5 5 15 2 2" xfId="27303" xr:uid="{F2621A6C-0918-4A36-97E3-78A546121BE8}"/>
    <cellStyle name="Normal 5 5 15 2 3" xfId="15112" xr:uid="{05B98610-ECCC-4335-8398-4FB0B93CE0B1}"/>
    <cellStyle name="Normal 5 5 15 3" xfId="7565" xr:uid="{35D911EE-CA73-4C5D-9B99-8E5C459EE06E}"/>
    <cellStyle name="Normal 5 5 15 3 2" xfId="17945" xr:uid="{38B158EE-2C47-4BA9-93C3-58BBE1E0AD96}"/>
    <cellStyle name="Normal 5 5 15 4" xfId="10398" xr:uid="{5DEE6F7F-8E03-4FC8-9594-1274073636D5}"/>
    <cellStyle name="Normal 5 5 15 4 2" xfId="20778" xr:uid="{9D104917-06C4-40D3-830F-73A016A7D825}"/>
    <cellStyle name="Normal 5 5 15 5" xfId="24794" xr:uid="{98197A97-5624-49B2-8B85-1F5369343C3E}"/>
    <cellStyle name="Normal 5 5 15 6" xfId="12827" xr:uid="{25B2FA1F-E539-4D97-AD51-FB2C4B7972FE}"/>
    <cellStyle name="Normal 5 5 16" xfId="2170" xr:uid="{00000000-0005-0000-0000-000028070000}"/>
    <cellStyle name="Normal 5 5 16 2" xfId="7297" xr:uid="{E92BBBE8-8A65-484D-9CC1-3D51172C4C28}"/>
    <cellStyle name="Normal 5 5 16 2 2" xfId="28153" xr:uid="{A3A849C5-5574-4D15-95F8-4036D0CDEF59}"/>
    <cellStyle name="Normal 5 5 16 2 3" xfId="17677" xr:uid="{09A459B7-30EB-40B8-87C5-77F00D92A2FA}"/>
    <cellStyle name="Normal 5 5 16 3" xfId="10130" xr:uid="{F0A238C6-4582-4CBB-BADA-A9399A706E74}"/>
    <cellStyle name="Normal 5 5 16 3 2" xfId="20510" xr:uid="{334612D8-071C-4D16-88C2-0DED4F515CFC}"/>
    <cellStyle name="Normal 5 5 16 4" xfId="22845" xr:uid="{73C69CF9-2844-4024-B796-ADEC93F6100C}"/>
    <cellStyle name="Normal 5 5 16 5" xfId="14844" xr:uid="{0D04833F-70A4-4B17-A011-739F53913398}"/>
    <cellStyle name="Normal 5 5 17" xfId="2123" xr:uid="{00000000-0005-0000-0000-00009D020000}"/>
    <cellStyle name="Normal 5 5 17 2" xfId="4711" xr:uid="{1F0EAC01-3B78-43E3-B983-74B1E0899491}"/>
    <cellStyle name="Normal 5 5 17 2 2" xfId="28529" xr:uid="{9F244A23-EF37-4CA3-9C32-8399EE7045C9}"/>
    <cellStyle name="Normal 5 5 17 3" xfId="27863" xr:uid="{94C316B2-9303-4343-AB75-17DFAF12E21D}"/>
    <cellStyle name="Normal 5 5 17 4" xfId="29693" xr:uid="{9E817FBC-411A-4B3E-A17A-EBBD41D57EDE}"/>
    <cellStyle name="Normal 5 5 18" xfId="4019" xr:uid="{F3938208-EDFC-4F17-ABB5-42A544677995}"/>
    <cellStyle name="Normal 5 5 18 2" xfId="4811" xr:uid="{F76BFFF7-F65C-4C10-94AE-340164E71EC1}"/>
    <cellStyle name="Normal 5 5 18 3" xfId="29811" xr:uid="{F4142814-63B1-4105-8D20-7AD01C8DC87F}"/>
    <cellStyle name="Normal 5 5 19" xfId="24511" xr:uid="{2A1B3C75-EDBD-4134-9FA6-33FD8035DA32}"/>
    <cellStyle name="Normal 5 5 2" xfId="1191" xr:uid="{00000000-0005-0000-0000-00006D060000}"/>
    <cellStyle name="Normal 5 5 2 10" xfId="26257" xr:uid="{5DE0041A-A395-4337-A4C4-595A0109A733}"/>
    <cellStyle name="Normal 5 5 2 11" xfId="27202" xr:uid="{576765FF-1DD2-4048-9596-D0B7D8E5602E}"/>
    <cellStyle name="Normal 5 5 2 12" xfId="12425" xr:uid="{362E694F-978F-4355-B29B-573EACCA035C}"/>
    <cellStyle name="Normal 5 5 2 2" xfId="1192" xr:uid="{00000000-0005-0000-0000-00006E060000}"/>
    <cellStyle name="Normal 5 5 2 2 10" xfId="7102" xr:uid="{B0B4E6F4-CC37-40E9-80EA-BED5690BE15D}"/>
    <cellStyle name="Normal 5 5 2 2 10 2" xfId="17482" xr:uid="{2E4C73EB-3E1A-4761-96CA-1DE9565E7346}"/>
    <cellStyle name="Normal 5 5 2 2 11" xfId="9935" xr:uid="{F88CE84F-A75A-405A-85F5-7077666D2DA0}"/>
    <cellStyle name="Normal 5 5 2 2 11 2" xfId="20315" xr:uid="{7BAFE316-3944-4915-8BE3-1A5642390C24}"/>
    <cellStyle name="Normal 5 5 2 2 12" xfId="24558" xr:uid="{DB9B9E18-2DAE-4360-A9FC-C823D4674C38}"/>
    <cellStyle name="Normal 5 5 2 2 13" xfId="12485" xr:uid="{C15E1874-5A7B-419B-A795-ECC2719E4B4E}"/>
    <cellStyle name="Normal 5 5 2 2 2" xfId="1193" xr:uid="{00000000-0005-0000-0000-00006F060000}"/>
    <cellStyle name="Normal 5 5 2 2 2 10" xfId="9936" xr:uid="{F46A6A26-8631-4AEC-8C24-F217A2A7B3F9}"/>
    <cellStyle name="Normal 5 5 2 2 2 10 2" xfId="20316" xr:uid="{0F1B2E8D-661B-421F-A428-2548615D2947}"/>
    <cellStyle name="Normal 5 5 2 2 2 11" xfId="22903" xr:uid="{0ACF97C6-F5AF-4F36-A2CC-B0340721807C}"/>
    <cellStyle name="Normal 5 5 2 2 2 12" xfId="12614" xr:uid="{1A299909-22DC-4007-AC4D-C1AE15C09573}"/>
    <cellStyle name="Normal 5 5 2 2 2 2" xfId="2806" xr:uid="{00000000-0005-0000-0000-000039070000}"/>
    <cellStyle name="Normal 5 5 2 2 2 2 2" xfId="3399" xr:uid="{00000000-0005-0000-0000-00003A070000}"/>
    <cellStyle name="Normal 5 5 2 2 2 2 2 2" xfId="6457" xr:uid="{B693116F-FEF4-432D-A5BF-701A0649DF30}"/>
    <cellStyle name="Normal 5 5 2 2 2 2 2 2 2" xfId="27808" xr:uid="{004B866A-C76F-45A8-808C-C75755EC1086}"/>
    <cellStyle name="Normal 5 5 2 2 2 2 2 2 3" xfId="26535" xr:uid="{5EEAA4AB-3C3E-4C53-A277-A707876DE5EC}"/>
    <cellStyle name="Normal 5 5 2 2 2 2 2 2 4" xfId="16026" xr:uid="{C3ACAFC0-D7C2-42C7-B4DB-7ED8EAC47E68}"/>
    <cellStyle name="Normal 5 5 2 2 2 2 2 3" xfId="8479" xr:uid="{17E6980B-06A1-43B6-BE43-611354CBBEB0}"/>
    <cellStyle name="Normal 5 5 2 2 2 2 2 3 2" xfId="28925" xr:uid="{2BA3EE89-B748-4827-8F21-A2E506D72BC1}"/>
    <cellStyle name="Normal 5 5 2 2 2 2 2 3 3" xfId="18859" xr:uid="{230430B1-9100-4B76-B9BD-F64508174F52}"/>
    <cellStyle name="Normal 5 5 2 2 2 2 2 4" xfId="11312" xr:uid="{ED3C4ACD-C51D-4BCF-A4E8-96036E058BC2}"/>
    <cellStyle name="Normal 5 5 2 2 2 2 2 4 2" xfId="21692" xr:uid="{C080D9CA-17F9-461C-BB69-7B4915B83AEE}"/>
    <cellStyle name="Normal 5 5 2 2 2 2 2 5" xfId="25284" xr:uid="{7EECCA54-9783-4BBF-8C42-BADB856D8B4F}"/>
    <cellStyle name="Normal 5 5 2 2 2 2 2 6" xfId="13969" xr:uid="{EACC5766-D3D6-44EE-B595-1F5883978ED0}"/>
    <cellStyle name="Normal 5 5 2 2 2 2 3" xfId="4356" xr:uid="{42FF46A1-3943-4358-A655-8294E62CEED5}"/>
    <cellStyle name="Normal 5 5 2 2 2 2 3 2" xfId="9128" xr:uid="{45B9D55E-2186-44A0-B273-E1A0BC1506FA}"/>
    <cellStyle name="Normal 5 5 2 2 2 2 3 2 2" xfId="29171" xr:uid="{1140FD3F-198E-4BE1-8F06-A8CC335DBE44}"/>
    <cellStyle name="Normal 5 5 2 2 2 2 3 2 3" xfId="19508" xr:uid="{D17F7F4F-1A46-4910-97EE-82CDCD2E107F}"/>
    <cellStyle name="Normal 5 5 2 2 2 2 3 3" xfId="11961" xr:uid="{EFE23553-F273-457E-8C06-1E2A03F6FE27}"/>
    <cellStyle name="Normal 5 5 2 2 2 2 3 3 2" xfId="22341" xr:uid="{6CADACF1-9D51-44A3-9B24-E581EC859066}"/>
    <cellStyle name="Normal 5 5 2 2 2 2 3 4" xfId="23124" xr:uid="{B72063E7-D175-445C-9430-BB26FE783578}"/>
    <cellStyle name="Normal 5 5 2 2 2 2 3 5" xfId="16675" xr:uid="{255421F1-8B49-49EF-B50C-7FEA55A0C4D7}"/>
    <cellStyle name="Normal 5 5 2 2 2 2 4" xfId="6024" xr:uid="{7E2B3A4D-18A7-41AE-9703-8F1DD1C41124}"/>
    <cellStyle name="Normal 5 5 2 2 2 2 4 2" xfId="26662" xr:uid="{F952BBFA-15EB-48C0-894C-CF0A26F279D2}"/>
    <cellStyle name="Normal 5 5 2 2 2 2 4 3" xfId="15477" xr:uid="{3DA3D78E-B3D0-4042-BBF9-EADB3DB9540E}"/>
    <cellStyle name="Normal 5 5 2 2 2 2 5" xfId="7930" xr:uid="{028A5E22-1E60-4C6D-B1A8-9DE76CBD3299}"/>
    <cellStyle name="Normal 5 5 2 2 2 2 5 2" xfId="18310" xr:uid="{5B658F29-19A3-4C8F-8C89-874C7FC593B0}"/>
    <cellStyle name="Normal 5 5 2 2 2 2 6" xfId="10763" xr:uid="{39021503-6D23-4026-AADD-CEECF31F2E18}"/>
    <cellStyle name="Normal 5 5 2 2 2 2 6 2" xfId="21143" xr:uid="{79DF7F93-3D36-4E82-B3C2-21FBC05247DD}"/>
    <cellStyle name="Normal 5 5 2 2 2 2 7" xfId="23801" xr:uid="{B54B0BB9-E6CF-4A46-9F3A-B3E751558D28}"/>
    <cellStyle name="Normal 5 5 2 2 2 2 8" xfId="13272" xr:uid="{C4529065-302D-4BBB-8DEA-0825232BFC5B}"/>
    <cellStyle name="Normal 5 5 2 2 2 3" xfId="3400" xr:uid="{00000000-0005-0000-0000-00003B070000}"/>
    <cellStyle name="Normal 5 5 2 2 2 3 2" xfId="4558" xr:uid="{5061FD9F-2244-4556-BA81-017209E54E57}"/>
    <cellStyle name="Normal 5 5 2 2 2 3 2 2" xfId="9330" xr:uid="{63D3143B-3A50-4839-B294-F3935BB8C913}"/>
    <cellStyle name="Normal 5 5 2 2 2 3 2 2 2" xfId="29305" xr:uid="{9C4F8361-A348-40D6-BDC8-184E1ED0AEEB}"/>
    <cellStyle name="Normal 5 5 2 2 2 3 2 2 3" xfId="19710" xr:uid="{2232B086-86C9-44E8-ACC9-F05AE9E85F48}"/>
    <cellStyle name="Normal 5 5 2 2 2 3 2 3" xfId="12163" xr:uid="{F278D5A6-BB19-4A71-909D-4B185E053A15}"/>
    <cellStyle name="Normal 5 5 2 2 2 3 2 3 2" xfId="22543" xr:uid="{FF77EDCE-32AF-4B79-86CC-5D0FC410DFDE}"/>
    <cellStyle name="Normal 5 5 2 2 2 3 2 4" xfId="28116" xr:uid="{21DB635F-914E-44BB-A5BA-96824586B764}"/>
    <cellStyle name="Normal 5 5 2 2 2 3 2 5" xfId="16877" xr:uid="{DA1DE3AE-D369-465E-B70F-9C5DCCD86772}"/>
    <cellStyle name="Normal 5 5 2 2 2 3 3" xfId="6458" xr:uid="{6C9958EC-64CD-4EFE-AD25-5341EAC58E19}"/>
    <cellStyle name="Normal 5 5 2 2 2 3 3 2" xfId="26307" xr:uid="{10785CCF-BC71-459D-8435-C52D33AD31DA}"/>
    <cellStyle name="Normal 5 5 2 2 2 3 3 3" xfId="16027" xr:uid="{2AC0485A-BBA8-4B3B-8289-888B36D3D1A8}"/>
    <cellStyle name="Normal 5 5 2 2 2 3 4" xfId="8480" xr:uid="{35104300-7B7B-4930-AA22-97CBEA0E597A}"/>
    <cellStyle name="Normal 5 5 2 2 2 3 4 2" xfId="18860" xr:uid="{BCD25388-0DE1-4453-B0E2-7C53AEE133CA}"/>
    <cellStyle name="Normal 5 5 2 2 2 3 5" xfId="11313" xr:uid="{7B72F5E2-F4A0-4DAF-A072-8BB8EE9CF698}"/>
    <cellStyle name="Normal 5 5 2 2 2 3 5 2" xfId="21693" xr:uid="{4A7BD036-C2BA-45A6-87CB-029FEA504C56}"/>
    <cellStyle name="Normal 5 5 2 2 2 3 6" xfId="25116" xr:uid="{82B60B71-A98F-4867-B481-3777DF42A92A}"/>
    <cellStyle name="Normal 5 5 2 2 2 3 7" xfId="13970" xr:uid="{CDB8CBB4-B877-4130-B85B-07A03F751A31}"/>
    <cellStyle name="Normal 5 5 2 2 2 4" xfId="3398" xr:uid="{00000000-0005-0000-0000-00003C070000}"/>
    <cellStyle name="Normal 5 5 2 2 2 4 2" xfId="6456" xr:uid="{65CAC8DB-A56D-46C3-87F9-F4F75AAA66E8}"/>
    <cellStyle name="Normal 5 5 2 2 2 4 2 2" xfId="26022" xr:uid="{17070FC0-3C6C-4245-8F38-027CA186084B}"/>
    <cellStyle name="Normal 5 5 2 2 2 4 2 3" xfId="16025" xr:uid="{ECC0695D-BED6-47AA-9185-A5C5234CEBF3}"/>
    <cellStyle name="Normal 5 5 2 2 2 4 3" xfId="8478" xr:uid="{14C93518-D0C9-4908-BAB1-9DCD1EEEA571}"/>
    <cellStyle name="Normal 5 5 2 2 2 4 3 2" xfId="18858" xr:uid="{ECDDFA73-36FF-49D5-82B7-03A53E73BDAB}"/>
    <cellStyle name="Normal 5 5 2 2 2 4 4" xfId="11311" xr:uid="{8B1E5D26-8A8D-4AC7-9715-3F1243DFF57E}"/>
    <cellStyle name="Normal 5 5 2 2 2 4 4 2" xfId="21691" xr:uid="{344B6013-3AA0-45E1-85B1-D40B03FD4C40}"/>
    <cellStyle name="Normal 5 5 2 2 2 4 5" xfId="24507" xr:uid="{5CB2466F-53D5-49FA-A5CA-E50A3B9646E6}"/>
    <cellStyle name="Normal 5 5 2 2 2 4 6" xfId="13968" xr:uid="{C763E544-01F0-4302-8299-E43E37CE24BA}"/>
    <cellStyle name="Normal 5 5 2 2 2 5" xfId="2650" xr:uid="{00000000-0005-0000-0000-00003D070000}"/>
    <cellStyle name="Normal 5 5 2 2 2 5 2" xfId="5912" xr:uid="{E9B39E86-C76E-4FBD-A137-EE230CDA99AC}"/>
    <cellStyle name="Normal 5 5 2 2 2 5 2 2" xfId="26218" xr:uid="{691A211D-DDC5-4CF4-9FFE-159D307D29B3}"/>
    <cellStyle name="Normal 5 5 2 2 2 5 2 3" xfId="15322" xr:uid="{855B6DC1-1534-436D-91E0-D2640689A3F2}"/>
    <cellStyle name="Normal 5 5 2 2 2 5 3" xfId="7775" xr:uid="{60B7B1BA-B192-4DB5-8FB7-5B1053A8F3F3}"/>
    <cellStyle name="Normal 5 5 2 2 2 5 3 2" xfId="18155" xr:uid="{EC3B7F3F-BCF3-470D-9D43-126F2EB40004}"/>
    <cellStyle name="Normal 5 5 2 2 2 5 4" xfId="10608" xr:uid="{531C608E-CD0C-4B40-BC39-F0CCB15B2BDB}"/>
    <cellStyle name="Normal 5 5 2 2 2 5 4 2" xfId="20988" xr:uid="{29A04457-3328-4866-8B61-39382E330D84}"/>
    <cellStyle name="Normal 5 5 2 2 2 5 5" xfId="25347" xr:uid="{FA1D4321-F923-4174-B5D0-070FD482717B}"/>
    <cellStyle name="Normal 5 5 2 2 2 5 6" xfId="13050" xr:uid="{414A8D75-BE7B-45D4-8C3A-A99EAB138365}"/>
    <cellStyle name="Normal 5 5 2 2 2 6" xfId="2380" xr:uid="{00000000-0005-0000-0000-000038070000}"/>
    <cellStyle name="Normal 5 5 2 2 2 6 2" xfId="7507" xr:uid="{A1858BD0-3E6E-4D42-83BF-145C6C4D43DF}"/>
    <cellStyle name="Normal 5 5 2 2 2 6 2 2" xfId="17887" xr:uid="{FACD421A-A9BB-4B7F-906E-07EE7C2EF2B8}"/>
    <cellStyle name="Normal 5 5 2 2 2 6 3" xfId="10340" xr:uid="{6D389701-D329-41F9-BFEA-4C1354AC4875}"/>
    <cellStyle name="Normal 5 5 2 2 2 6 3 2" xfId="20720" xr:uid="{F1A12A08-1164-4488-A8B4-F6266E11AB30}"/>
    <cellStyle name="Normal 5 5 2 2 2 6 4" xfId="24991" xr:uid="{67298546-BF93-45C6-AFAE-B9A60F49A89F}"/>
    <cellStyle name="Normal 5 5 2 2 2 6 5" xfId="15054" xr:uid="{23599E62-A5C5-4F45-A758-20E3649CEB60}"/>
    <cellStyle name="Normal 5 5 2 2 2 7" xfId="4052" xr:uid="{EC54DFC6-9A1E-4C42-8373-D8A0D006B582}"/>
    <cellStyle name="Normal 5 5 2 2 2 7 2" xfId="8838" xr:uid="{F198D4A2-3B39-49A2-8553-811CD5569DB0}"/>
    <cellStyle name="Normal 5 5 2 2 2 7 2 2" xfId="19218" xr:uid="{695B1472-84E2-4093-ABA0-2537DF9ADA20}"/>
    <cellStyle name="Normal 5 5 2 2 2 7 3" xfId="11671" xr:uid="{358B6E7B-0337-430F-9A6B-737BE1E2DA12}"/>
    <cellStyle name="Normal 5 5 2 2 2 7 3 2" xfId="22051" xr:uid="{B5C359F9-33D3-4677-911E-4FBEB3C90639}"/>
    <cellStyle name="Normal 5 5 2 2 2 7 4" xfId="16385" xr:uid="{2F36583D-13FE-480E-AFDA-6739E674159F}"/>
    <cellStyle name="Normal 5 5 2 2 2 8" xfId="5351" xr:uid="{7A875D4A-C397-4525-BE3A-8192E68F8551}"/>
    <cellStyle name="Normal 5 5 2 2 2 8 2" xfId="14650" xr:uid="{2F2081C4-AAE6-4920-8CA4-EBB5256087C6}"/>
    <cellStyle name="Normal 5 5 2 2 2 9" xfId="7103" xr:uid="{2B3871C3-57A8-4A8B-88EE-B3736054FB29}"/>
    <cellStyle name="Normal 5 5 2 2 2 9 2" xfId="17483" xr:uid="{070D8DBB-57B4-4D3B-B9B3-AC7655AB8F30}"/>
    <cellStyle name="Normal 5 5 2 2 3" xfId="1194" xr:uid="{00000000-0005-0000-0000-000070060000}"/>
    <cellStyle name="Normal 5 5 2 2 3 2" xfId="3401" xr:uid="{00000000-0005-0000-0000-00003F070000}"/>
    <cellStyle name="Normal 5 5 2 2 3 2 2" xfId="6459" xr:uid="{5F4BDF0C-AD38-489E-945C-592418F3D60F}"/>
    <cellStyle name="Normal 5 5 2 2 3 2 2 2" xfId="27907" xr:uid="{59078814-849A-48FA-838A-3AFDDFEFD8E7}"/>
    <cellStyle name="Normal 5 5 2 2 3 2 2 3" xfId="28004" xr:uid="{28FDFF76-16BE-4E21-9F52-18072D3E868F}"/>
    <cellStyle name="Normal 5 5 2 2 3 2 2 4" xfId="16028" xr:uid="{38177F33-B1C7-46B5-A5E4-6B6D90111A41}"/>
    <cellStyle name="Normal 5 5 2 2 3 2 3" xfId="8481" xr:uid="{0542C4C6-33F3-4561-ABF9-B301DE495CC8}"/>
    <cellStyle name="Normal 5 5 2 2 3 2 3 2" xfId="28926" xr:uid="{DF4CA095-1D0A-4D01-AE9E-CD634DC17B5F}"/>
    <cellStyle name="Normal 5 5 2 2 3 2 3 3" xfId="18861" xr:uid="{37AFCBB9-FBB2-4771-AE08-1F6302956FA8}"/>
    <cellStyle name="Normal 5 5 2 2 3 2 4" xfId="11314" xr:uid="{BF39D8A6-DE77-46ED-8E7C-2A59A59A9E7E}"/>
    <cellStyle name="Normal 5 5 2 2 3 2 4 2" xfId="21694" xr:uid="{0A1F768E-1922-4983-B1A0-87585BE81350}"/>
    <cellStyle name="Normal 5 5 2 2 3 2 5" xfId="24720" xr:uid="{82D4A560-5319-4D31-AF03-8AE6CFD5F1B4}"/>
    <cellStyle name="Normal 5 5 2 2 3 2 6" xfId="13971" xr:uid="{ADBDC445-9129-45A7-9B94-818CEE590A24}"/>
    <cellStyle name="Normal 5 5 2 2 3 3" xfId="2805" xr:uid="{00000000-0005-0000-0000-000040070000}"/>
    <cellStyle name="Normal 5 5 2 2 3 3 2" xfId="6023" xr:uid="{029B14EC-CF2B-481F-91F2-B0945A0C6EF0}"/>
    <cellStyle name="Normal 5 5 2 2 3 3 2 2" xfId="26998" xr:uid="{E5486205-ECBC-4852-924A-35CB4B00C793}"/>
    <cellStyle name="Normal 5 5 2 2 3 3 2 3" xfId="15476" xr:uid="{B4C09E91-DD80-4E71-92A6-C67FE0301C28}"/>
    <cellStyle name="Normal 5 5 2 2 3 3 3" xfId="7929" xr:uid="{C889EAB7-8D62-4D1F-9E5B-398749ABC41B}"/>
    <cellStyle name="Normal 5 5 2 2 3 3 3 2" xfId="18309" xr:uid="{824B5F40-8C47-4CBC-91EB-361E40A47A1B}"/>
    <cellStyle name="Normal 5 5 2 2 3 3 4" xfId="10762" xr:uid="{3DC114F8-6FC0-4D7E-A8C4-1B9E3BA197CA}"/>
    <cellStyle name="Normal 5 5 2 2 3 3 4 2" xfId="21142" xr:uid="{6C576C60-FC58-4C63-A93E-E194261DE55E}"/>
    <cellStyle name="Normal 5 5 2 2 3 3 5" xfId="23102" xr:uid="{AEBA479B-8B2B-4998-9E1E-9D0CC7F7AB55}"/>
    <cellStyle name="Normal 5 5 2 2 3 3 6" xfId="13271" xr:uid="{E80B7A3C-79FD-4DE7-AB06-D90D9C613D3B}"/>
    <cellStyle name="Normal 5 5 2 2 3 4" xfId="4205" xr:uid="{6834EE51-D997-4526-AFF7-7674E8CD52E1}"/>
    <cellStyle name="Normal 5 5 2 2 3 4 2" xfId="8977" xr:uid="{52CD7849-99F2-4A76-BEEC-7B45BE4C8AF9}"/>
    <cellStyle name="Normal 5 5 2 2 3 4 2 2" xfId="29059" xr:uid="{B9264E2E-ADFB-412E-B317-31A678C723CF}"/>
    <cellStyle name="Normal 5 5 2 2 3 4 2 3" xfId="19357" xr:uid="{179490EC-FDCB-402B-94EF-CA95ADD2D46F}"/>
    <cellStyle name="Normal 5 5 2 2 3 4 3" xfId="11810" xr:uid="{B5398A6F-9362-45CF-AD20-330DCF6A5113}"/>
    <cellStyle name="Normal 5 5 2 2 3 4 3 2" xfId="22190" xr:uid="{E683215B-69A9-4332-9ECA-A7146EBB9B6E}"/>
    <cellStyle name="Normal 5 5 2 2 3 4 4" xfId="24703" xr:uid="{1937E98F-1082-4654-912E-0E73F0FDECC6}"/>
    <cellStyle name="Normal 5 5 2 2 3 4 5" xfId="16524" xr:uid="{5FADDBF1-E6AD-4528-9DFD-7644B9EB274D}"/>
    <cellStyle name="Normal 5 5 2 2 3 5" xfId="5352" xr:uid="{D5B7A08C-93AF-4A8B-BAA3-33FC879FD868}"/>
    <cellStyle name="Normal 5 5 2 2 3 5 2" xfId="25877" xr:uid="{FFA69AF7-DCDD-478C-8045-146B1AA29976}"/>
    <cellStyle name="Normal 5 5 2 2 3 5 3" xfId="14651" xr:uid="{10343649-8127-45A8-BAD7-61F3D08369E2}"/>
    <cellStyle name="Normal 5 5 2 2 3 6" xfId="7104" xr:uid="{D97AF51E-6842-470A-A302-FB9E180CC5C0}"/>
    <cellStyle name="Normal 5 5 2 2 3 6 2" xfId="17484" xr:uid="{26D064AD-96E7-408C-B91A-A1976D6CC141}"/>
    <cellStyle name="Normal 5 5 2 2 3 7" xfId="9937" xr:uid="{9DD9D7F5-B940-4982-9CA5-B0B35070AC85}"/>
    <cellStyle name="Normal 5 5 2 2 3 7 2" xfId="20317" xr:uid="{007E509E-1ECD-466D-BDF6-DBFFD34B46D0}"/>
    <cellStyle name="Normal 5 5 2 2 3 8" xfId="25199" xr:uid="{D07689EE-8698-490A-8B28-CDB5E7DC64F0}"/>
    <cellStyle name="Normal 5 5 2 2 3 9" xfId="12772" xr:uid="{043A9170-707A-4857-BAA4-9D3A7C21999E}"/>
    <cellStyle name="Normal 5 5 2 2 4" xfId="3402" xr:uid="{00000000-0005-0000-0000-000041070000}"/>
    <cellStyle name="Normal 5 5 2 2 4 2" xfId="4559" xr:uid="{3CF4326C-D6BE-478D-A5AB-70D5107A7187}"/>
    <cellStyle name="Normal 5 5 2 2 4 2 2" xfId="9331" xr:uid="{E4D7FA6F-D905-4DC4-9BC7-4EA3BE03A3B3}"/>
    <cellStyle name="Normal 5 5 2 2 4 2 2 2" xfId="29306" xr:uid="{F28EC19A-FBD0-4F93-B03F-F0F80AE7A4BE}"/>
    <cellStyle name="Normal 5 5 2 2 4 2 2 3" xfId="19711" xr:uid="{76CB73A2-CD86-444B-A7AF-35AC7FBC6DB6}"/>
    <cellStyle name="Normal 5 5 2 2 4 2 3" xfId="12164" xr:uid="{96400753-8A15-46A2-9112-817415644141}"/>
    <cellStyle name="Normal 5 5 2 2 4 2 3 2" xfId="22544" xr:uid="{15C8712E-B6BD-43DB-93B4-B04017EF9B83}"/>
    <cellStyle name="Normal 5 5 2 2 4 2 4" xfId="25462" xr:uid="{A66370E2-A123-4049-9C50-5E66FB73A7CC}"/>
    <cellStyle name="Normal 5 5 2 2 4 2 5" xfId="16878" xr:uid="{D0372305-A075-40F8-B8D7-65EB360A5A6E}"/>
    <cellStyle name="Normal 5 5 2 2 4 3" xfId="6460" xr:uid="{1BDBD616-9D9B-470F-BE62-BB461EBDAC3C}"/>
    <cellStyle name="Normal 5 5 2 2 4 3 2" xfId="26233" xr:uid="{3437AC94-B370-44C3-8889-2FAC6B023C10}"/>
    <cellStyle name="Normal 5 5 2 2 4 3 3" xfId="16029" xr:uid="{A6F22AD9-7E49-48EB-A5FA-DD22D02FC106}"/>
    <cellStyle name="Normal 5 5 2 2 4 4" xfId="8482" xr:uid="{E508F1DE-AC46-406E-A968-8C7B9890A961}"/>
    <cellStyle name="Normal 5 5 2 2 4 4 2" xfId="18862" xr:uid="{DB266FA3-4845-4CA2-AE74-C3C8B71D49F3}"/>
    <cellStyle name="Normal 5 5 2 2 4 5" xfId="11315" xr:uid="{770BB5C3-0630-41B4-AC16-F438244C8242}"/>
    <cellStyle name="Normal 5 5 2 2 4 5 2" xfId="21695" xr:uid="{EC9D17BB-1761-454D-A2BA-8FF176B720FD}"/>
    <cellStyle name="Normal 5 5 2 2 4 6" xfId="25540" xr:uid="{898599E5-9CB3-47E9-8971-60A8327E7668}"/>
    <cellStyle name="Normal 5 5 2 2 4 7" xfId="13972" xr:uid="{0C57B530-4AC9-424F-BCEE-5551DD13B8FB}"/>
    <cellStyle name="Normal 5 5 2 2 5" xfId="2964" xr:uid="{00000000-0005-0000-0000-000042070000}"/>
    <cellStyle name="Normal 5 5 2 2 5 2" xfId="6129" xr:uid="{A2F16BF5-A93E-40B9-8DBC-6EECDD65DC6E}"/>
    <cellStyle name="Normal 5 5 2 2 5 2 2" xfId="27129" xr:uid="{0F1740B9-5506-4D8B-BF47-9E6F97236B49}"/>
    <cellStyle name="Normal 5 5 2 2 5 2 3" xfId="28394" xr:uid="{CAD045D7-C12F-4298-87A4-D0C3120DCD7B}"/>
    <cellStyle name="Normal 5 5 2 2 5 2 4" xfId="15607" xr:uid="{A8517938-CEC1-4531-88B4-43823CE6C60C}"/>
    <cellStyle name="Normal 5 5 2 2 5 3" xfId="8060" xr:uid="{94BC6C1E-C567-4FF0-AB86-7A65091721BD}"/>
    <cellStyle name="Normal 5 5 2 2 5 3 2" xfId="28376" xr:uid="{3A49D794-A173-4EFD-83E0-CE1E571F5A7B}"/>
    <cellStyle name="Normal 5 5 2 2 5 3 3" xfId="18440" xr:uid="{BCB46D85-B729-4F78-AEDD-ADF9162296B5}"/>
    <cellStyle name="Normal 5 5 2 2 5 4" xfId="10893" xr:uid="{A581CCAB-C95C-4C85-8035-5199D9553ABA}"/>
    <cellStyle name="Normal 5 5 2 2 5 4 2" xfId="21273" xr:uid="{6D12C64E-5F7B-47D3-AF52-9C6EE78B4D4F}"/>
    <cellStyle name="Normal 5 5 2 2 5 5" xfId="25571" xr:uid="{58D85909-3552-4170-B731-750D31FA0AB3}"/>
    <cellStyle name="Normal 5 5 2 2 5 6" xfId="13470" xr:uid="{E4338547-CC90-4D03-819C-605347135C7D}"/>
    <cellStyle name="Normal 5 5 2 2 6" xfId="2559" xr:uid="{00000000-0005-0000-0000-000043070000}"/>
    <cellStyle name="Normal 5 5 2 2 6 2" xfId="5829" xr:uid="{43281724-D4D4-4764-81AA-98673E3322C3}"/>
    <cellStyle name="Normal 5 5 2 2 6 2 2" xfId="26725" xr:uid="{037DAB8A-A842-4E5A-AC02-442EAB320EA5}"/>
    <cellStyle name="Normal 5 5 2 2 6 2 3" xfId="15231" xr:uid="{05099115-2671-4B30-83DA-8E993BD66C2A}"/>
    <cellStyle name="Normal 5 5 2 2 6 3" xfId="7684" xr:uid="{43F33238-6FFD-46D7-B783-DE99BEC24EC2}"/>
    <cellStyle name="Normal 5 5 2 2 6 3 2" xfId="18064" xr:uid="{376E7D56-6148-425B-B483-814B2A8D37CD}"/>
    <cellStyle name="Normal 5 5 2 2 6 4" xfId="10517" xr:uid="{DC3FE7B2-5804-462E-8778-5DF87623DF50}"/>
    <cellStyle name="Normal 5 5 2 2 6 4 2" xfId="20897" xr:uid="{CE690DC8-0FFC-4375-BF91-2DBCE44D3D30}"/>
    <cellStyle name="Normal 5 5 2 2 6 5" xfId="25474" xr:uid="{6E000032-F3D2-476D-804F-CBF5DEE81C48}"/>
    <cellStyle name="Normal 5 5 2 2 6 6" xfId="12947" xr:uid="{13182B47-0B63-49C6-BEF4-076BB4AB75D6}"/>
    <cellStyle name="Normal 5 5 2 2 7" xfId="2253" xr:uid="{00000000-0005-0000-0000-000037070000}"/>
    <cellStyle name="Normal 5 5 2 2 7 2" xfId="7380" xr:uid="{F8DEDDF5-4CEE-44B7-B924-98AEC26CB4E5}"/>
    <cellStyle name="Normal 5 5 2 2 7 2 2" xfId="17760" xr:uid="{337FD57F-5CE4-4D3C-B6A0-7F7572727214}"/>
    <cellStyle name="Normal 5 5 2 2 7 3" xfId="10213" xr:uid="{D8870ABD-E42D-45A4-82BD-D189C9EEA9FB}"/>
    <cellStyle name="Normal 5 5 2 2 7 3 2" xfId="20593" xr:uid="{11F17349-93D9-410C-9CDA-D0F712E1D062}"/>
    <cellStyle name="Normal 5 5 2 2 7 4" xfId="24675" xr:uid="{24398855-A23C-4216-A2AF-3DDF48A6DB9E}"/>
    <cellStyle name="Normal 5 5 2 2 7 5" xfId="14927" xr:uid="{ED22AC1C-E455-4E46-AC67-7F3F9C5E91CD}"/>
    <cellStyle name="Normal 5 5 2 2 8" xfId="4022" xr:uid="{B1921A58-8808-4F6C-B5BC-E2AC5A4EE5C5}"/>
    <cellStyle name="Normal 5 5 2 2 8 2" xfId="8825" xr:uid="{355ADFE8-D0B3-41F3-AA5B-6C8A7E98C54C}"/>
    <cellStyle name="Normal 5 5 2 2 8 2 2" xfId="19205" xr:uid="{0F339977-E116-46A0-B68E-677107876C12}"/>
    <cellStyle name="Normal 5 5 2 2 8 3" xfId="11658" xr:uid="{23C04812-C2E2-464A-B0E6-ABB95E3448B6}"/>
    <cellStyle name="Normal 5 5 2 2 8 3 2" xfId="22038" xr:uid="{10A5FB37-77EA-4271-8EA8-51E9FEFCE395}"/>
    <cellStyle name="Normal 5 5 2 2 8 4" xfId="16372" xr:uid="{9EE5A92E-77EA-4544-A2CD-1A6188350FBB}"/>
    <cellStyle name="Normal 5 5 2 2 9" xfId="5350" xr:uid="{141EAECA-CA83-4339-AB67-783AC0F0C1AB}"/>
    <cellStyle name="Normal 5 5 2 2 9 2" xfId="14649" xr:uid="{9FD627CF-5ACD-42F5-A83A-37F220194639}"/>
    <cellStyle name="Normal 5 5 2 3" xfId="1195" xr:uid="{00000000-0005-0000-0000-000071060000}"/>
    <cellStyle name="Normal 5 5 2 3 2" xfId="2808" xr:uid="{00000000-0005-0000-0000-000045070000}"/>
    <cellStyle name="Normal 5 5 2 3 2 2" xfId="3403" xr:uid="{00000000-0005-0000-0000-000046070000}"/>
    <cellStyle name="Normal 5 5 2 3 2 2 2" xfId="6461" xr:uid="{0E94E64F-DA8E-462B-A0AD-213059A35888}"/>
    <cellStyle name="Normal 5 5 2 3 2 2 2 2" xfId="27813" xr:uid="{53E02BFC-75AA-4874-A785-DB6306329D5B}"/>
    <cellStyle name="Normal 5 5 2 3 2 2 2 3" xfId="16030" xr:uid="{8DB3C3CA-6250-4251-8F5A-54DD04A575F8}"/>
    <cellStyle name="Normal 5 5 2 3 2 2 3" xfId="8483" xr:uid="{F60E9374-60EB-4CD0-BF3D-25BF61510848}"/>
    <cellStyle name="Normal 5 5 2 3 2 2 3 2" xfId="18863" xr:uid="{12B7C18D-4BB4-4A77-93A6-DB76E0496879}"/>
    <cellStyle name="Normal 5 5 2 3 2 2 4" xfId="11316" xr:uid="{F90D3A1A-CBE1-4691-BC16-C28722459F61}"/>
    <cellStyle name="Normal 5 5 2 3 2 2 4 2" xfId="21696" xr:uid="{CC58664D-2D50-455B-9893-3E24DFED6269}"/>
    <cellStyle name="Normal 5 5 2 3 2 2 5" xfId="23963" xr:uid="{6D2038FD-35E5-4C41-A8E3-88C4481B43AC}"/>
    <cellStyle name="Normal 5 5 2 3 2 2 6" xfId="13973" xr:uid="{F06C5421-9381-4EEA-BC1A-D91B49485E42}"/>
    <cellStyle name="Normal 5 5 2 3 2 3" xfId="4357" xr:uid="{DF391442-0F86-42A3-BB5A-C56DACB37174}"/>
    <cellStyle name="Normal 5 5 2 3 2 3 2" xfId="9129" xr:uid="{D6344311-8138-43CA-AF7B-5CBA192FF44C}"/>
    <cellStyle name="Normal 5 5 2 3 2 3 2 2" xfId="29172" xr:uid="{2A790C22-85A1-4413-87B7-1EF889C4D3DC}"/>
    <cellStyle name="Normal 5 5 2 3 2 3 2 3" xfId="19509" xr:uid="{67C25286-98AC-4787-826E-039D9F25AB1C}"/>
    <cellStyle name="Normal 5 5 2 3 2 3 3" xfId="11962" xr:uid="{DB176056-A70E-41F8-9C12-028E41C4528D}"/>
    <cellStyle name="Normal 5 5 2 3 2 3 3 2" xfId="22342" xr:uid="{D59AE9D9-970B-4E2C-87BC-E787ED0735CE}"/>
    <cellStyle name="Normal 5 5 2 3 2 3 4" xfId="24931" xr:uid="{4E06B9E5-64E3-4A8E-B09E-E067E712619F}"/>
    <cellStyle name="Normal 5 5 2 3 2 3 5" xfId="16676" xr:uid="{2B9A8F69-1ECA-41E3-BD61-796B23773C23}"/>
    <cellStyle name="Normal 5 5 2 3 2 4" xfId="6025" xr:uid="{FE446DA6-D06C-4DDB-A70B-A660F8B35E99}"/>
    <cellStyle name="Normal 5 5 2 3 2 4 2" xfId="28540" xr:uid="{4ADA7BED-3595-4230-9E32-77C96B340840}"/>
    <cellStyle name="Normal 5 5 2 3 2 4 3" xfId="15478" xr:uid="{922D9B3A-8BA9-4F2D-B188-27D4F991D461}"/>
    <cellStyle name="Normal 5 5 2 3 2 5" xfId="7931" xr:uid="{4A30BBEF-0CAE-4BE1-98FA-ED028CD2610C}"/>
    <cellStyle name="Normal 5 5 2 3 2 5 2" xfId="18311" xr:uid="{AD1F875A-F420-4F90-A14F-908D448EE071}"/>
    <cellStyle name="Normal 5 5 2 3 2 6" xfId="10764" xr:uid="{F29C2DCF-40EE-4411-B19B-1BF0F5270DDF}"/>
    <cellStyle name="Normal 5 5 2 3 2 6 2" xfId="21144" xr:uid="{E0EA8BB4-920A-485C-A97A-6971A878D407}"/>
    <cellStyle name="Normal 5 5 2 3 2 7" xfId="24711" xr:uid="{68A8C8ED-B556-4A33-8A4B-3798DE25C52A}"/>
    <cellStyle name="Normal 5 5 2 3 2 8" xfId="13273" xr:uid="{F2B9F6A5-3EFA-41E5-B301-1EBCC11EA36F}"/>
    <cellStyle name="Normal 5 5 2 3 3" xfId="2807" xr:uid="{00000000-0005-0000-0000-000047070000}"/>
    <cellStyle name="Normal 5 5 2 3 4" xfId="3404" xr:uid="{00000000-0005-0000-0000-000048070000}"/>
    <cellStyle name="Normal 5 5 2 3 4 2" xfId="4560" xr:uid="{0D7D5A7B-D219-43F7-814F-1DB6674AD56C}"/>
    <cellStyle name="Normal 5 5 2 3 4 2 2" xfId="9332" xr:uid="{532AA147-2732-466A-8BDC-3D39498BB9FC}"/>
    <cellStyle name="Normal 5 5 2 3 4 2 2 2" xfId="29307" xr:uid="{F2A23D7E-53B9-4A98-9A05-7D8C70CCEDE6}"/>
    <cellStyle name="Normal 5 5 2 3 4 2 2 3" xfId="19712" xr:uid="{7214BEDC-84AD-4F43-8C13-765C856447D5}"/>
    <cellStyle name="Normal 5 5 2 3 4 2 3" xfId="12165" xr:uid="{3C137FF7-E0D9-4A21-9156-761BE2A53BA8}"/>
    <cellStyle name="Normal 5 5 2 3 4 2 3 2" xfId="22545" xr:uid="{EAD0D8A6-6B3F-42CE-9BE8-939A31D1EF32}"/>
    <cellStyle name="Normal 5 5 2 3 4 2 4" xfId="24287" xr:uid="{3CFF6EAA-EDB0-499A-9796-7F66AB3210EC}"/>
    <cellStyle name="Normal 5 5 2 3 4 2 5" xfId="16879" xr:uid="{2D32F98B-B02E-4001-9DE0-3512A9204993}"/>
    <cellStyle name="Normal 5 5 2 3 4 3" xfId="6462" xr:uid="{2FB364DC-9F63-4378-A765-FFE26852EFA1}"/>
    <cellStyle name="Normal 5 5 2 3 4 3 2" xfId="28507" xr:uid="{E46FEC19-25A8-41D1-9E9E-F837B82D817F}"/>
    <cellStyle name="Normal 5 5 2 3 4 3 3" xfId="16031" xr:uid="{6B1741DC-DD47-4366-A77A-6C91FB96F7E8}"/>
    <cellStyle name="Normal 5 5 2 3 4 4" xfId="8484" xr:uid="{26F589C5-8AA2-46F8-8D30-0C3957415999}"/>
    <cellStyle name="Normal 5 5 2 3 4 4 2" xfId="18864" xr:uid="{C2F0E494-D165-447D-9C73-A07C3E213218}"/>
    <cellStyle name="Normal 5 5 2 3 4 5" xfId="11317" xr:uid="{F1100F0A-5524-485F-97EF-198837DD2B12}"/>
    <cellStyle name="Normal 5 5 2 3 4 5 2" xfId="21697" xr:uid="{C2512AFB-C13F-4200-BFD6-460666FE85D9}"/>
    <cellStyle name="Normal 5 5 2 3 4 6" xfId="25460" xr:uid="{39A89928-82E4-42AA-AACE-414D949F0D52}"/>
    <cellStyle name="Normal 5 5 2 3 4 7" xfId="13974" xr:uid="{B931D6F4-09D9-4878-AA4E-83C74FEEC357}"/>
    <cellStyle name="Normal 5 5 2 3 5" xfId="2602" xr:uid="{00000000-0005-0000-0000-000049070000}"/>
    <cellStyle name="Normal 5 5 2 3 5 2" xfId="5867" xr:uid="{8CA84A59-3D12-4140-B704-810F7F8BB9B5}"/>
    <cellStyle name="Normal 5 5 2 3 5 2 2" xfId="27678" xr:uid="{B34AA183-AF95-4421-BD12-6CA45FD1F7EC}"/>
    <cellStyle name="Normal 5 5 2 3 5 2 3" xfId="15274" xr:uid="{8D3D921D-3627-4DBB-8190-3285C2924F5C}"/>
    <cellStyle name="Normal 5 5 2 3 5 3" xfId="7727" xr:uid="{3683B3FC-E6CD-4740-9AA9-5A4F8BE774F9}"/>
    <cellStyle name="Normal 5 5 2 3 5 3 2" xfId="18107" xr:uid="{E734DFCF-DE69-49E3-B3CB-38185BB03C8F}"/>
    <cellStyle name="Normal 5 5 2 3 5 4" xfId="10560" xr:uid="{1C724209-78D5-484E-A28F-699333AF832B}"/>
    <cellStyle name="Normal 5 5 2 3 5 4 2" xfId="20940" xr:uid="{7E771965-5606-45B5-B080-F4AC3DA3A46B}"/>
    <cellStyle name="Normal 5 5 2 3 5 5" xfId="22951" xr:uid="{05A09500-D41E-4758-B579-BAC8258145FF}"/>
    <cellStyle name="Normal 5 5 2 3 5 6" xfId="12990" xr:uid="{2B788BB1-C6D6-4797-9F95-7985B9F54858}"/>
    <cellStyle name="Normal 5 5 2 3 6" xfId="29911" xr:uid="{17D01D11-8E42-42CF-8124-C3B43AFD37CF}"/>
    <cellStyle name="Normal 5 5 2 4" xfId="1196" xr:uid="{00000000-0005-0000-0000-000072060000}"/>
    <cellStyle name="Normal 5 5 2 4 10" xfId="12615" xr:uid="{AED3A222-BE3F-43A8-A2CD-B3B6A7D3D31F}"/>
    <cellStyle name="Normal 5 5 2 4 2" xfId="2423" xr:uid="{00000000-0005-0000-0000-00004B070000}"/>
    <cellStyle name="Normal 5 5 2 4 2 2" xfId="2965" xr:uid="{00000000-0005-0000-0000-00004C070000}"/>
    <cellStyle name="Normal 5 5 2 4 2 2 2" xfId="6130" xr:uid="{B3F3E835-BA36-4B91-ACB6-07FE4F08BDFA}"/>
    <cellStyle name="Normal 5 5 2 4 2 2 2 2" xfId="28455" xr:uid="{9415BD04-6CBF-4AD5-925A-00197043B54D}"/>
    <cellStyle name="Normal 5 5 2 4 2 2 2 3" xfId="15608" xr:uid="{F82E2E44-F54D-4AE3-8704-A3D143665C0F}"/>
    <cellStyle name="Normal 5 5 2 4 2 2 3" xfId="8061" xr:uid="{D09C5622-EC48-4741-84A2-E66803103994}"/>
    <cellStyle name="Normal 5 5 2 4 2 2 3 2" xfId="18441" xr:uid="{376970FA-94EC-46ED-8FD2-69263C98A43F}"/>
    <cellStyle name="Normal 5 5 2 4 2 2 4" xfId="10894" xr:uid="{3E796100-E2F8-4174-82A4-99B0D96B7952}"/>
    <cellStyle name="Normal 5 5 2 4 2 2 4 2" xfId="21274" xr:uid="{0570EA1B-E07A-4F0D-A53F-E28CC566A038}"/>
    <cellStyle name="Normal 5 5 2 4 2 2 5" xfId="24658" xr:uid="{4DB03E19-2133-4F4A-8F72-10283576C025}"/>
    <cellStyle name="Normal 5 5 2 4 2 2 6" xfId="13471" xr:uid="{67250B66-8465-45F2-98BA-878749E54BD2}"/>
    <cellStyle name="Normal 5 5 2 4 2 3" xfId="5723" xr:uid="{44EF2934-2F80-47C0-9F33-1624D1649667}"/>
    <cellStyle name="Normal 5 5 2 4 2 3 2" xfId="27462" xr:uid="{7C929BAF-0485-40A0-AAFD-610B3F638FC8}"/>
    <cellStyle name="Normal 5 5 2 4 2 3 3" xfId="27183" xr:uid="{43ACC9D2-DA91-4B56-A4FB-F4488E58E4D4}"/>
    <cellStyle name="Normal 5 5 2 4 2 3 4" xfId="15097" xr:uid="{DA1AFAD7-ED03-45FD-82C0-FA804A0F63C8}"/>
    <cellStyle name="Normal 5 5 2 4 2 4" xfId="7550" xr:uid="{C5938237-BB39-457E-B136-B74CE64AC8EE}"/>
    <cellStyle name="Normal 5 5 2 4 2 4 2" xfId="28244" xr:uid="{C3A8557A-288D-40CB-8222-F57CCE20C34D}"/>
    <cellStyle name="Normal 5 5 2 4 2 4 3" xfId="17930" xr:uid="{065ED13D-6CFC-495C-AE7E-FE30859530A2}"/>
    <cellStyle name="Normal 5 5 2 4 2 5" xfId="10383" xr:uid="{9FC2122C-CA08-4247-8CD6-E1A221A8F818}"/>
    <cellStyle name="Normal 5 5 2 4 2 5 2" xfId="20763" xr:uid="{69806764-73CF-4D07-A782-39DD33E4AE43}"/>
    <cellStyle name="Normal 5 5 2 4 2 6" xfId="23772" xr:uid="{62729883-A282-4377-BD03-E0865EC4662F}"/>
    <cellStyle name="Normal 5 5 2 4 2 7" xfId="12773" xr:uid="{2A5C010A-51B8-4FC5-BC6F-64208D94E644}"/>
    <cellStyle name="Normal 5 5 2 4 3" xfId="2809" xr:uid="{00000000-0005-0000-0000-00004D070000}"/>
    <cellStyle name="Normal 5 5 2 4 3 2" xfId="6026" xr:uid="{FBE50FBE-3A2C-4A7D-88F9-5A6E0D77A724}"/>
    <cellStyle name="Normal 5 5 2 4 3 2 2" xfId="27871" xr:uid="{32C14809-69F7-4F3A-93CD-41800AE5CD54}"/>
    <cellStyle name="Normal 5 5 2 4 3 2 3" xfId="15479" xr:uid="{4C6DCDF4-F18D-4F3F-9976-324B24CBB7F6}"/>
    <cellStyle name="Normal 5 5 2 4 3 3" xfId="7932" xr:uid="{DB16F39B-ABC6-4E92-B34F-D70FA568089F}"/>
    <cellStyle name="Normal 5 5 2 4 3 3 2" xfId="18312" xr:uid="{BE68AA58-EBE5-4C97-936D-B092D26CD059}"/>
    <cellStyle name="Normal 5 5 2 4 3 4" xfId="10765" xr:uid="{FDB41842-2E59-4D59-99C5-80FBBF7FF983}"/>
    <cellStyle name="Normal 5 5 2 4 3 4 2" xfId="21145" xr:uid="{D18DB3D3-5D22-405E-93D5-0F4D155FF206}"/>
    <cellStyle name="Normal 5 5 2 4 3 5" xfId="25479" xr:uid="{83EE6245-E592-4831-9006-F21D196F58CC}"/>
    <cellStyle name="Normal 5 5 2 4 3 6" xfId="13274" xr:uid="{E5A40150-443A-4202-A762-0D460E5016B9}"/>
    <cellStyle name="Normal 5 5 2 4 4" xfId="2381" xr:uid="{00000000-0005-0000-0000-00004A070000}"/>
    <cellStyle name="Normal 5 5 2 4 4 2" xfId="7508" xr:uid="{FFDDCE91-1D08-43C2-934F-A882706053FB}"/>
    <cellStyle name="Normal 5 5 2 4 4 2 2" xfId="28635" xr:uid="{24930D2C-219D-4311-B392-9B6E8F098307}"/>
    <cellStyle name="Normal 5 5 2 4 4 2 3" xfId="17888" xr:uid="{8622FF66-B01B-4F1A-8F89-95BC46CC0386}"/>
    <cellStyle name="Normal 5 5 2 4 4 3" xfId="10341" xr:uid="{E90C3D35-6568-44B0-9985-3528F324CF10}"/>
    <cellStyle name="Normal 5 5 2 4 4 3 2" xfId="20721" xr:uid="{6F5A0F75-87B6-4F68-9D74-C2F4475F3C38}"/>
    <cellStyle name="Normal 5 5 2 4 4 4" xfId="23955" xr:uid="{B2D872B9-4242-48A8-8273-1F20FEDEB6E7}"/>
    <cellStyle name="Normal 5 5 2 4 4 5" xfId="15055" xr:uid="{138935BD-B8EE-4D60-B335-9F500E2C10C4}"/>
    <cellStyle name="Normal 5 5 2 4 5" xfId="4024" xr:uid="{671DDBE0-1E03-455F-BE11-51E48C0C8972}"/>
    <cellStyle name="Normal 5 5 2 4 5 2" xfId="8826" xr:uid="{B81C1E26-8004-4416-B432-D718C45A0979}"/>
    <cellStyle name="Normal 5 5 2 4 5 2 2" xfId="19206" xr:uid="{C70BC956-E42F-454D-B624-C6FCD21A8531}"/>
    <cellStyle name="Normal 5 5 2 4 5 3" xfId="11659" xr:uid="{2624B5EC-A761-408F-9526-438B9BA344BD}"/>
    <cellStyle name="Normal 5 5 2 4 5 3 2" xfId="22039" xr:uid="{BF0A99E9-F76A-41FC-8250-C321BA06386B}"/>
    <cellStyle name="Normal 5 5 2 4 5 4" xfId="25972" xr:uid="{7544DCCB-3EAA-45FC-BCB7-130CCA7CAECC}"/>
    <cellStyle name="Normal 5 5 2 4 5 5" xfId="16373" xr:uid="{8A667B9E-E4F8-443E-9D44-380166ACEB80}"/>
    <cellStyle name="Normal 5 5 2 4 6" xfId="5353" xr:uid="{A82351A2-39FF-417B-B3B0-9483C0F67AB8}"/>
    <cellStyle name="Normal 5 5 2 4 6 2" xfId="14652" xr:uid="{95FF415D-37D2-45D4-BF99-3FC362DD4F5C}"/>
    <cellStyle name="Normal 5 5 2 4 7" xfId="7105" xr:uid="{244CAE16-D26C-4590-AB54-46B9FAFCFA5B}"/>
    <cellStyle name="Normal 5 5 2 4 7 2" xfId="17485" xr:uid="{82989ACA-8AA6-404C-AD12-B4FA8B9BEFFF}"/>
    <cellStyle name="Normal 5 5 2 4 8" xfId="9938" xr:uid="{6EB0AB2B-3B8C-4C8A-B176-4EECBEBDD1DB}"/>
    <cellStyle name="Normal 5 5 2 4 8 2" xfId="20318" xr:uid="{FF0B0700-2C81-48D2-B3E7-97DDEB03F8F1}"/>
    <cellStyle name="Normal 5 5 2 4 9" xfId="22960" xr:uid="{C2B43556-5293-486B-81DB-B96B19651364}"/>
    <cellStyle name="Normal 5 5 2 5" xfId="1197" xr:uid="{00000000-0005-0000-0000-000073060000}"/>
    <cellStyle name="Normal 5 5 2 5 2" xfId="1198" xr:uid="{00000000-0005-0000-0000-000074060000}"/>
    <cellStyle name="Normal 5 5 2 5 2 2" xfId="7106" xr:uid="{97E7EDD7-21E0-4126-95E3-3D5BD3FF3425}"/>
    <cellStyle name="Normal 5 5 2 5 2 2 2" xfId="28450" xr:uid="{9C440D20-8335-4D3E-88FB-87C4C2F61B76}"/>
    <cellStyle name="Normal 5 5 2 5 2 2 3" xfId="28664" xr:uid="{5E38FB1F-1E9F-4190-8FC2-B039CB915A94}"/>
    <cellStyle name="Normal 5 5 2 5 2 2 4" xfId="17486" xr:uid="{937FDCC8-F30E-4761-A048-6556407477F4}"/>
    <cellStyle name="Normal 5 5 2 5 2 3" xfId="9939" xr:uid="{9CA1C17F-3392-45DB-B2DA-0490BDC17265}"/>
    <cellStyle name="Normal 5 5 2 5 2 3 2" xfId="29434" xr:uid="{E3E74FB9-EC5A-437C-8C55-0A8160E9C3AE}"/>
    <cellStyle name="Normal 5 5 2 5 2 3 3" xfId="20319" xr:uid="{B4EABE79-2C23-4200-92C3-772C5DD0F6FE}"/>
    <cellStyle name="Normal 5 5 2 5 2 4" xfId="23355" xr:uid="{EDD01117-1EC6-4A4C-8E8E-423BA0D6A18F}"/>
    <cellStyle name="Normal 5 5 2 5 2 5" xfId="14653" xr:uid="{4D88578B-E63F-48DA-ABF5-4353C5517A4B}"/>
    <cellStyle name="Normal 5 5 2 5 3" xfId="25918" xr:uid="{03506BAC-CF3B-4C18-AC04-9342DA125D85}"/>
    <cellStyle name="Normal 5 5 2 5 4" xfId="26441" xr:uid="{4E93CD67-1F3F-481C-A7B7-34C0833E5964}"/>
    <cellStyle name="Normal 5 5 2 6" xfId="1199" xr:uid="{00000000-0005-0000-0000-000075060000}"/>
    <cellStyle name="Normal 5 5 2 6 2" xfId="4561" xr:uid="{8276A7AA-FCB1-47CA-A2FC-9B2BCF877972}"/>
    <cellStyle name="Normal 5 5 2 6 2 2" xfId="9333" xr:uid="{26B080D8-BD5E-4EB4-B4AD-CA46C053269B}"/>
    <cellStyle name="Normal 5 5 2 6 2 2 2" xfId="29308" xr:uid="{89DA6ECB-CA1B-4528-A6EE-61F83A43E277}"/>
    <cellStyle name="Normal 5 5 2 6 2 2 3" xfId="19713" xr:uid="{E48EA0F4-AEE7-47B7-B745-03148457C410}"/>
    <cellStyle name="Normal 5 5 2 6 2 3" xfId="12166" xr:uid="{B02950FD-D99E-4032-8B6D-C1E52231EBBE}"/>
    <cellStyle name="Normal 5 5 2 6 2 3 2" xfId="22546" xr:uid="{D95FF548-C712-4EDA-87D3-4349A22F88AE}"/>
    <cellStyle name="Normal 5 5 2 6 2 4" xfId="25715" xr:uid="{84929477-A5FB-4928-8C8D-294C583229ED}"/>
    <cellStyle name="Normal 5 5 2 6 2 5" xfId="16880" xr:uid="{C6F78005-0801-42E2-8376-0D908C22C004}"/>
    <cellStyle name="Normal 5 5 2 6 3" xfId="5354" xr:uid="{48A05F60-D4F2-4B83-B613-2CBC6165E5E1}"/>
    <cellStyle name="Normal 5 5 2 6 3 2" xfId="24892" xr:uid="{0D175454-90D3-4CCA-9686-E97CDB9F5A71}"/>
    <cellStyle name="Normal 5 5 2 6 3 3" xfId="26260" xr:uid="{4269AF45-0528-4BA6-927E-86318ACA96EF}"/>
    <cellStyle name="Normal 5 5 2 6 3 4" xfId="14654" xr:uid="{156AF628-997C-400E-9E3F-57A7B7BF5540}"/>
    <cellStyle name="Normal 5 5 2 6 4" xfId="7107" xr:uid="{0E8AAE1D-A365-43C3-B203-FC032C2FE87E}"/>
    <cellStyle name="Normal 5 5 2 6 4 2" xfId="23400" xr:uid="{E108A015-D190-4F73-A0FD-23706EB998F0}"/>
    <cellStyle name="Normal 5 5 2 6 4 3" xfId="26896" xr:uid="{8EC1E2B5-2905-4409-94C2-CBDDCF0CA440}"/>
    <cellStyle name="Normal 5 5 2 6 4 4" xfId="17487" xr:uid="{3CE4B350-E43D-4D98-B40C-ECB2F93E90D8}"/>
    <cellStyle name="Normal 5 5 2 6 5" xfId="9940" xr:uid="{F113A67F-F1DD-404B-B548-F58CC9F81B59}"/>
    <cellStyle name="Normal 5 5 2 6 5 2" xfId="29435" xr:uid="{2FBE9848-5F1D-494C-84D3-0A9E19001BDA}"/>
    <cellStyle name="Normal 5 5 2 6 5 3" xfId="20320" xr:uid="{1CA482B6-D8C4-4700-A7A8-C4E1FC788323}"/>
    <cellStyle name="Normal 5 5 2 6 6" xfId="24376" xr:uid="{807D5AF4-B7E8-4DCD-8E55-EFD02053F92B}"/>
    <cellStyle name="Normal 5 5 2 6 7" xfId="13975" xr:uid="{F0460784-2F26-41EE-A4DE-BBD8C6CFE42B}"/>
    <cellStyle name="Normal 5 5 2 7" xfId="1200" xr:uid="{00000000-0005-0000-0000-000076060000}"/>
    <cellStyle name="Normal 5 5 2 7 2" xfId="2499" xr:uid="{00000000-0005-0000-0000-000050070000}"/>
    <cellStyle name="Normal 5 5 2 7 2 2" xfId="7624" xr:uid="{F6DD768C-D942-44DD-8091-01DABA0D6258}"/>
    <cellStyle name="Normal 5 5 2 7 2 2 2" xfId="18004" xr:uid="{90D7B603-8C02-4E3A-BF09-F12C3E8CF518}"/>
    <cellStyle name="Normal 5 5 2 7 2 3" xfId="10457" xr:uid="{5235CB24-28B3-40B9-ABD0-15133B835454}"/>
    <cellStyle name="Normal 5 5 2 7 2 3 2" xfId="20837" xr:uid="{5E4DF5BD-93A5-4C49-8A6F-7A526D59B968}"/>
    <cellStyle name="Normal 5 5 2 7 2 4" xfId="26901" xr:uid="{DD12FBF8-136E-4165-B3E5-887D9666185B}"/>
    <cellStyle name="Normal 5 5 2 7 2 5" xfId="15171" xr:uid="{DA4640D9-0BBA-4F23-83D5-D34CF3C3C93A}"/>
    <cellStyle name="Normal 5 5 2 7 3" xfId="2045" xr:uid="{00000000-0005-0000-0000-000076060000}"/>
    <cellStyle name="Normal 5 5 2 7 4" xfId="5355" xr:uid="{F5340E53-A44D-4D2F-8268-301B091803A6}"/>
    <cellStyle name="Normal 5 5 2 7 4 2" xfId="29977" xr:uid="{7FCF4308-91BE-488D-8609-452107706C79}"/>
    <cellStyle name="Normal 5 5 2 7 5" xfId="23655" xr:uid="{93B7D103-7087-4DB4-9D26-26B54F67F15C}"/>
    <cellStyle name="Normal 5 5 2 7 6" xfId="12887" xr:uid="{8BDE6A8E-2D51-4457-B797-A8744BEBBFE7}"/>
    <cellStyle name="Normal 5 5 2 8" xfId="2193" xr:uid="{00000000-0005-0000-0000-000036070000}"/>
    <cellStyle name="Normal 5 5 2 8 2" xfId="7320" xr:uid="{0B26B70C-4DCF-4138-82A2-9510C55056CD}"/>
    <cellStyle name="Normal 5 5 2 8 2 2" xfId="27815" xr:uid="{E268D4D9-8759-4BBE-813E-EC462AB9B798}"/>
    <cellStyle name="Normal 5 5 2 8 2 3" xfId="17700" xr:uid="{E00D0AF2-A52D-4FA2-B48A-62B32F6E3F31}"/>
    <cellStyle name="Normal 5 5 2 8 3" xfId="10153" xr:uid="{A8CF45FA-E702-4ABE-96E7-CB68EABB0CE0}"/>
    <cellStyle name="Normal 5 5 2 8 3 2" xfId="20533" xr:uid="{7CF810AE-1252-45AF-9684-D485DE33027F}"/>
    <cellStyle name="Normal 5 5 2 8 4" xfId="22659" xr:uid="{DE67F111-557B-4B89-AD5E-298F50D38034}"/>
    <cellStyle name="Normal 5 5 2 8 5" xfId="14867" xr:uid="{127FABBD-2796-4667-BEAC-DB9CE5AFA8A4}"/>
    <cellStyle name="Normal 5 5 2 9" xfId="23846" xr:uid="{40AEA223-EE62-4E81-96A5-CE8A1908C6D7}"/>
    <cellStyle name="Normal 5 5 2 9 2" xfId="27746" xr:uid="{33B68088-4913-4D7D-813C-D3BC979A5584}"/>
    <cellStyle name="Normal 5 5 20" xfId="12402" xr:uid="{920A1E59-9943-4B33-9F4E-A937B5EE0288}"/>
    <cellStyle name="Normal 5 5 21" xfId="30066" xr:uid="{E73B1122-48AF-4F54-BECE-BF585A925C8F}"/>
    <cellStyle name="Normal 5 5 22" xfId="30213" xr:uid="{1ACC1A3E-B516-4EE1-AFB6-C22731E4E452}"/>
    <cellStyle name="Normal 5 5 3" xfId="1201" xr:uid="{00000000-0005-0000-0000-000077060000}"/>
    <cellStyle name="Normal 5 5 3 10" xfId="5356" xr:uid="{456F42B0-FDC7-4AC1-BF57-5FBB34825683}"/>
    <cellStyle name="Normal 5 5 3 10 2" xfId="14655" xr:uid="{441A91CA-3B39-4BA2-AA58-911CFE58C0A5}"/>
    <cellStyle name="Normal 5 5 3 11" xfId="7108" xr:uid="{EF7E2884-25DF-4A8A-A804-658FBB21938B}"/>
    <cellStyle name="Normal 5 5 3 11 2" xfId="17488" xr:uid="{F824BE7B-647E-4157-8A69-ED1C21686BC8}"/>
    <cellStyle name="Normal 5 5 3 12" xfId="9941" xr:uid="{B34500C8-B836-41E2-AD32-424C131619F8}"/>
    <cellStyle name="Normal 5 5 3 12 2" xfId="20321" xr:uid="{733F732C-4E98-48F5-B6C2-9689D3022AB3}"/>
    <cellStyle name="Normal 5 5 3 13" xfId="22726" xr:uid="{89692063-D300-45F6-B4DC-8E88388DEB01}"/>
    <cellStyle name="Normal 5 5 3 14" xfId="12462" xr:uid="{562B8F56-0E4A-4E6C-8539-89AD4E39A53D}"/>
    <cellStyle name="Normal 5 5 3 2" xfId="1202" xr:uid="{00000000-0005-0000-0000-000078060000}"/>
    <cellStyle name="Normal 5 5 3 2 10" xfId="9942" xr:uid="{DE90DB23-472F-4DC9-A5D2-E5919C07C289}"/>
    <cellStyle name="Normal 5 5 3 2 10 2" xfId="20322" xr:uid="{C4791485-6491-4A49-966F-A1C9A5D60886}"/>
    <cellStyle name="Normal 5 5 3 2 11" xfId="25058" xr:uid="{9A9F5825-F7A1-40C8-884A-0810AB39EC49}"/>
    <cellStyle name="Normal 5 5 3 2 12" xfId="12616" xr:uid="{7B3EAB81-9AA6-45ED-BF74-895E9A45F7DD}"/>
    <cellStyle name="Normal 5 5 3 2 2" xfId="1203" xr:uid="{00000000-0005-0000-0000-000079060000}"/>
    <cellStyle name="Normal 5 5 3 2 2 2" xfId="3406" xr:uid="{00000000-0005-0000-0000-000054070000}"/>
    <cellStyle name="Normal 5 5 3 2 2 2 2" xfId="6464" xr:uid="{E7480105-5EAA-4C05-A2ED-3E56FF7B07CA}"/>
    <cellStyle name="Normal 5 5 3 2 2 2 2 2" xfId="23389" xr:uid="{6579C5EA-03C2-4905-B2BA-7833C0650A2B}"/>
    <cellStyle name="Normal 5 5 3 2 2 2 2 3" xfId="26320" xr:uid="{37963100-8C4D-410D-B498-49A715F12F1D}"/>
    <cellStyle name="Normal 5 5 3 2 2 2 2 4" xfId="16033" xr:uid="{FC7CE297-E9C4-4E8A-B384-05A6F590E174}"/>
    <cellStyle name="Normal 5 5 3 2 2 2 3" xfId="8486" xr:uid="{9AF4C769-BD12-40D0-B2E5-0DC6FE7BE2AF}"/>
    <cellStyle name="Normal 5 5 3 2 2 2 3 2" xfId="28927" xr:uid="{ACC4B4DE-6F13-48E4-A7C2-ECE1897621B6}"/>
    <cellStyle name="Normal 5 5 3 2 2 2 3 3" xfId="18866" xr:uid="{84DAEF44-DD59-4291-8A39-7AFA1E1F2D1F}"/>
    <cellStyle name="Normal 5 5 3 2 2 2 4" xfId="11319" xr:uid="{567F539D-50B3-4A0A-B7FC-FF3B4D65DA84}"/>
    <cellStyle name="Normal 5 5 3 2 2 2 4 2" xfId="21699" xr:uid="{0EEA066B-8DEF-4345-9D16-51A79A369543}"/>
    <cellStyle name="Normal 5 5 3 2 2 2 5" xfId="24617" xr:uid="{1CE574AF-A5D1-4C5D-BB44-1EC9C5DC51BF}"/>
    <cellStyle name="Normal 5 5 3 2 2 2 6" xfId="13977" xr:uid="{3FFD0F32-1A53-44CA-AC5C-BAB75559B350}"/>
    <cellStyle name="Normal 5 5 3 2 2 3" xfId="4358" xr:uid="{FB5DED6F-4E9F-4956-9132-D1667660322F}"/>
    <cellStyle name="Normal 5 5 3 2 2 3 2" xfId="9130" xr:uid="{0336DB82-CC40-493F-BC7E-EE05B074DF04}"/>
    <cellStyle name="Normal 5 5 3 2 2 3 2 2" xfId="29173" xr:uid="{E0FFC622-6B59-4190-9CE5-A67BE75EC397}"/>
    <cellStyle name="Normal 5 5 3 2 2 3 2 3" xfId="19510" xr:uid="{1C958440-B193-46F0-A017-757FDC6D7615}"/>
    <cellStyle name="Normal 5 5 3 2 2 3 3" xfId="11963" xr:uid="{977EA646-38CD-4B57-97EF-3A5979880242}"/>
    <cellStyle name="Normal 5 5 3 2 2 3 3 2" xfId="22343" xr:uid="{25360484-7FFB-4510-BF26-7D34387ACCB5}"/>
    <cellStyle name="Normal 5 5 3 2 2 3 4" xfId="24250" xr:uid="{3C11B2F3-CF59-4548-92C9-65A7D46AECD7}"/>
    <cellStyle name="Normal 5 5 3 2 2 3 5" xfId="16677" xr:uid="{AAEE34BC-3EED-400E-9F06-1A306FDEEFE9}"/>
    <cellStyle name="Normal 5 5 3 2 2 4" xfId="5358" xr:uid="{E10F6EAE-CF96-47EC-B8B5-09B95CEA86F6}"/>
    <cellStyle name="Normal 5 5 3 2 2 4 2" xfId="26892" xr:uid="{FE0D6A30-EF25-4AEA-A92B-62AD33F5EAF6}"/>
    <cellStyle name="Normal 5 5 3 2 2 4 3" xfId="14657" xr:uid="{4E45BEFB-570F-4186-A416-D136D8E352AF}"/>
    <cellStyle name="Normal 5 5 3 2 2 5" xfId="7110" xr:uid="{C94BB74C-3A91-4292-AA77-C57413BB2FFE}"/>
    <cellStyle name="Normal 5 5 3 2 2 5 2" xfId="17490" xr:uid="{474CB33B-EC55-474B-9E3B-BFA82AE27779}"/>
    <cellStyle name="Normal 5 5 3 2 2 6" xfId="9943" xr:uid="{CFB9ED34-5A32-41DC-808D-9A6C8D0576CF}"/>
    <cellStyle name="Normal 5 5 3 2 2 6 2" xfId="20323" xr:uid="{7AFC8DCF-448E-4800-A6DD-E5A62B69C8AE}"/>
    <cellStyle name="Normal 5 5 3 2 2 7" xfId="24647" xr:uid="{2D341095-51DB-4549-888B-C2BF367FF458}"/>
    <cellStyle name="Normal 5 5 3 2 2 8" xfId="13276" xr:uid="{7C41A364-1F94-4A9A-8BC8-166C83688172}"/>
    <cellStyle name="Normal 5 5 3 2 3" xfId="3407" xr:uid="{00000000-0005-0000-0000-000055070000}"/>
    <cellStyle name="Normal 5 5 3 2 3 2" xfId="4562" xr:uid="{96C5086D-015E-4FAE-9905-A72298283C56}"/>
    <cellStyle name="Normal 5 5 3 2 3 2 2" xfId="9334" xr:uid="{67E26A36-11AE-4A29-8511-D1CF7B1017E6}"/>
    <cellStyle name="Normal 5 5 3 2 3 2 2 2" xfId="29309" xr:uid="{2301B72B-D34C-4C94-9787-19E5D499C880}"/>
    <cellStyle name="Normal 5 5 3 2 3 2 2 3" xfId="19714" xr:uid="{2513DD0D-2A90-4E3B-9FE3-97B1F64D3174}"/>
    <cellStyle name="Normal 5 5 3 2 3 2 3" xfId="12167" xr:uid="{C7F55786-F651-4090-BA9C-72238A0A79C0}"/>
    <cellStyle name="Normal 5 5 3 2 3 2 3 2" xfId="22547" xr:uid="{FA770A09-E417-4A45-86FE-82BDF0AA233D}"/>
    <cellStyle name="Normal 5 5 3 2 3 2 4" xfId="24811" xr:uid="{36D9B331-E89F-46A9-99B5-FF97382973F6}"/>
    <cellStyle name="Normal 5 5 3 2 3 2 5" xfId="16881" xr:uid="{66C7D573-8EE2-4B17-845F-1DABAE8BC7DD}"/>
    <cellStyle name="Normal 5 5 3 2 3 3" xfId="6465" xr:uid="{1FD35532-369E-4AB3-840A-ACBF909A72A5}"/>
    <cellStyle name="Normal 5 5 3 2 3 3 2" xfId="28194" xr:uid="{D30C6959-5345-430D-A752-898148BB14ED}"/>
    <cellStyle name="Normal 5 5 3 2 3 3 3" xfId="16034" xr:uid="{93C0DC4A-6DAE-4861-813F-86425C4D2025}"/>
    <cellStyle name="Normal 5 5 3 2 3 4" xfId="8487" xr:uid="{A5530E9A-0D96-4F24-9A3F-88C8525EC9AF}"/>
    <cellStyle name="Normal 5 5 3 2 3 4 2" xfId="18867" xr:uid="{279A18D5-39D6-414C-B5B5-55E7F5E3688E}"/>
    <cellStyle name="Normal 5 5 3 2 3 5" xfId="11320" xr:uid="{D37DD499-B0E1-442A-AD0D-311E6BF658C2}"/>
    <cellStyle name="Normal 5 5 3 2 3 5 2" xfId="21700" xr:uid="{6B4B354C-1C40-44F3-981F-BC84D7E29FDD}"/>
    <cellStyle name="Normal 5 5 3 2 3 6" xfId="24837" xr:uid="{B0830052-57BF-4E18-AD30-41EFB42E6411}"/>
    <cellStyle name="Normal 5 5 3 2 3 7" xfId="13978" xr:uid="{0FA613A5-4C8A-4372-A92D-3ADFD3F5309B}"/>
    <cellStyle name="Normal 5 5 3 2 4" xfId="3405" xr:uid="{00000000-0005-0000-0000-000056070000}"/>
    <cellStyle name="Normal 5 5 3 2 4 2" xfId="6463" xr:uid="{6AD0319A-2B02-4F43-A7CA-CF1F5D66F6C6}"/>
    <cellStyle name="Normal 5 5 3 2 4 2 2" xfId="26312" xr:uid="{64FC0928-0880-4F12-910D-F8409AED13C7}"/>
    <cellStyle name="Normal 5 5 3 2 4 2 3" xfId="16032" xr:uid="{B7FFE440-985B-4DDE-BE9D-5B472ED89F58}"/>
    <cellStyle name="Normal 5 5 3 2 4 3" xfId="8485" xr:uid="{A69A791C-AB5B-4926-A7BE-B01584419CC5}"/>
    <cellStyle name="Normal 5 5 3 2 4 3 2" xfId="18865" xr:uid="{5CAB69D4-3924-43E2-AAD0-4D6D537F719E}"/>
    <cellStyle name="Normal 5 5 3 2 4 4" xfId="11318" xr:uid="{A5E9B1CF-1A40-498B-86E6-A7DECA86D90F}"/>
    <cellStyle name="Normal 5 5 3 2 4 4 2" xfId="21698" xr:uid="{DA84A1A8-FF62-425D-8C74-9ED688C7B60E}"/>
    <cellStyle name="Normal 5 5 3 2 4 5" xfId="22943" xr:uid="{7551C835-94D9-4F61-A96C-043AFA60FC17}"/>
    <cellStyle name="Normal 5 5 3 2 4 6" xfId="13976" xr:uid="{03F6B80B-08D9-42D3-9DAB-61F864FAB0AE}"/>
    <cellStyle name="Normal 5 5 3 2 5" xfId="2536" xr:uid="{00000000-0005-0000-0000-000057070000}"/>
    <cellStyle name="Normal 5 5 3 2 5 2" xfId="5810" xr:uid="{500B84B4-4BD6-40EC-B25F-D91D2E1043D4}"/>
    <cellStyle name="Normal 5 5 3 2 5 2 2" xfId="26671" xr:uid="{E6D078C9-632B-43F1-A3AC-B26C6B25179A}"/>
    <cellStyle name="Normal 5 5 3 2 5 2 3" xfId="15208" xr:uid="{41FF0603-86C9-4377-B7A6-C58C594710EF}"/>
    <cellStyle name="Normal 5 5 3 2 5 3" xfId="7661" xr:uid="{80C12635-07E8-47F0-B942-36FDC8730632}"/>
    <cellStyle name="Normal 5 5 3 2 5 3 2" xfId="18041" xr:uid="{2C2326AA-B804-4D76-8EE4-123E77EB0105}"/>
    <cellStyle name="Normal 5 5 3 2 5 4" xfId="10494" xr:uid="{4FF09B1C-BF97-42E2-83B5-164182CBFD53}"/>
    <cellStyle name="Normal 5 5 3 2 5 4 2" xfId="20874" xr:uid="{EA39CCBD-998A-439C-AE02-AA411518653E}"/>
    <cellStyle name="Normal 5 5 3 2 5 5" xfId="25350" xr:uid="{59804BE7-6A98-4DB5-B089-960749C03A29}"/>
    <cellStyle name="Normal 5 5 3 2 5 6" xfId="12924" xr:uid="{868AAC3C-8BDE-441D-89CD-5C0006590111}"/>
    <cellStyle name="Normal 5 5 3 2 6" xfId="2382" xr:uid="{00000000-0005-0000-0000-000052070000}"/>
    <cellStyle name="Normal 5 5 3 2 6 2" xfId="7509" xr:uid="{3B6FD838-14E4-47AD-997E-3E4DFF3F2F0B}"/>
    <cellStyle name="Normal 5 5 3 2 6 2 2" xfId="17889" xr:uid="{FF39B6F9-D48C-47CA-9CE1-CD39F3ADAACE}"/>
    <cellStyle name="Normal 5 5 3 2 6 3" xfId="10342" xr:uid="{888701D3-A9B4-48AA-A63C-F78B98915BC4}"/>
    <cellStyle name="Normal 5 5 3 2 6 3 2" xfId="20722" xr:uid="{61EF9B68-5ECC-450A-8272-4F37A8E36E5B}"/>
    <cellStyle name="Normal 5 5 3 2 6 4" xfId="24281" xr:uid="{C27F0CDF-44CB-474F-A9F5-0AC3000892C5}"/>
    <cellStyle name="Normal 5 5 3 2 6 5" xfId="15056" xr:uid="{392F7F30-BB58-4266-A5F3-C322E9BBC5D2}"/>
    <cellStyle name="Normal 5 5 3 2 7" xfId="4026" xr:uid="{63312030-2A9C-4663-932E-5577FE4A2569}"/>
    <cellStyle name="Normal 5 5 3 2 7 2" xfId="8828" xr:uid="{0FF64E3B-7133-4B9C-B3AF-E9854E5E05A5}"/>
    <cellStyle name="Normal 5 5 3 2 7 2 2" xfId="19208" xr:uid="{2CD57BE4-4EAA-4E3F-8BA7-646E49DAF5E0}"/>
    <cellStyle name="Normal 5 5 3 2 7 3" xfId="11661" xr:uid="{0DC6D395-C61F-4D15-8A33-FA21F2E580ED}"/>
    <cellStyle name="Normal 5 5 3 2 7 3 2" xfId="22041" xr:uid="{681AE0DD-A4E1-4F91-A10A-910FADDFFA77}"/>
    <cellStyle name="Normal 5 5 3 2 7 4" xfId="16375" xr:uid="{F4204DCC-0442-4B9C-882A-849C449A92F8}"/>
    <cellStyle name="Normal 5 5 3 2 8" xfId="5357" xr:uid="{04CE837C-8658-4066-93F6-8BAC67C35461}"/>
    <cellStyle name="Normal 5 5 3 2 8 2" xfId="14656" xr:uid="{877BA591-1D54-445F-B6E7-C9D19D52FCAB}"/>
    <cellStyle name="Normal 5 5 3 2 9" xfId="7109" xr:uid="{3970AA2A-4BDF-44C1-951A-08748FE8E826}"/>
    <cellStyle name="Normal 5 5 3 2 9 2" xfId="17489"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10" xr:uid="{00000000-0005-0000-0000-00005A070000}"/>
    <cellStyle name="Normal 5 5 3 3 2 2 2 2" xfId="8489" xr:uid="{3F5165A9-AE88-4D28-AF3C-AED347BCFFE9}"/>
    <cellStyle name="Normal 5 5 3 3 2 2 2 2 2" xfId="28929" xr:uid="{6751F41C-4C44-4B0C-8678-7FF823FECD9C}"/>
    <cellStyle name="Normal 5 5 3 3 2 2 2 2 3" xfId="18869" xr:uid="{0C46DD60-AE4E-4BF0-AD41-59BAB98E9C0B}"/>
    <cellStyle name="Normal 5 5 3 3 2 2 2 3" xfId="11322" xr:uid="{BA7B3DAF-AF81-4F6F-9E4C-BDEDD61C0C31}"/>
    <cellStyle name="Normal 5 5 3 3 2 2 2 3 2" xfId="21702" xr:uid="{512EC35C-8D3B-4E53-995B-0B2E4FCBBB3A}"/>
    <cellStyle name="Normal 5 5 3 3 2 2 2 4" xfId="25100" xr:uid="{B2F1F5AD-ED06-46F0-8FF2-329BAD71BA85}"/>
    <cellStyle name="Normal 5 5 3 3 2 2 2 5" xfId="16036" xr:uid="{C290D445-434F-4158-A64A-B616690A1D18}"/>
    <cellStyle name="Normal 5 5 3 3 2 2 3" xfId="3654" xr:uid="{00000000-0005-0000-0000-00007C060000}"/>
    <cellStyle name="Normal 5 5 3 3 2 2 3 2" xfId="27560" xr:uid="{D7A76E9D-6CD1-4529-BB3E-38008977B488}"/>
    <cellStyle name="Normal 5 5 3 3 2 2 3 3" xfId="27324" xr:uid="{1B2B0B57-551B-4195-B3B1-1771B2582615}"/>
    <cellStyle name="Normal 5 5 3 3 2 2 4" xfId="5359" xr:uid="{0E1F81C9-C0B4-4BD4-BB16-0591CD67C286}"/>
    <cellStyle name="Normal 5 5 3 3 2 2 4 2" xfId="30016" xr:uid="{841FAB47-5025-4265-A99E-A803F6AA2162}"/>
    <cellStyle name="Normal 5 5 3 3 2 2 5" xfId="24695" xr:uid="{E22B5C30-2C6B-4970-B1C3-452F3FFF52A1}"/>
    <cellStyle name="Normal 5 5 3 3 2 2 6" xfId="13980" xr:uid="{C3649F74-66E1-4FD0-90AD-33DFA58BD1ED}"/>
    <cellStyle name="Normal 5 5 3 3 2 3" xfId="3409" xr:uid="{00000000-0005-0000-0000-00005B070000}"/>
    <cellStyle name="Normal 5 5 3 3 2 4" xfId="2811" xr:uid="{00000000-0005-0000-0000-000059070000}"/>
    <cellStyle name="Normal 5 5 3 3 2 4 2" xfId="7934" xr:uid="{A73E06E4-52C6-41C2-A9DE-1360A8EF2073}"/>
    <cellStyle name="Normal 5 5 3 3 2 4 2 2" xfId="25983" xr:uid="{9746B4BB-23E3-4AB4-8C1E-54E016B185AE}"/>
    <cellStyle name="Normal 5 5 3 3 2 4 2 3" xfId="18314" xr:uid="{F60611D6-D7F6-4476-BF99-83546C07164C}"/>
    <cellStyle name="Normal 5 5 3 3 2 4 3" xfId="10767" xr:uid="{5ECCC314-0298-4800-89E5-E4554EF43160}"/>
    <cellStyle name="Normal 5 5 3 3 2 4 3 2" xfId="21147" xr:uid="{F634E57E-2ACB-4738-9EA3-6F08060C9F6A}"/>
    <cellStyle name="Normal 5 5 3 3 2 4 4" xfId="23715" xr:uid="{422C99EC-FA0C-4883-8C15-FBAB8AB12BDA}"/>
    <cellStyle name="Normal 5 5 3 3 2 4 5" xfId="15481" xr:uid="{EDDED4B6-C1B4-4E35-A1C8-B2F304C8BD40}"/>
    <cellStyle name="Normal 5 5 3 3 2 5" xfId="3745" xr:uid="{00000000-0005-0000-0000-0000E2050000}"/>
    <cellStyle name="Normal 5 5 3 3 2 5 2" xfId="3789" xr:uid="{52779A0D-A5E8-4205-873C-EAFFBE836AE9}"/>
    <cellStyle name="Normal 5 5 3 3 2 5 2 2" xfId="30063" xr:uid="{1910AF9B-FC68-4F62-AF08-6D86CA121E52}"/>
    <cellStyle name="Normal 5 5 3 3 2 5 3" xfId="22724" xr:uid="{5EC33E70-0B4D-40F0-A6E8-EF4A4475260D}"/>
    <cellStyle name="Normal 5 5 3 3 2 5 4" xfId="23447" xr:uid="{8571319B-7759-4A87-B13E-0C7FEACCE3F9}"/>
    <cellStyle name="Normal 5 5 3 3 2 5 5" xfId="29759" xr:uid="{5264D2E2-0F3E-4927-B11C-04BE749DA7DF}"/>
    <cellStyle name="Normal 5 5 3 3 2 6" xfId="23174" xr:uid="{585B73B8-12BC-44A6-82F7-7D9C4E64E545}"/>
    <cellStyle name="Normal 5 5 3 3 2 7" xfId="13277" xr:uid="{60854C4E-F5E6-4B50-AA94-02CF9A79D755}"/>
    <cellStyle name="Normal 5 5 3 3 3" xfId="1207" xr:uid="{00000000-0005-0000-0000-00007D060000}"/>
    <cellStyle name="Normal 5 5 3 3 3 2" xfId="3411" xr:uid="{00000000-0005-0000-0000-00005C070000}"/>
    <cellStyle name="Normal 5 5 3 3 3 2 2" xfId="8490" xr:uid="{8CE330F0-3265-4F2B-AB02-47DD44B05B5A}"/>
    <cellStyle name="Normal 5 5 3 3 3 2 2 2" xfId="28930" xr:uid="{F1B2B5CC-612B-46F9-9E9B-A15690CC029B}"/>
    <cellStyle name="Normal 5 5 3 3 3 2 2 3" xfId="18870" xr:uid="{BFD8F8CD-D589-4891-83F8-7C14D35219E3}"/>
    <cellStyle name="Normal 5 5 3 3 3 2 2 4" xfId="30054" xr:uid="{A41E5DE8-1E56-473F-959F-88468AA3F5FC}"/>
    <cellStyle name="Normal 5 5 3 3 3 2 3" xfId="11323" xr:uid="{B2C88099-1FD6-45E4-9D6C-38A61BA53D1B}"/>
    <cellStyle name="Normal 5 5 3 3 3 2 3 2" xfId="21703" xr:uid="{4B2A4E7B-AAFC-485E-B963-ED9DE0293EF0}"/>
    <cellStyle name="Normal 5 5 3 3 3 2 4" xfId="25219" xr:uid="{B8090A63-5F28-4185-8095-4F4ECF2CF9D1}"/>
    <cellStyle name="Normal 5 5 3 3 3 2 5" xfId="25637" xr:uid="{EF68925E-02A3-4EB7-A1D7-ABFE95E794DA}"/>
    <cellStyle name="Normal 5 5 3 3 3 2 6" xfId="16037" xr:uid="{FA327224-DD3D-4B58-AF68-65DB995EA5E3}"/>
    <cellStyle name="Normal 5 5 3 3 3 3" xfId="3559" xr:uid="{00000000-0005-0000-0000-00007D060000}"/>
    <cellStyle name="Normal 5 5 3 3 3 3 2" xfId="25599" xr:uid="{2B2D0F06-3883-4FBB-9729-E6CA70224720}"/>
    <cellStyle name="Normal 5 5 3 3 3 3 2 2" xfId="30048" xr:uid="{7A659987-53B4-495E-8179-4087F207D222}"/>
    <cellStyle name="Normal 5 5 3 3 3 3 3" xfId="23156" xr:uid="{96AA7387-D407-4AAD-A008-F71F5F7B6C65}"/>
    <cellStyle name="Normal 5 5 3 3 3 4" xfId="4563" xr:uid="{1DD4ABF9-0AC6-4128-B006-684E9FE610C9}"/>
    <cellStyle name="Normal 5 5 3 3 3 4 2" xfId="9335" xr:uid="{0AF8BA8E-FDE7-4900-8F7D-B5B329270D40}"/>
    <cellStyle name="Normal 5 5 3 3 3 4 2 2" xfId="19715" xr:uid="{011B26BE-78F4-46EA-A2EE-F16F90DEAD00}"/>
    <cellStyle name="Normal 5 5 3 3 3 4 3" xfId="12168" xr:uid="{BA123514-4E82-4769-AFD3-99A79B6FC726}"/>
    <cellStyle name="Normal 5 5 3 3 3 4 3 2" xfId="22548" xr:uid="{487E197D-AF16-4F9E-8A92-1FE77D609998}"/>
    <cellStyle name="Normal 5 5 3 3 3 4 4" xfId="16882" xr:uid="{2FE929DC-E891-4CAA-9BE8-851030E063C4}"/>
    <cellStyle name="Normal 5 5 3 3 3 5" xfId="5360" xr:uid="{CC91ECF4-6A6D-4E86-9763-C1AB30578AAE}"/>
    <cellStyle name="Normal 5 5 3 3 3 5 2" xfId="29940" xr:uid="{E339A1D7-6EC6-4370-BC26-7A024025A348}"/>
    <cellStyle name="Normal 5 5 3 3 3 6" xfId="23226" xr:uid="{07D2B74A-B30D-4BBA-A7E5-EB342AD9A434}"/>
    <cellStyle name="Normal 5 5 3 3 3 6 2" xfId="29900" xr:uid="{F2429F75-8E7A-4351-BB8B-58392A771C1E}"/>
    <cellStyle name="Normal 5 5 3 3 3 7" xfId="23014" xr:uid="{EEAA545C-FB53-43F8-AC33-2C773C11FF67}"/>
    <cellStyle name="Normal 5 5 3 3 3 8" xfId="13981" xr:uid="{E4637211-795C-4AB7-BFE3-8BF1E9D332EA}"/>
    <cellStyle name="Normal 5 5 3 3 4" xfId="3408" xr:uid="{00000000-0005-0000-0000-00005D070000}"/>
    <cellStyle name="Normal 5 5 3 3 4 2" xfId="6466" xr:uid="{A25B5BAC-44F2-408C-BEC0-85D4D62418DA}"/>
    <cellStyle name="Normal 5 5 3 3 4 2 2" xfId="25789" xr:uid="{192D2398-F9FF-4441-984B-C4D2551A0186}"/>
    <cellStyle name="Normal 5 5 3 3 4 2 3" xfId="26035" xr:uid="{F5FB2520-4BA7-4F5D-9D7C-1AD371AA6455}"/>
    <cellStyle name="Normal 5 5 3 3 4 2 4" xfId="16035" xr:uid="{49A6886E-F465-4B47-B6D8-FA1B4D123904}"/>
    <cellStyle name="Normal 5 5 3 3 4 3" xfId="8488" xr:uid="{6509FA01-A0EC-456E-A862-DAF49E6D20AA}"/>
    <cellStyle name="Normal 5 5 3 3 4 3 2" xfId="28928" xr:uid="{C4D81208-22B8-4018-90E0-7C9AF6EA32DF}"/>
    <cellStyle name="Normal 5 5 3 3 4 3 3" xfId="18868" xr:uid="{A8B22BD6-03F8-4DC4-A58F-AA0434136367}"/>
    <cellStyle name="Normal 5 5 3 3 4 4" xfId="11321" xr:uid="{6D331C84-8C36-4A27-AE3A-3F13C509601A}"/>
    <cellStyle name="Normal 5 5 3 3 4 4 2" xfId="21701" xr:uid="{7EE082D5-2FF2-414E-BAC4-A4CFC4A84400}"/>
    <cellStyle name="Normal 5 5 3 3 4 5" xfId="25081" xr:uid="{D6155E76-2395-4DDF-B9B2-493347F428B3}"/>
    <cellStyle name="Normal 5 5 3 3 4 6" xfId="26255" xr:uid="{7E1F3624-729A-4E27-B35B-DA8D4DBE72A3}"/>
    <cellStyle name="Normal 5 5 3 3 4 7" xfId="13979" xr:uid="{6DB07B96-4051-4092-A480-E23365CF7508}"/>
    <cellStyle name="Normal 5 5 3 3 5" xfId="2638" xr:uid="{00000000-0005-0000-0000-00005E070000}"/>
    <cellStyle name="Normal 5 5 3 3 5 2" xfId="5900" xr:uid="{186A16A8-69D8-4703-B34E-7A9DDBD16197}"/>
    <cellStyle name="Normal 5 5 3 3 5 2 2" xfId="15310" xr:uid="{B088E4D3-F857-46C0-8CFC-6124F53F86C1}"/>
    <cellStyle name="Normal 5 5 3 3 5 3" xfId="7763" xr:uid="{050DE08B-BA64-40DB-9D1D-AEF1C52A83B7}"/>
    <cellStyle name="Normal 5 5 3 3 5 3 2" xfId="18143" xr:uid="{8DF48DD9-C2EA-4C9A-8DF1-BAB4B426AF08}"/>
    <cellStyle name="Normal 5 5 3 3 5 4" xfId="10596" xr:uid="{9F692D93-A96D-468A-854F-99454616E6E8}"/>
    <cellStyle name="Normal 5 5 3 3 5 4 2" xfId="20976" xr:uid="{1DEB8ED8-0F2D-420E-96E7-28EEC59C295E}"/>
    <cellStyle name="Normal 5 5 3 3 5 5" xfId="23016" xr:uid="{5B4EE627-4904-4A06-88F3-0F60708F9BC4}"/>
    <cellStyle name="Normal 5 5 3 3 5 6" xfId="25980" xr:uid="{AD89A197-A5CB-450F-8245-D9DE37D4C38D}"/>
    <cellStyle name="Normal 5 5 3 3 5 7" xfId="13027" xr:uid="{7B6E7E67-601D-400B-BF29-11CFF4D4B6EA}"/>
    <cellStyle name="Normal 5 5 3 3 6" xfId="2125" xr:uid="{00000000-0005-0000-0000-0000AB020000}"/>
    <cellStyle name="Normal 5 5 3 3 6 2" xfId="4650" xr:uid="{39152408-330A-44B7-900D-FA6E2B529A91}"/>
    <cellStyle name="Normal 5 5 3 3 6 3" xfId="29695" xr:uid="{4095137F-9745-44C4-8DEE-B27A50018217}"/>
    <cellStyle name="Normal 5 5 3 3 7" xfId="4027" xr:uid="{56D1BCD9-EAD7-442F-BEF3-F5DBF0F48EA4}"/>
    <cellStyle name="Normal 5 5 3 3 7 2" xfId="4756" xr:uid="{3B2AE6C9-CD41-44A4-85EB-03A4D5B5EDAD}"/>
    <cellStyle name="Normal 5 5 3 3 7 2 2" xfId="27785" xr:uid="{580A303F-6BB4-45D3-9C35-7FFFABBC7C95}"/>
    <cellStyle name="Normal 5 5 3 3 7 3" xfId="26288" xr:uid="{E0BDAE02-0061-4AD1-A851-0C0422048092}"/>
    <cellStyle name="Normal 5 5 3 3 7 4" xfId="26362" xr:uid="{2BB7C9BC-9F92-46B9-A4E8-54E7EDCFB1FE}"/>
    <cellStyle name="Normal 5 5 3 3 7 5" xfId="29813" xr:uid="{07FFB2D0-D359-4E30-8681-581F0D9EB8A8}"/>
    <cellStyle name="Normal 5 5 3 3 8" xfId="29912" xr:uid="{A1238B26-D7BF-4D2B-8025-A70744FC6A32}"/>
    <cellStyle name="Normal 5 5 3 3 9" xfId="29864" xr:uid="{6C08DF1E-5A7F-4AF8-A652-18B3E4407357}"/>
    <cellStyle name="Normal 5 5 3 4" xfId="1208" xr:uid="{00000000-0005-0000-0000-00007E060000}"/>
    <cellStyle name="Normal 5 5 3 4 2" xfId="3412" xr:uid="{00000000-0005-0000-0000-000060070000}"/>
    <cellStyle name="Normal 5 5 3 4 2 2" xfId="6467" xr:uid="{091CA45F-1415-4786-BD74-62F2691D01A0}"/>
    <cellStyle name="Normal 5 5 3 4 2 2 2" xfId="25689" xr:uid="{D369BE46-53A2-4165-A63E-6DCF57B1B6B5}"/>
    <cellStyle name="Normal 5 5 3 4 2 2 3" xfId="16038" xr:uid="{A22DF215-B07D-4574-ACFB-178005758E72}"/>
    <cellStyle name="Normal 5 5 3 4 2 3" xfId="8491" xr:uid="{7A3C8F66-00F3-4E69-8FCE-2A1F17232FEE}"/>
    <cellStyle name="Normal 5 5 3 4 2 3 2" xfId="18871" xr:uid="{C9D05A51-96C9-44ED-A367-714CCD54E03B}"/>
    <cellStyle name="Normal 5 5 3 4 2 4" xfId="11324" xr:uid="{0BEEC87B-62C8-49C3-A718-6F4DA063F65A}"/>
    <cellStyle name="Normal 5 5 3 4 2 4 2" xfId="21704" xr:uid="{68FC661A-8C76-42A0-813F-166B20BE874E}"/>
    <cellStyle name="Normal 5 5 3 4 2 5" xfId="23339" xr:uid="{5D6AA472-3A32-4EF8-A05D-4D0479AF9BA0}"/>
    <cellStyle name="Normal 5 5 3 4 2 6" xfId="13982" xr:uid="{B9E238CB-6508-4CA3-B03E-8A79E05F87E3}"/>
    <cellStyle name="Normal 5 5 3 4 3" xfId="2810" xr:uid="{00000000-0005-0000-0000-000061070000}"/>
    <cellStyle name="Normal 5 5 3 4 3 2" xfId="6027" xr:uid="{1A84E262-5C66-4876-8988-B9C64750BC56}"/>
    <cellStyle name="Normal 5 5 3 4 3 2 2" xfId="25834" xr:uid="{75B92EC5-AA87-49FE-8CB9-5908B1535483}"/>
    <cellStyle name="Normal 5 5 3 4 3 2 3" xfId="15480" xr:uid="{C6697673-7266-4EEF-92D7-303A24FB0548}"/>
    <cellStyle name="Normal 5 5 3 4 3 3" xfId="7933" xr:uid="{0A15193D-FDFF-4EC3-A906-BC56E5F6002D}"/>
    <cellStyle name="Normal 5 5 3 4 3 3 2" xfId="18313" xr:uid="{156F1083-34F8-4A57-BB95-66C45D08E8A1}"/>
    <cellStyle name="Normal 5 5 3 4 3 4" xfId="10766" xr:uid="{68489397-CF2F-45B8-A765-1909E9CA44D4}"/>
    <cellStyle name="Normal 5 5 3 4 3 4 2" xfId="21146" xr:uid="{BB5C1C8E-2064-4637-B49F-93C358380D67}"/>
    <cellStyle name="Normal 5 5 3 4 3 5" xfId="22774" xr:uid="{0A156C61-6A99-49A7-A4D6-58E67D3277ED}"/>
    <cellStyle name="Normal 5 5 3 4 3 6" xfId="13275" xr:uid="{1C9D7B34-B27F-4326-A60F-35EE8630D162}"/>
    <cellStyle name="Normal 5 5 3 4 4" xfId="4206" xr:uid="{EFB807DE-F504-4F73-8F65-B660665FEC0D}"/>
    <cellStyle name="Normal 5 5 3 4 4 2" xfId="8978" xr:uid="{1598C217-6F5B-428E-A1FB-07FEF1C8031C}"/>
    <cellStyle name="Normal 5 5 3 4 4 2 2" xfId="19358" xr:uid="{CD108EAB-65B3-40E1-A655-815E862C7618}"/>
    <cellStyle name="Normal 5 5 3 4 4 3" xfId="11811" xr:uid="{B3749756-E62E-45C4-8812-35F065F09F12}"/>
    <cellStyle name="Normal 5 5 3 4 4 3 2" xfId="22191" xr:uid="{3CEE6DF3-83F1-4AF7-B6BC-B0A801425AEC}"/>
    <cellStyle name="Normal 5 5 3 4 4 4" xfId="24101" xr:uid="{BEB9EC4F-9B65-4276-A9CD-9404B0C4922D}"/>
    <cellStyle name="Normal 5 5 3 4 4 5" xfId="16525" xr:uid="{4C658C52-180C-4C57-AD4A-70F3D616DAAF}"/>
    <cellStyle name="Normal 5 5 3 4 5" xfId="5361" xr:uid="{5AB1D085-E211-4002-9A68-A779FB65A4A7}"/>
    <cellStyle name="Normal 5 5 3 4 5 2" xfId="14658" xr:uid="{79F76784-48D1-494A-A462-8B146DB212BC}"/>
    <cellStyle name="Normal 5 5 3 4 6" xfId="7111" xr:uid="{F1C2CF29-7FED-44EA-A7B8-4D977008F5A1}"/>
    <cellStyle name="Normal 5 5 3 4 6 2" xfId="17491" xr:uid="{6FA4D063-4557-496A-B0E1-3528238FE0ED}"/>
    <cellStyle name="Normal 5 5 3 4 7" xfId="9944" xr:uid="{B348D9BA-F377-446F-A189-975FF517BE34}"/>
    <cellStyle name="Normal 5 5 3 4 7 2" xfId="20324" xr:uid="{D56EEEB7-862E-4E75-84EE-5354199E21C2}"/>
    <cellStyle name="Normal 5 5 3 4 8" xfId="25010" xr:uid="{1B5984A8-BDFF-436B-BDA1-C2D38884C3F2}"/>
    <cellStyle name="Normal 5 5 3 4 9" xfId="12774" xr:uid="{207A05E2-44FD-49D4-BB57-844DD163A47F}"/>
    <cellStyle name="Normal 5 5 3 5" xfId="1209" xr:uid="{00000000-0005-0000-0000-00007F060000}"/>
    <cellStyle name="Normal 5 5 3 5 2" xfId="4564" xr:uid="{1BCA9013-97FB-47C4-86AC-6325ACCED00E}"/>
    <cellStyle name="Normal 5 5 3 5 2 2" xfId="9336" xr:uid="{1B079D11-66EE-43CD-B4C1-5CF70D817D4E}"/>
    <cellStyle name="Normal 5 5 3 5 2 2 2" xfId="29310" xr:uid="{28677310-8D44-47B2-8A3B-AA3433DF51E8}"/>
    <cellStyle name="Normal 5 5 3 5 2 2 3" xfId="19716" xr:uid="{5C607BAB-2769-4ECF-BFFA-54B73665BD0B}"/>
    <cellStyle name="Normal 5 5 3 5 2 3" xfId="12169" xr:uid="{25BC621A-EE9D-4329-BB95-F36DE3E1A7D0}"/>
    <cellStyle name="Normal 5 5 3 5 2 3 2" xfId="22549" xr:uid="{8D004C08-7D11-4892-83BD-4F86601205B7}"/>
    <cellStyle name="Normal 5 5 3 5 2 4" xfId="25654" xr:uid="{702AAE8B-8E10-478F-A88A-D4C689F0EC6E}"/>
    <cellStyle name="Normal 5 5 3 5 2 5" xfId="16883" xr:uid="{BA22D103-A3F5-4026-881A-D17B5200DFF6}"/>
    <cellStyle name="Normal 5 5 3 5 3" xfId="5362" xr:uid="{6F1DB607-BB13-42A8-8622-597EC7CCA09E}"/>
    <cellStyle name="Normal 5 5 3 5 3 2" xfId="28575" xr:uid="{598316B3-EE8C-4832-89FF-6741A61A0620}"/>
    <cellStyle name="Normal 5 5 3 5 3 3" xfId="14659" xr:uid="{EE5464CF-BE4B-40D0-A089-A1091CE52773}"/>
    <cellStyle name="Normal 5 5 3 5 4" xfId="7112" xr:uid="{B8FC9F61-DCB1-434B-9165-2BF6972D01BF}"/>
    <cellStyle name="Normal 5 5 3 5 4 2" xfId="17492" xr:uid="{E69F58FD-2F5C-43CA-AD58-447F718E2EEA}"/>
    <cellStyle name="Normal 5 5 3 5 5" xfId="9945" xr:uid="{2068F8F9-21BD-4D3A-B3A3-758FC908E522}"/>
    <cellStyle name="Normal 5 5 3 5 5 2" xfId="20325" xr:uid="{791DC83C-7EEC-4BB2-95C3-33D2C0D6393F}"/>
    <cellStyle name="Normal 5 5 3 5 6" xfId="22706" xr:uid="{26E8B065-FA68-4C76-94AC-0F6A43DAD136}"/>
    <cellStyle name="Normal 5 5 3 5 7" xfId="13983" xr:uid="{3CF2D734-478E-42BA-BA56-5D9DB3FC7DD6}"/>
    <cellStyle name="Normal 5 5 3 6" xfId="2966" xr:uid="{00000000-0005-0000-0000-000063070000}"/>
    <cellStyle name="Normal 5 5 3 6 2" xfId="6131" xr:uid="{0E37E037-9851-4EB9-A3C2-64BD356B9540}"/>
    <cellStyle name="Normal 5 5 3 6 2 2" xfId="25425" xr:uid="{1148EB6E-F740-4167-874A-A1EF65DB568B}"/>
    <cellStyle name="Normal 5 5 3 6 2 3" xfId="15609" xr:uid="{E621157B-6D27-443E-9F26-16E7CBD38180}"/>
    <cellStyle name="Normal 5 5 3 6 3" xfId="8062" xr:uid="{F10D5E6D-B385-4559-A109-D58207B8982F}"/>
    <cellStyle name="Normal 5 5 3 6 3 2" xfId="18442" xr:uid="{C50D9187-302B-4068-A26B-8A8CB3E158FC}"/>
    <cellStyle name="Normal 5 5 3 6 4" xfId="10895" xr:uid="{C921355E-72F7-4125-BAB7-52A6FE548BBF}"/>
    <cellStyle name="Normal 5 5 3 6 4 2" xfId="21275" xr:uid="{9E3667AD-B115-4E65-8125-DC2EA7D4A56D}"/>
    <cellStyle name="Normal 5 5 3 6 5" xfId="24770" xr:uid="{B7E804C6-D9AD-4DE6-A2A9-10FF544E0EF0}"/>
    <cellStyle name="Normal 5 5 3 6 6" xfId="13472" xr:uid="{9A3195F6-BF57-4B18-8247-833348BDB7E5}"/>
    <cellStyle name="Normal 5 5 3 7" xfId="2476" xr:uid="{00000000-0005-0000-0000-000064070000}"/>
    <cellStyle name="Normal 5 5 3 7 2" xfId="5764" xr:uid="{E07183B6-D25C-4CC0-AE13-2A38EE114993}"/>
    <cellStyle name="Normal 5 5 3 7 2 2" xfId="28402" xr:uid="{507B183A-3DB4-4009-B4C0-4F1576EFF074}"/>
    <cellStyle name="Normal 5 5 3 7 2 3" xfId="15148" xr:uid="{652D18B1-F5FF-4845-BFD1-FF8917671EC2}"/>
    <cellStyle name="Normal 5 5 3 7 3" xfId="7601" xr:uid="{18DAE69B-A4F7-477F-8762-6CE1E368E732}"/>
    <cellStyle name="Normal 5 5 3 7 3 2" xfId="17981" xr:uid="{7D96E94B-8809-4955-8F45-38DBBA2CE966}"/>
    <cellStyle name="Normal 5 5 3 7 4" xfId="10434" xr:uid="{44B3FFAF-869E-44AB-B931-CDF9E98397FF}"/>
    <cellStyle name="Normal 5 5 3 7 4 2" xfId="20814" xr:uid="{209C42BD-D008-4B39-A856-564FE070366E}"/>
    <cellStyle name="Normal 5 5 3 7 5" xfId="22730" xr:uid="{6943EE8A-2B33-45B4-95F9-C2EDD1961D07}"/>
    <cellStyle name="Normal 5 5 3 7 6" xfId="12864" xr:uid="{2B0515C8-907A-485B-A591-F0A2A639DF21}"/>
    <cellStyle name="Normal 5 5 3 8" xfId="2230" xr:uid="{00000000-0005-0000-0000-000051070000}"/>
    <cellStyle name="Normal 5 5 3 8 2" xfId="7357" xr:uid="{1618AD18-7B7B-424F-9BEB-D299222C55F2}"/>
    <cellStyle name="Normal 5 5 3 8 2 2" xfId="17737" xr:uid="{83869EBC-213B-40D0-96E1-A1D651B52F92}"/>
    <cellStyle name="Normal 5 5 3 8 3" xfId="10190" xr:uid="{48FB3034-9292-4116-8449-599FDAB40BBA}"/>
    <cellStyle name="Normal 5 5 3 8 3 2" xfId="20570" xr:uid="{57755D7B-7216-4DBE-9B79-50915AF1F3AA}"/>
    <cellStyle name="Normal 5 5 3 8 4" xfId="23117" xr:uid="{D9EF2FC2-8CF3-4C7B-9CFB-936A7DC6878C}"/>
    <cellStyle name="Normal 5 5 3 8 5" xfId="14904" xr:uid="{B773A80F-07C8-4906-B155-A12AE8E35E9E}"/>
    <cellStyle name="Normal 5 5 3 9" xfId="4025" xr:uid="{04E98241-B413-4763-8D87-0C12090244E0}"/>
    <cellStyle name="Normal 5 5 3 9 2" xfId="8827" xr:uid="{2DD4E885-8CED-468B-A0EA-21DF2E8F00A5}"/>
    <cellStyle name="Normal 5 5 3 9 2 2" xfId="19207" xr:uid="{19E384D0-B5F7-4808-B416-14EE8B359BA2}"/>
    <cellStyle name="Normal 5 5 3 9 3" xfId="11660" xr:uid="{D509F8F9-2213-4B96-AEE4-7A6AAADF8F18}"/>
    <cellStyle name="Normal 5 5 3 9 3 2" xfId="22040" xr:uid="{A762BF18-54D9-4BB2-80CE-D7CF47DBE619}"/>
    <cellStyle name="Normal 5 5 3 9 4" xfId="16374" xr:uid="{93FEC0E4-2C60-4A83-9D0A-395AD443D74E}"/>
    <cellStyle name="Normal 5 5 4" xfId="1210" xr:uid="{00000000-0005-0000-0000-000080060000}"/>
    <cellStyle name="Normal 5 5 4 10" xfId="7113" xr:uid="{6E24754F-4139-496A-B256-B3A7608A1E70}"/>
    <cellStyle name="Normal 5 5 4 10 2" xfId="17493" xr:uid="{FEFC9BE0-9D2E-4273-901D-6405ADC29F6E}"/>
    <cellStyle name="Normal 5 5 4 11" xfId="9946" xr:uid="{4E506426-856D-48E1-9830-436B16A4402B}"/>
    <cellStyle name="Normal 5 5 4 11 2" xfId="20326" xr:uid="{56B19307-4070-41C7-97F4-984C9C4ACD71}"/>
    <cellStyle name="Normal 5 5 4 12" xfId="22669" xr:uid="{66F7D1B5-E539-4153-9F8D-61F382AE08F9}"/>
    <cellStyle name="Normal 5 5 4 13" xfId="12442" xr:uid="{1DD33C2E-3DF1-4199-9780-FE1826973C76}"/>
    <cellStyle name="Normal 5 5 4 2" xfId="1211" xr:uid="{00000000-0005-0000-0000-000081060000}"/>
    <cellStyle name="Normal 5 5 4 2 10" xfId="9947" xr:uid="{0AA280C8-05D0-4EDD-A0F0-25F6C4C0E2C2}"/>
    <cellStyle name="Normal 5 5 4 2 10 2" xfId="20327" xr:uid="{B38EED4E-B7E8-43A6-A452-0F3F6AC3A192}"/>
    <cellStyle name="Normal 5 5 4 2 11" xfId="25517" xr:uid="{1F8836FE-5842-48CD-9C27-7130A11C0DF8}"/>
    <cellStyle name="Normal 5 5 4 2 12" xfId="12617" xr:uid="{4ED1B215-A62B-4224-9B08-1DB86D03310D}"/>
    <cellStyle name="Normal 5 5 4 2 2" xfId="1212" xr:uid="{00000000-0005-0000-0000-000082060000}"/>
    <cellStyle name="Normal 5 5 4 2 2 2" xfId="3414" xr:uid="{00000000-0005-0000-0000-000068070000}"/>
    <cellStyle name="Normal 5 5 4 2 2 2 2" xfId="6469" xr:uid="{7CCB15D9-59C9-4526-9A31-724CBEB58938}"/>
    <cellStyle name="Normal 5 5 4 2 2 2 2 2" xfId="27148" xr:uid="{D8DD4CAC-C2B0-4A8C-AB8C-C0B64925EFE3}"/>
    <cellStyle name="Normal 5 5 4 2 2 2 2 3" xfId="27851" xr:uid="{183AD068-030C-4CFA-9598-24BADC3E24B2}"/>
    <cellStyle name="Normal 5 5 4 2 2 2 2 4" xfId="16040" xr:uid="{FBBC1EA9-0576-414A-A822-1E8A36E7878C}"/>
    <cellStyle name="Normal 5 5 4 2 2 2 3" xfId="8493" xr:uid="{7C67B0EB-6874-490A-AB6F-C0E9C43E16A5}"/>
    <cellStyle name="Normal 5 5 4 2 2 2 3 2" xfId="28931" xr:uid="{F9ABDF4E-3479-4731-9FBD-0A7A6F62AC8C}"/>
    <cellStyle name="Normal 5 5 4 2 2 2 3 3" xfId="18873" xr:uid="{1D7D140A-B2B0-4829-A203-C0CCB8E5AD57}"/>
    <cellStyle name="Normal 5 5 4 2 2 2 4" xfId="11326" xr:uid="{BDFB2532-6171-4425-AE58-C640DC6D5C99}"/>
    <cellStyle name="Normal 5 5 4 2 2 2 4 2" xfId="21706" xr:uid="{A6731636-272C-431C-A233-91D4C9F41C59}"/>
    <cellStyle name="Normal 5 5 4 2 2 2 5" xfId="24759" xr:uid="{5E5A21BD-C085-4EBD-8AF6-13C09DC8FD76}"/>
    <cellStyle name="Normal 5 5 4 2 2 2 6" xfId="13985" xr:uid="{25FFA09B-B9F9-4E37-8D5D-5125888B0D71}"/>
    <cellStyle name="Normal 5 5 4 2 2 3" xfId="4359" xr:uid="{88387237-01E0-4B25-8BE5-8B2376BBC437}"/>
    <cellStyle name="Normal 5 5 4 2 2 3 2" xfId="9131" xr:uid="{C2F40767-A121-40AD-A68A-26A92CB2DAB8}"/>
    <cellStyle name="Normal 5 5 4 2 2 3 2 2" xfId="29174" xr:uid="{0DBDF345-5003-44B1-81F2-DF78F3F02DB5}"/>
    <cellStyle name="Normal 5 5 4 2 2 3 2 3" xfId="19511" xr:uid="{98EF1CBC-575B-4F9E-AD57-B6D00E5F04A9}"/>
    <cellStyle name="Normal 5 5 4 2 2 3 3" xfId="11964" xr:uid="{D26025B7-29BB-40AF-AF33-59D08E610285}"/>
    <cellStyle name="Normal 5 5 4 2 2 3 3 2" xfId="22344" xr:uid="{A3B4DB2D-13D6-4FC1-84DB-0774CA906768}"/>
    <cellStyle name="Normal 5 5 4 2 2 3 4" xfId="25176" xr:uid="{61DBC9B9-1E71-4285-9860-27A3D1877045}"/>
    <cellStyle name="Normal 5 5 4 2 2 3 5" xfId="16678" xr:uid="{732B4A0F-9AA6-4BBD-9BA9-43C9B926872C}"/>
    <cellStyle name="Normal 5 5 4 2 2 4" xfId="5365" xr:uid="{0F610BEE-9DE4-4777-8999-E564D9E55943}"/>
    <cellStyle name="Normal 5 5 4 2 2 4 2" xfId="28589" xr:uid="{BE178C20-6377-4C6C-BDB1-3FD1588CEB5D}"/>
    <cellStyle name="Normal 5 5 4 2 2 4 3" xfId="14662" xr:uid="{9FFCFC9D-9C47-4ECB-81BE-AAC034414419}"/>
    <cellStyle name="Normal 5 5 4 2 2 5" xfId="7115" xr:uid="{A101A71D-F59C-4077-B1E0-6EC2FA54C6C6}"/>
    <cellStyle name="Normal 5 5 4 2 2 5 2" xfId="17495" xr:uid="{5700200F-39FB-42A2-B68A-B7B1A184B99E}"/>
    <cellStyle name="Normal 5 5 4 2 2 6" xfId="9948" xr:uid="{81343349-F28D-4BE8-B042-92BC99D6E794}"/>
    <cellStyle name="Normal 5 5 4 2 2 6 2" xfId="20328" xr:uid="{672AA7D8-40C0-41E9-A770-249F7667571C}"/>
    <cellStyle name="Normal 5 5 4 2 2 7" xfId="24135" xr:uid="{6FC67304-0A44-4136-96E5-88EF5A100FCF}"/>
    <cellStyle name="Normal 5 5 4 2 2 8" xfId="13279" xr:uid="{745892F2-0B91-467A-A005-39AED4451CCE}"/>
    <cellStyle name="Normal 5 5 4 2 3" xfId="3415" xr:uid="{00000000-0005-0000-0000-000069070000}"/>
    <cellStyle name="Normal 5 5 4 2 3 2" xfId="4565" xr:uid="{59E9896A-4AE0-410C-A3ED-3816DD832625}"/>
    <cellStyle name="Normal 5 5 4 2 3 2 2" xfId="9337" xr:uid="{D5B29995-C094-4271-9B4B-E6B4761B42CE}"/>
    <cellStyle name="Normal 5 5 4 2 3 2 2 2" xfId="29311" xr:uid="{9E676E7D-8273-4182-875D-83226C40ECF7}"/>
    <cellStyle name="Normal 5 5 4 2 3 2 2 3" xfId="19717" xr:uid="{754A0F1A-A96C-434B-BA8D-594D18240134}"/>
    <cellStyle name="Normal 5 5 4 2 3 2 3" xfId="12170" xr:uid="{A533C767-AE59-4618-8077-BC4435917938}"/>
    <cellStyle name="Normal 5 5 4 2 3 2 3 2" xfId="22550" xr:uid="{28EDD1D9-13C6-4097-A370-AC37D8CD4DB4}"/>
    <cellStyle name="Normal 5 5 4 2 3 2 4" xfId="24830" xr:uid="{07C40AB1-3864-423F-9D25-E01807021BC3}"/>
    <cellStyle name="Normal 5 5 4 2 3 2 5" xfId="16884" xr:uid="{8C01C22A-4D6C-482B-96D7-EE9F25C85FF6}"/>
    <cellStyle name="Normal 5 5 4 2 3 3" xfId="6470" xr:uid="{50345F73-2533-4705-B684-4F6C37935228}"/>
    <cellStyle name="Normal 5 5 4 2 3 3 2" xfId="28178" xr:uid="{B46D0BE0-1686-4D95-8913-518271E217B1}"/>
    <cellStyle name="Normal 5 5 4 2 3 3 3" xfId="16041" xr:uid="{27D10CD0-AA74-4768-95AF-34104D115929}"/>
    <cellStyle name="Normal 5 5 4 2 3 4" xfId="8494" xr:uid="{FC48BE13-1A01-48D6-B418-4542DED64E07}"/>
    <cellStyle name="Normal 5 5 4 2 3 4 2" xfId="18874" xr:uid="{34F15F65-921B-4CFE-A494-3BBF0EC21721}"/>
    <cellStyle name="Normal 5 5 4 2 3 5" xfId="11327" xr:uid="{4118BB6B-36ED-4676-9F40-AD7DB8EBCCE5}"/>
    <cellStyle name="Normal 5 5 4 2 3 5 2" xfId="21707" xr:uid="{C9271C97-0E97-44DE-8798-E7CA744D3D07}"/>
    <cellStyle name="Normal 5 5 4 2 3 6" xfId="24742" xr:uid="{D9047DF0-A0F0-4CB2-8500-ECE08094FFDF}"/>
    <cellStyle name="Normal 5 5 4 2 3 7" xfId="13986" xr:uid="{9857581E-720F-409C-BCF2-FA313C3412CB}"/>
    <cellStyle name="Normal 5 5 4 2 4" xfId="3413" xr:uid="{00000000-0005-0000-0000-00006A070000}"/>
    <cellStyle name="Normal 5 5 4 2 4 2" xfId="6468" xr:uid="{46726510-68DC-4E96-B0A0-9BE440840691}"/>
    <cellStyle name="Normal 5 5 4 2 4 2 2" xfId="28241" xr:uid="{E2FD7BA4-3D4A-4D80-BF4E-F4C3319F1363}"/>
    <cellStyle name="Normal 5 5 4 2 4 2 3" xfId="16039" xr:uid="{45DE6920-2544-41FE-B361-9B5DCE5E57BD}"/>
    <cellStyle name="Normal 5 5 4 2 4 3" xfId="8492" xr:uid="{99687D84-51A5-41C8-B083-20C6F10B23E2}"/>
    <cellStyle name="Normal 5 5 4 2 4 3 2" xfId="18872" xr:uid="{6F29B5F1-55CC-4EA7-8AFF-CD39617D1847}"/>
    <cellStyle name="Normal 5 5 4 2 4 4" xfId="11325" xr:uid="{0D6D5259-8272-43A1-BD9D-8464EE323750}"/>
    <cellStyle name="Normal 5 5 4 2 4 4 2" xfId="21705" xr:uid="{0B467AE6-D095-4E01-B1C6-9AD0529DB5E0}"/>
    <cellStyle name="Normal 5 5 4 2 4 5" xfId="25039" xr:uid="{09364949-5879-4291-B804-203D2A370A8A}"/>
    <cellStyle name="Normal 5 5 4 2 4 6" xfId="13984" xr:uid="{AFBEAF81-F45E-4B32-B12A-29043B6E9BDE}"/>
    <cellStyle name="Normal 5 5 4 2 5" xfId="2619" xr:uid="{00000000-0005-0000-0000-00006B070000}"/>
    <cellStyle name="Normal 5 5 4 2 5 2" xfId="5881" xr:uid="{BCB80E92-130F-4393-92A6-CF74E5E3FAA1}"/>
    <cellStyle name="Normal 5 5 4 2 5 2 2" xfId="26990" xr:uid="{462CA211-B977-4C0A-85C4-62A92E2ADAE2}"/>
    <cellStyle name="Normal 5 5 4 2 5 2 3" xfId="15291" xr:uid="{6F136D58-4914-4CCE-8629-4C8A37EE3A7D}"/>
    <cellStyle name="Normal 5 5 4 2 5 3" xfId="7744" xr:uid="{5AFD0B02-50B9-4405-8F1F-E60FB6DD50A1}"/>
    <cellStyle name="Normal 5 5 4 2 5 3 2" xfId="18124" xr:uid="{424688BD-541F-480A-8C28-374855ACE59E}"/>
    <cellStyle name="Normal 5 5 4 2 5 4" xfId="10577" xr:uid="{0DB40406-B413-4DFA-8FCF-2748CAAC8D77}"/>
    <cellStyle name="Normal 5 5 4 2 5 4 2" xfId="20957" xr:uid="{34B33404-AE11-4CD5-B582-902D4626A0B7}"/>
    <cellStyle name="Normal 5 5 4 2 5 5" xfId="23321" xr:uid="{D4A6F583-1A92-41C7-8A6A-0946187BA285}"/>
    <cellStyle name="Normal 5 5 4 2 5 6" xfId="13007" xr:uid="{09811C73-DF46-4F22-8131-516A2881FD25}"/>
    <cellStyle name="Normal 5 5 4 2 6" xfId="2383" xr:uid="{00000000-0005-0000-0000-000066070000}"/>
    <cellStyle name="Normal 5 5 4 2 6 2" xfId="7510" xr:uid="{3735F5DA-E6B9-4E9C-A838-7967AF9337B8}"/>
    <cellStyle name="Normal 5 5 4 2 6 2 2" xfId="17890" xr:uid="{9FB35E1E-9B73-411C-94E1-78DB4E436336}"/>
    <cellStyle name="Normal 5 5 4 2 6 3" xfId="10343" xr:uid="{3DA0AAF8-109E-4C8B-8BA6-D4435D8B82C2}"/>
    <cellStyle name="Normal 5 5 4 2 6 3 2" xfId="20723" xr:uid="{E0432CA7-9C2B-422E-BFF0-284E36699756}"/>
    <cellStyle name="Normal 5 5 4 2 6 4" xfId="25283" xr:uid="{20A84658-7D0F-47B3-B91D-580A981B7887}"/>
    <cellStyle name="Normal 5 5 4 2 6 5" xfId="15057" xr:uid="{62BA7A19-98C4-449D-83FE-814C97D9DA44}"/>
    <cellStyle name="Normal 5 5 4 2 7" xfId="4077" xr:uid="{FB088EE4-0F3D-4BC2-A99F-19D1BB2FE077}"/>
    <cellStyle name="Normal 5 5 4 2 7 2" xfId="8857" xr:uid="{EAC4AB74-A3D4-4B0B-A0D1-6477BB0F390F}"/>
    <cellStyle name="Normal 5 5 4 2 7 2 2" xfId="19237" xr:uid="{3A8FA0D7-2211-4A1A-BEE2-F224274F9E5A}"/>
    <cellStyle name="Normal 5 5 4 2 7 3" xfId="11690" xr:uid="{F3C263EC-B001-4BD2-A184-1C70DF0F70DB}"/>
    <cellStyle name="Normal 5 5 4 2 7 3 2" xfId="22070" xr:uid="{D6D005C5-B11A-4301-9522-39483B7DC464}"/>
    <cellStyle name="Normal 5 5 4 2 7 4" xfId="16404" xr:uid="{2A619328-B2AA-4A1D-97EC-816ACCA8C489}"/>
    <cellStyle name="Normal 5 5 4 2 8" xfId="5364" xr:uid="{0ACEBE73-E7F6-4F86-BDD3-BE2E01291193}"/>
    <cellStyle name="Normal 5 5 4 2 8 2" xfId="14661" xr:uid="{1E7A55A6-CF17-498E-8E3F-BF0AE06F160B}"/>
    <cellStyle name="Normal 5 5 4 2 9" xfId="7114" xr:uid="{C2462432-3E71-4100-9CAF-BAB609427C91}"/>
    <cellStyle name="Normal 5 5 4 2 9 2" xfId="17494" xr:uid="{1E95C8F2-0838-4E21-B878-576F8054A41A}"/>
    <cellStyle name="Normal 5 5 4 3" xfId="1213" xr:uid="{00000000-0005-0000-0000-000083060000}"/>
    <cellStyle name="Normal 5 5 4 3 2" xfId="3416" xr:uid="{00000000-0005-0000-0000-00006D070000}"/>
    <cellStyle name="Normal 5 5 4 3 2 2" xfId="6471" xr:uid="{AC59D8AD-A63F-4F69-B810-7DB7157D221D}"/>
    <cellStyle name="Normal 5 5 4 3 2 2 2" xfId="25159" xr:uid="{23B3473D-7E5E-4004-9F1D-A94AA09D630D}"/>
    <cellStyle name="Normal 5 5 4 3 2 2 3" xfId="27419" xr:uid="{0597AE7C-F5F3-4C32-B52A-3336B8870B89}"/>
    <cellStyle name="Normal 5 5 4 3 2 2 4" xfId="16042" xr:uid="{FA4C670E-7C0A-4498-BC35-5AB9EEC67189}"/>
    <cellStyle name="Normal 5 5 4 3 2 3" xfId="8495" xr:uid="{3C267D15-F83E-4CEC-A25A-8CEDB28B3AA4}"/>
    <cellStyle name="Normal 5 5 4 3 2 3 2" xfId="28932" xr:uid="{6984EE01-1911-4902-89ED-A1CA0D278011}"/>
    <cellStyle name="Normal 5 5 4 3 2 3 3" xfId="18875" xr:uid="{048FA31C-1C1E-4A45-B594-D1609CFBC415}"/>
    <cellStyle name="Normal 5 5 4 3 2 4" xfId="11328" xr:uid="{0912AB62-A87E-4AAE-A26B-28E10A450010}"/>
    <cellStyle name="Normal 5 5 4 3 2 4 2" xfId="21708" xr:uid="{58D0B03A-73FF-4073-9F18-12DC1856E031}"/>
    <cellStyle name="Normal 5 5 4 3 2 5" xfId="24604" xr:uid="{A194AE26-0E9A-4449-9DDB-EA21F77A41F7}"/>
    <cellStyle name="Normal 5 5 4 3 2 6" xfId="13987" xr:uid="{48E8543D-A77A-48F7-A5F5-EBCCAEFF3AFF}"/>
    <cellStyle name="Normal 5 5 4 3 3" xfId="2812" xr:uid="{00000000-0005-0000-0000-00006E070000}"/>
    <cellStyle name="Normal 5 5 4 3 3 2" xfId="6028" xr:uid="{217F6F0F-2140-46D5-8CE6-3D4C883F4C0F}"/>
    <cellStyle name="Normal 5 5 4 3 3 2 2" xfId="25989" xr:uid="{5EEFDEAC-E372-4922-9648-FDC3AFCC3270}"/>
    <cellStyle name="Normal 5 5 4 3 3 2 3" xfId="15482" xr:uid="{206BA647-D335-4636-B958-797D31966869}"/>
    <cellStyle name="Normal 5 5 4 3 3 3" xfId="7935" xr:uid="{F578BA06-A090-46B2-8A1B-DB179F472A2F}"/>
    <cellStyle name="Normal 5 5 4 3 3 3 2" xfId="18315" xr:uid="{5290133E-5A53-4E95-BD04-844675593609}"/>
    <cellStyle name="Normal 5 5 4 3 3 4" xfId="10768" xr:uid="{6C985679-09CE-4019-A3A6-1E2BB3D02311}"/>
    <cellStyle name="Normal 5 5 4 3 3 4 2" xfId="21148" xr:uid="{78EA3973-2134-4C51-AB0F-C5AE55D5FCAC}"/>
    <cellStyle name="Normal 5 5 4 3 3 5" xfId="24280" xr:uid="{07EAA85C-4968-4744-AADA-9BED06DCE515}"/>
    <cellStyle name="Normal 5 5 4 3 3 6" xfId="13278" xr:uid="{6CDF3F83-135F-4BC7-91CD-99B7AB23EB30}"/>
    <cellStyle name="Normal 5 5 4 3 4" xfId="4207" xr:uid="{15066793-57D5-4437-B28B-61C169F0E4AC}"/>
    <cellStyle name="Normal 5 5 4 3 4 2" xfId="8979" xr:uid="{D21FD296-27FE-4488-B8D5-388D122867AE}"/>
    <cellStyle name="Normal 5 5 4 3 4 2 2" xfId="29060" xr:uid="{DBC2EC50-7621-46E7-8386-942BC1FCAA5A}"/>
    <cellStyle name="Normal 5 5 4 3 4 2 3" xfId="19359" xr:uid="{3A4C442C-FAE9-4338-AD2A-B9825CE175E5}"/>
    <cellStyle name="Normal 5 5 4 3 4 3" xfId="11812" xr:uid="{B16D9B1C-6028-4C08-A4B6-129E5B23722D}"/>
    <cellStyle name="Normal 5 5 4 3 4 3 2" xfId="22192" xr:uid="{2A57EB7D-6C71-41AA-92D2-0E2A3A3CF7E6}"/>
    <cellStyle name="Normal 5 5 4 3 4 4" xfId="23748" xr:uid="{A05DAAD2-5842-4B6A-998C-12560685C46D}"/>
    <cellStyle name="Normal 5 5 4 3 4 5" xfId="16526" xr:uid="{C17561D3-2815-45DC-82A5-5F93F2A92885}"/>
    <cellStyle name="Normal 5 5 4 3 5" xfId="5366" xr:uid="{DB088A61-64E6-4201-89C4-69AFC83B9FBF}"/>
    <cellStyle name="Normal 5 5 4 3 5 2" xfId="26919" xr:uid="{CF76725B-BDE5-488F-91B8-D4676F444724}"/>
    <cellStyle name="Normal 5 5 4 3 5 3" xfId="14663" xr:uid="{CB004E3E-19BA-48AF-999F-6F920024FC64}"/>
    <cellStyle name="Normal 5 5 4 3 6" xfId="7116" xr:uid="{E6CB665E-F9E2-49C1-B7C9-8AEC90EC957D}"/>
    <cellStyle name="Normal 5 5 4 3 6 2" xfId="17496" xr:uid="{2AAF6171-5A59-4412-911B-F7C34FF102AA}"/>
    <cellStyle name="Normal 5 5 4 3 7" xfId="9949" xr:uid="{8BF43703-FE90-482D-96AB-785900DA65E7}"/>
    <cellStyle name="Normal 5 5 4 3 7 2" xfId="20329" xr:uid="{3432473F-743D-464A-AB4A-BCD453F869D1}"/>
    <cellStyle name="Normal 5 5 4 3 8" xfId="24185" xr:uid="{D0FD81B9-EF00-439C-9B33-886E72B50F44}"/>
    <cellStyle name="Normal 5 5 4 3 9" xfId="12775" xr:uid="{21028DE2-387F-4181-A218-A09739C44068}"/>
    <cellStyle name="Normal 5 5 4 4" xfId="1214" xr:uid="{00000000-0005-0000-0000-000084060000}"/>
    <cellStyle name="Normal 5 5 4 4 2" xfId="4566" xr:uid="{157EE7DE-ED78-41D4-BF89-854BCDBD8753}"/>
    <cellStyle name="Normal 5 5 4 4 2 2" xfId="9338" xr:uid="{46CC833B-5836-497C-83D8-337169783DE3}"/>
    <cellStyle name="Normal 5 5 4 4 2 2 2" xfId="29312" xr:uid="{EE5B18BB-9211-471B-A2C6-63FEF631B18B}"/>
    <cellStyle name="Normal 5 5 4 4 2 2 3" xfId="19718" xr:uid="{917607CE-4AD1-468A-985C-A4EDE998A94A}"/>
    <cellStyle name="Normal 5 5 4 4 2 3" xfId="12171" xr:uid="{E5A55687-2038-4D53-BEE7-F0BFB4FA39BC}"/>
    <cellStyle name="Normal 5 5 4 4 2 3 2" xfId="22551" xr:uid="{EF747E8A-3C16-4333-9232-201490E0262E}"/>
    <cellStyle name="Normal 5 5 4 4 2 4" xfId="22954" xr:uid="{3B708004-A7CE-48C6-9CB5-E218E391DB3A}"/>
    <cellStyle name="Normal 5 5 4 4 2 5" xfId="16885" xr:uid="{6E3E75C5-D46A-4737-B559-2AB79DD9B796}"/>
    <cellStyle name="Normal 5 5 4 4 3" xfId="5367" xr:uid="{0A9A3D45-D283-4CE8-8270-C55755043C6E}"/>
    <cellStyle name="Normal 5 5 4 4 3 2" xfId="28505" xr:uid="{3A7B5CAB-3EA8-4681-BCA7-A2B14946A26A}"/>
    <cellStyle name="Normal 5 5 4 4 3 3" xfId="14664" xr:uid="{D890EF97-0237-4E1A-B2DC-9FCBA898642D}"/>
    <cellStyle name="Normal 5 5 4 4 4" xfId="7117" xr:uid="{3391C957-E508-4404-BD54-4E0FA5C62B53}"/>
    <cellStyle name="Normal 5 5 4 4 4 2" xfId="17497" xr:uid="{2B55E696-D55C-430A-B8C5-2BB048403E81}"/>
    <cellStyle name="Normal 5 5 4 4 5" xfId="9950" xr:uid="{48B58101-0742-4EDF-8585-114A30975F5B}"/>
    <cellStyle name="Normal 5 5 4 4 5 2" xfId="20330" xr:uid="{2D4F3DC2-6C4A-4969-BA87-B12F912EE4CA}"/>
    <cellStyle name="Normal 5 5 4 4 6" xfId="24199" xr:uid="{CA5E9496-C789-442B-931B-6EDB9A10B695}"/>
    <cellStyle name="Normal 5 5 4 4 7" xfId="13988" xr:uid="{832AE13A-6AAB-454D-B5FE-1D62966B2F38}"/>
    <cellStyle name="Normal 5 5 4 5" xfId="2967" xr:uid="{00000000-0005-0000-0000-000070070000}"/>
    <cellStyle name="Normal 5 5 4 5 2" xfId="6132" xr:uid="{43560DDC-6333-48B3-B593-06D828932A1C}"/>
    <cellStyle name="Normal 5 5 4 5 2 2" xfId="25290" xr:uid="{F3FCD554-125C-4837-802F-EBDBE3EE0BCF}"/>
    <cellStyle name="Normal 5 5 4 5 2 3" xfId="26067" xr:uid="{52888AFD-CD49-40BE-A3A9-8284FB588678}"/>
    <cellStyle name="Normal 5 5 4 5 2 4" xfId="15610" xr:uid="{F29503EA-CD21-4E41-916C-8D818658A1A8}"/>
    <cellStyle name="Normal 5 5 4 5 3" xfId="8063" xr:uid="{CD0AC81D-4C30-43D7-AF42-06A7B31528FE}"/>
    <cellStyle name="Normal 5 5 4 5 3 2" xfId="28761" xr:uid="{AB7591CB-F89F-49C5-AB72-CB2DA27CBE9C}"/>
    <cellStyle name="Normal 5 5 4 5 3 3" xfId="18443" xr:uid="{8C7B239E-AC23-488E-8D2F-B82C80B465DF}"/>
    <cellStyle name="Normal 5 5 4 5 4" xfId="10896" xr:uid="{13236B69-3D00-425A-A559-B31B3E4CA88B}"/>
    <cellStyle name="Normal 5 5 4 5 4 2" xfId="21276" xr:uid="{05940147-B572-432E-A9BD-F2157B1FE877}"/>
    <cellStyle name="Normal 5 5 4 5 5" xfId="25212" xr:uid="{4572E5BC-DBA3-47FA-929E-B4453D0F36CB}"/>
    <cellStyle name="Normal 5 5 4 5 6" xfId="13473" xr:uid="{E4485919-9489-491C-B9CD-45FA9B034CB0}"/>
    <cellStyle name="Normal 5 5 4 6" xfId="2456" xr:uid="{00000000-0005-0000-0000-000071070000}"/>
    <cellStyle name="Normal 5 5 4 6 2" xfId="5748" xr:uid="{F06DB42E-D681-4B9D-9972-51B8D3A90435}"/>
    <cellStyle name="Normal 5 5 4 6 2 2" xfId="27461" xr:uid="{D8E3870C-88CA-47D4-9993-452C05AD3072}"/>
    <cellStyle name="Normal 5 5 4 6 2 3" xfId="15128" xr:uid="{0ED15E5C-A899-49F8-B6E9-C9F0F2908E55}"/>
    <cellStyle name="Normal 5 5 4 6 3" xfId="7581" xr:uid="{F6CADD64-4A82-439F-A05F-C9BEE3641BF0}"/>
    <cellStyle name="Normal 5 5 4 6 3 2" xfId="17961" xr:uid="{6E0C024C-1C37-4057-A849-854CC773B8AE}"/>
    <cellStyle name="Normal 5 5 4 6 4" xfId="10414" xr:uid="{4AB2F5E3-FF56-4D58-8DA2-EED3602FF820}"/>
    <cellStyle name="Normal 5 5 4 6 4 2" xfId="20794" xr:uid="{CDC85785-897D-419D-80D5-3646FAEB21C5}"/>
    <cellStyle name="Normal 5 5 4 6 5" xfId="25389" xr:uid="{716E7A91-B728-47C7-9BBA-D974E6B3B083}"/>
    <cellStyle name="Normal 5 5 4 6 6" xfId="12844" xr:uid="{FE024495-91C4-4E95-B64D-26D118050472}"/>
    <cellStyle name="Normal 5 5 4 7" xfId="2210" xr:uid="{00000000-0005-0000-0000-000065070000}"/>
    <cellStyle name="Normal 5 5 4 7 2" xfId="7337" xr:uid="{CDB152A3-FA48-46E4-B1B1-4A758871671D}"/>
    <cellStyle name="Normal 5 5 4 7 2 2" xfId="17717" xr:uid="{B3851944-EF81-43E6-BE8E-8E6902BB57FE}"/>
    <cellStyle name="Normal 5 5 4 7 3" xfId="10170" xr:uid="{83B1FE9F-3968-4327-8393-632D67E175E6}"/>
    <cellStyle name="Normal 5 5 4 7 3 2" xfId="20550" xr:uid="{73533A79-19BB-4534-9BA5-F72DCD3D4905}"/>
    <cellStyle name="Normal 5 5 4 7 4" xfId="24276" xr:uid="{442DB867-847A-43E3-AC7E-CB20FE8F471D}"/>
    <cellStyle name="Normal 5 5 4 7 5" xfId="14884" xr:uid="{E44802E5-DE8E-4138-91A8-056C6C3C5BAA}"/>
    <cellStyle name="Normal 5 5 4 8" xfId="4028" xr:uid="{0162DD0B-71A7-465E-A829-6251DA6707D0}"/>
    <cellStyle name="Normal 5 5 4 8 2" xfId="8829" xr:uid="{7F9E0C5D-5CAE-475E-BD0B-14C56A8166FF}"/>
    <cellStyle name="Normal 5 5 4 8 2 2" xfId="19209" xr:uid="{A9CDA95E-2FE3-41A7-A01E-7B7399FEDC86}"/>
    <cellStyle name="Normal 5 5 4 8 3" xfId="11662" xr:uid="{29FA82FF-BA26-47DA-BFAE-0624A1A744B2}"/>
    <cellStyle name="Normal 5 5 4 8 3 2" xfId="22042" xr:uid="{C3CC5B23-C230-495B-8130-722446E29811}"/>
    <cellStyle name="Normal 5 5 4 8 4" xfId="16376" xr:uid="{0AA7228F-51B6-4F80-9D5F-AE3D32298536}"/>
    <cellStyle name="Normal 5 5 4 9" xfId="5363" xr:uid="{83DDD56E-E7C5-4B28-97A7-4C900E28DF1F}"/>
    <cellStyle name="Normal 5 5 4 9 2" xfId="14660" xr:uid="{133DAB68-AE63-4F02-9468-2540A675DF06}"/>
    <cellStyle name="Normal 5 5 5" xfId="1215" xr:uid="{00000000-0005-0000-0000-000085060000}"/>
    <cellStyle name="Normal 5 5 5 10" xfId="9951" xr:uid="{6E19B45A-9719-4CF1-A76F-55590E64356A}"/>
    <cellStyle name="Normal 5 5 5 10 2" xfId="20331" xr:uid="{BB0444A7-C2EF-44E8-B04D-0768A6EB6435}"/>
    <cellStyle name="Normal 5 5 5 11" xfId="25573" xr:uid="{54157B82-19DE-4B4C-A0F4-6E81203A9811}"/>
    <cellStyle name="Normal 5 5 5 12" xfId="12618" xr:uid="{23E75295-F147-477E-96CA-EB5C86B5511E}"/>
    <cellStyle name="Normal 5 5 5 2" xfId="1216" xr:uid="{00000000-0005-0000-0000-000086060000}"/>
    <cellStyle name="Normal 5 5 5 2 2" xfId="1217" xr:uid="{00000000-0005-0000-0000-000087060000}"/>
    <cellStyle name="Normal 5 5 5 2 2 2" xfId="5370" xr:uid="{FCACC8EB-6DA7-4E83-87A7-9881E1E64148}"/>
    <cellStyle name="Normal 5 5 5 2 2 2 2" xfId="24367" xr:uid="{CBC1034A-6798-465D-AF7B-6C88ED5568FC}"/>
    <cellStyle name="Normal 5 5 5 2 2 2 3" xfId="27776" xr:uid="{C24177E6-CFA2-44F9-8258-23A36802CF58}"/>
    <cellStyle name="Normal 5 5 5 2 2 2 4" xfId="14667" xr:uid="{A35A8776-8A3B-43B0-A05C-B0D0FBEC4C53}"/>
    <cellStyle name="Normal 5 5 5 2 2 3" xfId="7120" xr:uid="{414C89D4-A323-4F0F-845B-5719799140A9}"/>
    <cellStyle name="Normal 5 5 5 2 2 3 2" xfId="27646" xr:uid="{F02604B8-A12F-4A96-A158-2EFDB4797422}"/>
    <cellStyle name="Normal 5 5 5 2 2 3 3" xfId="28035" xr:uid="{E9638A18-7FE1-4261-B179-82B687896246}"/>
    <cellStyle name="Normal 5 5 5 2 2 3 4" xfId="17500" xr:uid="{45ADF6DF-EFD3-4CAE-8E3A-10A16CEF4641}"/>
    <cellStyle name="Normal 5 5 5 2 2 4" xfId="9953" xr:uid="{20F04362-5A26-415D-881F-36416F5AC659}"/>
    <cellStyle name="Normal 5 5 5 2 2 4 2" xfId="29436" xr:uid="{BC9206DE-8D27-4114-9ABC-1420BD704A60}"/>
    <cellStyle name="Normal 5 5 5 2 2 4 3" xfId="20333" xr:uid="{581C1272-63CF-478C-BAB8-E4A5E61E4CC4}"/>
    <cellStyle name="Normal 5 5 5 2 2 5" xfId="24884" xr:uid="{2388C303-93F3-4749-93F1-93EA9E7ABBD1}"/>
    <cellStyle name="Normal 5 5 5 2 2 6" xfId="13989" xr:uid="{AD240362-FB4D-4B6A-AD0C-43D9833AD1A5}"/>
    <cellStyle name="Normal 5 5 5 2 3" xfId="2813" xr:uid="{00000000-0005-0000-0000-000075070000}"/>
    <cellStyle name="Normal 5 5 5 2 3 2" xfId="6029" xr:uid="{62AB6F15-9964-4C9E-8D14-8718ABD95DE2}"/>
    <cellStyle name="Normal 5 5 5 2 3 2 2" xfId="26214" xr:uid="{1136051C-9C4A-4462-A9BF-68ABF15D6279}"/>
    <cellStyle name="Normal 5 5 5 2 3 2 3" xfId="15483" xr:uid="{D594E1B4-51EF-45DC-84B1-AFC92B4B07DE}"/>
    <cellStyle name="Normal 5 5 5 2 3 3" xfId="7936" xr:uid="{3670061B-1390-40B0-872F-7C40126F21CC}"/>
    <cellStyle name="Normal 5 5 5 2 3 3 2" xfId="18316" xr:uid="{466103BF-283C-4D88-ADE1-4263E7B40722}"/>
    <cellStyle name="Normal 5 5 5 2 3 4" xfId="10769" xr:uid="{C7E2731C-C3AE-4945-9084-C93B6941B24D}"/>
    <cellStyle name="Normal 5 5 5 2 3 4 2" xfId="21149" xr:uid="{53F91B0C-7043-4FCD-B5A6-45F3B1B5AB73}"/>
    <cellStyle name="Normal 5 5 5 2 3 5" xfId="24666" xr:uid="{A19FD8AC-BF97-4D05-8A2E-76FB1CD2579B}"/>
    <cellStyle name="Normal 5 5 5 2 3 6" xfId="13280" xr:uid="{88098FBB-C014-48B5-86E3-0C17C71E0B41}"/>
    <cellStyle name="Normal 5 5 5 2 4" xfId="4208" xr:uid="{A6B1CA8D-96C0-43EB-ACA2-4F886A220171}"/>
    <cellStyle name="Normal 5 5 5 2 4 2" xfId="8980" xr:uid="{022BBE30-7EE2-4A6A-873A-8937F640EB70}"/>
    <cellStyle name="Normal 5 5 5 2 4 2 2" xfId="29061" xr:uid="{D1FEC174-600C-4F6F-8155-EF3F4025C125}"/>
    <cellStyle name="Normal 5 5 5 2 4 2 3" xfId="19360" xr:uid="{0B1C605A-9B58-44EB-B18B-979AFF7B8C7A}"/>
    <cellStyle name="Normal 5 5 5 2 4 3" xfId="11813" xr:uid="{B864424B-9BF5-48CD-939C-54F596142CE6}"/>
    <cellStyle name="Normal 5 5 5 2 4 3 2" xfId="22193" xr:uid="{7DCB35C7-FDFC-4C2B-B67C-65D7C429C395}"/>
    <cellStyle name="Normal 5 5 5 2 4 4" xfId="23836" xr:uid="{FA272100-6D47-4773-840A-2A6FF3EAD610}"/>
    <cellStyle name="Normal 5 5 5 2 4 5" xfId="16527" xr:uid="{760231F9-0ACB-4049-91C4-0D9B1B589B12}"/>
    <cellStyle name="Normal 5 5 5 2 5" xfId="5369" xr:uid="{9ADC1A57-D3CE-46B9-975F-97C8AF653527}"/>
    <cellStyle name="Normal 5 5 5 2 5 2" xfId="28333" xr:uid="{A0480643-3AB8-4E9F-957B-4AD6F55A69E3}"/>
    <cellStyle name="Normal 5 5 5 2 5 3" xfId="14666" xr:uid="{5C5310BE-E23B-4F80-B5C5-98B30FDD8638}"/>
    <cellStyle name="Normal 5 5 5 2 6" xfId="7119" xr:uid="{FB854092-8980-4F06-9F0B-ABC13970D201}"/>
    <cellStyle name="Normal 5 5 5 2 6 2" xfId="17499" xr:uid="{84D8938B-F204-458F-8BF9-653B09345A1A}"/>
    <cellStyle name="Normal 5 5 5 2 7" xfId="9952" xr:uid="{F0FA93FE-3BC4-4CD0-A9C4-D02C0CA4F127}"/>
    <cellStyle name="Normal 5 5 5 2 7 2" xfId="20332" xr:uid="{FD583938-D09D-4E9F-85A5-4844CCF11D57}"/>
    <cellStyle name="Normal 5 5 5 2 8" xfId="24529" xr:uid="{3327FE76-887A-4475-85C7-8D99DC9FB0F0}"/>
    <cellStyle name="Normal 5 5 5 2 9" xfId="12776" xr:uid="{048AB379-D15A-4E96-B231-408B758BB348}"/>
    <cellStyle name="Normal 5 5 5 3" xfId="1218" xr:uid="{00000000-0005-0000-0000-000088060000}"/>
    <cellStyle name="Normal 5 5 5 3 2" xfId="4567" xr:uid="{58A2EA87-66DA-47B7-8FBA-4DE4A6FE6248}"/>
    <cellStyle name="Normal 5 5 5 3 2 2" xfId="9339" xr:uid="{88BB48B0-B364-49DA-921C-3C2522E165C2}"/>
    <cellStyle name="Normal 5 5 5 3 2 2 2" xfId="29313" xr:uid="{24F200A2-58BC-4892-ACAF-F3D3F8E009F7}"/>
    <cellStyle name="Normal 5 5 5 3 2 2 3" xfId="19719" xr:uid="{7104412B-BF2D-4755-8E88-329C85F1FD50}"/>
    <cellStyle name="Normal 5 5 5 3 2 3" xfId="12172" xr:uid="{0728B936-A8BF-4F96-B837-FCEBB44189C4}"/>
    <cellStyle name="Normal 5 5 5 3 2 3 2" xfId="22552" xr:uid="{75A6FCC8-F9C8-4841-AC96-0C15A4CB500D}"/>
    <cellStyle name="Normal 5 5 5 3 2 4" xfId="23332" xr:uid="{1A4A6263-8FCF-4428-ABDA-A2A2FB506C08}"/>
    <cellStyle name="Normal 5 5 5 3 2 5" xfId="16886" xr:uid="{0B1D36EA-2ED6-42FF-9214-AF0150472DAC}"/>
    <cellStyle name="Normal 5 5 5 3 3" xfId="5371" xr:uid="{0845D4E4-1E27-41B8-8AF9-6D70676DD26E}"/>
    <cellStyle name="Normal 5 5 5 3 3 2" xfId="22957" xr:uid="{C14D9BED-EDDC-439B-AE86-9DDDC251009F}"/>
    <cellStyle name="Normal 5 5 5 3 3 3" xfId="28432" xr:uid="{538A9165-DE48-4606-9C13-497BC7CE77BD}"/>
    <cellStyle name="Normal 5 5 5 3 3 4" xfId="14668" xr:uid="{CE094B22-59C6-48AE-87DB-8FA20BB9D4E6}"/>
    <cellStyle name="Normal 5 5 5 3 4" xfId="7121" xr:uid="{2704CCF2-EAD6-4C0A-A2A5-7F41CC568D78}"/>
    <cellStyle name="Normal 5 5 5 3 4 2" xfId="25142" xr:uid="{B846FBE5-F26C-4FA9-B81B-065952EF2B0A}"/>
    <cellStyle name="Normal 5 5 5 3 4 3" xfId="26620" xr:uid="{54992FBD-1FAB-4252-B5DE-4A5EAF4658A6}"/>
    <cellStyle name="Normal 5 5 5 3 4 4" xfId="17501" xr:uid="{D48BAEFD-8345-4869-8553-2FE0C9785906}"/>
    <cellStyle name="Normal 5 5 5 3 5" xfId="9954" xr:uid="{F167411F-D152-45F9-B2DD-01FCC3793CFF}"/>
    <cellStyle name="Normal 5 5 5 3 5 2" xfId="29437" xr:uid="{D49AAC0F-874E-4750-AB42-62A8CF6C5BCD}"/>
    <cellStyle name="Normal 5 5 5 3 5 3" xfId="20334" xr:uid="{7B4FE8CE-6A41-4BD1-905D-607121CB3E83}"/>
    <cellStyle name="Normal 5 5 5 3 6" xfId="24557" xr:uid="{B95EE0B6-9746-411A-99C7-DF892575E63F}"/>
    <cellStyle name="Normal 5 5 5 3 7" xfId="13990" xr:uid="{14FE9674-D40A-4A33-95F0-018CC67879A2}"/>
    <cellStyle name="Normal 5 5 5 4" xfId="1219" xr:uid="{00000000-0005-0000-0000-000089060000}"/>
    <cellStyle name="Normal 5 5 5 4 2" xfId="5372" xr:uid="{45BFE719-90F2-4722-9228-23B15C1BA9EA}"/>
    <cellStyle name="Normal 5 5 5 4 2 2" xfId="23884" xr:uid="{FF7882AD-B650-43A2-8B90-299E6E6A590D}"/>
    <cellStyle name="Normal 5 5 5 4 2 3" xfId="26619" xr:uid="{DEF13D60-8810-43B8-93AA-8693590CDCE3}"/>
    <cellStyle name="Normal 5 5 5 4 2 4" xfId="14669" xr:uid="{1E14CE39-49B9-41C2-A7AC-88D35D6B40D2}"/>
    <cellStyle name="Normal 5 5 5 4 3" xfId="7122" xr:uid="{CA3ADE04-7C0F-424F-8FD7-40F3FE4BA389}"/>
    <cellStyle name="Normal 5 5 5 4 3 2" xfId="25905" xr:uid="{A236CB55-4C75-426A-BD30-1115C2901D0D}"/>
    <cellStyle name="Normal 5 5 5 4 3 3" xfId="17502" xr:uid="{589001E8-3100-4474-A7AA-0E71062318F1}"/>
    <cellStyle name="Normal 5 5 5 4 4" xfId="9955" xr:uid="{EACE63F4-D33C-4DF0-81B3-7CCD65BD08CC}"/>
    <cellStyle name="Normal 5 5 5 4 4 2" xfId="20335" xr:uid="{520863E5-B0D3-49CB-9F42-F263A001D051}"/>
    <cellStyle name="Normal 5 5 5 4 5" xfId="22838" xr:uid="{5676DE0F-F16D-4B9F-A080-9A84B89C72C9}"/>
    <cellStyle name="Normal 5 5 5 4 6" xfId="13474" xr:uid="{500602CF-302A-4AC8-A976-B86C5F74E744}"/>
    <cellStyle name="Normal 5 5 5 5" xfId="2516" xr:uid="{00000000-0005-0000-0000-000078070000}"/>
    <cellStyle name="Normal 5 5 5 5 2" xfId="5794" xr:uid="{7CCC2903-A2F6-46E1-87BE-4D0A179B818B}"/>
    <cellStyle name="Normal 5 5 5 5 2 2" xfId="27198" xr:uid="{F1F4D5FC-E796-47D2-8807-A40E26BFFB34}"/>
    <cellStyle name="Normal 5 5 5 5 2 3" xfId="15188" xr:uid="{4837B486-317E-4FC1-921D-4EEB4B46BD4C}"/>
    <cellStyle name="Normal 5 5 5 5 3" xfId="7641" xr:uid="{6220D5D8-EF26-4007-B166-3AF647AB9875}"/>
    <cellStyle name="Normal 5 5 5 5 3 2" xfId="18021" xr:uid="{0B1ABCED-48B9-497B-A66E-84D542B3E228}"/>
    <cellStyle name="Normal 5 5 5 5 4" xfId="10474" xr:uid="{1B8CCB87-F62F-4772-BFF4-2D938484667A}"/>
    <cellStyle name="Normal 5 5 5 5 4 2" xfId="20854" xr:uid="{3769DF5C-8962-4083-8F0A-7BC47C781775}"/>
    <cellStyle name="Normal 5 5 5 5 5" xfId="22740" xr:uid="{92A8D6B5-003A-480D-AD45-9AB1CA391AAC}"/>
    <cellStyle name="Normal 5 5 5 5 6" xfId="12904" xr:uid="{F1DF4D56-D263-4DC4-81BE-2663EC073DDF}"/>
    <cellStyle name="Normal 5 5 5 6" xfId="2384" xr:uid="{00000000-0005-0000-0000-000072070000}"/>
    <cellStyle name="Normal 5 5 5 6 2" xfId="7511" xr:uid="{8D3C0B12-98E6-4B26-918D-28448EBBA08C}"/>
    <cellStyle name="Normal 5 5 5 6 2 2" xfId="27823" xr:uid="{AC81FED6-16C4-48B8-8C17-E609DFC7659F}"/>
    <cellStyle name="Normal 5 5 5 6 2 3" xfId="17891" xr:uid="{4F234D36-F14F-455D-A28B-8DB25B608DFB}"/>
    <cellStyle name="Normal 5 5 5 6 3" xfId="10344" xr:uid="{97EF8C04-5C97-449B-AC86-6ADC8DA6D556}"/>
    <cellStyle name="Normal 5 5 5 6 3 2" xfId="20724" xr:uid="{655B5E20-0F29-4C2B-A74C-4EBEF19867B7}"/>
    <cellStyle name="Normal 5 5 5 6 4" xfId="23206" xr:uid="{C86AB3B4-A5CB-4767-95D9-6E3840BC1E29}"/>
    <cellStyle name="Normal 5 5 5 6 5" xfId="15058" xr:uid="{9E5CF3C3-0E9E-4E8F-98EB-96AE2671A85F}"/>
    <cellStyle name="Normal 5 5 5 7" xfId="4029" xr:uid="{C7AA4B3D-D9F4-4E25-AADC-168DD5111C03}"/>
    <cellStyle name="Normal 5 5 5 7 2" xfId="8830" xr:uid="{5AA0BE2A-161F-44BA-872C-DCA0D1F8191D}"/>
    <cellStyle name="Normal 5 5 5 7 2 2" xfId="19210" xr:uid="{C772A02D-D990-4CA4-83BE-A7C708D3901F}"/>
    <cellStyle name="Normal 5 5 5 7 3" xfId="11663" xr:uid="{097005BF-3A8B-44FF-8489-CD1E2FB75373}"/>
    <cellStyle name="Normal 5 5 5 7 3 2" xfId="22043" xr:uid="{F809DEF3-E1B4-4316-A22F-FC98C786A3FE}"/>
    <cellStyle name="Normal 5 5 5 7 4" xfId="28645" xr:uid="{1EF527F3-D27E-4D69-8538-0BE485A897A3}"/>
    <cellStyle name="Normal 5 5 5 7 5" xfId="16377" xr:uid="{39826876-4779-4AA2-A43B-1D60609EDC91}"/>
    <cellStyle name="Normal 5 5 5 8" xfId="5368" xr:uid="{9D5E061F-7615-4BE5-BAC0-217AB53DF3CC}"/>
    <cellStyle name="Normal 5 5 5 8 2" xfId="14665" xr:uid="{86C6D9B4-4739-4F80-87E4-24CA576FFBC5}"/>
    <cellStyle name="Normal 5 5 5 9" xfId="7118" xr:uid="{7A9C01FA-CD4F-4744-AA62-996255D40237}"/>
    <cellStyle name="Normal 5 5 5 9 2" xfId="17498" xr:uid="{3E75972A-A69E-45EB-93ED-EA4B0032F62E}"/>
    <cellStyle name="Normal 5 5 6" xfId="1220" xr:uid="{00000000-0005-0000-0000-00008A060000}"/>
    <cellStyle name="Normal 5 5 6 10" xfId="9956" xr:uid="{6EEB70CD-A015-4A9B-AC88-D035DFFCB62D}"/>
    <cellStyle name="Normal 5 5 6 10 2" xfId="20336" xr:uid="{B4A1A7B8-1FEE-4206-B280-9DCBD474C172}"/>
    <cellStyle name="Normal 5 5 6 11" xfId="24163" xr:uid="{B8349E58-0DEA-4C18-AF48-5526BB9C7BCA}"/>
    <cellStyle name="Normal 5 5 6 12" xfId="12619" xr:uid="{9C293F44-D44C-4663-86D2-00E27104FD4F}"/>
    <cellStyle name="Normal 5 5 6 2" xfId="1221" xr:uid="{00000000-0005-0000-0000-00008B060000}"/>
    <cellStyle name="Normal 5 5 6 2 2" xfId="1222" xr:uid="{00000000-0005-0000-0000-00008C060000}"/>
    <cellStyle name="Normal 5 5 6 2 2 2" xfId="5375" xr:uid="{CDE40F86-F9DF-4DC3-9980-578B96CB55D3}"/>
    <cellStyle name="Normal 5 5 6 2 2 2 2" xfId="25700" xr:uid="{F7D92C3C-FC85-4B0B-B152-E9B7EE05937F}"/>
    <cellStyle name="Normal 5 5 6 2 2 2 3" xfId="27312" xr:uid="{B1ED235E-B447-4C10-811A-E3A301235D32}"/>
    <cellStyle name="Normal 5 5 6 2 2 2 4" xfId="14672" xr:uid="{5C5616AD-2DAD-4D67-9C9F-5F6DCBA8E4A8}"/>
    <cellStyle name="Normal 5 5 6 2 2 3" xfId="7125" xr:uid="{FEF6CD90-16F7-4057-AEF9-17B409260224}"/>
    <cellStyle name="Normal 5 5 6 2 2 3 2" xfId="27647" xr:uid="{0B3B660A-7011-4368-8FB3-B27BE3F4CDE4}"/>
    <cellStyle name="Normal 5 5 6 2 2 3 3" xfId="26193" xr:uid="{E23577E3-8C64-48F2-82A9-5900E1494813}"/>
    <cellStyle name="Normal 5 5 6 2 2 3 4" xfId="17505" xr:uid="{B5D80408-07A1-4519-BF70-B6C1D147F2F8}"/>
    <cellStyle name="Normal 5 5 6 2 2 4" xfId="9958" xr:uid="{446F0DFD-8CE2-419E-88B7-B6DF48636C48}"/>
    <cellStyle name="Normal 5 5 6 2 2 4 2" xfId="29438" xr:uid="{65D94745-4EE7-4EB2-9A3F-41C69496D278}"/>
    <cellStyle name="Normal 5 5 6 2 2 4 3" xfId="20338" xr:uid="{05475EAF-E766-4F31-997A-B3C55DB3C61E}"/>
    <cellStyle name="Normal 5 5 6 2 2 5" xfId="23654" xr:uid="{29DC5747-4388-4069-9CD7-83318DBC9509}"/>
    <cellStyle name="Normal 5 5 6 2 2 6" xfId="13991" xr:uid="{92A932BF-932B-4A06-B455-BDBF41B6A85A}"/>
    <cellStyle name="Normal 5 5 6 2 3" xfId="2814" xr:uid="{00000000-0005-0000-0000-00007C070000}"/>
    <cellStyle name="Normal 5 5 6 2 3 2" xfId="6030" xr:uid="{13C3605F-2576-4686-B7A9-A2C135517A5B}"/>
    <cellStyle name="Normal 5 5 6 2 3 2 2" xfId="26714" xr:uid="{628696E7-D89A-4D16-BD64-6C184FC453C1}"/>
    <cellStyle name="Normal 5 5 6 2 3 2 3" xfId="15484" xr:uid="{615A8357-04D1-4671-B0EA-66FDB86B4534}"/>
    <cellStyle name="Normal 5 5 6 2 3 3" xfId="7937" xr:uid="{83E1C646-6BA7-460A-A3E9-39E698708535}"/>
    <cellStyle name="Normal 5 5 6 2 3 3 2" xfId="18317" xr:uid="{E1ECE0D1-EFD8-46AF-BB41-48C8D2A65BF4}"/>
    <cellStyle name="Normal 5 5 6 2 3 4" xfId="10770" xr:uid="{55F877D8-1DC6-420B-AD0F-8E9082ED7B79}"/>
    <cellStyle name="Normal 5 5 6 2 3 4 2" xfId="21150" xr:uid="{553701C5-EAAD-43E7-8CBB-1858BABCB8C5}"/>
    <cellStyle name="Normal 5 5 6 2 3 5" xfId="25378" xr:uid="{03934C22-396E-4729-8431-8374205DF924}"/>
    <cellStyle name="Normal 5 5 6 2 3 6" xfId="13281" xr:uid="{31BBC8F6-AE54-4AF1-9339-B1A8F606F659}"/>
    <cellStyle name="Normal 5 5 6 2 4" xfId="4209" xr:uid="{C5EBD5B1-84A3-4D3A-9865-BF68F20B2782}"/>
    <cellStyle name="Normal 5 5 6 2 4 2" xfId="8981" xr:uid="{13D76342-EC5E-4AF0-9E4B-6A88ED465A60}"/>
    <cellStyle name="Normal 5 5 6 2 4 2 2" xfId="29062" xr:uid="{8D2A4BD1-AF0A-4879-9B45-8AFB7EA9D996}"/>
    <cellStyle name="Normal 5 5 6 2 4 2 3" xfId="19361" xr:uid="{B1ECAA98-F080-4B67-AD68-E76C3E8B4857}"/>
    <cellStyle name="Normal 5 5 6 2 4 3" xfId="11814" xr:uid="{AC66E1A0-9AA7-4A47-823A-789B7595EA98}"/>
    <cellStyle name="Normal 5 5 6 2 4 3 2" xfId="22194" xr:uid="{84C60AFC-2716-41AA-B1CB-3A20BD141741}"/>
    <cellStyle name="Normal 5 5 6 2 4 4" xfId="24184" xr:uid="{44CEF633-C0DB-45B9-A242-DE29C09DA71C}"/>
    <cellStyle name="Normal 5 5 6 2 4 5" xfId="16528" xr:uid="{0D879ADC-3C70-485F-BCB0-9E626CE4AB60}"/>
    <cellStyle name="Normal 5 5 6 2 5" xfId="5374" xr:uid="{03C0E654-1E46-42BD-9DAE-F03D7614F235}"/>
    <cellStyle name="Normal 5 5 6 2 5 2" xfId="26365" xr:uid="{9A8328A8-C0E4-46B4-8068-4A4266341067}"/>
    <cellStyle name="Normal 5 5 6 2 5 3" xfId="14671" xr:uid="{51156F89-C961-4DBD-ADCD-864D8202C171}"/>
    <cellStyle name="Normal 5 5 6 2 6" xfId="7124" xr:uid="{2329B334-BD2C-4E7B-B94A-ABB4C00B17EF}"/>
    <cellStyle name="Normal 5 5 6 2 6 2" xfId="17504" xr:uid="{70018A48-9751-46A9-8AE3-14CAEEBD4F81}"/>
    <cellStyle name="Normal 5 5 6 2 7" xfId="9957" xr:uid="{6EA1EA1C-01B4-44C8-83BC-065584F05E93}"/>
    <cellStyle name="Normal 5 5 6 2 7 2" xfId="20337" xr:uid="{2EE71426-43B2-46BB-B971-3B2DDB9F3D48}"/>
    <cellStyle name="Normal 5 5 6 2 8" xfId="24476" xr:uid="{C6A8A916-DD63-4CA0-B32C-738BEA8EA594}"/>
    <cellStyle name="Normal 5 5 6 2 9" xfId="12777" xr:uid="{BC527640-3D79-4958-B1D2-C02A79A6E76C}"/>
    <cellStyle name="Normal 5 5 6 3" xfId="1223" xr:uid="{00000000-0005-0000-0000-00008D060000}"/>
    <cellStyle name="Normal 5 5 6 3 2" xfId="4568" xr:uid="{ACD83D57-3DE5-4558-BE38-8475C61839FE}"/>
    <cellStyle name="Normal 5 5 6 3 2 2" xfId="9340" xr:uid="{B2082EEB-65FE-4F3B-BFFB-5544B1414BDE}"/>
    <cellStyle name="Normal 5 5 6 3 2 2 2" xfId="29314" xr:uid="{8A92274D-027B-4A60-A6E7-C43392C0C43B}"/>
    <cellStyle name="Normal 5 5 6 3 2 2 3" xfId="19720" xr:uid="{D3513F62-205E-49C7-A0D8-7242F205123E}"/>
    <cellStyle name="Normal 5 5 6 3 2 3" xfId="12173" xr:uid="{00C44274-DA69-4A6C-9265-49E7873A84CD}"/>
    <cellStyle name="Normal 5 5 6 3 2 3 2" xfId="22553" xr:uid="{A81F6365-28D6-4CA6-8501-C6F296B31710}"/>
    <cellStyle name="Normal 5 5 6 3 2 4" xfId="24778" xr:uid="{4597C8CF-6853-4785-A153-F2D6BEB4A80D}"/>
    <cellStyle name="Normal 5 5 6 3 2 5" xfId="16887" xr:uid="{E26DD20E-0140-4D48-A1A4-B69222AF14F1}"/>
    <cellStyle name="Normal 5 5 6 3 3" xfId="5376" xr:uid="{F51C0721-BBA3-461C-9BB7-C687AFDC0ABB}"/>
    <cellStyle name="Normal 5 5 6 3 3 2" xfId="26854" xr:uid="{A495A101-35A8-4017-A3CA-76C27D562F57}"/>
    <cellStyle name="Normal 5 5 6 3 3 3" xfId="27733" xr:uid="{DDCBFF35-41AE-4524-85CD-0AF80E2A4BD4}"/>
    <cellStyle name="Normal 5 5 6 3 3 4" xfId="14673" xr:uid="{432695F9-6711-4AC9-88D9-FD85C71B1064}"/>
    <cellStyle name="Normal 5 5 6 3 4" xfId="7126" xr:uid="{C6515211-7A56-4FEF-A578-57C661268797}"/>
    <cellStyle name="Normal 5 5 6 3 4 2" xfId="26295" xr:uid="{CF22D48D-09C9-49FB-A2FF-C2F69C9C45F3}"/>
    <cellStyle name="Normal 5 5 6 3 4 3" xfId="28404" xr:uid="{9B985830-4FA7-4645-8568-0B9F49912AE0}"/>
    <cellStyle name="Normal 5 5 6 3 4 4" xfId="17506" xr:uid="{5C33A17E-3D29-43F0-BBDE-F347BE8C996D}"/>
    <cellStyle name="Normal 5 5 6 3 5" xfId="9959" xr:uid="{08FC8579-C9D5-4FC4-BD15-8576FF1397AC}"/>
    <cellStyle name="Normal 5 5 6 3 5 2" xfId="29439" xr:uid="{B27F0A07-3523-418C-B6BB-98F3D23D0A4E}"/>
    <cellStyle name="Normal 5 5 6 3 5 3" xfId="20339" xr:uid="{126EDBB3-8A5F-46EF-8E95-D4F13FED7E5E}"/>
    <cellStyle name="Normal 5 5 6 3 6" xfId="23083" xr:uid="{E237F0A5-6513-4735-A38F-86FB094DBCA1}"/>
    <cellStyle name="Normal 5 5 6 3 7" xfId="13992" xr:uid="{DF9C8095-BC55-4766-A742-79804A643804}"/>
    <cellStyle name="Normal 5 5 6 4" xfId="1224" xr:uid="{00000000-0005-0000-0000-00008E060000}"/>
    <cellStyle name="Normal 5 5 6 4 2" xfId="5377" xr:uid="{86FD4E8C-082F-4BEC-916B-07BFF450C7AF}"/>
    <cellStyle name="Normal 5 5 6 4 2 2" xfId="22950" xr:uid="{D66E9271-00C6-48E6-9854-C9FCA2482B6E}"/>
    <cellStyle name="Normal 5 5 6 4 2 3" xfId="26733" xr:uid="{81D18B65-E513-42F7-B581-A75F2EDB1D2F}"/>
    <cellStyle name="Normal 5 5 6 4 2 4" xfId="14674" xr:uid="{B4B4FF8D-0A85-4AA9-8DF9-379D4EB57653}"/>
    <cellStyle name="Normal 5 5 6 4 3" xfId="7127" xr:uid="{3B0E9406-A094-4E19-8AF5-BFE908960147}"/>
    <cellStyle name="Normal 5 5 6 4 3 2" xfId="28417" xr:uid="{BA43560F-41EA-43C1-AF4A-B43F7C22E59F}"/>
    <cellStyle name="Normal 5 5 6 4 3 3" xfId="17507" xr:uid="{3A34CD3A-4373-47F0-8B09-C815DBB85517}"/>
    <cellStyle name="Normal 5 5 6 4 4" xfId="9960" xr:uid="{00A68561-A889-4876-BD93-DCD4E076BA39}"/>
    <cellStyle name="Normal 5 5 6 4 4 2" xfId="20340" xr:uid="{3ABC0843-2C5F-46D9-B912-5C12BB77CA5B}"/>
    <cellStyle name="Normal 5 5 6 4 5" xfId="22945" xr:uid="{356FEBF9-1137-4BF0-8596-C71DB88BD296}"/>
    <cellStyle name="Normal 5 5 6 4 6" xfId="13475" xr:uid="{001E17DE-2D5E-489E-BFC4-4AEF2E917B35}"/>
    <cellStyle name="Normal 5 5 6 5" xfId="2579" xr:uid="{00000000-0005-0000-0000-00007F070000}"/>
    <cellStyle name="Normal 5 5 6 5 2" xfId="5844" xr:uid="{151CA46E-5812-4546-9888-067ACA00706C}"/>
    <cellStyle name="Normal 5 5 6 5 2 2" xfId="27896" xr:uid="{C8FDCBE8-1CFA-45A8-A557-2BAB27E8DB55}"/>
    <cellStyle name="Normal 5 5 6 5 2 3" xfId="15251" xr:uid="{0670CA33-C44B-4A1C-926B-D5A1F99BE1A2}"/>
    <cellStyle name="Normal 5 5 6 5 3" xfId="7704" xr:uid="{488B38C3-B909-489F-9E3E-C127E39FE0FC}"/>
    <cellStyle name="Normal 5 5 6 5 3 2" xfId="18084" xr:uid="{6CAB44CC-D3F5-4FAF-B02E-06875B7715CC}"/>
    <cellStyle name="Normal 5 5 6 5 4" xfId="10537" xr:uid="{F0BB4B85-C2FE-48C0-9035-F59F6B6AF553}"/>
    <cellStyle name="Normal 5 5 6 5 4 2" xfId="20917" xr:uid="{5D34E16D-65A8-4796-B423-B869C0EC33AE}"/>
    <cellStyle name="Normal 5 5 6 5 5" xfId="25042" xr:uid="{10CE3F26-A178-42B3-8CFB-B5EE0FBF41E0}"/>
    <cellStyle name="Normal 5 5 6 5 6" xfId="12967" xr:uid="{9F7E1AE8-61D7-43B4-84C3-BB6A2BC47D29}"/>
    <cellStyle name="Normal 5 5 6 6" xfId="2385" xr:uid="{00000000-0005-0000-0000-000079070000}"/>
    <cellStyle name="Normal 5 5 6 6 2" xfId="7512" xr:uid="{915E2F73-636F-47E4-9C3E-B5751BBAC000}"/>
    <cellStyle name="Normal 5 5 6 6 2 2" xfId="27525" xr:uid="{A9800C9F-CA9F-438C-8267-C35D597EC015}"/>
    <cellStyle name="Normal 5 5 6 6 2 3" xfId="17892" xr:uid="{AD156AFE-689A-4610-B8D3-86099B7264D1}"/>
    <cellStyle name="Normal 5 5 6 6 3" xfId="10345" xr:uid="{50B70286-31B7-4705-A652-EEA9BF7487C1}"/>
    <cellStyle name="Normal 5 5 6 6 3 2" xfId="20725" xr:uid="{10AB95FA-D702-4886-A63B-ABFA0AC50956}"/>
    <cellStyle name="Normal 5 5 6 6 4" xfId="25399" xr:uid="{6FF132A8-AC59-47F8-B313-57B497617DD7}"/>
    <cellStyle name="Normal 5 5 6 6 5" xfId="15059" xr:uid="{D9CF1F1B-CA38-45C6-BB21-400D5B7E3B6B}"/>
    <cellStyle name="Normal 5 5 6 7" xfId="4030" xr:uid="{4C08CD9B-604C-4ADB-A4AF-D05931C1CD7D}"/>
    <cellStyle name="Normal 5 5 6 7 2" xfId="8831" xr:uid="{A1F41227-AEFD-4126-8736-F2CFC05EA1AF}"/>
    <cellStyle name="Normal 5 5 6 7 2 2" xfId="19211" xr:uid="{B4E907F3-BE3A-4D0A-9835-3CE217D62A2B}"/>
    <cellStyle name="Normal 5 5 6 7 3" xfId="11664" xr:uid="{A62C39DD-9B42-4CF3-B6C6-0A1CFF9C6F99}"/>
    <cellStyle name="Normal 5 5 6 7 3 2" xfId="22044" xr:uid="{121163AC-B2D9-428B-BAEA-9FBE2FFE74DC}"/>
    <cellStyle name="Normal 5 5 6 7 4" xfId="26765" xr:uid="{CD398623-6C6C-4BC2-82A4-C832B8AB9E58}"/>
    <cellStyle name="Normal 5 5 6 7 5" xfId="16378" xr:uid="{AFFAC0D2-105D-4FD1-9A2C-08044472405C}"/>
    <cellStyle name="Normal 5 5 6 8" xfId="5373" xr:uid="{C8B8751A-F737-4FFF-B4AF-2ED804A41D50}"/>
    <cellStyle name="Normal 5 5 6 8 2" xfId="14670" xr:uid="{D4DB0CD4-5517-4CA3-927B-01EB62213EAC}"/>
    <cellStyle name="Normal 5 5 6 9" xfId="7123" xr:uid="{085E023A-E4FA-4ACC-B822-992E07188A31}"/>
    <cellStyle name="Normal 5 5 6 9 2" xfId="17503" xr:uid="{E75F1C48-21C4-4E40-8F71-C8D5459D0AFD}"/>
    <cellStyle name="Normal 5 5 7" xfId="1225" xr:uid="{00000000-0005-0000-0000-00008F060000}"/>
    <cellStyle name="Normal 5 5 7 10" xfId="12620" xr:uid="{2CE59225-D865-4685-BFE3-B2793300DD83}"/>
    <cellStyle name="Normal 5 5 7 2" xfId="1226" xr:uid="{00000000-0005-0000-0000-000090060000}"/>
    <cellStyle name="Normal 5 5 7 2 2" xfId="2968" xr:uid="{00000000-0005-0000-0000-000082070000}"/>
    <cellStyle name="Normal 5 5 7 2 2 2" xfId="6133" xr:uid="{DF12A09B-446A-4806-8AA7-52F18594D853}"/>
    <cellStyle name="Normal 5 5 7 2 2 2 2" xfId="28134" xr:uid="{287D7080-CAC1-48FB-BDC8-DBDEF7205421}"/>
    <cellStyle name="Normal 5 5 7 2 2 2 3" xfId="26680" xr:uid="{2D34B869-C594-4F32-BA84-C78E41629D48}"/>
    <cellStyle name="Normal 5 5 7 2 2 2 4" xfId="15611" xr:uid="{15546E4B-B6FC-4619-BDB9-9AF5F1C16235}"/>
    <cellStyle name="Normal 5 5 7 2 2 3" xfId="8064" xr:uid="{64AF773E-6ACD-420B-B8D2-4FB5849D8190}"/>
    <cellStyle name="Normal 5 5 7 2 2 3 2" xfId="28762" xr:uid="{BE449C1B-FF30-4ADA-8453-43358F611491}"/>
    <cellStyle name="Normal 5 5 7 2 2 3 3" xfId="18444" xr:uid="{0075D294-103E-41F3-8119-1E6847751D82}"/>
    <cellStyle name="Normal 5 5 7 2 2 4" xfId="10897" xr:uid="{C0E9075E-DA7D-4089-AFF1-44199F22AC36}"/>
    <cellStyle name="Normal 5 5 7 2 2 4 2" xfId="21277" xr:uid="{75EC0386-19EF-4DCD-8937-70975FCEA266}"/>
    <cellStyle name="Normal 5 5 7 2 2 5" xfId="22795" xr:uid="{C80C1820-97C4-4E5B-AB92-0FAE4E57DF58}"/>
    <cellStyle name="Normal 5 5 7 2 2 6" xfId="13476" xr:uid="{114C263B-841E-45C9-9B90-A4796F0A2D8B}"/>
    <cellStyle name="Normal 5 5 7 2 3" xfId="5379" xr:uid="{62B1FFD8-3506-4F23-A9D5-0A302EE5EC5B}"/>
    <cellStyle name="Normal 5 5 7 2 3 2" xfId="24710" xr:uid="{5E132235-FA12-4C6C-9BC5-1DF08708EBE7}"/>
    <cellStyle name="Normal 5 5 7 2 3 3" xfId="28237" xr:uid="{D45E94F4-FED9-4F57-9576-3BFCFDDB1983}"/>
    <cellStyle name="Normal 5 5 7 2 3 4" xfId="14676" xr:uid="{73BF6DC8-DC03-4F41-B6BA-BF9712DA6D16}"/>
    <cellStyle name="Normal 5 5 7 2 4" xfId="7129" xr:uid="{007A5B14-E276-4597-8BA7-3A1D9F27A771}"/>
    <cellStyle name="Normal 5 5 7 2 4 2" xfId="26709" xr:uid="{4204EA0E-2CD8-4B31-BF39-F255100557C7}"/>
    <cellStyle name="Normal 5 5 7 2 4 3" xfId="26604" xr:uid="{9587304A-298C-42C2-89FE-A8D871D8B372}"/>
    <cellStyle name="Normal 5 5 7 2 4 4" xfId="17509" xr:uid="{F4219942-775D-49A8-B231-ADDF3238F212}"/>
    <cellStyle name="Normal 5 5 7 2 5" xfId="9962" xr:uid="{AA89878B-9247-486A-AEA6-FA18B854A097}"/>
    <cellStyle name="Normal 5 5 7 2 5 2" xfId="29440" xr:uid="{725804D9-55D1-48E9-9120-665ED0F66786}"/>
    <cellStyle name="Normal 5 5 7 2 5 3" xfId="20342" xr:uid="{EAF87BE4-15A0-4052-B4EA-009CD7B85D1C}"/>
    <cellStyle name="Normal 5 5 7 2 6" xfId="24533" xr:uid="{0DE5A35A-2E97-4301-8B12-1416B692F726}"/>
    <cellStyle name="Normal 5 5 7 2 7" xfId="12778" xr:uid="{E65F1D4D-7A99-4C0B-BB48-AD4A31224019}"/>
    <cellStyle name="Normal 5 5 7 3" xfId="1227" xr:uid="{00000000-0005-0000-0000-000091060000}"/>
    <cellStyle name="Normal 5 5 7 3 2" xfId="5380" xr:uid="{5D1B5A8B-DFD3-4E3B-B7AE-8808F340FA31}"/>
    <cellStyle name="Normal 5 5 7 3 2 2" xfId="26716" xr:uid="{B71CB86C-65D1-407B-8217-2604C578C11A}"/>
    <cellStyle name="Normal 5 5 7 3 2 3" xfId="25848" xr:uid="{AE74042E-DD15-4649-9D09-647A425563FF}"/>
    <cellStyle name="Normal 5 5 7 3 2 4" xfId="14677" xr:uid="{E5A02E31-6126-4AF7-95E5-AAAABE9064F1}"/>
    <cellStyle name="Normal 5 5 7 3 3" xfId="7130" xr:uid="{4F3261E5-D6A6-43ED-95EF-0D3E97758D08}"/>
    <cellStyle name="Normal 5 5 7 3 3 2" xfId="27427" xr:uid="{FC15D81A-F1B1-45F9-A769-5A122F50485D}"/>
    <cellStyle name="Normal 5 5 7 3 3 3" xfId="26845" xr:uid="{CE0ED922-644C-4F58-ACED-9C99FFD88B89}"/>
    <cellStyle name="Normal 5 5 7 3 3 4" xfId="17510" xr:uid="{C5163A04-4DD4-4ABD-80FE-8EC5140B5C0C}"/>
    <cellStyle name="Normal 5 5 7 3 4" xfId="9963" xr:uid="{8CBBAEC9-B7D1-46C6-B886-F34EAF682803}"/>
    <cellStyle name="Normal 5 5 7 3 4 2" xfId="29441" xr:uid="{16DDF990-AB59-42FC-AE78-DBAD703881B7}"/>
    <cellStyle name="Normal 5 5 7 3 4 3" xfId="20343" xr:uid="{005259F5-E70A-4213-AF68-0E4641894199}"/>
    <cellStyle name="Normal 5 5 7 3 5" xfId="22856" xr:uid="{0348CF96-F6F3-4C6D-B4BA-A803C5FEC7A0}"/>
    <cellStyle name="Normal 5 5 7 3 6" xfId="13282" xr:uid="{31327C97-CA05-47DE-A323-66B96157E7E6}"/>
    <cellStyle name="Normal 5 5 7 4" xfId="2386" xr:uid="{00000000-0005-0000-0000-000080070000}"/>
    <cellStyle name="Normal 5 5 7 4 2" xfId="7513" xr:uid="{06620718-82D7-449D-BC8A-65A1FCA7CD1B}"/>
    <cellStyle name="Normal 5 5 7 4 2 2" xfId="28371" xr:uid="{77AAB7CD-CFEC-44E3-96B6-8B73E3271381}"/>
    <cellStyle name="Normal 5 5 7 4 2 3" xfId="17893" xr:uid="{203BDB86-0203-4140-B4EB-DAF2293C7CCB}"/>
    <cellStyle name="Normal 5 5 7 4 3" xfId="10346" xr:uid="{67C5DDFE-B833-4338-A4EC-91A2E34F312A}"/>
    <cellStyle name="Normal 5 5 7 4 3 2" xfId="20726" xr:uid="{EC4D44FF-D7FF-4402-B5A6-8BA33E08BAC5}"/>
    <cellStyle name="Normal 5 5 7 4 4" xfId="25463" xr:uid="{DA714827-6702-43DE-B389-0EDF388AE5EA}"/>
    <cellStyle name="Normal 5 5 7 4 5" xfId="15060" xr:uid="{A7F1EB7E-D4B4-4905-B109-EC7EF55C49F8}"/>
    <cellStyle name="Normal 5 5 7 5" xfId="4031" xr:uid="{ED947DAA-371E-4C03-B6A7-8372C0C37EB6}"/>
    <cellStyle name="Normal 5 5 7 5 2" xfId="8832" xr:uid="{F9271682-9920-47AF-A906-7F969C6C0BCB}"/>
    <cellStyle name="Normal 5 5 7 5 2 2" xfId="28991" xr:uid="{9A639588-9BB2-45D2-9A6E-0F165BF35CC5}"/>
    <cellStyle name="Normal 5 5 7 5 2 3" xfId="19212" xr:uid="{6D987478-876F-4959-B431-5670F63D80AC}"/>
    <cellStyle name="Normal 5 5 7 5 3" xfId="11665" xr:uid="{0B668A09-0B6A-4A72-B2A7-B046302FC851}"/>
    <cellStyle name="Normal 5 5 7 5 3 2" xfId="22045" xr:uid="{E8ADD2EE-4298-424F-AAA2-20A7F2FE34F5}"/>
    <cellStyle name="Normal 5 5 7 5 4" xfId="23977" xr:uid="{362AAFC4-B91E-4DEC-B618-C89A9892DD4E}"/>
    <cellStyle name="Normal 5 5 7 5 5" xfId="16379" xr:uid="{086519B5-B122-460C-B5FC-1E50E222F34D}"/>
    <cellStyle name="Normal 5 5 7 6" xfId="5378" xr:uid="{26300556-557E-4082-8B60-B8830D25A460}"/>
    <cellStyle name="Normal 5 5 7 6 2" xfId="27758" xr:uid="{885ED2A7-0EDC-48D2-97DD-F55865D06BC9}"/>
    <cellStyle name="Normal 5 5 7 6 3" xfId="28212" xr:uid="{EC5D5EA3-7881-46A6-B0A6-BF5F976471EA}"/>
    <cellStyle name="Normal 5 5 7 6 4" xfId="14675" xr:uid="{50C9F68A-C3C5-4C1D-9F17-A272EAD10A97}"/>
    <cellStyle name="Normal 5 5 7 7" xfId="7128" xr:uid="{17F7932A-0BB0-42C5-9388-A4903D0A5069}"/>
    <cellStyle name="Normal 5 5 7 7 2" xfId="27294" xr:uid="{0EA9BA65-7403-4833-8623-2657BE8EA453}"/>
    <cellStyle name="Normal 5 5 7 7 3" xfId="17508" xr:uid="{9A2206DC-59DF-4A72-9FFC-5E36168D1C10}"/>
    <cellStyle name="Normal 5 5 7 8" xfId="9961" xr:uid="{6935D2E1-57D5-41C9-8D13-32764C290B24}"/>
    <cellStyle name="Normal 5 5 7 8 2" xfId="20341" xr:uid="{C53E5CD7-732F-4FFC-95AD-8B0C6F9D5534}"/>
    <cellStyle name="Normal 5 5 7 9" xfId="23854" xr:uid="{EA45A73B-8161-459B-8D64-E0A17181CCBC}"/>
    <cellStyle name="Normal 5 5 8" xfId="1228" xr:uid="{00000000-0005-0000-0000-000092060000}"/>
    <cellStyle name="Normal 5 5 8 10" xfId="12621" xr:uid="{4692576D-8AE3-450E-8272-9E48C4FD90CD}"/>
    <cellStyle name="Normal 5 5 8 2" xfId="1229" xr:uid="{00000000-0005-0000-0000-000093060000}"/>
    <cellStyle name="Normal 5 5 8 2 2" xfId="2969" xr:uid="{00000000-0005-0000-0000-000086070000}"/>
    <cellStyle name="Normal 5 5 8 2 2 2" xfId="6134" xr:uid="{23583555-56F1-4626-A3D2-93F8AD74FC7C}"/>
    <cellStyle name="Normal 5 5 8 2 2 2 2" xfId="26061" xr:uid="{17BB1EC5-47B5-42DC-A7F1-62E1932F379A}"/>
    <cellStyle name="Normal 5 5 8 2 2 2 3" xfId="28205" xr:uid="{1CD5DF35-3813-48B7-9249-D550A8FBFBC1}"/>
    <cellStyle name="Normal 5 5 8 2 2 2 4" xfId="15612" xr:uid="{C98894EB-883D-493A-B53D-A6A32DB37AF4}"/>
    <cellStyle name="Normal 5 5 8 2 2 3" xfId="8065" xr:uid="{D241DEDD-FF0C-4A85-9445-1C80D1D9D2BB}"/>
    <cellStyle name="Normal 5 5 8 2 2 3 2" xfId="28763" xr:uid="{AEF191AE-C1DB-4F24-8595-4374070D62A5}"/>
    <cellStyle name="Normal 5 5 8 2 2 3 3" xfId="18445" xr:uid="{8971FB0E-A446-4AE9-88ED-CCF7E3AB18B5}"/>
    <cellStyle name="Normal 5 5 8 2 2 4" xfId="10898" xr:uid="{4A64BE24-DD55-4796-BF60-CCC45FC14999}"/>
    <cellStyle name="Normal 5 5 8 2 2 4 2" xfId="21278" xr:uid="{A0448FD8-514E-4B38-97B0-5C920562CCE6}"/>
    <cellStyle name="Normal 5 5 8 2 2 5" xfId="25390" xr:uid="{304FCE7B-DBF4-4A85-A0EB-2D09E9A4E16C}"/>
    <cellStyle name="Normal 5 5 8 2 2 6" xfId="13477" xr:uid="{0FDF7A1A-7DE7-4386-8B1E-0081216BA5B1}"/>
    <cellStyle name="Normal 5 5 8 2 3" xfId="5382" xr:uid="{28E26E73-B0EA-480D-A7FA-647939548711}"/>
    <cellStyle name="Normal 5 5 8 2 3 2" xfId="22789" xr:uid="{05A1BB14-5CC5-4969-9205-57AA7EABDBFC}"/>
    <cellStyle name="Normal 5 5 8 2 3 3" xfId="25863" xr:uid="{E4A49593-FE91-4477-A730-9BCC4AB579B5}"/>
    <cellStyle name="Normal 5 5 8 2 3 4" xfId="14679" xr:uid="{8632A19C-0EAA-43DC-A8E8-F2F97D8C4A28}"/>
    <cellStyle name="Normal 5 5 8 2 4" xfId="7132" xr:uid="{29DA3E0B-4167-4F0C-939E-5866351703BB}"/>
    <cellStyle name="Normal 5 5 8 2 4 2" xfId="25938" xr:uid="{FD958FAC-B768-4688-B47A-D42A14956D24}"/>
    <cellStyle name="Normal 5 5 8 2 4 3" xfId="28641" xr:uid="{A8B49F71-4CD3-4161-923F-BFE38AB9D0E6}"/>
    <cellStyle name="Normal 5 5 8 2 4 4" xfId="17512" xr:uid="{AAFE3A54-9E83-4D75-A862-B7A2AC257A8B}"/>
    <cellStyle name="Normal 5 5 8 2 5" xfId="9965" xr:uid="{86CA0C47-DEE8-4923-BBA0-B6917FB44FD3}"/>
    <cellStyle name="Normal 5 5 8 2 5 2" xfId="29442" xr:uid="{9109907C-4C0F-4B69-85D7-F8D1191FD9E8}"/>
    <cellStyle name="Normal 5 5 8 2 5 3" xfId="20345" xr:uid="{CDE8E9AF-4DAE-4662-AC89-5032923A5175}"/>
    <cellStyle name="Normal 5 5 8 2 6" xfId="24403" xr:uid="{A31D9859-204A-484B-807F-2F0083417206}"/>
    <cellStyle name="Normal 5 5 8 2 7" xfId="12779" xr:uid="{0E95C321-2520-4C9A-88AD-5D434E3F727B}"/>
    <cellStyle name="Normal 5 5 8 3" xfId="1230" xr:uid="{00000000-0005-0000-0000-000094060000}"/>
    <cellStyle name="Normal 5 5 8 3 2" xfId="5383" xr:uid="{88FD3DDF-4C7F-4F5B-8FAD-3A109E913FFF}"/>
    <cellStyle name="Normal 5 5 8 3 2 2" xfId="27118" xr:uid="{CF8DD38A-CD75-4DA5-BFFA-82DC0BA5D007}"/>
    <cellStyle name="Normal 5 5 8 3 2 3" xfId="27182" xr:uid="{2B08D43A-53B8-448B-84A9-E9102893CD8A}"/>
    <cellStyle name="Normal 5 5 8 3 2 4" xfId="14680" xr:uid="{46ED660E-0474-4C37-9A58-989BEE2A2F67}"/>
    <cellStyle name="Normal 5 5 8 3 3" xfId="7133" xr:uid="{3AF719DC-EEBB-4037-8A07-3409B0B4026D}"/>
    <cellStyle name="Normal 5 5 8 3 3 2" xfId="28002" xr:uid="{6DCBEFDC-1A2D-4C78-A7C8-925F50C1DAF4}"/>
    <cellStyle name="Normal 5 5 8 3 3 3" xfId="28135" xr:uid="{4F50F1CA-3439-4758-92E8-1C92B121C9C4}"/>
    <cellStyle name="Normal 5 5 8 3 3 4" xfId="17513" xr:uid="{B9102EEC-5509-405C-ACCD-30FDFAD1F030}"/>
    <cellStyle name="Normal 5 5 8 3 4" xfId="9966" xr:uid="{B9D2C06B-972E-488D-9A65-F3FE21FE0D8D}"/>
    <cellStyle name="Normal 5 5 8 3 4 2" xfId="29443" xr:uid="{1A6A0D2B-9F47-4568-9BBC-A727B9EBBBB1}"/>
    <cellStyle name="Normal 5 5 8 3 4 3" xfId="20346" xr:uid="{EA313959-F7BC-4595-B38D-D6B2039B8207}"/>
    <cellStyle name="Normal 5 5 8 3 5" xfId="24718" xr:uid="{1D4D5F3A-B42C-4E6D-9BB2-594F2E456AC4}"/>
    <cellStyle name="Normal 5 5 8 3 6" xfId="13283" xr:uid="{CC60B2D0-00F3-4C65-A4FF-8CFC5973BC19}"/>
    <cellStyle name="Normal 5 5 8 4" xfId="2387" xr:uid="{00000000-0005-0000-0000-000084070000}"/>
    <cellStyle name="Normal 5 5 8 4 2" xfId="7514" xr:uid="{0E501E06-021C-4E16-9171-904D17CD0F51}"/>
    <cellStyle name="Normal 5 5 8 4 2 2" xfId="27617" xr:uid="{0129CB36-5BB4-4EFF-8AF5-876BDBFD24B9}"/>
    <cellStyle name="Normal 5 5 8 4 2 3" xfId="17894" xr:uid="{B310EC6F-2212-4190-A4B1-F70EA5F45D76}"/>
    <cellStyle name="Normal 5 5 8 4 3" xfId="10347" xr:uid="{C09EB9F6-35D9-4AA0-AC49-F8222A3DD781}"/>
    <cellStyle name="Normal 5 5 8 4 3 2" xfId="20727" xr:uid="{248D407E-3C7C-4679-B9BB-E19D64B0AD1E}"/>
    <cellStyle name="Normal 5 5 8 4 4" xfId="25177" xr:uid="{DBD86CAA-906A-40DC-8A27-C3BD988E3D0F}"/>
    <cellStyle name="Normal 5 5 8 4 5" xfId="15061" xr:uid="{6655A872-F6DC-41B0-B026-D6C078598353}"/>
    <cellStyle name="Normal 5 5 8 5" xfId="4032" xr:uid="{6FD30347-E184-4327-B45F-7226DDACB066}"/>
    <cellStyle name="Normal 5 5 8 5 2" xfId="8833" xr:uid="{3E3659E3-7EDE-43BE-9B86-26156D6890FE}"/>
    <cellStyle name="Normal 5 5 8 5 2 2" xfId="28992" xr:uid="{0145E712-EAAD-4297-AB0F-A1705372752A}"/>
    <cellStyle name="Normal 5 5 8 5 2 3" xfId="19213" xr:uid="{C8D2A082-A26C-40D6-8777-E977FE91F652}"/>
    <cellStyle name="Normal 5 5 8 5 3" xfId="11666" xr:uid="{BBA9C86D-8B7E-4068-BD7C-64971C5CF0BE}"/>
    <cellStyle name="Normal 5 5 8 5 3 2" xfId="22046" xr:uid="{0283CA92-74AB-4338-BCA3-D9BA32AE6180}"/>
    <cellStyle name="Normal 5 5 8 5 4" xfId="23018" xr:uid="{86435221-29A9-419C-AD4D-C63D913CAE0A}"/>
    <cellStyle name="Normal 5 5 8 5 5" xfId="16380" xr:uid="{4201ABC3-F5F7-4C3D-9C5E-44EA5E11C04E}"/>
    <cellStyle name="Normal 5 5 8 6" xfId="5381" xr:uid="{2B6F67D7-2E1F-4B28-9F6E-F54B4F89B037}"/>
    <cellStyle name="Normal 5 5 8 6 2" xfId="28735" xr:uid="{967795E7-74C9-42ED-93AB-D7521134F9D6}"/>
    <cellStyle name="Normal 5 5 8 6 3" xfId="26228" xr:uid="{BED9E503-CAC9-4497-85A1-2B2915EBB4A8}"/>
    <cellStyle name="Normal 5 5 8 6 4" xfId="14678" xr:uid="{829F3A83-B132-403D-AE92-711F3C17F0D4}"/>
    <cellStyle name="Normal 5 5 8 7" xfId="7131" xr:uid="{0FACAD69-D070-49F9-8403-38F7B1AABAD7}"/>
    <cellStyle name="Normal 5 5 8 7 2" xfId="26191" xr:uid="{F4F9371D-5CE0-4F5A-9451-65D4C3851AE0}"/>
    <cellStyle name="Normal 5 5 8 7 3" xfId="17511" xr:uid="{B7A14410-470A-4573-941F-E325DB05E722}"/>
    <cellStyle name="Normal 5 5 8 8" xfId="9964" xr:uid="{69CBE24C-AEDE-4A2B-9DE0-1E446FF6810F}"/>
    <cellStyle name="Normal 5 5 8 8 2" xfId="20344" xr:uid="{B7D3E168-ACD8-4D0A-A031-27A7A05810D9}"/>
    <cellStyle name="Normal 5 5 8 9" xfId="23705"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6" xr:uid="{F083B5EB-43B9-4590-83CA-856969DC4BF4}"/>
    <cellStyle name="Normal 5 6 2" xfId="29638" xr:uid="{B75DEE0B-F534-46AF-9926-93D48AEAA1C2}"/>
    <cellStyle name="Normal 6" xfId="1234" xr:uid="{00000000-0005-0000-0000-000098060000}"/>
    <cellStyle name="Normal 6 2" xfId="1235" xr:uid="{00000000-0005-0000-0000-000099060000}"/>
    <cellStyle name="Normal 6 2 2" xfId="1236" xr:uid="{00000000-0005-0000-0000-00009A060000}"/>
    <cellStyle name="Normal 6 2 2 2" xfId="29576"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6" xr:uid="{00000000-0005-0000-0000-000003060000}"/>
    <cellStyle name="Normal 6 2 4 2 3 2" xfId="4729" xr:uid="{36DF93BC-14C0-4C8D-9939-43490568E73B}"/>
    <cellStyle name="Normal 6 2 4 2 3 3" xfId="29760" xr:uid="{A05C47E7-DBFA-43E1-A101-D20F72B25BDF}"/>
    <cellStyle name="Normal 6 2 4 3" xfId="1241" xr:uid="{00000000-0005-0000-0000-00009F060000}"/>
    <cellStyle name="Normal 6 2 4 4" xfId="30087" xr:uid="{71B64134-7B38-48EE-92DC-292852CC7553}"/>
    <cellStyle name="Normal 6 2 5" xfId="1242" xr:uid="{00000000-0005-0000-0000-0000A0060000}"/>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4" xr:uid="{BCEE65C1-493F-43A2-8225-D8AF26E4B811}"/>
    <cellStyle name="Normal 6 3 3 3 2 3 2 2 3" xfId="23065" xr:uid="{9BB534F7-3CF8-47D9-BE50-7E51BEA965FB}"/>
    <cellStyle name="Normal 6 3 3 3 2 3 2 3" xfId="1253" xr:uid="{00000000-0005-0000-0000-0000AB060000}"/>
    <cellStyle name="Normal 6 3 3 3 2 3 2 3 2" xfId="2014" xr:uid="{00000000-0005-0000-0000-0000AC060000}"/>
    <cellStyle name="Normal 6 3 3 3 2 3 2 3 3" xfId="3747" xr:uid="{00000000-0005-0000-0000-00000F060000}"/>
    <cellStyle name="Normal 6 3 3 3 2 3 2 3 3 2" xfId="4744" xr:uid="{52032595-B136-4D2C-B500-82ADF7DF1B2A}"/>
    <cellStyle name="Normal 6 3 3 3 2 3 2 3 3 3" xfId="29761" xr:uid="{6B96469D-6D82-4B81-AAF8-00D3C820BE7A}"/>
    <cellStyle name="Normal 6 3 3 3 2 3 2 4" xfId="23723" xr:uid="{CF6E8B82-0990-4BE4-9413-7C6041332850}"/>
    <cellStyle name="Normal 6 3 3 3 2 3 2 4 2" xfId="29882" xr:uid="{DE8C431D-B673-4AE3-81C3-456BA4F30D63}"/>
    <cellStyle name="Normal 6 3 3 3 2 3 3" xfId="1254" xr:uid="{00000000-0005-0000-0000-0000AD060000}"/>
    <cellStyle name="Normal 6 3 3 3 2 3 4" xfId="2971" xr:uid="{00000000-0005-0000-0000-000096070000}"/>
    <cellStyle name="Normal 6 3 3 3 2 3 5" xfId="2127" xr:uid="{00000000-0005-0000-0000-0000BE020000}"/>
    <cellStyle name="Normal 6 3 3 3 2 3 5 2" xfId="4680" xr:uid="{D6398DC9-E5C9-496E-A2A7-CD5014D2DFA6}"/>
    <cellStyle name="Normal 6 3 3 3 2 3 5 3" xfId="29697" xr:uid="{643C5805-933D-42FF-97DD-E67E75DE4EC8}"/>
    <cellStyle name="Normal 6 3 3 3 2 3 6" xfId="4034" xr:uid="{C3B2AF05-98DC-463A-BA12-C74208D497DD}"/>
    <cellStyle name="Normal 6 3 3 3 2 3 6 2" xfId="4812" xr:uid="{F613BC84-EDE5-4885-8459-F27AF0BB6E85}"/>
    <cellStyle name="Normal 6 3 3 3 2 3 6 3" xfId="29815" xr:uid="{37BF0B13-F15F-443F-B347-B26B49E9427B}"/>
    <cellStyle name="Normal 6 3 3 3 2 4" xfId="1255" xr:uid="{00000000-0005-0000-0000-0000AE060000}"/>
    <cellStyle name="Normal 6 3 3 3 2 4 2" xfId="2970" xr:uid="{00000000-0005-0000-0000-000097070000}"/>
    <cellStyle name="Normal 6 3 3 3 2 4 3" xfId="24637" xr:uid="{0B99EDD5-5B90-41B3-B148-FF54C30227C9}"/>
    <cellStyle name="Normal 6 3 3 3 2 4 3 2" xfId="29621" xr:uid="{5AD4FC9D-CD04-4CDE-9532-33EB4917BF7B}"/>
    <cellStyle name="Normal 6 3 3 3 2 4 3 3" xfId="29607" xr:uid="{F36EC8D3-C075-4FCC-BB6E-6F17B0D09736}"/>
    <cellStyle name="Normal 6 3 3 3 2 4 3 3 2" xfId="29648" xr:uid="{826F20A1-EE0D-443B-B788-37E26F103C4E}"/>
    <cellStyle name="Normal 6 3 3 3 2 4 3 4" xfId="29850" xr:uid="{1C9500AC-737C-4153-8F9C-F59B308FDCBC}"/>
    <cellStyle name="Normal 6 3 3 3 2 5" xfId="2126" xr:uid="{00000000-0005-0000-0000-0000BC020000}"/>
    <cellStyle name="Normal 6 3 3 3 2 5 2" xfId="4637" xr:uid="{6DCD8049-BC85-477D-8DF4-71B624F9476D}"/>
    <cellStyle name="Normal 6 3 3 3 2 5 3" xfId="29696" xr:uid="{BE0D56ED-91DB-4444-A1E9-535C519523B3}"/>
    <cellStyle name="Normal 6 3 3 3 2 6" xfId="4033" xr:uid="{2F86E8C3-CFCF-4CC5-896B-92C102F9D7BD}"/>
    <cellStyle name="Normal 6 3 3 3 2 6 2" xfId="4725" xr:uid="{3DE8FA29-3805-45F1-AFC0-AABB851E3B0A}"/>
    <cellStyle name="Normal 6 3 3 3 2 6 3" xfId="29814" xr:uid="{88C5B3AC-B9E4-4B2A-A509-BAA53A148499}"/>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5" xr:uid="{00000000-0005-0000-0000-0000B4060000}"/>
    <cellStyle name="Normal 6 3 3 3 4 2 2 2 3" xfId="3748" xr:uid="{00000000-0005-0000-0000-000016060000}"/>
    <cellStyle name="Normal 6 3 3 3 4 2 2 2 3 2" xfId="4777" xr:uid="{AAE7B9DD-D69F-4E10-BB8B-20D4AC9962F5}"/>
    <cellStyle name="Normal 6 3 3 3 4 2 2 2 3 3" xfId="29762" xr:uid="{9FBFB2E0-9912-4BB7-A585-88A9B65A6E6E}"/>
    <cellStyle name="Normal 6 3 3 3 4 2 2 2 4" xfId="22661" xr:uid="{CBF90421-D5AC-4CAD-9FD2-36B22A63D893}"/>
    <cellStyle name="Normal 6 3 3 3 4 2 2 3" xfId="2016" xr:uid="{00000000-0005-0000-0000-0000B5060000}"/>
    <cellStyle name="Normal 6 3 3 3 4 2 2 4" xfId="25706" xr:uid="{C5F7ECBA-4F92-4F46-BA83-52E1E22E980F}"/>
    <cellStyle name="Normal 6 3 3 3 4 2 2 4 2" xfId="29883" xr:uid="{8B9FE2C6-3F2A-4919-AC47-5BFFA67C85D5}"/>
    <cellStyle name="Normal 6 3 3 3 4 2 3" xfId="1261" xr:uid="{00000000-0005-0000-0000-0000B6060000}"/>
    <cellStyle name="Normal 6 3 3 3 4 2 3 2" xfId="1262" xr:uid="{00000000-0005-0000-0000-0000B7060000}"/>
    <cellStyle name="Normal 6 3 3 3 4 2 3 2 2" xfId="25668" xr:uid="{E957DF7A-A3D2-43E6-AE06-9A9BCADFE3C5}"/>
    <cellStyle name="Normal 6 3 3 3 4 2 3 2 3" xfId="23564" xr:uid="{82449096-A430-4189-883B-B78564EA965D}"/>
    <cellStyle name="Normal 6 3 3 3 4 2 3 2 3 2" xfId="29901" xr:uid="{CFC488F0-FD9B-4585-A1C5-CFAED2731492}"/>
    <cellStyle name="Normal 6 3 3 3 4 2 3 3" xfId="1263" xr:uid="{00000000-0005-0000-0000-0000B8060000}"/>
    <cellStyle name="Normal 6 3 3 3 4 2 3 3 2" xfId="25804" xr:uid="{7B562051-5010-423F-A5F3-DA3469A63612}"/>
    <cellStyle name="Normal 6 3 3 3 4 2 3 3 3" xfId="24256" xr:uid="{D37E907C-74A2-4123-B6C7-51638602FEE9}"/>
    <cellStyle name="Normal 6 3 3 3 4 2 3 4" xfId="2129" xr:uid="{00000000-0005-0000-0000-0000C4020000}"/>
    <cellStyle name="Normal 6 3 3 3 4 2 3 4 2" xfId="4782" xr:uid="{59B8D440-8137-4B7F-A656-CF0510303CA0}"/>
    <cellStyle name="Normal 6 3 3 3 4 2 3 4 3" xfId="29699" xr:uid="{5F8B31FB-46EB-4E4A-A7AA-CE5C7B15FA0A}"/>
    <cellStyle name="Normal 6 3 3 3 4 2 3 5" xfId="25802" xr:uid="{593CE574-319A-4AC6-9B5C-702D762FB4CA}"/>
    <cellStyle name="Normal 6 3 3 3 4 2 4" xfId="25640" xr:uid="{EABC3D6A-712F-4FB3-BEB7-DF746EAFE1AE}"/>
    <cellStyle name="Normal 6 3 3 3 4 3" xfId="1264" xr:uid="{00000000-0005-0000-0000-0000B9060000}"/>
    <cellStyle name="Normal 6 3 3 3 4 4" xfId="2972" xr:uid="{00000000-0005-0000-0000-00009F070000}"/>
    <cellStyle name="Normal 6 3 3 3 4 5" xfId="2128" xr:uid="{00000000-0005-0000-0000-0000C1020000}"/>
    <cellStyle name="Normal 6 3 3 3 4 5 2" xfId="4672" xr:uid="{3CF7EC19-F0E2-4711-B08D-946163A456F8}"/>
    <cellStyle name="Normal 6 3 3 3 4 5 3" xfId="29698" xr:uid="{1C03B309-F66D-4347-80E0-4991DB9C14B0}"/>
    <cellStyle name="Normal 6 3 3 3 4 6" xfId="4035" xr:uid="{4F2918E3-7CCF-44F2-8B12-399DCD69E664}"/>
    <cellStyle name="Normal 6 3 3 3 4 6 2" xfId="4704" xr:uid="{66B78E9E-F4AB-4BA4-9562-EF211951A15F}"/>
    <cellStyle name="Normal 6 3 3 3 4 6 3" xfId="29816" xr:uid="{B0F39986-41E3-4187-A9AF-C6783FD54FD8}"/>
    <cellStyle name="Normal 6 3 3 3 5" xfId="1265" xr:uid="{00000000-0005-0000-0000-0000BA060000}"/>
    <cellStyle name="Normal 6 3 3 3 5 2" xfId="1266" xr:uid="{00000000-0005-0000-0000-0000BB060000}"/>
    <cellStyle name="Normal 6 3 3 3 5 3" xfId="3749" xr:uid="{00000000-0005-0000-0000-00001D060000}"/>
    <cellStyle name="Normal 6 3 3 3 5 3 2" xfId="4728" xr:uid="{86D2124D-0952-4EE0-8EFD-833837240DB9}"/>
    <cellStyle name="Normal 6 3 3 3 5 3 2 2" xfId="27330" xr:uid="{4A976EB1-446E-435E-9AE3-41D706587218}"/>
    <cellStyle name="Normal 6 3 3 3 5 3 3" xfId="24911" xr:uid="{1B73AC05-9E14-42B7-981E-924978277EB1}"/>
    <cellStyle name="Normal 6 3 3 3 5 3 4" xfId="29763" xr:uid="{FF0E2D87-FF89-43BA-AD19-420BBAE4BF57}"/>
    <cellStyle name="Normal 6 3 3 3 5 4" xfId="24243"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3" xr:uid="{7F0C0093-2374-413B-A5E9-43C55EFC788B}"/>
    <cellStyle name="Normal 6 3 3 4 3 2 2 3" xfId="22913" xr:uid="{10740882-16AF-4F93-9A88-A7076635685B}"/>
    <cellStyle name="Normal 6 3 3 4 3 2 3" xfId="1272" xr:uid="{00000000-0005-0000-0000-0000C1060000}"/>
    <cellStyle name="Normal 6 3 3 4 3 2 3 2" xfId="2017" xr:uid="{00000000-0005-0000-0000-0000C2060000}"/>
    <cellStyle name="Normal 6 3 3 4 3 2 3 3" xfId="3750" xr:uid="{00000000-0005-0000-0000-000024060000}"/>
    <cellStyle name="Normal 6 3 3 4 3 2 3 3 2" xfId="4763" xr:uid="{DBCCADD4-FC4E-4BFC-A7C2-891AFFCEA356}"/>
    <cellStyle name="Normal 6 3 3 4 3 2 3 3 3" xfId="29764" xr:uid="{0DA0818F-2504-45B6-B860-65FDBC1A2478}"/>
    <cellStyle name="Normal 6 3 3 4 3 2 4" xfId="25725" xr:uid="{458F7302-1896-4444-8A91-7EEE77D9B42E}"/>
    <cellStyle name="Normal 6 3 3 4 3 2 4 2" xfId="29884" xr:uid="{CFFE1EE2-50FA-4C72-BBF4-F3FB10B52233}"/>
    <cellStyle name="Normal 6 3 3 4 3 3" xfId="1273" xr:uid="{00000000-0005-0000-0000-0000C3060000}"/>
    <cellStyle name="Normal 6 3 3 4 3 4" xfId="2973" xr:uid="{00000000-0005-0000-0000-0000A5070000}"/>
    <cellStyle name="Normal 6 3 3 4 3 5" xfId="2131" xr:uid="{00000000-0005-0000-0000-0000C8020000}"/>
    <cellStyle name="Normal 6 3 3 4 3 5 2" xfId="3855" xr:uid="{14ADEC9D-23D5-4755-9DD0-8765D24571A4}"/>
    <cellStyle name="Normal 6 3 3 4 3 5 3" xfId="29701" xr:uid="{2D37B3C1-21D4-4009-9CB0-F993351006E1}"/>
    <cellStyle name="Normal 6 3 3 4 3 6" xfId="4037" xr:uid="{C66D090D-F948-4628-9A4B-3556EC8A8993}"/>
    <cellStyle name="Normal 6 3 3 4 3 6 2" xfId="4740" xr:uid="{6CDE8700-2BC6-4C40-AD11-A661C27D6699}"/>
    <cellStyle name="Normal 6 3 3 4 3 6 3" xfId="29818" xr:uid="{09DA7260-2B03-4313-AC0E-6D70B4CC7369}"/>
    <cellStyle name="Normal 6 3 3 4 4" xfId="1274" xr:uid="{00000000-0005-0000-0000-0000C4060000}"/>
    <cellStyle name="Normal 6 3 3 4 4 2" xfId="2018" xr:uid="{00000000-0005-0000-0000-0000C5060000}"/>
    <cellStyle name="Normal 6 3 3 4 4 3" xfId="3751" xr:uid="{00000000-0005-0000-0000-000027060000}"/>
    <cellStyle name="Normal 6 3 3 4 4 3 2" xfId="4734" xr:uid="{8C9E0BAB-6342-4926-AFDE-1D1CEAEB8D50}"/>
    <cellStyle name="Normal 6 3 3 4 4 3 3" xfId="29765" xr:uid="{078C0662-4775-4A3D-B93B-C14B86E36E44}"/>
    <cellStyle name="Normal 6 3 3 4 5" xfId="2130" xr:uid="{00000000-0005-0000-0000-0000C6020000}"/>
    <cellStyle name="Normal 6 3 3 4 5 2" xfId="3776" xr:uid="{E7CE2CBA-ABE9-40BC-B051-DB9C5FB798E6}"/>
    <cellStyle name="Normal 6 3 3 4 5 3" xfId="29700" xr:uid="{F40D35A3-3B13-4C5D-B2CF-7CF5EF803D00}"/>
    <cellStyle name="Normal 6 3 3 4 6" xfId="4036" xr:uid="{45BFAD04-BCD7-4CAC-953D-0DBD444CB6D4}"/>
    <cellStyle name="Normal 6 3 3 4 6 2" xfId="4726" xr:uid="{E376E65A-2E16-478D-B2B0-FCA698161DA4}"/>
    <cellStyle name="Normal 6 3 3 4 6 3" xfId="29817" xr:uid="{B0B0241C-D1C3-41F4-901D-7CE0D5430A48}"/>
    <cellStyle name="Normal 6 3 3 5" xfId="2070" xr:uid="{00000000-0005-0000-0000-0000B9020000}"/>
    <cellStyle name="Normal 6 3 3 5 2" xfId="4799" xr:uid="{907E5E47-F6B2-4DC4-A325-33901AAEA066}"/>
    <cellStyle name="Normal 6 3 3 5 3" xfId="29659" xr:uid="{A5136BE7-6188-4CFE-A98D-6A47713C6987}"/>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7" xr:uid="{914EF0C8-D56B-478B-810B-7CA84A865AFB}"/>
    <cellStyle name="Normal 6 3 4 3 2 2 3" xfId="24995" xr:uid="{BF9404F4-9345-4E46-8DFA-77F5AB74D18D}"/>
    <cellStyle name="Normal 6 3 4 3 2 3" xfId="1280" xr:uid="{00000000-0005-0000-0000-0000CB060000}"/>
    <cellStyle name="Normal 6 3 4 3 2 3 2" xfId="2019" xr:uid="{00000000-0005-0000-0000-0000CC060000}"/>
    <cellStyle name="Normal 6 3 4 3 2 3 3" xfId="3752" xr:uid="{00000000-0005-0000-0000-00002E060000}"/>
    <cellStyle name="Normal 6 3 4 3 2 3 3 2" xfId="4723" xr:uid="{FB4D8310-7AEF-4531-9242-402D4EE4CBCA}"/>
    <cellStyle name="Normal 6 3 4 3 2 3 3 3" xfId="29766" xr:uid="{D2A24CA1-BE15-4AE5-87DA-0E8B424D8B21}"/>
    <cellStyle name="Normal 6 3 4 3 2 4" xfId="24959" xr:uid="{0DA149DA-ADAC-4AFA-94DC-BF3AC20BD344}"/>
    <cellStyle name="Normal 6 3 4 3 2 4 2" xfId="29885" xr:uid="{653CF564-D019-4DAC-A83C-B66271AD494B}"/>
    <cellStyle name="Normal 6 3 4 3 3" xfId="1281" xr:uid="{00000000-0005-0000-0000-0000CD060000}"/>
    <cellStyle name="Normal 6 3 4 3 4" xfId="2975" xr:uid="{00000000-0005-0000-0000-0000AC070000}"/>
    <cellStyle name="Normal 6 3 4 3 5" xfId="2133" xr:uid="{00000000-0005-0000-0000-0000CC020000}"/>
    <cellStyle name="Normal 6 3 4 3 5 2" xfId="4641" xr:uid="{B14B5BE6-0AD9-4024-B6A3-83DB74FA6323}"/>
    <cellStyle name="Normal 6 3 4 3 5 3" xfId="29703" xr:uid="{EE5DB43E-DD8E-43A9-A47A-7F2C344E98C8}"/>
    <cellStyle name="Normal 6 3 4 3 6" xfId="4039" xr:uid="{85017E11-7866-4279-9063-BD1F44AA9952}"/>
    <cellStyle name="Normal 6 3 4 3 6 2" xfId="4785" xr:uid="{121F7278-5066-479E-804E-839EF523D6AF}"/>
    <cellStyle name="Normal 6 3 4 3 6 3" xfId="29820" xr:uid="{774EA135-0138-4A78-A082-3721C8EF0E69}"/>
    <cellStyle name="Normal 6 3 4 4" xfId="2974" xr:uid="{00000000-0005-0000-0000-0000AD070000}"/>
    <cellStyle name="Normal 6 3 4 4 2" xfId="24839" xr:uid="{A731FBC4-F028-41EF-AC44-B734738D1241}"/>
    <cellStyle name="Normal 6 3 4 4 2 2" xfId="29623" xr:uid="{7D19FE9A-8DE5-4212-8041-0E8E01477532}"/>
    <cellStyle name="Normal 6 3 4 4 2 3" xfId="29608" xr:uid="{6844FE66-0350-45B6-8749-E96EC837CDEA}"/>
    <cellStyle name="Normal 6 3 4 4 2 3 2" xfId="29649" xr:uid="{306B9646-B3CB-4206-96D3-173A2C19F6A4}"/>
    <cellStyle name="Normal 6 3 4 4 3" xfId="24976" xr:uid="{B81CA4B1-D0EC-4903-82C2-3729418C66EC}"/>
    <cellStyle name="Normal 6 3 4 5" xfId="2132" xr:uid="{00000000-0005-0000-0000-0000CA020000}"/>
    <cellStyle name="Normal 6 3 4 5 2" xfId="4626" xr:uid="{385DF0D6-58F0-450D-88C9-C3CEB76D1408}"/>
    <cellStyle name="Normal 6 3 4 5 3" xfId="29702" xr:uid="{57143A39-1E2B-42C3-A188-8E4D1CC5DEB6}"/>
    <cellStyle name="Normal 6 3 4 6" xfId="4038" xr:uid="{8D1101F3-0C22-4BE8-AF14-06E549D8B1C0}"/>
    <cellStyle name="Normal 6 3 4 6 2" xfId="4708" xr:uid="{309113B5-9206-44C4-9B50-F0859B4F4AC0}"/>
    <cellStyle name="Normal 6 3 4 6 3" xfId="29819" xr:uid="{00C7CAF9-3CC5-4A66-91C3-E486E49E8F17}"/>
    <cellStyle name="Normal 6 3 5" xfId="29609" xr:uid="{631E655F-7844-43BA-9955-2AD29CB8158C}"/>
    <cellStyle name="Normal 6 3 5 2" xfId="29637" xr:uid="{B4AFCDD8-862C-4144-A948-C80FD9D9C627}"/>
    <cellStyle name="Normal 6 4" xfId="1282" xr:uid="{00000000-0005-0000-0000-0000CE060000}"/>
    <cellStyle name="Normal 6 4 2" xfId="29577"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6" xr:uid="{6CE7B02B-D1CE-4710-96B7-8A6DF2DAC870}"/>
    <cellStyle name="Normal 6 5 3 2 3 2 2 3" xfId="23025" xr:uid="{4E9BE13E-A5E0-47E2-AFF3-48DE17D58116}"/>
    <cellStyle name="Normal 6 5 3 2 3 2 3" xfId="1291" xr:uid="{00000000-0005-0000-0000-0000D7060000}"/>
    <cellStyle name="Normal 6 5 3 2 3 2 3 2" xfId="2020" xr:uid="{00000000-0005-0000-0000-0000D8060000}"/>
    <cellStyle name="Normal 6 5 3 2 3 2 3 3" xfId="3753" xr:uid="{00000000-0005-0000-0000-00003A060000}"/>
    <cellStyle name="Normal 6 5 3 2 3 2 3 3 2" xfId="4750" xr:uid="{5673C234-99C3-4A51-9CB0-6C6BF3ACCAF4}"/>
    <cellStyle name="Normal 6 5 3 2 3 2 3 3 3" xfId="29767" xr:uid="{AFEBC461-32AC-4EA0-906C-D2ADF95D79B1}"/>
    <cellStyle name="Normal 6 5 3 2 3 2 4" xfId="22682" xr:uid="{9FD8EF5C-1DF1-4ABC-86B0-BC0A24BC7DB0}"/>
    <cellStyle name="Normal 6 5 3 2 3 2 4 2" xfId="29886" xr:uid="{388E9EA6-5A9B-4699-B8F7-55F2B5A214A9}"/>
    <cellStyle name="Normal 6 5 3 2 3 3" xfId="1292" xr:uid="{00000000-0005-0000-0000-0000D9060000}"/>
    <cellStyle name="Normal 6 5 3 2 3 4" xfId="2977" xr:uid="{00000000-0005-0000-0000-0000B7070000}"/>
    <cellStyle name="Normal 6 5 3 2 3 5" xfId="2136" xr:uid="{00000000-0005-0000-0000-0000D4020000}"/>
    <cellStyle name="Normal 6 5 3 2 3 5 2" xfId="4648" xr:uid="{6EE5CD5D-2630-46DB-98C1-E0A91C088B26}"/>
    <cellStyle name="Normal 6 5 3 2 3 5 3" xfId="29706" xr:uid="{0C0F1C1C-D536-4C3A-AC55-9B52D617EDC9}"/>
    <cellStyle name="Normal 6 5 3 2 3 6" xfId="4042" xr:uid="{8B315A9F-8391-474D-B4C0-405EE4404F8E}"/>
    <cellStyle name="Normal 6 5 3 2 3 6 2" xfId="4713" xr:uid="{B2D6BDD1-5721-402C-A1EB-DE58BA876C84}"/>
    <cellStyle name="Normal 6 5 3 2 3 6 3" xfId="29823" xr:uid="{0FB326A1-4D40-4832-B30D-F48DC2A9BBB4}"/>
    <cellStyle name="Normal 6 5 3 2 4" xfId="1293" xr:uid="{00000000-0005-0000-0000-0000DA060000}"/>
    <cellStyle name="Normal 6 5 3 2 4 2" xfId="2976" xr:uid="{00000000-0005-0000-0000-0000B8070000}"/>
    <cellStyle name="Normal 6 5 3 2 4 3" xfId="22772" xr:uid="{CD57B1BC-3F34-42E2-9CEF-B7D110F41FF7}"/>
    <cellStyle name="Normal 6 5 3 2 4 3 2" xfId="29618" xr:uid="{9DAA4DA3-BA88-49B7-AE77-A0A630F355B2}"/>
    <cellStyle name="Normal 6 5 3 2 4 3 3" xfId="29610" xr:uid="{8CF9AABB-3F53-411E-BD53-F0F5DD0A33EC}"/>
    <cellStyle name="Normal 6 5 3 2 4 3 3 2" xfId="29650" xr:uid="{40128613-59DC-4F9E-A541-DEA5B2B014E4}"/>
    <cellStyle name="Normal 6 5 3 2 4 3 4" xfId="29851" xr:uid="{1C181BAF-0D5C-4419-BA0B-01324E0B2CA5}"/>
    <cellStyle name="Normal 6 5 3 2 5" xfId="2135" xr:uid="{00000000-0005-0000-0000-0000D2020000}"/>
    <cellStyle name="Normal 6 5 3 2 5 2" xfId="4684" xr:uid="{985E2EB5-9E1E-43AC-B0AB-0DDE28EC2B5C}"/>
    <cellStyle name="Normal 6 5 3 2 5 3" xfId="29705" xr:uid="{514253B4-7CF8-4D8B-80B5-AA20451C5E89}"/>
    <cellStyle name="Normal 6 5 3 2 6" xfId="4041" xr:uid="{8635F82C-04F7-4EC6-B923-CFC4350C7830}"/>
    <cellStyle name="Normal 6 5 3 2 6 2" xfId="4721" xr:uid="{5D5E7BFF-9D34-4E6B-9329-AD7DE75B6822}"/>
    <cellStyle name="Normal 6 5 3 2 6 3" xfId="29822" xr:uid="{D8D9A37A-3FDB-4172-B764-7A73BAB8454E}"/>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1" xr:uid="{00000000-0005-0000-0000-0000E0060000}"/>
    <cellStyle name="Normal 6 5 3 4 2 2 2 3" xfId="3754" xr:uid="{00000000-0005-0000-0000-000041060000}"/>
    <cellStyle name="Normal 6 5 3 4 2 2 2 3 2" xfId="4751" xr:uid="{26BAC224-8031-4231-90D3-310CC68CB6C0}"/>
    <cellStyle name="Normal 6 5 3 4 2 2 2 3 3" xfId="29768" xr:uid="{2204CFC1-AAA4-498B-9FB4-AD7D3FF5C861}"/>
    <cellStyle name="Normal 6 5 3 4 2 2 2 4" xfId="25650" xr:uid="{027883EB-AA0E-41FF-81FB-F1BBC81CE7B2}"/>
    <cellStyle name="Normal 6 5 3 4 2 2 3" xfId="2022" xr:uid="{00000000-0005-0000-0000-0000E1060000}"/>
    <cellStyle name="Normal 6 5 3 4 2 2 4" xfId="23689" xr:uid="{CA3DAEF0-6343-4558-A238-4D98377C6D1B}"/>
    <cellStyle name="Normal 6 5 3 4 2 2 4 2" xfId="29887" xr:uid="{0DFB0726-DB47-4EDE-9BD1-F90712376DBF}"/>
    <cellStyle name="Normal 6 5 3 4 2 3" xfId="1299" xr:uid="{00000000-0005-0000-0000-0000E2060000}"/>
    <cellStyle name="Normal 6 5 3 4 2 3 2" xfId="1300" xr:uid="{00000000-0005-0000-0000-0000E3060000}"/>
    <cellStyle name="Normal 6 5 3 4 2 3 2 2" xfId="24930" xr:uid="{E909B7A4-5CBD-4AAC-BDAA-0C01073A2252}"/>
    <cellStyle name="Normal 6 5 3 4 2 3 2 3" xfId="24547" xr:uid="{FAAE128B-02E0-4F7E-969B-D2ECFB9E58C6}"/>
    <cellStyle name="Normal 6 5 3 4 2 3 2 3 2" xfId="29902" xr:uid="{2D411BBD-1AA5-4EF8-90FA-11A9A43C6246}"/>
    <cellStyle name="Normal 6 5 3 4 2 3 3" xfId="1301" xr:uid="{00000000-0005-0000-0000-0000E4060000}"/>
    <cellStyle name="Normal 6 5 3 4 2 3 3 2" xfId="23111" xr:uid="{5C06B36C-8B41-47F4-8669-E1A3D37189EF}"/>
    <cellStyle name="Normal 6 5 3 4 2 3 3 3" xfId="24193" xr:uid="{E0A3CB2B-323E-45C9-B368-4BFDAA379657}"/>
    <cellStyle name="Normal 6 5 3 4 2 3 4" xfId="2138" xr:uid="{00000000-0005-0000-0000-0000DA020000}"/>
    <cellStyle name="Normal 6 5 3 4 2 3 4 2" xfId="4792" xr:uid="{654C328A-1FF9-4AC4-BD39-89BAD01AAAF1}"/>
    <cellStyle name="Normal 6 5 3 4 2 3 4 3" xfId="29708" xr:uid="{364D5356-F32A-4AE2-96F8-C80D0C30F3A8}"/>
    <cellStyle name="Normal 6 5 3 4 2 3 5" xfId="25819" xr:uid="{146A0A89-FA15-4673-83D1-1BD48BA23B4F}"/>
    <cellStyle name="Normal 6 5 3 4 2 4" xfId="24939" xr:uid="{FD27707B-D4A4-422F-BC64-0031AA3E4D05}"/>
    <cellStyle name="Normal 6 5 3 4 3" xfId="1302" xr:uid="{00000000-0005-0000-0000-0000E5060000}"/>
    <cellStyle name="Normal 6 5 3 4 4" xfId="2978" xr:uid="{00000000-0005-0000-0000-0000C0070000}"/>
    <cellStyle name="Normal 6 5 3 4 5" xfId="2137" xr:uid="{00000000-0005-0000-0000-0000D7020000}"/>
    <cellStyle name="Normal 6 5 3 4 5 2" xfId="4668" xr:uid="{D2333BB9-76BA-48B1-B619-1F9C6401FD25}"/>
    <cellStyle name="Normal 6 5 3 4 5 3" xfId="29707" xr:uid="{A5E8E028-48B2-4791-B9A8-51E41CF37D51}"/>
    <cellStyle name="Normal 6 5 3 4 6" xfId="4043" xr:uid="{13FADCA8-36DC-469D-8F55-211BB24FA64B}"/>
    <cellStyle name="Normal 6 5 3 4 6 2" xfId="4755" xr:uid="{ABAADEE5-6BDD-4DDF-988F-045E065F16C3}"/>
    <cellStyle name="Normal 6 5 3 4 6 3" xfId="29824" xr:uid="{6106C99F-83EE-4BBE-8E38-47C2E1E7D5D7}"/>
    <cellStyle name="Normal 6 5 3 5" xfId="1303" xr:uid="{00000000-0005-0000-0000-0000E6060000}"/>
    <cellStyle name="Normal 6 5 3 5 2" xfId="1304" xr:uid="{00000000-0005-0000-0000-0000E7060000}"/>
    <cellStyle name="Normal 6 5 3 5 3" xfId="3755" xr:uid="{00000000-0005-0000-0000-000048060000}"/>
    <cellStyle name="Normal 6 5 3 5 3 2" xfId="4730" xr:uid="{AA82DB5A-447D-4511-8EB9-24556BA2CB0E}"/>
    <cellStyle name="Normal 6 5 3 5 3 2 2" xfId="27331" xr:uid="{B4F852AE-EC89-4A98-8D9A-9E80570804CD}"/>
    <cellStyle name="Normal 6 5 3 5 3 3" xfId="23853" xr:uid="{67DDA71D-7964-413D-BDC5-5EE7AA0D2113}"/>
    <cellStyle name="Normal 6 5 3 5 3 4" xfId="29769" xr:uid="{740CA2A0-0D6F-4EBC-A978-FCC4565BEF7A}"/>
    <cellStyle name="Normal 6 5 3 5 4" xfId="23274"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3" xr:uid="{42C34BA9-5B93-4F83-838A-E71B19AEACFC}"/>
    <cellStyle name="Normal 6 5 4 3 2 2 3" xfId="24338" xr:uid="{1384C54E-DAFE-4C52-84EF-49846655DA71}"/>
    <cellStyle name="Normal 6 5 4 3 2 3" xfId="1310" xr:uid="{00000000-0005-0000-0000-0000ED060000}"/>
    <cellStyle name="Normal 6 5 4 3 2 3 2" xfId="2023" xr:uid="{00000000-0005-0000-0000-0000EE060000}"/>
    <cellStyle name="Normal 6 5 4 3 2 3 3" xfId="3756" xr:uid="{00000000-0005-0000-0000-00004F060000}"/>
    <cellStyle name="Normal 6 5 4 3 2 3 3 2" xfId="4793" xr:uid="{156ECD42-9B10-42E7-81DB-911B21DCE73A}"/>
    <cellStyle name="Normal 6 5 4 3 2 3 3 3" xfId="29770" xr:uid="{16889675-623A-4558-BC9F-42AD2EEC6829}"/>
    <cellStyle name="Normal 6 5 4 3 2 4" xfId="24664" xr:uid="{C8FD317F-C620-40B3-9E84-C86134062E28}"/>
    <cellStyle name="Normal 6 5 4 3 2 4 2" xfId="29888" xr:uid="{1F4ADAF2-4C38-4CA0-9203-7A219148CEC2}"/>
    <cellStyle name="Normal 6 5 4 3 3" xfId="1311" xr:uid="{00000000-0005-0000-0000-0000EF060000}"/>
    <cellStyle name="Normal 6 5 4 3 4" xfId="2979" xr:uid="{00000000-0005-0000-0000-0000C6070000}"/>
    <cellStyle name="Normal 6 5 4 3 5" xfId="2140" xr:uid="{00000000-0005-0000-0000-0000DE020000}"/>
    <cellStyle name="Normal 6 5 4 3 5 2" xfId="3772" xr:uid="{0DAEABF9-E059-45BB-9EA3-DB8CCF44184B}"/>
    <cellStyle name="Normal 6 5 4 3 5 3" xfId="29710" xr:uid="{15A79AC2-7F39-4888-8246-910550ADE7E8}"/>
    <cellStyle name="Normal 6 5 4 3 6" xfId="4045" xr:uid="{3B6C1D61-E8B0-4D32-BD74-479DABBA050E}"/>
    <cellStyle name="Normal 6 5 4 3 6 2" xfId="4743" xr:uid="{AB0FA666-59CA-452D-8185-BFDD339259A5}"/>
    <cellStyle name="Normal 6 5 4 3 6 3" xfId="29826" xr:uid="{9EF627A3-2CA5-429C-9CA4-6A18487F88C3}"/>
    <cellStyle name="Normal 6 5 4 4" xfId="1312" xr:uid="{00000000-0005-0000-0000-0000F0060000}"/>
    <cellStyle name="Normal 6 5 4 4 2" xfId="2024" xr:uid="{00000000-0005-0000-0000-0000F1060000}"/>
    <cellStyle name="Normal 6 5 4 4 3" xfId="3757" xr:uid="{00000000-0005-0000-0000-000052060000}"/>
    <cellStyle name="Normal 6 5 4 4 3 2" xfId="4803" xr:uid="{7A47A254-C6AA-423D-9FA2-08282F4CE5E0}"/>
    <cellStyle name="Normal 6 5 4 4 3 3" xfId="29771" xr:uid="{C94F5F4B-814E-4D3D-ACA9-9CB50CCA0B0E}"/>
    <cellStyle name="Normal 6 5 4 5" xfId="2139" xr:uid="{00000000-0005-0000-0000-0000DC020000}"/>
    <cellStyle name="Normal 6 5 4 5 2" xfId="4628" xr:uid="{F656D414-B9FB-4E57-A874-02EABF4164A9}"/>
    <cellStyle name="Normal 6 5 4 5 3" xfId="29709" xr:uid="{6E088AC4-EAC3-4D01-9808-0FBC4CF05329}"/>
    <cellStyle name="Normal 6 5 4 6" xfId="4044" xr:uid="{275714B7-5104-4FAB-9E0E-B1CADB04BD20}"/>
    <cellStyle name="Normal 6 5 4 6 2" xfId="4758" xr:uid="{66B4AC42-B19A-46C7-BB60-AA3BF5A56B35}"/>
    <cellStyle name="Normal 6 5 4 6 3" xfId="29825" xr:uid="{2654940E-4AD8-4FF0-A5CC-D164EBE854AF}"/>
    <cellStyle name="Normal 6 5 5" xfId="2071" xr:uid="{00000000-0005-0000-0000-0000CF020000}"/>
    <cellStyle name="Normal 6 5 5 2" xfId="4762" xr:uid="{58B42343-3889-4193-AB92-064DC779A64F}"/>
    <cellStyle name="Normal 6 5 5 3" xfId="29660" xr:uid="{2551A951-0798-488D-9FDD-FA041C2858DE}"/>
    <cellStyle name="Normal 6 6" xfId="1313" xr:uid="{00000000-0005-0000-0000-0000F2060000}"/>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50" xr:uid="{FF7B7CA6-5BAD-4B3B-BFA9-B67F9521BFD9}"/>
    <cellStyle name="Normal 6 6 3 3 2 3" xfId="23762" xr:uid="{C401F704-A611-42D7-8DE8-0593ABE99CAF}"/>
    <cellStyle name="Normal 6 6 3 3 2 3 2" xfId="29903" xr:uid="{4630929F-9F1D-4A5D-8E50-E2D39BC158B5}"/>
    <cellStyle name="Normal 6 6 3 3 3" xfId="1319" xr:uid="{00000000-0005-0000-0000-0000F8060000}"/>
    <cellStyle name="Normal 6 6 3 3 4" xfId="2142" xr:uid="{00000000-0005-0000-0000-0000E4020000}"/>
    <cellStyle name="Normal 6 6 3 3 4 2" xfId="4747" xr:uid="{DCE992B0-96C0-4517-B80E-99DBA26EC200}"/>
    <cellStyle name="Normal 6 6 3 3 4 3" xfId="25601" xr:uid="{C235D33F-C474-40C8-AD55-EC553E1D42A9}"/>
    <cellStyle name="Normal 6 6 3 3 4 4" xfId="29712" xr:uid="{3093205E-8986-4533-9BF3-E0A87A97EEB2}"/>
    <cellStyle name="Normal 6 6 3 4" xfId="1320" xr:uid="{00000000-0005-0000-0000-0000F9060000}"/>
    <cellStyle name="Normal 6 6 3 4 2" xfId="1321" xr:uid="{00000000-0005-0000-0000-0000FA060000}"/>
    <cellStyle name="Normal 6 6 3 4 3" xfId="3758" xr:uid="{00000000-0005-0000-0000-00005A060000}"/>
    <cellStyle name="Normal 6 6 3 4 3 2" xfId="4741" xr:uid="{CCE72AF1-1693-42F5-A9FF-B4A64FA2FDC4}"/>
    <cellStyle name="Normal 6 6 3 4 3 3" xfId="29772" xr:uid="{2D4FDB65-7C53-447E-B1BC-0862226954C4}"/>
    <cellStyle name="Normal 6 6 4" xfId="1322" xr:uid="{00000000-0005-0000-0000-0000FB060000}"/>
    <cellStyle name="Normal 6 6 4 2" xfId="1323" xr:uid="{00000000-0005-0000-0000-0000FC060000}"/>
    <cellStyle name="Normal 6 6 4 2 2" xfId="1324" xr:uid="{00000000-0005-0000-0000-0000FD060000}"/>
    <cellStyle name="Normal 6 6 4 2 2 2" xfId="24414" xr:uid="{7F9A15D0-EF01-4699-9491-9EC3553B5AF8}"/>
    <cellStyle name="Normal 6 6 4 2 2 3" xfId="25241" xr:uid="{0B833901-0D74-483C-8682-00DEB559717D}"/>
    <cellStyle name="Normal 6 6 4 2 3" xfId="1325" xr:uid="{00000000-0005-0000-0000-0000FE060000}"/>
    <cellStyle name="Normal 6 6 4 2 3 2" xfId="2025" xr:uid="{00000000-0005-0000-0000-0000FF060000}"/>
    <cellStyle name="Normal 6 6 4 2 3 3" xfId="3759" xr:uid="{00000000-0005-0000-0000-00005F060000}"/>
    <cellStyle name="Normal 6 6 4 2 3 3 2" xfId="4810" xr:uid="{D4480518-64CC-4BAE-AD63-DB0C87A603E7}"/>
    <cellStyle name="Normal 6 6 4 2 3 3 3" xfId="29773" xr:uid="{D247C0B3-AC04-4C88-80C8-DF423B3FC79C}"/>
    <cellStyle name="Normal 6 6 4 2 4" xfId="24612" xr:uid="{0E019910-37DE-43E1-BDD5-941731A48A83}"/>
    <cellStyle name="Normal 6 6 4 2 4 2" xfId="29889" xr:uid="{0906E00D-774B-4B5F-A8DF-9951F90DC28A}"/>
    <cellStyle name="Normal 6 6 4 3" xfId="1326" xr:uid="{00000000-0005-0000-0000-000000070000}"/>
    <cellStyle name="Normal 6 6 4 4" xfId="2980" xr:uid="{00000000-0005-0000-0000-0000D1070000}"/>
    <cellStyle name="Normal 6 6 4 5" xfId="2143" xr:uid="{00000000-0005-0000-0000-0000E6020000}"/>
    <cellStyle name="Normal 6 6 4 5 2" xfId="4636" xr:uid="{BD1045AF-7E49-48EA-AF41-B1E7071CB221}"/>
    <cellStyle name="Normal 6 6 4 5 3" xfId="29713" xr:uid="{EFBC75CF-4611-4583-9256-5EE1D5BEBCE8}"/>
    <cellStyle name="Normal 6 6 4 6" xfId="4047" xr:uid="{7E3C1600-D01B-4C17-A3C8-5A48EC2345CF}"/>
    <cellStyle name="Normal 6 6 4 6 2" xfId="4715" xr:uid="{68449821-113B-44E2-90F0-E71E4937E5CF}"/>
    <cellStyle name="Normal 6 6 4 6 3" xfId="29828" xr:uid="{1DB21D8B-5FEB-4888-8590-358FF00D6C91}"/>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7" xr:uid="{E7DC806F-0CF2-49E3-9BF1-8EFF6AC3C9C6}"/>
    <cellStyle name="Normal 6 6 6 3 2 2" xfId="4786" xr:uid="{7B28557E-58D5-4C46-AD75-D9193304C79B}"/>
    <cellStyle name="Normal 6 6 6 3 2 3" xfId="29839" xr:uid="{8CA0DE85-203B-46F6-8128-35692AB57669}"/>
    <cellStyle name="Normal 6 6 6 3 3" xfId="25364" xr:uid="{25F2D5BA-2D6F-4E91-8FBB-4B9D252657D9}"/>
    <cellStyle name="Normal 6 6 6 4" xfId="2153" xr:uid="{00000000-0005-0000-0000-0000E9020000}"/>
    <cellStyle name="Normal 6 6 6 4 2" xfId="4691" xr:uid="{114F1330-7415-461B-B792-61BE07D55AC7}"/>
    <cellStyle name="Normal 6 6 6 4 3" xfId="29723" xr:uid="{2F559E73-DFA3-409F-8B13-5B587BBCF601}"/>
    <cellStyle name="Normal 6 6 6 5" xfId="4096" xr:uid="{E42903F7-CF43-4BB8-AC03-F1EB46C1FC19}"/>
    <cellStyle name="Normal 6 6 6 5 2" xfId="4767" xr:uid="{2CC1BF88-5B5D-4701-8916-7B15CC9D2D01}"/>
    <cellStyle name="Normal 6 6 6 5 3" xfId="29837" xr:uid="{9361A20E-FD5F-418C-95D4-5291E269B058}"/>
    <cellStyle name="Normal 6 6 6 6" xfId="25714" xr:uid="{CE44424C-FDE2-4274-9AAC-2B2782EEB566}"/>
    <cellStyle name="Normal 6 6 6 6 2" xfId="26403" xr:uid="{DEBDC983-AB32-4C69-A2AF-B29A4C97979C}"/>
    <cellStyle name="Normal 6 6 7" xfId="1331" xr:uid="{00000000-0005-0000-0000-000005070000}"/>
    <cellStyle name="Normal 6 6 7 2" xfId="1332" xr:uid="{00000000-0005-0000-0000-000006070000}"/>
    <cellStyle name="Normal 6 6 7 3" xfId="3760" xr:uid="{00000000-0005-0000-0000-000066060000}"/>
    <cellStyle name="Normal 6 6 7 3 2" xfId="4798" xr:uid="{7A2B7AA4-4D8E-47BA-B48E-48FE92EFB13B}"/>
    <cellStyle name="Normal 6 6 7 3 3" xfId="29774" xr:uid="{4778AAF8-8196-41D2-B3E1-AB4A28AA694E}"/>
    <cellStyle name="Normal 6 6 8" xfId="2141" xr:uid="{00000000-0005-0000-0000-0000E0020000}"/>
    <cellStyle name="Normal 6 6 8 2" xfId="4774" xr:uid="{C961BEA7-4CED-4BA6-BDFD-A714A0F418E5}"/>
    <cellStyle name="Normal 6 6 8 3" xfId="29711" xr:uid="{E0C7811F-B3D2-434F-85B5-9EA5EFF3E9AF}"/>
    <cellStyle name="Normal 6 6 9" xfId="4046" xr:uid="{A50BAD3F-B140-4A20-83B4-791B93C5BDD0}"/>
    <cellStyle name="Normal 6 6 9 2" xfId="4823" xr:uid="{7CDE7D59-F383-4AF9-8CAA-D8B18AFC360A}"/>
    <cellStyle name="Normal 6 6 9 3" xfId="29827" xr:uid="{8D19F05D-FB9E-4EFF-BF7D-65ECF31553C5}"/>
    <cellStyle name="Normal 6 7" xfId="29575" xr:uid="{949E648E-1627-4304-B1D4-9DF911CA9729}"/>
    <cellStyle name="Normal 6 7 2" xfId="29632" xr:uid="{0E90CD01-BDD5-4813-BF65-92255AD7581D}"/>
    <cellStyle name="Normal 6 7 3" xfId="29611" xr:uid="{7AF28517-C91E-49FA-99C2-5F623D4C0532}"/>
    <cellStyle name="Normal 6 7 3 2" xfId="29651" xr:uid="{53DFD4C6-C645-4A38-ACB5-6A77D465B439}"/>
    <cellStyle name="Normal 6 7 4" xfId="29640" xr:uid="{BF5B92AD-058E-4424-9669-B083BD07B8A2}"/>
    <cellStyle name="Normal 7" xfId="1333" xr:uid="{00000000-0005-0000-0000-000007070000}"/>
    <cellStyle name="Normal 7 10" xfId="1334" xr:uid="{00000000-0005-0000-0000-000008070000}"/>
    <cellStyle name="Normal 7 10 10" xfId="9967" xr:uid="{359EDB8F-CE3F-4AAB-BA56-64B93A8BE2F6}"/>
    <cellStyle name="Normal 7 10 10 2" xfId="20347" xr:uid="{A0EBA2BB-938B-403C-AE99-D606E1476D6E}"/>
    <cellStyle name="Normal 7 10 11" xfId="24757" xr:uid="{DCAAA4C2-9861-49AD-92EC-882F2EE993BF}"/>
    <cellStyle name="Normal 7 10 12" xfId="12622" xr:uid="{9C120931-6A9C-4D9E-867D-D45C3FFA9BE0}"/>
    <cellStyle name="Normal 7 10 2" xfId="1335" xr:uid="{00000000-0005-0000-0000-000009070000}"/>
    <cellStyle name="Normal 7 10 2 2" xfId="1336" xr:uid="{00000000-0005-0000-0000-00000A070000}"/>
    <cellStyle name="Normal 7 10 2 2 2" xfId="5386" xr:uid="{A4B9A53A-3A43-4F3E-97AF-AF5E34941C4F}"/>
    <cellStyle name="Normal 7 10 2 2 2 2" xfId="23998" xr:uid="{5EF00CC8-C1B7-452B-B020-E7942E28CFBA}"/>
    <cellStyle name="Normal 7 10 2 2 2 3" xfId="26136" xr:uid="{DA00C987-569E-4341-827D-79B457BCFD94}"/>
    <cellStyle name="Normal 7 10 2 2 2 4" xfId="14683" xr:uid="{AF8FDFBD-6E65-4DA8-8B0E-B3F6654E15C5}"/>
    <cellStyle name="Normal 7 10 2 2 3" xfId="7136" xr:uid="{1F695DB0-07BF-463B-8722-C8FD9DE9EB6F}"/>
    <cellStyle name="Normal 7 10 2 2 3 2" xfId="27651" xr:uid="{8920B3EA-FA12-4A67-8439-E48C80F70C78}"/>
    <cellStyle name="Normal 7 10 2 2 3 3" xfId="26464" xr:uid="{E77B95E4-620B-4F7D-AC90-1902E601BB1F}"/>
    <cellStyle name="Normal 7 10 2 2 3 4" xfId="17516" xr:uid="{F420B961-5D2F-4632-BE6A-9C566417EBFD}"/>
    <cellStyle name="Normal 7 10 2 2 4" xfId="9969" xr:uid="{5F7FA390-95AA-49B3-AFEE-72F4C6921564}"/>
    <cellStyle name="Normal 7 10 2 2 4 2" xfId="29444" xr:uid="{9F168CC0-FBA2-4457-95B5-94D8723EC7E6}"/>
    <cellStyle name="Normal 7 10 2 2 4 3" xfId="20349" xr:uid="{20AEA8B9-C71C-492C-B138-253E81DD2236}"/>
    <cellStyle name="Normal 7 10 2 2 5" xfId="23413" xr:uid="{8A0A8ABF-D98B-4B79-A80A-A3B39774D71E}"/>
    <cellStyle name="Normal 7 10 2 2 6" xfId="13993" xr:uid="{6D8B82FA-0E6C-4705-9C7C-2244EF70DF8B}"/>
    <cellStyle name="Normal 7 10 2 3" xfId="2815" xr:uid="{00000000-0005-0000-0000-0000DA070000}"/>
    <cellStyle name="Normal 7 10 2 3 2" xfId="6031" xr:uid="{E04C8CEC-3F9D-4245-AA24-EF8271A18E37}"/>
    <cellStyle name="Normal 7 10 2 3 2 2" xfId="27611" xr:uid="{47AA8E0E-5398-489F-9C7E-069702AF5635}"/>
    <cellStyle name="Normal 7 10 2 3 2 3" xfId="15485" xr:uid="{7ED1D0C9-1B01-46B9-9DAD-C57BBC4FCD35}"/>
    <cellStyle name="Normal 7 10 2 3 3" xfId="7938" xr:uid="{1FEF77F3-0BD1-4C29-8FBA-6684FC4B16E9}"/>
    <cellStyle name="Normal 7 10 2 3 3 2" xfId="18318" xr:uid="{55CD75F5-A303-475B-ADFC-8BC97820FAA9}"/>
    <cellStyle name="Normal 7 10 2 3 4" xfId="10771" xr:uid="{AF006C00-1996-4209-87E4-9E26DBCAE9E4}"/>
    <cellStyle name="Normal 7 10 2 3 4 2" xfId="21151" xr:uid="{A4287C7A-E3EA-47F2-9467-86089E66D99F}"/>
    <cellStyle name="Normal 7 10 2 3 5" xfId="25408" xr:uid="{F96F5F49-5B26-4FCC-A7A2-514258545DFA}"/>
    <cellStyle name="Normal 7 10 2 3 6" xfId="13284" xr:uid="{A7A63833-42D2-46E1-964C-4D829DD7806C}"/>
    <cellStyle name="Normal 7 10 2 4" xfId="4210" xr:uid="{0F502A3E-63E3-4E2E-8374-0554430612A7}"/>
    <cellStyle name="Normal 7 10 2 4 2" xfId="8982" xr:uid="{AB6A1B5F-780F-4A02-8EBF-59D98E232FA1}"/>
    <cellStyle name="Normal 7 10 2 4 2 2" xfId="29063" xr:uid="{BE39E1FE-354A-41F3-A150-7076FFA64329}"/>
    <cellStyle name="Normal 7 10 2 4 2 3" xfId="19362" xr:uid="{76DF4956-5777-4EED-9D8B-AF88C6B58339}"/>
    <cellStyle name="Normal 7 10 2 4 3" xfId="11815" xr:uid="{11388FA3-A7FB-4627-B1A8-85D14666261B}"/>
    <cellStyle name="Normal 7 10 2 4 3 2" xfId="22195" xr:uid="{18DDC2C6-0556-401C-AEC8-9E605AC46C13}"/>
    <cellStyle name="Normal 7 10 2 4 4" xfId="24512" xr:uid="{1D9F726A-6BCE-4942-A09A-7B22BDAD81ED}"/>
    <cellStyle name="Normal 7 10 2 4 5" xfId="16529" xr:uid="{76A4361B-AE12-42E6-9D40-C4A92532D484}"/>
    <cellStyle name="Normal 7 10 2 5" xfId="5385" xr:uid="{E5553ABE-3B56-49CC-AFEC-C7BD663E3D93}"/>
    <cellStyle name="Normal 7 10 2 5 2" xfId="27741" xr:uid="{6FB7CD1E-BB98-47A7-866A-C32DB96261CF}"/>
    <cellStyle name="Normal 7 10 2 5 3" xfId="14682" xr:uid="{BFF043C1-DCF2-4466-9280-99DB4D43F2AE}"/>
    <cellStyle name="Normal 7 10 2 6" xfId="7135" xr:uid="{6361ED63-A707-4DFE-9CD2-D4B3AAB26F1C}"/>
    <cellStyle name="Normal 7 10 2 6 2" xfId="17515" xr:uid="{3F86AD79-75C2-4043-9D87-7D65193261D4}"/>
    <cellStyle name="Normal 7 10 2 7" xfId="9968" xr:uid="{E54C6F80-500C-4B60-A673-1AE452898B48}"/>
    <cellStyle name="Normal 7 10 2 7 2" xfId="20348" xr:uid="{51356147-A5F8-47C0-A2EC-BB586B96B995}"/>
    <cellStyle name="Normal 7 10 2 8" xfId="23328" xr:uid="{04908B98-1AF4-44E0-98BC-2FDD3A60EB33}"/>
    <cellStyle name="Normal 7 10 2 9" xfId="12780" xr:uid="{D1BE6283-3FDA-49AA-8341-13787A20BF3F}"/>
    <cellStyle name="Normal 7 10 3" xfId="1337" xr:uid="{00000000-0005-0000-0000-00000B070000}"/>
    <cellStyle name="Normal 7 10 3 2" xfId="4569" xr:uid="{11FCBC09-A35D-4151-A26B-9C6373D21978}"/>
    <cellStyle name="Normal 7 10 3 2 2" xfId="9341" xr:uid="{D9CF7BA1-92E5-4591-9602-33ECCA660599}"/>
    <cellStyle name="Normal 7 10 3 2 2 2" xfId="29315" xr:uid="{9145F611-582B-4B1F-BCE6-D7A1BCD64F24}"/>
    <cellStyle name="Normal 7 10 3 2 2 3" xfId="19721" xr:uid="{BE77D7EB-6259-4ACB-8F57-D12C7AB8F4A3}"/>
    <cellStyle name="Normal 7 10 3 2 3" xfId="12174" xr:uid="{A8FF997D-3A24-4D21-91AF-B7051C583D89}"/>
    <cellStyle name="Normal 7 10 3 2 3 2" xfId="22554" xr:uid="{3C37EBCB-BCA8-4433-9BA6-1FFA34A34C78}"/>
    <cellStyle name="Normal 7 10 3 2 4" xfId="24776" xr:uid="{DA082615-1FF6-43D0-849D-F4B31354C96A}"/>
    <cellStyle name="Normal 7 10 3 2 5" xfId="16888" xr:uid="{B9FDA2A6-F21D-4474-8FE5-A5A79B469669}"/>
    <cellStyle name="Normal 7 10 3 3" xfId="5387" xr:uid="{6608DE53-BD66-4FE6-A7ED-DEEE29BF5B7A}"/>
    <cellStyle name="Normal 7 10 3 3 2" xfId="23458" xr:uid="{AD02EF29-A0BC-4C69-9C51-E0CCE8F7985D}"/>
    <cellStyle name="Normal 7 10 3 3 3" xfId="28177" xr:uid="{5786EC6E-BC84-46CD-9DCF-C5BF731604E8}"/>
    <cellStyle name="Normal 7 10 3 3 4" xfId="14684" xr:uid="{DC83B160-367D-4B98-BCE1-0DC66EBC19B5}"/>
    <cellStyle name="Normal 7 10 3 4" xfId="7137" xr:uid="{37226F6C-8048-4F92-BE47-4D8E2236DF60}"/>
    <cellStyle name="Normal 7 10 3 4 2" xfId="23395" xr:uid="{41637022-843A-442E-8875-D6C6DF8B744A}"/>
    <cellStyle name="Normal 7 10 3 4 3" xfId="26428" xr:uid="{25EC9742-984F-4EBF-B238-BFA9D1E97032}"/>
    <cellStyle name="Normal 7 10 3 4 4" xfId="17517" xr:uid="{190C4A24-CB20-40C2-93A7-61356E2833BD}"/>
    <cellStyle name="Normal 7 10 3 5" xfId="9970" xr:uid="{4210E821-E696-44AC-A9C0-8619178DC8C7}"/>
    <cellStyle name="Normal 7 10 3 5 2" xfId="29445" xr:uid="{80A92848-3D34-423A-8117-F7F695E07DDF}"/>
    <cellStyle name="Normal 7 10 3 5 3" xfId="20350" xr:uid="{40C46509-62EF-4080-9C0C-473775E255EA}"/>
    <cellStyle name="Normal 7 10 3 6" xfId="24567" xr:uid="{2CAF589F-8D02-41D7-B31B-B14902BAD6B1}"/>
    <cellStyle name="Normal 7 10 3 7" xfId="13994" xr:uid="{4BA0991D-B842-41FD-A4E6-6706B5AC3923}"/>
    <cellStyle name="Normal 7 10 4" xfId="1338" xr:uid="{00000000-0005-0000-0000-00000C070000}"/>
    <cellStyle name="Normal 7 10 4 2" xfId="5388" xr:uid="{7F2299F0-9DB4-4D9A-9001-239F73A775C7}"/>
    <cellStyle name="Normal 7 10 4 2 2" xfId="25556" xr:uid="{E5CEE4C4-4715-4AF9-9AA9-3AB12C7D7BF8}"/>
    <cellStyle name="Normal 7 10 4 2 3" xfId="26719" xr:uid="{0518671A-3004-4D51-92EB-14748FE8D4D0}"/>
    <cellStyle name="Normal 7 10 4 2 4" xfId="14685" xr:uid="{55D487BB-2CE0-4823-9C2E-173D990CFA5F}"/>
    <cellStyle name="Normal 7 10 4 3" xfId="7138" xr:uid="{C8001552-B498-40A9-A99C-CEE758884F72}"/>
    <cellStyle name="Normal 7 10 4 3 2" xfId="28479" xr:uid="{E5EEF2C8-A902-4BCF-96B2-5CC315E52353}"/>
    <cellStyle name="Normal 7 10 4 3 3" xfId="17518" xr:uid="{6358BC15-32A6-4BE3-B493-53E3BDD20DAE}"/>
    <cellStyle name="Normal 7 10 4 4" xfId="9971" xr:uid="{323580FE-EEE3-4E8D-80EE-29C6171B7494}"/>
    <cellStyle name="Normal 7 10 4 4 2" xfId="20351" xr:uid="{543851B6-A0ED-47F7-B76F-4F54F2EE5AB8}"/>
    <cellStyle name="Normal 7 10 4 5" xfId="22747" xr:uid="{3749016E-AA7A-4454-A1DA-C500517CF5AF}"/>
    <cellStyle name="Normal 7 10 4 6" xfId="13478" xr:uid="{502BFF64-2BE5-4EE4-B1CD-8F3328BE0C78}"/>
    <cellStyle name="Normal 7 10 5" xfId="2508" xr:uid="{00000000-0005-0000-0000-0000DD070000}"/>
    <cellStyle name="Normal 7 10 5 2" xfId="5788" xr:uid="{F0CC4165-7ADF-41DD-9346-8605F4BE5F3F}"/>
    <cellStyle name="Normal 7 10 5 2 2" xfId="25867" xr:uid="{B61FC58C-C78F-4942-ACE6-ACDE5712BCEF}"/>
    <cellStyle name="Normal 7 10 5 2 3" xfId="15180" xr:uid="{06A66D68-83F9-4B41-B43E-B0BCDBDFA79B}"/>
    <cellStyle name="Normal 7 10 5 3" xfId="7633" xr:uid="{DC12FF0F-A626-4A05-B5C9-CD8DE60BA160}"/>
    <cellStyle name="Normal 7 10 5 3 2" xfId="18013" xr:uid="{5787543C-7E1F-4E36-B71B-5D68C378B636}"/>
    <cellStyle name="Normal 7 10 5 4" xfId="10466" xr:uid="{46DB715C-7B80-44DC-9221-E9A221CBC736}"/>
    <cellStyle name="Normal 7 10 5 4 2" xfId="20846" xr:uid="{EECD5737-11A0-43FC-9A91-FF0D15B9D4B4}"/>
    <cellStyle name="Normal 7 10 5 5" xfId="25103" xr:uid="{4597B0DB-FED5-4E2B-B408-D8ED4E270D5D}"/>
    <cellStyle name="Normal 7 10 5 6" xfId="12896" xr:uid="{CEC3B7B2-46A5-4240-8249-298F51D0FDF8}"/>
    <cellStyle name="Normal 7 10 6" xfId="2388" xr:uid="{00000000-0005-0000-0000-0000D7070000}"/>
    <cellStyle name="Normal 7 10 6 2" xfId="7515" xr:uid="{33EEEEBC-3999-4154-AF49-1DDEC298D42F}"/>
    <cellStyle name="Normal 7 10 6 2 2" xfId="27729" xr:uid="{6E27EFFE-3410-442F-AB71-2298894BF39B}"/>
    <cellStyle name="Normal 7 10 6 2 3" xfId="17895" xr:uid="{166C65E8-4599-47E7-9E14-4A04EC4114C6}"/>
    <cellStyle name="Normal 7 10 6 3" xfId="10348" xr:uid="{7A5E4030-AFE3-4F5F-8ABC-172E1EB362CC}"/>
    <cellStyle name="Normal 7 10 6 3 2" xfId="20728" xr:uid="{84B406C7-CBEC-47CD-9FE7-F652727532BA}"/>
    <cellStyle name="Normal 7 10 6 4" xfId="23003" xr:uid="{451DD849-E7A2-416E-9306-9DD9DD1584EB}"/>
    <cellStyle name="Normal 7 10 6 5" xfId="15062" xr:uid="{5AF3D516-CBE8-4A12-8927-868403AD4680}"/>
    <cellStyle name="Normal 7 10 7" xfId="4048" xr:uid="{6E59AE2C-8E82-494C-B3FD-012447F7B53B}"/>
    <cellStyle name="Normal 7 10 7 2" xfId="8834" xr:uid="{22EDCD99-8D6E-4D4F-A745-3609BA3D8FCE}"/>
    <cellStyle name="Normal 7 10 7 2 2" xfId="19214" xr:uid="{F6B184DA-BF4F-4E31-877F-25BC400D3FB4}"/>
    <cellStyle name="Normal 7 10 7 3" xfId="11667" xr:uid="{40CECD75-8C86-4DBF-85D4-8E4C5D42882A}"/>
    <cellStyle name="Normal 7 10 7 3 2" xfId="22047" xr:uid="{AEEFDBF3-74B8-4DDB-8B03-B040D14A0ADF}"/>
    <cellStyle name="Normal 7 10 7 4" xfId="27429" xr:uid="{2103D2B5-8BCE-41ED-8FCE-241BE7C0470A}"/>
    <cellStyle name="Normal 7 10 7 5" xfId="16381" xr:uid="{1A0EA109-9C61-4286-AECE-80E16F59AB5F}"/>
    <cellStyle name="Normal 7 10 8" xfId="5384" xr:uid="{91C3F893-9AC0-43F1-A489-DF9A5D70CB6F}"/>
    <cellStyle name="Normal 7 10 8 2" xfId="14681" xr:uid="{8DCBDF70-C312-4F7B-9F46-EE95B2AB0865}"/>
    <cellStyle name="Normal 7 10 9" xfId="7134" xr:uid="{15515014-6102-4EEC-8091-16EDB1B419C8}"/>
    <cellStyle name="Normal 7 10 9 2" xfId="17514" xr:uid="{E0F45A6C-1380-40AF-953D-8F8EC9A6BF5E}"/>
    <cellStyle name="Normal 7 11" xfId="1339" xr:uid="{00000000-0005-0000-0000-00000D070000}"/>
    <cellStyle name="Normal 7 11 10" xfId="9972" xr:uid="{22363347-2364-4785-9EB3-D6EE67D8D6F9}"/>
    <cellStyle name="Normal 7 11 10 2" xfId="20352" xr:uid="{D482AEAA-D25E-4AFC-B026-BD68ADA08397}"/>
    <cellStyle name="Normal 7 11 11" xfId="24780" xr:uid="{0D03B689-F3C3-414F-A68D-8351DA2E048C}"/>
    <cellStyle name="Normal 7 11 12" xfId="12623" xr:uid="{EC8688B2-80C3-4313-A060-3151A0DA0DE4}"/>
    <cellStyle name="Normal 7 11 2" xfId="1340" xr:uid="{00000000-0005-0000-0000-00000E070000}"/>
    <cellStyle name="Normal 7 11 2 2" xfId="1341" xr:uid="{00000000-0005-0000-0000-00000F070000}"/>
    <cellStyle name="Normal 7 11 2 2 2" xfId="5391" xr:uid="{8988D664-B5A8-496D-9580-6A16654365BE}"/>
    <cellStyle name="Normal 7 11 2 2 2 2" xfId="23084" xr:uid="{2975A7BF-990C-4EB9-9FE8-09F902CEE05D}"/>
    <cellStyle name="Normal 7 11 2 2 2 3" xfId="28020" xr:uid="{30920CE1-C917-4DEE-BD2A-0A0ADF2E79A0}"/>
    <cellStyle name="Normal 7 11 2 2 2 4" xfId="14688" xr:uid="{671B26F3-3577-4616-B5B5-55038CCCEF22}"/>
    <cellStyle name="Normal 7 11 2 2 3" xfId="7141" xr:uid="{65E79FC5-F13B-483E-A18B-B523871FF8EA}"/>
    <cellStyle name="Normal 7 11 2 2 3 2" xfId="27653" xr:uid="{1F447489-C760-4008-BF9A-963663F4F494}"/>
    <cellStyle name="Normal 7 11 2 2 3 3" xfId="26150" xr:uid="{BBD97FE4-4EEF-4535-B758-1DBF9848DBAF}"/>
    <cellStyle name="Normal 7 11 2 2 3 4" xfId="17521" xr:uid="{1E6750DA-7494-4FFF-8E5E-106522FD205C}"/>
    <cellStyle name="Normal 7 11 2 2 4" xfId="9974" xr:uid="{713C0F8E-83B0-4BFC-954C-AA99327C3BB6}"/>
    <cellStyle name="Normal 7 11 2 2 4 2" xfId="29446" xr:uid="{E593ECA3-1A30-446D-A231-9434060115B5}"/>
    <cellStyle name="Normal 7 11 2 2 4 3" xfId="20354" xr:uid="{033D2FB3-A140-4952-81E1-D1EBA10C7073}"/>
    <cellStyle name="Normal 7 11 2 2 5" xfId="24791" xr:uid="{19BD2E79-0BDF-4C70-BAE1-D84ECE040918}"/>
    <cellStyle name="Normal 7 11 2 2 6" xfId="13995" xr:uid="{39CD0ED1-E0DF-4B7C-9F24-EA6975AF709F}"/>
    <cellStyle name="Normal 7 11 2 3" xfId="2816" xr:uid="{00000000-0005-0000-0000-0000E1070000}"/>
    <cellStyle name="Normal 7 11 2 3 2" xfId="6032" xr:uid="{B3499556-E0C0-40C1-A3F5-6D139E58775D}"/>
    <cellStyle name="Normal 7 11 2 3 2 2" xfId="28471" xr:uid="{6446AA42-626D-4812-BD9C-9BA3A2B1A16F}"/>
    <cellStyle name="Normal 7 11 2 3 2 3" xfId="15486" xr:uid="{6D2591B6-AD6D-458F-BE31-B961D271A5D8}"/>
    <cellStyle name="Normal 7 11 2 3 3" xfId="7939" xr:uid="{B11481E7-C52A-430F-A6A9-79845D0D0905}"/>
    <cellStyle name="Normal 7 11 2 3 3 2" xfId="18319" xr:uid="{EC7DB7D9-279D-47C5-B892-78AB28936435}"/>
    <cellStyle name="Normal 7 11 2 3 4" xfId="10772" xr:uid="{A294334B-7AB2-4BE7-8BBC-EDE42B16F733}"/>
    <cellStyle name="Normal 7 11 2 3 4 2" xfId="21152" xr:uid="{59BD4C94-5818-4225-8EE9-0676871EE40A}"/>
    <cellStyle name="Normal 7 11 2 3 5" xfId="22985" xr:uid="{982E7633-AB26-42ED-821A-58EF5A73554B}"/>
    <cellStyle name="Normal 7 11 2 3 6" xfId="13285" xr:uid="{7C6C56FD-6166-47FA-A994-CF7328094250}"/>
    <cellStyle name="Normal 7 11 2 4" xfId="4211" xr:uid="{03FEBAA3-ABD2-4159-8032-1B1639440376}"/>
    <cellStyle name="Normal 7 11 2 4 2" xfId="8983" xr:uid="{E244D5CC-479E-4B54-8335-EEEB4922CB6B}"/>
    <cellStyle name="Normal 7 11 2 4 2 2" xfId="29064" xr:uid="{5ACFA86F-47FB-4AD9-AC48-971BBD014052}"/>
    <cellStyle name="Normal 7 11 2 4 2 3" xfId="19363" xr:uid="{0C284C7A-9173-47A4-8674-4E00B9C49257}"/>
    <cellStyle name="Normal 7 11 2 4 3" xfId="11816" xr:uid="{C1073F48-C366-435F-ADD9-85E76175FD1E}"/>
    <cellStyle name="Normal 7 11 2 4 3 2" xfId="22196" xr:uid="{C0671745-4072-450D-B085-3F3BDA1631C1}"/>
    <cellStyle name="Normal 7 11 2 4 4" xfId="23463" xr:uid="{F4430A89-939B-403D-95E7-821BB245F15C}"/>
    <cellStyle name="Normal 7 11 2 4 5" xfId="16530" xr:uid="{6CB6507E-4EB5-4336-A00B-89561EB712C1}"/>
    <cellStyle name="Normal 7 11 2 5" xfId="5390" xr:uid="{33BC3003-5F75-4A00-B41C-1C326665A7E7}"/>
    <cellStyle name="Normal 7 11 2 5 2" xfId="26691" xr:uid="{1D5FE240-5B8C-4BE8-A775-60BCA533EF2D}"/>
    <cellStyle name="Normal 7 11 2 5 3" xfId="14687" xr:uid="{6B135D0D-D75E-4BCF-A439-F8F6D830949D}"/>
    <cellStyle name="Normal 7 11 2 6" xfId="7140" xr:uid="{4C754E41-B74C-4AF5-8DBE-1D20CADFDF17}"/>
    <cellStyle name="Normal 7 11 2 6 2" xfId="17520" xr:uid="{9709B54F-A3FB-4619-B026-9EEEA158A0B2}"/>
    <cellStyle name="Normal 7 11 2 7" xfId="9973" xr:uid="{E9E114BA-5E97-43B4-B002-1EC42D644C46}"/>
    <cellStyle name="Normal 7 11 2 7 2" xfId="20353" xr:uid="{FF924DB4-FE08-47AD-BDD5-07FE49CE2E17}"/>
    <cellStyle name="Normal 7 11 2 8" xfId="23104" xr:uid="{8E9B7949-C2D4-4A5C-945B-49928DDC6DB0}"/>
    <cellStyle name="Normal 7 11 2 9" xfId="12781" xr:uid="{36C38E79-D0A4-447D-808C-55992FED73C8}"/>
    <cellStyle name="Normal 7 11 3" xfId="1342" xr:uid="{00000000-0005-0000-0000-000010070000}"/>
    <cellStyle name="Normal 7 11 3 2" xfId="4570" xr:uid="{F08FB077-443F-4C3C-896B-7515BA92433E}"/>
    <cellStyle name="Normal 7 11 3 2 2" xfId="9342" xr:uid="{D27B75A4-C000-467A-888F-1365130BA248}"/>
    <cellStyle name="Normal 7 11 3 2 2 2" xfId="29316" xr:uid="{A2FADAEA-ACA2-4144-8B05-40848E622347}"/>
    <cellStyle name="Normal 7 11 3 2 2 3" xfId="19722" xr:uid="{83BA6AA1-CCA4-45A7-820C-0465F5FEB0CA}"/>
    <cellStyle name="Normal 7 11 3 2 3" xfId="12175" xr:uid="{C82CB428-B76D-467F-988A-CA6D9E9E7A19}"/>
    <cellStyle name="Normal 7 11 3 2 3 2" xfId="22555" xr:uid="{9377B91C-26C4-41C9-BEE6-00E76C7B3FD7}"/>
    <cellStyle name="Normal 7 11 3 2 4" xfId="24896" xr:uid="{F31113B0-56C7-4E4C-93A6-8AF8E5789575}"/>
    <cellStyle name="Normal 7 11 3 2 5" xfId="16889" xr:uid="{8A63E600-65C8-4046-87F2-D20EF988AEDB}"/>
    <cellStyle name="Normal 7 11 3 3" xfId="5392" xr:uid="{E83D9A71-3DF9-43C8-B99C-E8E7B5C91885}"/>
    <cellStyle name="Normal 7 11 3 3 2" xfId="26858" xr:uid="{4BF5156C-88F7-4E45-9120-659344145EE1}"/>
    <cellStyle name="Normal 7 11 3 3 3" xfId="26387" xr:uid="{E7B2315B-E9DD-45FD-ADB1-13B5781B4026}"/>
    <cellStyle name="Normal 7 11 3 3 4" xfId="14689" xr:uid="{BF1817F3-3BA0-46A5-A4BF-75EE8ECFE377}"/>
    <cellStyle name="Normal 7 11 3 4" xfId="7142" xr:uid="{5280A6C7-2B48-4649-87D3-ADCC9DE95D0D}"/>
    <cellStyle name="Normal 7 11 3 4 2" xfId="28202" xr:uid="{812E5A52-87B2-4B40-843F-2D4080B355B3}"/>
    <cellStyle name="Normal 7 11 3 4 3" xfId="26739" xr:uid="{F071AE18-5C98-42D9-8191-89BC464A6E09}"/>
    <cellStyle name="Normal 7 11 3 4 4" xfId="17522" xr:uid="{14CFB8E9-AF26-41C8-AD18-296C9923FCBD}"/>
    <cellStyle name="Normal 7 11 3 5" xfId="9975" xr:uid="{896AB2E8-DD97-4B33-8F61-8C857134410C}"/>
    <cellStyle name="Normal 7 11 3 5 2" xfId="29447" xr:uid="{D5BA7E4F-8041-4F50-9F60-E57D00D4F08C}"/>
    <cellStyle name="Normal 7 11 3 5 3" xfId="20355" xr:uid="{2405E0A6-8308-436C-8A8A-D9C945072D28}"/>
    <cellStyle name="Normal 7 11 3 6" xfId="23989" xr:uid="{E4BF764F-3EA3-4134-BB4F-58F274E37C53}"/>
    <cellStyle name="Normal 7 11 3 7" xfId="13996" xr:uid="{BC402E3E-614B-4EC0-9F88-BC7D83AF55C6}"/>
    <cellStyle name="Normal 7 11 4" xfId="1343" xr:uid="{00000000-0005-0000-0000-000011070000}"/>
    <cellStyle name="Normal 7 11 4 2" xfId="5393" xr:uid="{2B1EB956-87F5-405E-84BF-C14AABB8AC93}"/>
    <cellStyle name="Normal 7 11 4 2 2" xfId="25701" xr:uid="{03F5981A-72C0-49A1-80CE-EF63FB9D190A}"/>
    <cellStyle name="Normal 7 11 4 2 3" xfId="28017" xr:uid="{FE2C575B-A880-4548-A54F-F6561E8BAF53}"/>
    <cellStyle name="Normal 7 11 4 2 4" xfId="14690" xr:uid="{4733B9B7-2481-42CE-A00E-680030EFEDC2}"/>
    <cellStyle name="Normal 7 11 4 3" xfId="7143" xr:uid="{9315D5C9-5A1E-4CB2-A88B-BF8C964D2BEF}"/>
    <cellStyle name="Normal 7 11 4 3 2" xfId="26140" xr:uid="{1CC7326F-494D-4DD0-B298-1CEA679D0896}"/>
    <cellStyle name="Normal 7 11 4 3 3" xfId="17523" xr:uid="{75DE99CE-A15C-4A73-8BDB-D8AF3D881DC3}"/>
    <cellStyle name="Normal 7 11 4 4" xfId="9976" xr:uid="{F9946A74-E173-43E3-B0BA-96C2ABB2266E}"/>
    <cellStyle name="Normal 7 11 4 4 2" xfId="20356" xr:uid="{39529DF1-034E-45DC-AA26-E9CB938FD2F2}"/>
    <cellStyle name="Normal 7 11 4 5" xfId="22827" xr:uid="{AB87E6D9-E620-421D-A83A-875ADE506B2E}"/>
    <cellStyle name="Normal 7 11 4 6" xfId="13479" xr:uid="{B9F47F6D-4538-4CFF-A2B7-BC413BFB317D}"/>
    <cellStyle name="Normal 7 11 5" xfId="2568" xr:uid="{00000000-0005-0000-0000-0000E4070000}"/>
    <cellStyle name="Normal 7 11 5 2" xfId="5837" xr:uid="{26C688D1-BC0D-4F50-A5C7-7657C905B376}"/>
    <cellStyle name="Normal 7 11 5 2 2" xfId="28565" xr:uid="{7D9370AA-0A8E-41EC-B483-4BE5D92A6336}"/>
    <cellStyle name="Normal 7 11 5 2 3" xfId="15240" xr:uid="{7C6C7EA9-C124-4B2D-A0B6-3002D630344F}"/>
    <cellStyle name="Normal 7 11 5 3" xfId="7693" xr:uid="{BEDCB853-65FC-4481-831B-524757D3FCAC}"/>
    <cellStyle name="Normal 7 11 5 3 2" xfId="18073" xr:uid="{664C40D8-033B-4F6E-8A3F-20052D54B7FA}"/>
    <cellStyle name="Normal 7 11 5 4" xfId="10526" xr:uid="{6BEFBC81-C896-460A-AF49-67FB03DBD65D}"/>
    <cellStyle name="Normal 7 11 5 4 2" xfId="20906" xr:uid="{9784D248-BDC7-4DAD-8326-3937CEAA7CBF}"/>
    <cellStyle name="Normal 7 11 5 5" xfId="22962" xr:uid="{A3774CC2-50E6-45FC-A5EF-F71506B10216}"/>
    <cellStyle name="Normal 7 11 5 6" xfId="12956" xr:uid="{03371C5D-BDEC-46D2-B5BA-E5D0E54B2A6D}"/>
    <cellStyle name="Normal 7 11 6" xfId="2389" xr:uid="{00000000-0005-0000-0000-0000DE070000}"/>
    <cellStyle name="Normal 7 11 6 2" xfId="7516" xr:uid="{71D714A7-6425-4457-A44E-C0871A29E4D1}"/>
    <cellStyle name="Normal 7 11 6 2 2" xfId="26746" xr:uid="{45F2AD07-E73E-4F52-B3D4-7FA7DADA198E}"/>
    <cellStyle name="Normal 7 11 6 2 3" xfId="17896" xr:uid="{1D76FDE9-70BF-4C37-BEA9-A8F50FBE07C0}"/>
    <cellStyle name="Normal 7 11 6 3" xfId="10349" xr:uid="{03A8D8C7-3A30-41C0-8D5F-EA494CA6BF65}"/>
    <cellStyle name="Normal 7 11 6 3 2" xfId="20729" xr:uid="{D5C21043-BB2A-4BE9-A353-E036D0635D5F}"/>
    <cellStyle name="Normal 7 11 6 4" xfId="25229" xr:uid="{2258CC28-F1D6-4E1D-8E91-0B27D3C48212}"/>
    <cellStyle name="Normal 7 11 6 5" xfId="15063" xr:uid="{52ADF66A-EB29-4A19-9CFB-5C7149705B6B}"/>
    <cellStyle name="Normal 7 11 7" xfId="4049" xr:uid="{EE667E84-03EA-4DAE-9CA5-DE6E77CCCF57}"/>
    <cellStyle name="Normal 7 11 7 2" xfId="8835" xr:uid="{EC9C2E3F-2204-4C36-8420-00000D705654}"/>
    <cellStyle name="Normal 7 11 7 2 2" xfId="19215" xr:uid="{4C367804-265D-474F-8198-FD538DAF5C9C}"/>
    <cellStyle name="Normal 7 11 7 3" xfId="11668" xr:uid="{56C55BEB-45EC-47E1-9373-A82619D5626C}"/>
    <cellStyle name="Normal 7 11 7 3 2" xfId="22048" xr:uid="{40342CC9-EA1D-41D4-B8B6-DCF058DCDC7A}"/>
    <cellStyle name="Normal 7 11 7 4" xfId="26607" xr:uid="{FC4E2446-8912-4D18-A47F-03FE12A54429}"/>
    <cellStyle name="Normal 7 11 7 5" xfId="16382" xr:uid="{39A3BD08-EAD5-4B60-B444-33BF85C21607}"/>
    <cellStyle name="Normal 7 11 8" xfId="5389" xr:uid="{AE210D88-C35F-41A1-892C-EC73F777EA89}"/>
    <cellStyle name="Normal 7 11 8 2" xfId="14686" xr:uid="{697C4BEC-E756-4A56-BB90-A414E65CC7E7}"/>
    <cellStyle name="Normal 7 11 9" xfId="7139" xr:uid="{566D06A8-060B-4D4C-BF61-F11ACD1F1823}"/>
    <cellStyle name="Normal 7 11 9 2" xfId="17519" xr:uid="{8C424DED-38E2-4C61-9583-22F0578D51C4}"/>
    <cellStyle name="Normal 7 12" xfId="1344" xr:uid="{00000000-0005-0000-0000-000012070000}"/>
    <cellStyle name="Normal 7 12 10" xfId="23319" xr:uid="{520EC44C-78C8-4AC2-929A-A416E99E52C9}"/>
    <cellStyle name="Normal 7 12 11" xfId="12624" xr:uid="{A97707B5-E08C-48E6-9EE8-4A9B22071A35}"/>
    <cellStyle name="Normal 7 12 2" xfId="1345" xr:uid="{00000000-0005-0000-0000-000013070000}"/>
    <cellStyle name="Normal 7 12 2 2" xfId="3417" xr:uid="{00000000-0005-0000-0000-0000E7070000}"/>
    <cellStyle name="Normal 7 12 2 2 2" xfId="6472" xr:uid="{39A9088A-FC78-4479-9DC7-ADCB235A6669}"/>
    <cellStyle name="Normal 7 12 2 2 2 2" xfId="28743" xr:uid="{A27641FD-E14A-4138-B691-D10FAFFA8D97}"/>
    <cellStyle name="Normal 7 12 2 2 2 3" xfId="27112" xr:uid="{4FD4AE5D-EC8D-49D8-B84F-943CA7D5760D}"/>
    <cellStyle name="Normal 7 12 2 2 2 4" xfId="16043" xr:uid="{C6D30117-175F-40B3-B79A-8E6B2759B86F}"/>
    <cellStyle name="Normal 7 12 2 2 3" xfId="8496" xr:uid="{09FAAEA6-2902-43B4-9CD5-58F656E01952}"/>
    <cellStyle name="Normal 7 12 2 2 3 2" xfId="28933" xr:uid="{4A32288B-9108-4ED3-B56C-46CD030CE8B9}"/>
    <cellStyle name="Normal 7 12 2 2 3 3" xfId="18876" xr:uid="{4A4AC680-1106-44EC-AB55-AA9572950355}"/>
    <cellStyle name="Normal 7 12 2 2 4" xfId="11329" xr:uid="{5D538C14-F16A-4F0B-9C06-428974AD32AD}"/>
    <cellStyle name="Normal 7 12 2 2 4 2" xfId="21709" xr:uid="{5E4EDEA6-1091-4DD7-A00A-CE92F8725E34}"/>
    <cellStyle name="Normal 7 12 2 2 5" xfId="24415" xr:uid="{7901D2B0-000F-4F6C-86FD-56A29FAF769F}"/>
    <cellStyle name="Normal 7 12 2 2 6" xfId="13997" xr:uid="{C5FE40AD-E36F-4CCB-BEFB-5E5A72A83FC6}"/>
    <cellStyle name="Normal 7 12 2 3" xfId="4212" xr:uid="{A9517A6B-EEC9-445A-9525-80D1579B21DF}"/>
    <cellStyle name="Normal 7 12 2 3 2" xfId="8984" xr:uid="{363605A0-3161-4FD3-A341-C6B64A6FB591}"/>
    <cellStyle name="Normal 7 12 2 3 2 2" xfId="29065" xr:uid="{AE9A9A4D-7143-464C-B961-1A5B50B8556C}"/>
    <cellStyle name="Normal 7 12 2 3 2 3" xfId="19364" xr:uid="{DFB227FE-7EFF-4B28-BEEC-F9530618E177}"/>
    <cellStyle name="Normal 7 12 2 3 3" xfId="11817" xr:uid="{D9F5E44E-8BC3-4854-B5FC-FF8E49C7FD99}"/>
    <cellStyle name="Normal 7 12 2 3 3 2" xfId="22197" xr:uid="{24610BF3-40D6-4CEA-A2DD-EE28C0F58DAE}"/>
    <cellStyle name="Normal 7 12 2 3 4" xfId="23165" xr:uid="{A120F433-790D-4C3E-B9C5-19B3E2843367}"/>
    <cellStyle name="Normal 7 12 2 3 5" xfId="16531" xr:uid="{247C4DF2-A610-4F4C-8B2F-72E87FA7ACBB}"/>
    <cellStyle name="Normal 7 12 2 4" xfId="5395" xr:uid="{DAF4E148-D4C3-47A6-8253-21AE8D606AFB}"/>
    <cellStyle name="Normal 7 12 2 4 2" xfId="28071" xr:uid="{15DB74D0-3538-414A-B215-1041392378D9}"/>
    <cellStyle name="Normal 7 12 2 4 3" xfId="26883" xr:uid="{E5DE6082-145C-469C-BD01-97F0936D8F74}"/>
    <cellStyle name="Normal 7 12 2 4 4" xfId="14692" xr:uid="{0FE1914F-D6AB-48FB-A6F7-19C438EA792D}"/>
    <cellStyle name="Normal 7 12 2 5" xfId="7145" xr:uid="{CEEAC735-1F80-42A3-8321-BEBDBBA0EDAD}"/>
    <cellStyle name="Normal 7 12 2 5 2" xfId="26863" xr:uid="{7FC277FB-F359-49BC-944E-08714D7C8310}"/>
    <cellStyle name="Normal 7 12 2 5 3" xfId="17525" xr:uid="{A21AEE0E-7E2E-4844-9A39-7F70268A3FAA}"/>
    <cellStyle name="Normal 7 12 2 6" xfId="9978" xr:uid="{5D104CE3-2005-4D2C-91BA-62CD2764C2A5}"/>
    <cellStyle name="Normal 7 12 2 6 2" xfId="20358" xr:uid="{9DD75C04-C32C-41B7-8B04-005C3689DFA0}"/>
    <cellStyle name="Normal 7 12 2 7" xfId="23336" xr:uid="{8C58B10D-58D2-47E9-A3E4-FC944654C601}"/>
    <cellStyle name="Normal 7 12 2 8" xfId="12782" xr:uid="{E649DBA6-EF38-4C42-A68A-E78C329FCC2E}"/>
    <cellStyle name="Normal 7 12 3" xfId="1346" xr:uid="{00000000-0005-0000-0000-000014070000}"/>
    <cellStyle name="Normal 7 12 3 2" xfId="5396" xr:uid="{443EB7AA-966A-4D81-A596-F8B71D54BD25}"/>
    <cellStyle name="Normal 7 12 3 2 2" xfId="25613" xr:uid="{5D5DB393-479B-466F-B4E5-4C66F774489E}"/>
    <cellStyle name="Normal 7 12 3 2 3" xfId="28420" xr:uid="{C6B812D9-43A0-45C7-A9CF-806826CD411E}"/>
    <cellStyle name="Normal 7 12 3 2 4" xfId="14693" xr:uid="{04FFAD5B-49AD-4C32-AFAF-8DA40DBBAA22}"/>
    <cellStyle name="Normal 7 12 3 3" xfId="7146" xr:uid="{31D08A08-FD56-40CA-BFA7-63A6747620DA}"/>
    <cellStyle name="Normal 7 12 3 3 2" xfId="26763" xr:uid="{20E146AB-C481-46EA-834B-687A32370159}"/>
    <cellStyle name="Normal 7 12 3 3 3" xfId="27373" xr:uid="{126CBA36-0DF7-45A9-8ED3-446F54B25D2D}"/>
    <cellStyle name="Normal 7 12 3 3 4" xfId="17526" xr:uid="{C685EBA9-8168-4E70-83F3-57D4600FB1AD}"/>
    <cellStyle name="Normal 7 12 3 4" xfId="9979" xr:uid="{A4249746-35AA-4BE6-8243-638427CB4973}"/>
    <cellStyle name="Normal 7 12 3 4 2" xfId="27577" xr:uid="{A2246321-1797-4EEC-A361-427FBB7A3C71}"/>
    <cellStyle name="Normal 7 12 3 4 3" xfId="29448" xr:uid="{FC474E0F-94E7-4478-AED2-F6A01BFD2FDA}"/>
    <cellStyle name="Normal 7 12 3 4 4" xfId="20359" xr:uid="{51FAB024-1226-42E8-AAF6-A5FB5429E163}"/>
    <cellStyle name="Normal 7 12 3 5" xfId="25256" xr:uid="{1421110F-A50F-449B-AB95-D639693CB953}"/>
    <cellStyle name="Normal 7 12 3 6" xfId="28277" xr:uid="{FF454D42-2019-4230-B53B-246989797AB1}"/>
    <cellStyle name="Normal 7 12 3 7" xfId="13480" xr:uid="{2801D4D9-EDE0-43F3-B730-EE8A7669444F}"/>
    <cellStyle name="Normal 7 12 4" xfId="2817" xr:uid="{00000000-0005-0000-0000-0000E9070000}"/>
    <cellStyle name="Normal 7 12 4 2" xfId="6033" xr:uid="{32FBEA4A-82E4-4966-A90C-DE535393E8C0}"/>
    <cellStyle name="Normal 7 12 4 2 2" xfId="26918" xr:uid="{D83921AD-51A7-496B-9F3B-A4793FF82044}"/>
    <cellStyle name="Normal 7 12 4 2 3" xfId="15487" xr:uid="{2D53276B-54CA-41C8-BE80-BF030D7DCF54}"/>
    <cellStyle name="Normal 7 12 4 3" xfId="7940" xr:uid="{0B88E007-E916-454D-BD47-675A750BAA0F}"/>
    <cellStyle name="Normal 7 12 4 3 2" xfId="18320" xr:uid="{248BA8B1-C989-48FC-B454-D0156789335F}"/>
    <cellStyle name="Normal 7 12 4 4" xfId="10773" xr:uid="{86F5B672-2CD3-4166-969E-FCF60CE9557C}"/>
    <cellStyle name="Normal 7 12 4 4 2" xfId="21153" xr:uid="{A8B38EA7-380D-48A1-8AAE-42F90DAC3DEA}"/>
    <cellStyle name="Normal 7 12 4 5" xfId="23353" xr:uid="{2EE5C875-92FB-4244-85F1-A7B5269EC329}"/>
    <cellStyle name="Normal 7 12 4 6" xfId="13286" xr:uid="{BD1FAE01-0A6B-405B-AB96-B89554939E0D}"/>
    <cellStyle name="Normal 7 12 5" xfId="2390" xr:uid="{00000000-0005-0000-0000-0000E5070000}"/>
    <cellStyle name="Normal 7 12 5 2" xfId="7517" xr:uid="{2881FDC1-79F9-44C7-AA11-057B3B302194}"/>
    <cellStyle name="Normal 7 12 5 2 2" xfId="25855" xr:uid="{A46F6F50-8C06-4C42-9B61-6C5CC67905B2}"/>
    <cellStyle name="Normal 7 12 5 2 3" xfId="17897" xr:uid="{F32CDA9C-1E49-45A3-B185-E476210ABDD6}"/>
    <cellStyle name="Normal 7 12 5 3" xfId="10350" xr:uid="{D381B5B9-B7F2-4A87-978F-37E3CDBA402E}"/>
    <cellStyle name="Normal 7 12 5 3 2" xfId="20730" xr:uid="{20523882-9569-42C4-B086-CBD4A3E82B11}"/>
    <cellStyle name="Normal 7 12 5 4" xfId="23057" xr:uid="{A6F9EEEE-E8DC-402C-A9B2-22B84D550CD6}"/>
    <cellStyle name="Normal 7 12 5 5" xfId="15064" xr:uid="{85D507C5-997B-4EAA-87BA-0875FAA4D589}"/>
    <cellStyle name="Normal 7 12 6" xfId="4050" xr:uid="{3596E1EC-2AB1-4D44-B20A-1ED70535BDF9}"/>
    <cellStyle name="Normal 7 12 6 2" xfId="8836" xr:uid="{3890EE2A-C302-4021-B00A-634E4D23842F}"/>
    <cellStyle name="Normal 7 12 6 2 2" xfId="28993" xr:uid="{955CD499-595D-414F-AAE0-F71BB9C01778}"/>
    <cellStyle name="Normal 7 12 6 2 3" xfId="19216" xr:uid="{913F2D5D-8627-4B2A-9E1A-D7DD3106EAED}"/>
    <cellStyle name="Normal 7 12 6 3" xfId="11669" xr:uid="{8D6AD15C-FE8F-413E-BF2C-CC63FCCFFCB8}"/>
    <cellStyle name="Normal 7 12 6 3 2" xfId="22049" xr:uid="{471792B2-66A8-4D60-B43F-BA638C8B7E91}"/>
    <cellStyle name="Normal 7 12 6 4" xfId="27819" xr:uid="{0DE08D80-981E-47DC-87CF-4F862B724AE2}"/>
    <cellStyle name="Normal 7 12 6 5" xfId="16383" xr:uid="{0BAED52F-AFEE-4DA3-8A28-08092205E7E4}"/>
    <cellStyle name="Normal 7 12 7" xfId="5394" xr:uid="{E8A85330-10A0-460A-939F-343ADD733E52}"/>
    <cellStyle name="Normal 7 12 7 2" xfId="26836" xr:uid="{43749EB2-AA72-4AF7-BF22-85B893F561AE}"/>
    <cellStyle name="Normal 7 12 7 3" xfId="14691" xr:uid="{C0F1CF48-03EC-48B2-B752-F79DF60FEEC7}"/>
    <cellStyle name="Normal 7 12 8" xfId="7144" xr:uid="{19AAED7C-FA0E-4E9F-B250-A2B26DF88045}"/>
    <cellStyle name="Normal 7 12 8 2" xfId="17524" xr:uid="{F44AA86D-E803-46B6-AFD8-5D043216ECE4}"/>
    <cellStyle name="Normal 7 12 9" xfId="9977" xr:uid="{4B10B018-C750-4555-B579-BF05472304FB}"/>
    <cellStyle name="Normal 7 12 9 2" xfId="20357" xr:uid="{D19C51ED-E470-46EA-B869-F4DFDED11AAE}"/>
    <cellStyle name="Normal 7 13" xfId="1347" xr:uid="{00000000-0005-0000-0000-000015070000}"/>
    <cellStyle name="Normal 7 13 10" xfId="12625" xr:uid="{2D384B92-5D75-46D6-9018-93A54C225D1C}"/>
    <cellStyle name="Normal 7 13 2" xfId="1348" xr:uid="{00000000-0005-0000-0000-000016070000}"/>
    <cellStyle name="Normal 7 13 2 2" xfId="2981" xr:uid="{00000000-0005-0000-0000-0000EC070000}"/>
    <cellStyle name="Normal 7 13 2 2 2" xfId="6135" xr:uid="{FE8D53A9-6625-4430-99D9-D9C3115D7D7F}"/>
    <cellStyle name="Normal 7 13 2 2 2 2" xfId="26923" xr:uid="{D35E8CFE-4AE8-4C13-B4F2-8CD714D39F81}"/>
    <cellStyle name="Normal 7 13 2 2 2 3" xfId="27615" xr:uid="{CF0D11E8-5A7A-4820-A722-7C16EC81CB42}"/>
    <cellStyle name="Normal 7 13 2 2 2 4" xfId="15613" xr:uid="{3C8BF89B-DCC0-4D53-9917-6FCA126DD74B}"/>
    <cellStyle name="Normal 7 13 2 2 3" xfId="8066" xr:uid="{68DDBB74-D7DA-4A47-B658-51081B2BF2CE}"/>
    <cellStyle name="Normal 7 13 2 2 3 2" xfId="28764" xr:uid="{4173E0ED-2598-4D03-AEB0-DE0A25AF7D91}"/>
    <cellStyle name="Normal 7 13 2 2 3 3" xfId="18446" xr:uid="{D59CC203-F6EF-4720-BC0E-DB4824764562}"/>
    <cellStyle name="Normal 7 13 2 2 4" xfId="10899" xr:uid="{C5659DA6-8FD7-405B-AD77-8FD632A8F8C0}"/>
    <cellStyle name="Normal 7 13 2 2 4 2" xfId="21279" xr:uid="{5EAC393A-E25D-4040-AA99-C5645CB40D94}"/>
    <cellStyle name="Normal 7 13 2 2 5" xfId="24436" xr:uid="{3994F3C3-412E-48B0-ADFB-64C6C0CABA60}"/>
    <cellStyle name="Normal 7 13 2 2 6" xfId="13481" xr:uid="{90E73610-F862-45F8-8E78-35B01AF3730E}"/>
    <cellStyle name="Normal 7 13 2 3" xfId="5398" xr:uid="{C2511337-16C9-45A8-9333-468C081E9C80}"/>
    <cellStyle name="Normal 7 13 2 3 2" xfId="23416" xr:uid="{C3B71349-DC77-4278-B639-76402E9E57BC}"/>
    <cellStyle name="Normal 7 13 2 3 3" xfId="28181" xr:uid="{F8A5584B-9B09-4954-8A17-C135DB60EF34}"/>
    <cellStyle name="Normal 7 13 2 3 4" xfId="14695" xr:uid="{D31934AC-F6BB-4307-A8AF-7E5977253F78}"/>
    <cellStyle name="Normal 7 13 2 4" xfId="7148" xr:uid="{20B6FFD0-323F-4558-8FF5-79FB207F6696}"/>
    <cellStyle name="Normal 7 13 2 4 2" xfId="26148" xr:uid="{FF4FF221-A08B-4504-947A-0343A1DB8537}"/>
    <cellStyle name="Normal 7 13 2 4 3" xfId="27175" xr:uid="{20F8625E-931C-4469-924A-DE4AB335F6EB}"/>
    <cellStyle name="Normal 7 13 2 4 4" xfId="17528" xr:uid="{1FF3CC5F-0612-4F2F-B13F-5712F1F3C11E}"/>
    <cellStyle name="Normal 7 13 2 5" xfId="9981" xr:uid="{4AE7471D-0114-489F-8CA8-726EC8830133}"/>
    <cellStyle name="Normal 7 13 2 5 2" xfId="29449" xr:uid="{D7AD06FC-802D-43E1-8C8B-0A71DC954DBA}"/>
    <cellStyle name="Normal 7 13 2 5 3" xfId="20361" xr:uid="{102748FF-B588-497E-B490-1D8C4B75F89E}"/>
    <cellStyle name="Normal 7 13 2 6" xfId="23103" xr:uid="{B4881FC2-88B5-4AF5-8CCF-37B88EFA183D}"/>
    <cellStyle name="Normal 7 13 2 7" xfId="12783" xr:uid="{FC89DDCE-20E0-4D06-9AE1-904260F698CB}"/>
    <cellStyle name="Normal 7 13 3" xfId="1349" xr:uid="{00000000-0005-0000-0000-000017070000}"/>
    <cellStyle name="Normal 7 13 3 2" xfId="5399" xr:uid="{DCB20980-7643-4535-88F9-578CE8FBFBCD}"/>
    <cellStyle name="Normal 7 13 3 2 2" xfId="27766" xr:uid="{23C00D56-7A99-4A54-90B1-0B147FC68906}"/>
    <cellStyle name="Normal 7 13 3 2 3" xfId="26817" xr:uid="{20460F01-06EE-4D47-A0BE-B0A32B9D05B2}"/>
    <cellStyle name="Normal 7 13 3 2 4" xfId="14696" xr:uid="{B0B13E8D-91B0-4667-8658-1ADDDDEE0915}"/>
    <cellStyle name="Normal 7 13 3 3" xfId="7149" xr:uid="{64CD0462-F6AC-497F-9989-CBA317968155}"/>
    <cellStyle name="Normal 7 13 3 3 2" xfId="27380" xr:uid="{11DC4761-E4F6-4690-AE9A-B56E67E30089}"/>
    <cellStyle name="Normal 7 13 3 3 3" xfId="27444" xr:uid="{E9AA02BF-9AB4-42F7-A16C-CE009BAA2A77}"/>
    <cellStyle name="Normal 7 13 3 3 4" xfId="17529" xr:uid="{2A80C9F8-14FC-4F30-8B24-C2E6DEE33964}"/>
    <cellStyle name="Normal 7 13 3 4" xfId="9982" xr:uid="{98DBFA60-2698-46F4-BF5C-075BAC410C90}"/>
    <cellStyle name="Normal 7 13 3 4 2" xfId="29450" xr:uid="{84CEC67C-FAC1-4B94-A702-87E75276E1F3}"/>
    <cellStyle name="Normal 7 13 3 4 3" xfId="20362" xr:uid="{59F6F00D-9A4D-4140-B6DF-F155B26FD33D}"/>
    <cellStyle name="Normal 7 13 3 5" xfId="24275" xr:uid="{9ECC0C4F-35AC-4BF6-A677-6556CB126B7C}"/>
    <cellStyle name="Normal 7 13 3 6" xfId="13287" xr:uid="{9A463FB0-23D4-4E20-BE85-7FEB1D78479A}"/>
    <cellStyle name="Normal 7 13 4" xfId="2391" xr:uid="{00000000-0005-0000-0000-0000EA070000}"/>
    <cellStyle name="Normal 7 13 4 2" xfId="7518" xr:uid="{AB47B31C-1842-46B8-BFC4-5DFFF4EFD572}"/>
    <cellStyle name="Normal 7 13 4 2 2" xfId="28064" xr:uid="{DB5496FD-3ECA-4527-9C12-ED22E11A1F40}"/>
    <cellStyle name="Normal 7 13 4 2 3" xfId="17898" xr:uid="{9D218ECA-F844-4997-8237-106A1F8729BE}"/>
    <cellStyle name="Normal 7 13 4 3" xfId="10351" xr:uid="{FC2FC417-DB07-4826-87D7-5B2446E9E3D4}"/>
    <cellStyle name="Normal 7 13 4 3 2" xfId="20731" xr:uid="{CC12FB36-B1F2-4EC9-B42F-50595556BD13}"/>
    <cellStyle name="Normal 7 13 4 4" xfId="22854" xr:uid="{BF373A71-7832-4175-8084-02F7704F61C2}"/>
    <cellStyle name="Normal 7 13 4 5" xfId="15065" xr:uid="{E13BC127-0E7F-4E10-BA34-579DB90C1102}"/>
    <cellStyle name="Normal 7 13 5" xfId="4051" xr:uid="{C48EAA1B-737A-4259-88AF-A88E11F7D0B2}"/>
    <cellStyle name="Normal 7 13 5 2" xfId="8837" xr:uid="{77A6E992-268E-475C-A367-69EAF4F88609}"/>
    <cellStyle name="Normal 7 13 5 2 2" xfId="28994" xr:uid="{4C50D351-F50B-4D38-ADF8-BDC32A258787}"/>
    <cellStyle name="Normal 7 13 5 2 3" xfId="19217" xr:uid="{E91DCA4A-113A-4BF8-98F5-3433F4BDA44E}"/>
    <cellStyle name="Normal 7 13 5 3" xfId="11670" xr:uid="{6424C1A2-E0FA-46CB-865D-D2637C8733E4}"/>
    <cellStyle name="Normal 7 13 5 3 2" xfId="22050" xr:uid="{A8877C6E-3F80-4ECE-BBAC-9E25EE1C5063}"/>
    <cellStyle name="Normal 7 13 5 4" xfId="24053" xr:uid="{4CD85591-419B-4589-8A19-007BB58E4ABA}"/>
    <cellStyle name="Normal 7 13 5 5" xfId="16384" xr:uid="{E002FDFB-78F4-48F0-B689-BCA90642B069}"/>
    <cellStyle name="Normal 7 13 6" xfId="5397" xr:uid="{9FC5ABBE-5778-416A-8388-E134B2F82B4D}"/>
    <cellStyle name="Normal 7 13 6 2" xfId="26082" xr:uid="{9042DCD2-8FD3-4FED-BC94-87E103CDB104}"/>
    <cellStyle name="Normal 7 13 6 3" xfId="28138" xr:uid="{47920828-9C9D-495D-BB4B-107B93789533}"/>
    <cellStyle name="Normal 7 13 6 4" xfId="14694" xr:uid="{3A164B11-B58D-49F7-BAE4-EAB2B732401E}"/>
    <cellStyle name="Normal 7 13 7" xfId="7147" xr:uid="{3F7AF10C-BBF5-44CB-AE49-D899F1B58A2A}"/>
    <cellStyle name="Normal 7 13 7 2" xfId="27501" xr:uid="{CD4C4EB5-DBD3-48EC-8F2A-53F58EEB111E}"/>
    <cellStyle name="Normal 7 13 7 3" xfId="17527" xr:uid="{80DCB9DD-116E-4C3F-89E8-0FC8E6A33AFF}"/>
    <cellStyle name="Normal 7 13 8" xfId="9980" xr:uid="{9FE94840-706F-4124-B963-1EAF1B222905}"/>
    <cellStyle name="Normal 7 13 8 2" xfId="20360" xr:uid="{BDFD353B-89F6-463A-BA27-9F07C438FE06}"/>
    <cellStyle name="Normal 7 13 9" xfId="23991" xr:uid="{1DBB7AE5-BB86-489A-8864-C46BF4D7E5AD}"/>
    <cellStyle name="Normal 7 14" xfId="1350" xr:uid="{00000000-0005-0000-0000-000018070000}"/>
    <cellStyle name="Normal 7 14 2" xfId="4571" xr:uid="{4072DF07-EF14-43D3-B167-C35CAF4234D0}"/>
    <cellStyle name="Normal 7 14 2 2" xfId="9343" xr:uid="{B8A9AD22-3410-4FF4-83C7-E2DC3D14ED22}"/>
    <cellStyle name="Normal 7 14 2 2 2" xfId="29317" xr:uid="{A5799844-DFFA-455D-A86E-8427EBCB3714}"/>
    <cellStyle name="Normal 7 14 2 2 3" xfId="19723" xr:uid="{7C974998-D80F-4756-8AA6-8EBE02DE6977}"/>
    <cellStyle name="Normal 7 14 2 3" xfId="12176" xr:uid="{14EEB91B-D8F9-4F06-B344-22845EF1E6AA}"/>
    <cellStyle name="Normal 7 14 2 3 2" xfId="22556" xr:uid="{3B072E4D-49A0-409B-9BD9-9B2AAEACA31C}"/>
    <cellStyle name="Normal 7 14 2 4" xfId="24584" xr:uid="{5942702B-591C-4132-A5C1-66F61F49F937}"/>
    <cellStyle name="Normal 7 14 2 5" xfId="16890" xr:uid="{683ACCB9-7C62-4B63-B4F1-090AB6DAC786}"/>
    <cellStyle name="Normal 7 14 3" xfId="5400" xr:uid="{FAC9975F-8F2F-4E63-A9C3-9F3C1010A589}"/>
    <cellStyle name="Normal 7 14 3 2" xfId="25774" xr:uid="{8D397C2B-E913-4504-B12F-1B0EE6347D16}"/>
    <cellStyle name="Normal 7 14 3 3" xfId="27633" xr:uid="{07857877-B5B2-4CEB-A569-43A78CB1FF4C}"/>
    <cellStyle name="Normal 7 14 3 4" xfId="14697" xr:uid="{15E50FBB-3C72-4F94-9257-EF48A0129430}"/>
    <cellStyle name="Normal 7 14 3 5" xfId="29616" xr:uid="{02CF52A5-91C5-41D2-A0F8-38F4DC89323C}"/>
    <cellStyle name="Normal 7 14 3 6" xfId="29612" xr:uid="{26C82F45-E903-4829-958C-65A95733CA82}"/>
    <cellStyle name="Normal 7 14 3 6 2" xfId="29652" xr:uid="{FAD90F05-E5B6-4B3C-A1D0-A7981FC7DD94}"/>
    <cellStyle name="Normal 7 14 3 7" xfId="29635" xr:uid="{34C97F94-45C7-4B15-9ED5-2C3B425DF668}"/>
    <cellStyle name="Normal 7 14 4" xfId="7150" xr:uid="{BDE5B7F9-0BFE-44EC-A692-1FD60098272B}"/>
    <cellStyle name="Normal 7 14 4 2" xfId="23785" xr:uid="{C36A6A98-8F2F-4C86-9EEE-E1C5209BFEB8}"/>
    <cellStyle name="Normal 7 14 4 3" xfId="25875" xr:uid="{A4AA3AA3-09A8-434A-A46E-2D81674CCE1A}"/>
    <cellStyle name="Normal 7 14 4 4" xfId="17530" xr:uid="{0CE44A9C-B3B6-4F7D-8D17-9610CFE16AA4}"/>
    <cellStyle name="Normal 7 14 5" xfId="9983" xr:uid="{8235CE7C-372C-4318-A599-8E62C285DA7B}"/>
    <cellStyle name="Normal 7 14 5 2" xfId="29451" xr:uid="{AEDE9949-7169-4514-AE0E-4A891C24561E}"/>
    <cellStyle name="Normal 7 14 5 3" xfId="20363" xr:uid="{9449C78C-D33B-459C-BBF9-694343407FAB}"/>
    <cellStyle name="Normal 7 14 6" xfId="24136" xr:uid="{9092CC78-A25F-48A6-83D4-F44869564DEA}"/>
    <cellStyle name="Normal 7 14 7" xfId="13998" xr:uid="{0FCA37D2-3715-410D-9450-DBE88E718CBE}"/>
    <cellStyle name="Normal 7 15" xfId="2432" xr:uid="{00000000-0005-0000-0000-0000EF070000}"/>
    <cellStyle name="Normal 7 15 2" xfId="5729" xr:uid="{C5D7E416-4228-41E8-ABDC-EE69883A12CC}"/>
    <cellStyle name="Normal 7 15 2 2" xfId="23596" xr:uid="{65C6AC73-A0E6-4BCE-92BE-B668B8D5257A}"/>
    <cellStyle name="Normal 7 15 2 3" xfId="15104" xr:uid="{17D943AA-C222-4B4C-A18F-6CCE6BA583AE}"/>
    <cellStyle name="Normal 7 15 3" xfId="7557" xr:uid="{F1E98D2C-5E23-44D7-A17A-E7E508629C08}"/>
    <cellStyle name="Normal 7 15 3 2" xfId="17937" xr:uid="{AE558860-C380-4D33-B8F4-BAFABF7E14FC}"/>
    <cellStyle name="Normal 7 15 4" xfId="10390" xr:uid="{0365E554-FA94-4190-A1D6-9E0EE659857C}"/>
    <cellStyle name="Normal 7 15 4 2" xfId="20770" xr:uid="{2A88BA57-D2E1-463D-AEDB-D1CD92CC2019}"/>
    <cellStyle name="Normal 7 15 5" xfId="23728" xr:uid="{7232D1CA-690F-4D52-9D19-42CE68785447}"/>
    <cellStyle name="Normal 7 15 6" xfId="12819" xr:uid="{F5044BB9-43F3-49F3-B21A-9AD06E1D6815}"/>
    <cellStyle name="Normal 7 16" xfId="2159" xr:uid="{00000000-0005-0000-0000-0000D6070000}"/>
    <cellStyle name="Normal 7 16 2" xfId="7286" xr:uid="{487A9249-76DA-44C0-9FB7-C1ECCC926A3F}"/>
    <cellStyle name="Normal 7 16 2 2" xfId="17666" xr:uid="{E8531131-82DE-4A9C-9E7C-B57E41F8A0D7}"/>
    <cellStyle name="Normal 7 16 3" xfId="10119" xr:uid="{55FE5E11-08C7-4A4A-B6B1-9A55D8442D61}"/>
    <cellStyle name="Normal 7 16 3 2" xfId="20499" xr:uid="{5B263FD6-644E-4205-BA6A-B5FA3C82A433}"/>
    <cellStyle name="Normal 7 16 4" xfId="24615" xr:uid="{3531CAC4-9557-447A-A968-11C6FD1FBF49}"/>
    <cellStyle name="Normal 7 16 5" xfId="14833" xr:uid="{EA3CD99F-CEAA-4377-8E06-36E914726435}"/>
    <cellStyle name="Normal 7 17" xfId="3784" xr:uid="{341F80F6-8699-4561-8A3C-2CE4C55CAADA}"/>
    <cellStyle name="Normal 7 17 2" xfId="8623" xr:uid="{1FC80999-4DDE-48CF-962D-7BAF4D6653EE}"/>
    <cellStyle name="Normal 7 17 2 2" xfId="19003" xr:uid="{ED9F5490-6BEC-49DB-B407-08529B63281F}"/>
    <cellStyle name="Normal 7 17 3" xfId="11456" xr:uid="{85BFA86A-976C-4244-B91D-A4A316DF7FAA}"/>
    <cellStyle name="Normal 7 17 3 2" xfId="21836" xr:uid="{EBB9E23C-1929-404A-8369-AB114746F9B3}"/>
    <cellStyle name="Normal 7 17 4" xfId="16170" xr:uid="{19ED6957-761A-498A-9DB7-0D4BB90DEA23}"/>
    <cellStyle name="Normal 7 18" xfId="23716" xr:uid="{275285CC-AC04-46B2-8894-D88E3A4793D8}"/>
    <cellStyle name="Normal 7 19" xfId="12391" xr:uid="{409BED8C-AD22-4BB5-AC49-DFFDB915DE9E}"/>
    <cellStyle name="Normal 7 2" xfId="1351" xr:uid="{00000000-0005-0000-0000-000019070000}"/>
    <cellStyle name="Normal 7 2 2" xfId="1352" xr:uid="{00000000-0005-0000-0000-00001A070000}"/>
    <cellStyle name="Normal 7 2 3" xfId="29579" xr:uid="{C9FAE160-566D-4193-A935-2D0DA2B23E4F}"/>
    <cellStyle name="Normal 7 20" xfId="29578" xr:uid="{642B267D-0DF7-40DE-B31F-199C69FB4D2F}"/>
    <cellStyle name="Normal 7 20 2" xfId="30065" xr:uid="{51050E25-7C0E-4E96-8502-38574CF8D421}"/>
    <cellStyle name="Normal 7 21" xfId="30212" xr:uid="{D8F08B45-DCD7-412B-A009-B80916B3DB07}"/>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9" xr:uid="{3A610EB4-A016-4959-9696-204DE0AAB876}"/>
    <cellStyle name="Normal 7 3 3 2 3 2 2 3" xfId="25207" xr:uid="{8ED66FBA-2D40-4643-9B61-F1E32A491FDE}"/>
    <cellStyle name="Normal 7 3 3 2 3 2 3" xfId="1361" xr:uid="{00000000-0005-0000-0000-000023070000}"/>
    <cellStyle name="Normal 7 3 3 2 3 2 3 2" xfId="2026" xr:uid="{00000000-0005-0000-0000-000024070000}"/>
    <cellStyle name="Normal 7 3 3 2 3 2 3 3" xfId="3761" xr:uid="{00000000-0005-0000-0000-000084060000}"/>
    <cellStyle name="Normal 7 3 3 2 3 2 3 3 2" xfId="4739" xr:uid="{14F8C66C-3AFD-4960-8379-ECACDC0C00A0}"/>
    <cellStyle name="Normal 7 3 3 2 3 2 3 3 3" xfId="29775" xr:uid="{B4F6CDA3-E547-4E5C-9F42-14471811FC4B}"/>
    <cellStyle name="Normal 7 3 3 2 3 2 4" xfId="24308" xr:uid="{4F4781A6-ECE1-4C9E-AC58-6E5C10C0A2BA}"/>
    <cellStyle name="Normal 7 3 3 2 3 2 4 2" xfId="29890" xr:uid="{5E39019A-3CC5-42BC-8E9C-6206A7DC49BB}"/>
    <cellStyle name="Normal 7 3 3 2 3 3" xfId="1362" xr:uid="{00000000-0005-0000-0000-000025070000}"/>
    <cellStyle name="Normal 7 3 3 2 3 4" xfId="2983" xr:uid="{00000000-0005-0000-0000-0000FA070000}"/>
    <cellStyle name="Normal 7 3 3 2 3 5" xfId="2145" xr:uid="{00000000-0005-0000-0000-0000F7020000}"/>
    <cellStyle name="Normal 7 3 3 2 3 5 2" xfId="4635" xr:uid="{4276D1A2-DC93-4587-8A35-0E2B48A1053D}"/>
    <cellStyle name="Normal 7 3 3 2 3 5 3" xfId="29715" xr:uid="{DABEEB32-EC14-48B1-BA22-3ED3E503C92A}"/>
    <cellStyle name="Normal 7 3 3 2 3 6" xfId="4055" xr:uid="{B827FBD5-2E2E-4EC7-8D41-DDFF87CC148D}"/>
    <cellStyle name="Normal 7 3 3 2 3 6 2" xfId="4800" xr:uid="{41E9EAB1-F610-481E-9DBF-172EE15DBDDE}"/>
    <cellStyle name="Normal 7 3 3 2 3 6 3" xfId="29830" xr:uid="{6F3BBD8F-5CED-4029-98C3-542BCCBCBC33}"/>
    <cellStyle name="Normal 7 3 3 2 4" xfId="1363" xr:uid="{00000000-0005-0000-0000-000026070000}"/>
    <cellStyle name="Normal 7 3 3 2 4 2" xfId="2982" xr:uid="{00000000-0005-0000-0000-0000FB070000}"/>
    <cellStyle name="Normal 7 3 3 2 4 3" xfId="25208" xr:uid="{B0C3B96C-3DDC-4AE2-9FBF-450A9524DC4A}"/>
    <cellStyle name="Normal 7 3 3 2 4 3 2" xfId="29624" xr:uid="{D5A67649-7538-431D-8D7A-5AD8C95F5258}"/>
    <cellStyle name="Normal 7 3 3 2 4 3 3" xfId="29613" xr:uid="{66300240-9CE0-4062-9E28-4F6B04AC2CFD}"/>
    <cellStyle name="Normal 7 3 3 2 4 3 3 2" xfId="29653" xr:uid="{6CAF7E09-E7DB-45FE-975B-5EBB75C74D81}"/>
    <cellStyle name="Normal 7 3 3 2 4 3 4" xfId="29852" xr:uid="{4F1E961D-8BC9-47AE-8553-8325F5C38734}"/>
    <cellStyle name="Normal 7 3 3 2 5" xfId="2144" xr:uid="{00000000-0005-0000-0000-0000F5020000}"/>
    <cellStyle name="Normal 7 3 3 2 5 2" xfId="4663" xr:uid="{8519FF03-5F6D-4EB4-B933-25C9AA886D70}"/>
    <cellStyle name="Normal 7 3 3 2 5 3" xfId="29714" xr:uid="{27C90C0B-5528-4776-881B-46D8159A2087}"/>
    <cellStyle name="Normal 7 3 3 2 6" xfId="4054" xr:uid="{0F69AA1D-AABD-4773-8E71-6D7F88104E7D}"/>
    <cellStyle name="Normal 7 3 3 2 6 2" xfId="4706" xr:uid="{FBE10302-99A6-4D2B-BB8D-B20AC5081845}"/>
    <cellStyle name="Normal 7 3 3 2 6 3" xfId="29829" xr:uid="{677C7A62-86C5-4C41-95EA-B1F21D9DC0B9}"/>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7" xr:uid="{00000000-0005-0000-0000-00002C070000}"/>
    <cellStyle name="Normal 7 3 3 4 2 2 2 3" xfId="3762" xr:uid="{00000000-0005-0000-0000-00008B060000}"/>
    <cellStyle name="Normal 7 3 3 4 2 2 2 3 2" xfId="4690" xr:uid="{FFDAA0C2-4A8B-4197-B6CC-922603129983}"/>
    <cellStyle name="Normal 7 3 3 4 2 2 2 3 3" xfId="29776" xr:uid="{4F910DA5-EDDA-4FDD-97F2-5A3E6DFFB588}"/>
    <cellStyle name="Normal 7 3 3 4 2 2 2 4" xfId="23538" xr:uid="{5DC698DF-1EB8-4352-991D-5DF81557D20A}"/>
    <cellStyle name="Normal 7 3 3 4 2 2 3" xfId="2028" xr:uid="{00000000-0005-0000-0000-00002D070000}"/>
    <cellStyle name="Normal 7 3 3 4 2 2 4" xfId="24128" xr:uid="{6B4D953D-C7AF-48CD-AB50-65538F78D7AC}"/>
    <cellStyle name="Normal 7 3 3 4 2 2 4 2" xfId="29891" xr:uid="{70EA3441-F9CB-42EA-9395-BDC48A431E7C}"/>
    <cellStyle name="Normal 7 3 3 4 2 3" xfId="1369" xr:uid="{00000000-0005-0000-0000-00002E070000}"/>
    <cellStyle name="Normal 7 3 3 4 2 3 2" xfId="1370" xr:uid="{00000000-0005-0000-0000-00002F070000}"/>
    <cellStyle name="Normal 7 3 3 4 2 3 2 2" xfId="25760" xr:uid="{9FC1AC3D-9F28-4DA0-9380-BC7E4A0369FC}"/>
    <cellStyle name="Normal 7 3 3 4 2 3 2 3" xfId="23622" xr:uid="{84AE4A6D-2B0B-43BB-8CE5-1E2B5F205C09}"/>
    <cellStyle name="Normal 7 3 3 4 2 3 2 3 2" xfId="29904" xr:uid="{A31D56D4-843F-4361-B5A9-6D770E44FC1E}"/>
    <cellStyle name="Normal 7 3 3 4 2 3 3" xfId="1371" xr:uid="{00000000-0005-0000-0000-000030070000}"/>
    <cellStyle name="Normal 7 3 3 4 2 3 3 2" xfId="23825" xr:uid="{CCE458EA-8A72-49FE-A77A-634330E76522}"/>
    <cellStyle name="Normal 7 3 3 4 2 3 3 3" xfId="22773" xr:uid="{D5AB1874-6DDC-44B8-AD25-F7B2D8D3E562}"/>
    <cellStyle name="Normal 7 3 3 4 2 3 4" xfId="2147" xr:uid="{00000000-0005-0000-0000-0000FD020000}"/>
    <cellStyle name="Normal 7 3 3 4 2 3 4 2" xfId="4813" xr:uid="{85B8BA1F-331D-494F-A0E7-481902D278F4}"/>
    <cellStyle name="Normal 7 3 3 4 2 3 4 3" xfId="29717" xr:uid="{E528515E-DF82-4554-A89F-077D2BDCD37F}"/>
    <cellStyle name="Normal 7 3 3 4 2 3 5" xfId="24402" xr:uid="{AE0E1D6A-38CA-406E-AE73-788945631526}"/>
    <cellStyle name="Normal 7 3 3 4 2 4" xfId="23708" xr:uid="{E6762BC0-4988-4223-B09E-CC35F0BD73AE}"/>
    <cellStyle name="Normal 7 3 3 4 3" xfId="1372" xr:uid="{00000000-0005-0000-0000-000031070000}"/>
    <cellStyle name="Normal 7 3 3 4 4" xfId="2984" xr:uid="{00000000-0005-0000-0000-000003080000}"/>
    <cellStyle name="Normal 7 3 3 4 5" xfId="2146" xr:uid="{00000000-0005-0000-0000-0000FA020000}"/>
    <cellStyle name="Normal 7 3 3 4 5 2" xfId="4023" xr:uid="{6D2F6D47-4728-4B49-AE2E-D503982C4500}"/>
    <cellStyle name="Normal 7 3 3 4 5 3" xfId="29716" xr:uid="{AEE39FDF-F957-4DA4-B32E-A2E6638E5B21}"/>
    <cellStyle name="Normal 7 3 3 4 6" xfId="4056" xr:uid="{3D663429-9E72-4EFF-8B04-88C376DF2815}"/>
    <cellStyle name="Normal 7 3 3 4 6 2" xfId="4796" xr:uid="{AEA4314F-DE64-4934-8CDE-F04585260C3B}"/>
    <cellStyle name="Normal 7 3 3 4 6 3" xfId="29831" xr:uid="{706A9DAB-9D75-4E6B-A949-0DEC5B8F26D8}"/>
    <cellStyle name="Normal 7 3 3 5" xfId="1373" xr:uid="{00000000-0005-0000-0000-000032070000}"/>
    <cellStyle name="Normal 7 3 3 5 2" xfId="1374" xr:uid="{00000000-0005-0000-0000-000033070000}"/>
    <cellStyle name="Normal 7 3 3 5 3" xfId="3763" xr:uid="{00000000-0005-0000-0000-000092060000}"/>
    <cellStyle name="Normal 7 3 3 5 3 2" xfId="4797" xr:uid="{E8168558-99C5-46A5-A612-2FC93BC3CDFD}"/>
    <cellStyle name="Normal 7 3 3 5 3 2 2" xfId="27332" xr:uid="{602079EF-2278-456C-B1D0-880B1CB11283}"/>
    <cellStyle name="Normal 7 3 3 5 3 3" xfId="25223" xr:uid="{B55B4F7C-6E21-48BE-9E2E-2D34FC86B976}"/>
    <cellStyle name="Normal 7 3 3 5 3 4" xfId="29777" xr:uid="{319438C4-0DC6-456F-AEA7-DA35C7DD40C1}"/>
    <cellStyle name="Normal 7 3 3 5 4" xfId="24261"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7" xr:uid="{D88E8471-D92D-49F6-980C-BD36AA4D314B}"/>
    <cellStyle name="Normal 7 3 4 3 2 2 3" xfId="25735" xr:uid="{126A297B-7ADB-4933-9CCB-2FD3B77C74DF}"/>
    <cellStyle name="Normal 7 3 4 3 2 3" xfId="1380" xr:uid="{00000000-0005-0000-0000-000039070000}"/>
    <cellStyle name="Normal 7 3 4 3 2 3 2" xfId="2029" xr:uid="{00000000-0005-0000-0000-00003A070000}"/>
    <cellStyle name="Normal 7 3 4 3 2 3 3" xfId="3764" xr:uid="{00000000-0005-0000-0000-000099060000}"/>
    <cellStyle name="Normal 7 3 4 3 2 3 3 2" xfId="4821" xr:uid="{AF1FEBE8-E3EC-4326-BAB1-44332DCC67E2}"/>
    <cellStyle name="Normal 7 3 4 3 2 3 3 3" xfId="29778" xr:uid="{3D6F4F5E-8683-478D-8D95-FFA704C66DD2}"/>
    <cellStyle name="Normal 7 3 4 3 2 4" xfId="25414" xr:uid="{F055F10B-64A1-40D8-B460-1A174561E6AE}"/>
    <cellStyle name="Normal 7 3 4 3 2 4 2" xfId="29892" xr:uid="{414297F4-188E-4DDB-AF02-7022B0F0144E}"/>
    <cellStyle name="Normal 7 3 4 3 3" xfId="1381" xr:uid="{00000000-0005-0000-0000-00003B070000}"/>
    <cellStyle name="Normal 7 3 4 3 4" xfId="2985" xr:uid="{00000000-0005-0000-0000-000009080000}"/>
    <cellStyle name="Normal 7 3 4 3 5" xfId="2149" xr:uid="{00000000-0005-0000-0000-000001030000}"/>
    <cellStyle name="Normal 7 3 4 3 5 2" xfId="4669" xr:uid="{E82F8251-A2EF-493C-99EC-798453FDB072}"/>
    <cellStyle name="Normal 7 3 4 3 5 3" xfId="29719" xr:uid="{94C0FCF0-4663-49B1-87A4-02513EC5569C}"/>
    <cellStyle name="Normal 7 3 4 3 6" xfId="4058" xr:uid="{19AF6C94-1102-41EB-A615-06CFDA2F78F6}"/>
    <cellStyle name="Normal 7 3 4 3 6 2" xfId="4819" xr:uid="{0CC34133-4C51-4581-8706-421D8E52AF25}"/>
    <cellStyle name="Normal 7 3 4 3 6 3" xfId="29833" xr:uid="{ECC85903-CEE2-4B68-997E-9776B28E3608}"/>
    <cellStyle name="Normal 7 3 4 4" xfId="1382" xr:uid="{00000000-0005-0000-0000-00003C070000}"/>
    <cellStyle name="Normal 7 3 4 4 2" xfId="2030" xr:uid="{00000000-0005-0000-0000-00003D070000}"/>
    <cellStyle name="Normal 7 3 4 4 3" xfId="3765" xr:uid="{00000000-0005-0000-0000-00009C060000}"/>
    <cellStyle name="Normal 7 3 4 4 3 2" xfId="4748" xr:uid="{0576D2F5-5022-46BF-A95D-FDE144D163B9}"/>
    <cellStyle name="Normal 7 3 4 4 3 3" xfId="29779" xr:uid="{8CD9E0F8-74C3-4D0D-9EFD-E5F72A27A041}"/>
    <cellStyle name="Normal 7 3 4 5" xfId="2148" xr:uid="{00000000-0005-0000-0000-0000FF020000}"/>
    <cellStyle name="Normal 7 3 4 5 2" xfId="4676" xr:uid="{62B191F5-1F42-4E10-9F64-94BCDEA70967}"/>
    <cellStyle name="Normal 7 3 4 5 3" xfId="29718" xr:uid="{AB7F8F2E-73A5-46AC-B56C-CF69CB7D16C4}"/>
    <cellStyle name="Normal 7 3 4 6" xfId="4057" xr:uid="{FA0FC87F-FC4E-4E3F-98FE-B3C6B8313692}"/>
    <cellStyle name="Normal 7 3 4 6 2" xfId="4766" xr:uid="{56DF81AD-9939-4BBA-9856-A8B717C867ED}"/>
    <cellStyle name="Normal 7 3 4 6 3" xfId="29832" xr:uid="{9B83D784-4161-4821-8277-CBA5021071F0}"/>
    <cellStyle name="Normal 7 3 5" xfId="2072" xr:uid="{00000000-0005-0000-0000-0000F2020000}"/>
    <cellStyle name="Normal 7 3 5 2" xfId="4780" xr:uid="{2BC8EFBC-06F5-4C7E-B0DC-F1B8E24A78E5}"/>
    <cellStyle name="Normal 7 3 5 3" xfId="29661" xr:uid="{4F944DF0-C3CB-4FA7-9407-166C3438C827}"/>
    <cellStyle name="Normal 7 3 6" xfId="29580" xr:uid="{F508C06F-0760-4DB3-8A82-A860AE1FCD26}"/>
    <cellStyle name="Normal 7 4" xfId="1383" xr:uid="{00000000-0005-0000-0000-00003E070000}"/>
    <cellStyle name="Normal 7 4 10" xfId="1384" xr:uid="{00000000-0005-0000-0000-00003F070000}"/>
    <cellStyle name="Normal 7 4 10 10" xfId="12626" xr:uid="{E39E0DB2-1C99-4921-9289-604FC440D3A7}"/>
    <cellStyle name="Normal 7 4 10 2" xfId="1385" xr:uid="{00000000-0005-0000-0000-000040070000}"/>
    <cellStyle name="Normal 7 4 10 2 2" xfId="2986" xr:uid="{00000000-0005-0000-0000-00000E080000}"/>
    <cellStyle name="Normal 7 4 10 2 2 2" xfId="6136" xr:uid="{58BC0567-405B-4413-914D-5689FA1AE9E6}"/>
    <cellStyle name="Normal 7 4 10 2 2 2 2" xfId="25975" xr:uid="{F32906AA-0510-44F9-AFF5-3E96B250F34E}"/>
    <cellStyle name="Normal 7 4 10 2 2 2 3" xfId="27351" xr:uid="{D1FF3C20-ECA0-445F-B991-2445EF58CA2F}"/>
    <cellStyle name="Normal 7 4 10 2 2 2 4" xfId="15614" xr:uid="{A53AFE9F-0E8E-4969-A9A4-79BCBB14F77E}"/>
    <cellStyle name="Normal 7 4 10 2 2 3" xfId="8067" xr:uid="{7212056B-159D-48BF-83C8-1347DB78FEC6}"/>
    <cellStyle name="Normal 7 4 10 2 2 3 2" xfId="28765" xr:uid="{0667C046-2EFC-4FAD-A0D1-FF6576649D79}"/>
    <cellStyle name="Normal 7 4 10 2 2 3 3" xfId="18447" xr:uid="{6262987E-DA53-4006-977A-3849AD0E8858}"/>
    <cellStyle name="Normal 7 4 10 2 2 4" xfId="10900" xr:uid="{F637C2E1-7753-4B4C-8F16-9AA66DDDAEF0}"/>
    <cellStyle name="Normal 7 4 10 2 2 4 2" xfId="21280" xr:uid="{6613C23C-B3E5-4227-8591-EB121E6D78E9}"/>
    <cellStyle name="Normal 7 4 10 2 2 5" xfId="22714" xr:uid="{3706A199-799F-4D6F-83FD-41BDE783AE20}"/>
    <cellStyle name="Normal 7 4 10 2 2 6" xfId="13482" xr:uid="{F64751DD-61FF-49E7-BFF5-F0A719CB7884}"/>
    <cellStyle name="Normal 7 4 10 2 3" xfId="5403" xr:uid="{5983E34B-CA1D-45DA-8353-366D5E3A0CB4}"/>
    <cellStyle name="Normal 7 4 10 2 3 2" xfId="23455" xr:uid="{225ACEA7-5C66-4905-85C6-E09D28963687}"/>
    <cellStyle name="Normal 7 4 10 2 3 3" xfId="26502" xr:uid="{EC4744C8-04D9-4EC6-8C7D-BD8F9EF2515F}"/>
    <cellStyle name="Normal 7 4 10 2 3 4" xfId="14700" xr:uid="{3D4EA00A-6101-40BC-B90B-10E6FC343E5C}"/>
    <cellStyle name="Normal 7 4 10 2 4" xfId="7153" xr:uid="{A7ECD047-1A9C-410E-881F-47F5A66CACB4}"/>
    <cellStyle name="Normal 7 4 10 2 4 2" xfId="28101" xr:uid="{ABDA0BE5-DD38-480E-92B7-0A0E036EF30E}"/>
    <cellStyle name="Normal 7 4 10 2 4 3" xfId="26538" xr:uid="{B3F0F765-866B-42F2-8B79-EDCEE9283A31}"/>
    <cellStyle name="Normal 7 4 10 2 4 4" xfId="17533" xr:uid="{A6A9B4F8-16F6-490E-AB24-06E45B887DEE}"/>
    <cellStyle name="Normal 7 4 10 2 5" xfId="9986" xr:uid="{B0E34A6C-8106-4A35-BE87-8A751D666FA6}"/>
    <cellStyle name="Normal 7 4 10 2 5 2" xfId="29452" xr:uid="{6D64EC46-F50E-44F4-860D-875C63C9FF2B}"/>
    <cellStyle name="Normal 7 4 10 2 5 3" xfId="20366" xr:uid="{B05791DD-FB82-4608-A729-E2967A40F98A}"/>
    <cellStyle name="Normal 7 4 10 2 6" xfId="23358" xr:uid="{BB82E11A-01DC-407C-BA19-8383DF702642}"/>
    <cellStyle name="Normal 7 4 10 2 7" xfId="12784" xr:uid="{2A40A123-DB6D-4CAD-B3EF-8D16581D2066}"/>
    <cellStyle name="Normal 7 4 10 3" xfId="1386" xr:uid="{00000000-0005-0000-0000-000041070000}"/>
    <cellStyle name="Normal 7 4 10 3 2" xfId="5404" xr:uid="{90229E99-CEEA-4005-976E-676561CE60D7}"/>
    <cellStyle name="Normal 7 4 10 3 2 2" xfId="27219" xr:uid="{68BD47C5-D462-4D85-B923-6CEFB2F05EF6}"/>
    <cellStyle name="Normal 7 4 10 3 2 3" xfId="28099" xr:uid="{DE055B0B-A8BE-45C7-ABC5-2C84D52B9FE3}"/>
    <cellStyle name="Normal 7 4 10 3 2 4" xfId="14701" xr:uid="{2D77293D-C59F-4086-931B-813966E04C5A}"/>
    <cellStyle name="Normal 7 4 10 3 3" xfId="7154" xr:uid="{F1967FBE-A3A8-4F88-8621-8D068AA57768}"/>
    <cellStyle name="Normal 7 4 10 3 3 2" xfId="28574" xr:uid="{2CE122AC-64CC-4038-8FB4-F43AAC17B16B}"/>
    <cellStyle name="Normal 7 4 10 3 3 3" xfId="26356" xr:uid="{B1A30EA3-D358-431D-A7CF-EDDD9E8E93B9}"/>
    <cellStyle name="Normal 7 4 10 3 3 4" xfId="17534" xr:uid="{50931B32-2847-4DB6-8D45-6F68A911D218}"/>
    <cellStyle name="Normal 7 4 10 3 4" xfId="9987" xr:uid="{D28DB7C0-0AF3-46D3-AC36-B9786005EE04}"/>
    <cellStyle name="Normal 7 4 10 3 4 2" xfId="29453" xr:uid="{D7534AF6-ADC2-493F-A75A-91233F6F7645}"/>
    <cellStyle name="Normal 7 4 10 3 4 3" xfId="20367" xr:uid="{E7C29FA1-E4CF-43C0-832F-7E082E95E71A}"/>
    <cellStyle name="Normal 7 4 10 3 5" xfId="23167" xr:uid="{BC4588E6-59EB-42D4-8C1A-C396DA859E20}"/>
    <cellStyle name="Normal 7 4 10 3 6" xfId="13289" xr:uid="{5FAD2BCB-9C26-4C51-BDB6-E0584DEC405D}"/>
    <cellStyle name="Normal 7 4 10 4" xfId="2392" xr:uid="{00000000-0005-0000-0000-00000C080000}"/>
    <cellStyle name="Normal 7 4 10 4 2" xfId="7519" xr:uid="{6071AF00-0683-4207-8FFF-1FA95E4222DF}"/>
    <cellStyle name="Normal 7 4 10 4 2 2" xfId="28091" xr:uid="{E8F543B3-88BC-48D6-AD29-96E64116D095}"/>
    <cellStyle name="Normal 7 4 10 4 2 3" xfId="17899" xr:uid="{3F714F41-FAB1-45A4-AEC1-FFFF63D53736}"/>
    <cellStyle name="Normal 7 4 10 4 3" xfId="10352" xr:uid="{AC62CA15-CE9F-470F-BF7F-19EFF0654FFD}"/>
    <cellStyle name="Normal 7 4 10 4 3 2" xfId="20732" xr:uid="{2B5476F8-1542-4A45-9B8B-CA77C4C773B9}"/>
    <cellStyle name="Normal 7 4 10 4 4" xfId="22887" xr:uid="{CEE392DA-D99F-41B2-9AB5-1684E1A933D9}"/>
    <cellStyle name="Normal 7 4 10 4 5" xfId="15066" xr:uid="{ECCB2C17-EA3D-4753-B88E-D1A79FC6BB59}"/>
    <cellStyle name="Normal 7 4 10 5" xfId="4060" xr:uid="{A47C9DAF-18CB-48BA-8AD7-5149BEA6F166}"/>
    <cellStyle name="Normal 7 4 10 5 2" xfId="8840" xr:uid="{93A520FB-BDD6-4069-BCED-3F1BC303313B}"/>
    <cellStyle name="Normal 7 4 10 5 2 2" xfId="28995" xr:uid="{0C8C64D4-78B4-42B4-8837-FAD504081FC6}"/>
    <cellStyle name="Normal 7 4 10 5 2 3" xfId="19220" xr:uid="{E0313ABF-E8D0-4EF3-B070-B58464E5B21E}"/>
    <cellStyle name="Normal 7 4 10 5 3" xfId="11673" xr:uid="{8B166987-21CC-4FE9-90CF-4B5C0D0BF008}"/>
    <cellStyle name="Normal 7 4 10 5 3 2" xfId="22053" xr:uid="{26496B1F-C615-4E80-8037-4D4E0929AD27}"/>
    <cellStyle name="Normal 7 4 10 5 4" xfId="24474" xr:uid="{BFEDEBE2-F864-495A-899E-53D5D1B5AB36}"/>
    <cellStyle name="Normal 7 4 10 5 5" xfId="16387" xr:uid="{36CBD321-650A-4674-8A2E-13B231E90F45}"/>
    <cellStyle name="Normal 7 4 10 6" xfId="5402" xr:uid="{15474A07-3C10-49DE-874C-C083673A395B}"/>
    <cellStyle name="Normal 7 4 10 6 2" xfId="27164" xr:uid="{D4D8E402-8606-4174-9130-005E070C7A57}"/>
    <cellStyle name="Normal 7 4 10 6 3" xfId="28701" xr:uid="{AAD42802-2F27-424F-890C-4FD7599FF5B0}"/>
    <cellStyle name="Normal 7 4 10 6 4" xfId="14699" xr:uid="{61584101-1BC3-499F-B444-1B5DC1EE4865}"/>
    <cellStyle name="Normal 7 4 10 7" xfId="7152" xr:uid="{04AB0BB5-814C-4F52-A8CA-8C1F0AE8867C}"/>
    <cellStyle name="Normal 7 4 10 7 2" xfId="27948" xr:uid="{C558BB38-0E73-4659-A8A0-91FE0F16FF06}"/>
    <cellStyle name="Normal 7 4 10 7 3" xfId="17532" xr:uid="{571B3FC1-21A8-45C8-93F5-0BA17E336227}"/>
    <cellStyle name="Normal 7 4 10 8" xfId="9985" xr:uid="{03793677-D02C-48A4-AB20-AB22B8E884A6}"/>
    <cellStyle name="Normal 7 4 10 8 2" xfId="20365" xr:uid="{81B37CF5-A956-49DE-BA6A-F3A156E5D91D}"/>
    <cellStyle name="Normal 7 4 10 9" xfId="23487" xr:uid="{70C65870-8499-4097-83B5-10365053E891}"/>
    <cellStyle name="Normal 7 4 11" xfId="1387" xr:uid="{00000000-0005-0000-0000-000042070000}"/>
    <cellStyle name="Normal 7 4 11 10" xfId="12502" xr:uid="{9BEF4524-4829-4979-8370-839308CFC792}"/>
    <cellStyle name="Normal 7 4 11 2" xfId="3418" xr:uid="{00000000-0005-0000-0000-000011080000}"/>
    <cellStyle name="Normal 7 4 11 2 2" xfId="6473" xr:uid="{56A464E2-F958-41E9-88E6-4F5E11A858F6}"/>
    <cellStyle name="Normal 7 4 11 2 2 2" xfId="23039" xr:uid="{5F7D9BE0-8BD6-482E-A322-C8983DFBAE09}"/>
    <cellStyle name="Normal 7 4 11 2 2 3" xfId="28009" xr:uid="{E9DC5484-2CC7-452C-8017-5982DB62A54E}"/>
    <cellStyle name="Normal 7 4 11 2 2 4" xfId="16044" xr:uid="{D4C3B72B-1C5A-4D24-A675-DFFD132575F8}"/>
    <cellStyle name="Normal 7 4 11 2 3" xfId="8497" xr:uid="{94706112-406A-44CD-B0C2-467DC57FC4CB}"/>
    <cellStyle name="Normal 7 4 11 2 3 2" xfId="28616" xr:uid="{F10440D7-0FA7-43DA-8767-2FC1B0B01ED3}"/>
    <cellStyle name="Normal 7 4 11 2 3 3" xfId="28934" xr:uid="{DF0F9BB2-3AE3-43A8-89B5-647D76FA9FF3}"/>
    <cellStyle name="Normal 7 4 11 2 3 4" xfId="18877" xr:uid="{3A6FFCC7-DE6A-4B74-8ACA-2BBC545E5CAD}"/>
    <cellStyle name="Normal 7 4 11 2 4" xfId="11330" xr:uid="{0CE2380F-264F-420E-8716-A243A9787FB4}"/>
    <cellStyle name="Normal 7 4 11 2 4 2" xfId="29483" xr:uid="{C6EF1CE8-29B6-4241-9DD1-64ED89631239}"/>
    <cellStyle name="Normal 7 4 11 2 4 3" xfId="21710" xr:uid="{41EB82DA-43E0-441F-92C5-EC986F91CB76}"/>
    <cellStyle name="Normal 7 4 11 2 5" xfId="23272" xr:uid="{E66039F7-CF61-4055-93B1-FB74E638F62E}"/>
    <cellStyle name="Normal 7 4 11 2 6" xfId="13999" xr:uid="{DCDACEC0-61C6-4FE1-A6AE-D95E55FECA20}"/>
    <cellStyle name="Normal 7 4 11 3" xfId="2818" xr:uid="{00000000-0005-0000-0000-000012080000}"/>
    <cellStyle name="Normal 7 4 11 3 2" xfId="6034" xr:uid="{015F607C-C5BA-47F0-9077-B6A5367B7857}"/>
    <cellStyle name="Normal 7 4 11 3 2 2" xfId="26514" xr:uid="{1DB3F147-0DF4-4A67-89A2-0EE7A9ECB8EA}"/>
    <cellStyle name="Normal 7 4 11 3 2 3" xfId="15488" xr:uid="{EF31F597-F30B-4827-BB92-323198C7688A}"/>
    <cellStyle name="Normal 7 4 11 3 3" xfId="7941" xr:uid="{1B610E9B-1938-4DEB-99B5-75A8D02A9270}"/>
    <cellStyle name="Normal 7 4 11 3 3 2" xfId="18321" xr:uid="{B31BC9A6-5186-46A9-96DD-538B165E66A0}"/>
    <cellStyle name="Normal 7 4 11 3 4" xfId="10774" xr:uid="{795713ED-7E30-4ABB-B50C-E0BE9BC9BFFC}"/>
    <cellStyle name="Normal 7 4 11 3 4 2" xfId="21154" xr:uid="{215CED11-D531-4524-B3EA-9CAD4873CAC5}"/>
    <cellStyle name="Normal 7 4 11 3 5" xfId="24598" xr:uid="{972C80E3-438F-4583-93A7-502503F64D0D}"/>
    <cellStyle name="Normal 7 4 11 3 6" xfId="13288" xr:uid="{FE607638-FDCE-4126-B7F9-101AC49FE9D4}"/>
    <cellStyle name="Normal 7 4 11 4" xfId="2270" xr:uid="{00000000-0005-0000-0000-000010080000}"/>
    <cellStyle name="Normal 7 4 11 4 2" xfId="7397" xr:uid="{7BB7EF9D-4851-44A7-9510-1CB0FFF6EF85}"/>
    <cellStyle name="Normal 7 4 11 4 2 2" xfId="28275" xr:uid="{DA11D543-0EE4-47D6-94AF-349B46E85CAC}"/>
    <cellStyle name="Normal 7 4 11 4 2 3" xfId="17777" xr:uid="{623B9985-75AE-4679-9B67-34BF13072187}"/>
    <cellStyle name="Normal 7 4 11 4 3" xfId="10230" xr:uid="{9ECD19C3-FFB6-4740-B8CB-9CFA90730B94}"/>
    <cellStyle name="Normal 7 4 11 4 3 2" xfId="20610" xr:uid="{A88319F0-B6A7-49DD-A3BB-D23EF6CC62D0}"/>
    <cellStyle name="Normal 7 4 11 4 4" xfId="25472" xr:uid="{F4304C93-9A1A-4AC7-B4C1-4683D0AE4DA4}"/>
    <cellStyle name="Normal 7 4 11 4 5" xfId="14944" xr:uid="{E5EE7506-D514-4CF9-BFB6-F53C9628D025}"/>
    <cellStyle name="Normal 7 4 11 5" xfId="4059" xr:uid="{3893B720-22DE-418C-BCFF-F939857B3691}"/>
    <cellStyle name="Normal 7 4 11 5 2" xfId="8839" xr:uid="{8C77606E-F367-4C2C-847B-E32170DA67E2}"/>
    <cellStyle name="Normal 7 4 11 5 2 2" xfId="19219" xr:uid="{D809E49E-C5B7-43B8-9B85-796BE2E323F0}"/>
    <cellStyle name="Normal 7 4 11 5 3" xfId="11672" xr:uid="{49EF51CA-0745-482E-BCAE-346B1E3DD61C}"/>
    <cellStyle name="Normal 7 4 11 5 3 2" xfId="22052" xr:uid="{634DCD8F-7447-42B4-B51C-F73E018D1D91}"/>
    <cellStyle name="Normal 7 4 11 5 4" xfId="26609" xr:uid="{6607F834-8310-4FAB-AF3A-C987064EBA7D}"/>
    <cellStyle name="Normal 7 4 11 5 5" xfId="16386" xr:uid="{2807DCF7-21C1-402B-A4C1-263FC1FE6DD6}"/>
    <cellStyle name="Normal 7 4 11 6" xfId="5405" xr:uid="{8E270C27-9D00-4E1B-8BBC-4ED1D11CCD4D}"/>
    <cellStyle name="Normal 7 4 11 6 2" xfId="14702" xr:uid="{5ED0D250-85DA-463A-9268-20A15AB5B81F}"/>
    <cellStyle name="Normal 7 4 11 7" xfId="7155" xr:uid="{722FA43A-6E4C-4E77-80C2-9CAD274880D3}"/>
    <cellStyle name="Normal 7 4 11 7 2" xfId="17535" xr:uid="{7097922A-8254-4B00-A4DE-A162705755B0}"/>
    <cellStyle name="Normal 7 4 11 8" xfId="9988" xr:uid="{E70B3B93-5916-4254-97DA-345D84BACCDF}"/>
    <cellStyle name="Normal 7 4 11 8 2" xfId="20368" xr:uid="{0D389D67-370B-4658-8F72-5D2ECED72B84}"/>
    <cellStyle name="Normal 7 4 11 9" xfId="23665" xr:uid="{B1565FF6-FCBB-4338-8555-D139FA72E5D0}"/>
    <cellStyle name="Normal 7 4 12" xfId="1388" xr:uid="{00000000-0005-0000-0000-000043070000}"/>
    <cellStyle name="Normal 7 4 12 2" xfId="3419" xr:uid="{00000000-0005-0000-0000-000014080000}"/>
    <cellStyle name="Normal 7 4 12 2 2" xfId="6474" xr:uid="{C53A0368-3BD9-4648-86B9-9FBDB991B38C}"/>
    <cellStyle name="Normal 7 4 12 2 2 2" xfId="27726" xr:uid="{95B83E74-EF60-4EAD-A6C9-C0ED5BA194DF}"/>
    <cellStyle name="Normal 7 4 12 2 2 3" xfId="16045" xr:uid="{6A35A00E-3B8B-4927-B9D1-49897D5041D7}"/>
    <cellStyle name="Normal 7 4 12 2 3" xfId="8498" xr:uid="{27B2C5E9-D1AE-4620-AC38-BC35C286A93C}"/>
    <cellStyle name="Normal 7 4 12 2 3 2" xfId="18878" xr:uid="{D4654E81-1D4D-4809-A2F5-0484A441C4A9}"/>
    <cellStyle name="Normal 7 4 12 2 4" xfId="11331" xr:uid="{73E84DC8-78B2-4A3A-80AE-C6FC2D7B9558}"/>
    <cellStyle name="Normal 7 4 12 2 4 2" xfId="21711" xr:uid="{D11AF022-3223-4726-9A85-68D8E66554E0}"/>
    <cellStyle name="Normal 7 4 12 2 5" xfId="23835" xr:uid="{C8093F53-6DCE-40E7-9C84-186F93EFBB1A}"/>
    <cellStyle name="Normal 7 4 12 2 6" xfId="14000" xr:uid="{553E88FE-93CB-4E52-B1E2-B8F82EDC187A}"/>
    <cellStyle name="Normal 7 4 12 3" xfId="4117" xr:uid="{CF6AE729-3400-4866-8295-14C644B958B1}"/>
    <cellStyle name="Normal 7 4 12 3 2" xfId="8889" xr:uid="{5C20B8B2-50A4-4906-8756-31284492D646}"/>
    <cellStyle name="Normal 7 4 12 3 2 2" xfId="29004" xr:uid="{453A5423-36A4-4D82-9A42-1748DE6B5DD1}"/>
    <cellStyle name="Normal 7 4 12 3 2 3" xfId="19269" xr:uid="{7DA8253D-3D21-4D9A-8A93-E030AC3F2F3F}"/>
    <cellStyle name="Normal 7 4 12 3 3" xfId="11722" xr:uid="{3A48A19B-3F2D-4760-869D-835E5A68682C}"/>
    <cellStyle name="Normal 7 4 12 3 3 2" xfId="22102" xr:uid="{67781054-8DFF-4D16-BA03-FE53DAF3ABE9}"/>
    <cellStyle name="Normal 7 4 12 3 4" xfId="25607" xr:uid="{EDD4C9DD-27EE-49A8-84B3-85C72607E545}"/>
    <cellStyle name="Normal 7 4 12 3 5" xfId="16436" xr:uid="{5720CED4-1D1D-437E-98FE-8D030602EA43}"/>
    <cellStyle name="Normal 7 4 12 4" xfId="5406" xr:uid="{D423420C-71DF-4A48-93C3-1B18F353F3EE}"/>
    <cellStyle name="Normal 7 4 12 4 2" xfId="25606" xr:uid="{086AB1D6-2839-417D-910A-3E22595AB373}"/>
    <cellStyle name="Normal 7 4 12 4 3" xfId="26549" xr:uid="{79BF2465-24BC-4F16-972F-782A852D7926}"/>
    <cellStyle name="Normal 7 4 12 4 4" xfId="14703" xr:uid="{DFD2889B-EE37-4557-BA49-D391147A3CC0}"/>
    <cellStyle name="Normal 7 4 12 5" xfId="7156" xr:uid="{E86D86D3-D11B-4CA0-8F5A-37140ECB7C13}"/>
    <cellStyle name="Normal 7 4 12 5 2" xfId="26463" xr:uid="{99809174-949D-475C-A707-19CB4C775426}"/>
    <cellStyle name="Normal 7 4 12 5 3" xfId="17536" xr:uid="{FFF0C2B8-6A3F-4202-AEF0-9FD2712E1A76}"/>
    <cellStyle name="Normal 7 4 12 6" xfId="9989" xr:uid="{96AD20DD-F12E-4CAD-8298-2BFB0780256B}"/>
    <cellStyle name="Normal 7 4 12 6 2" xfId="20369" xr:uid="{697AD989-A40B-40AB-A6ED-F1463052333B}"/>
    <cellStyle name="Normal 7 4 12 7" xfId="25416" xr:uid="{A71B0B51-9961-4A1B-8B03-2AD732A86524}"/>
    <cellStyle name="Normal 7 4 12 8" xfId="12660" xr:uid="{E40EC2A3-C163-47D6-B782-3F5EABD0688A}"/>
    <cellStyle name="Normal 7 4 13" xfId="1389" xr:uid="{00000000-0005-0000-0000-000044070000}"/>
    <cellStyle name="Normal 7 4 13 2" xfId="5407" xr:uid="{26788EDD-418F-4E1C-9DCD-CED5B9F56936}"/>
    <cellStyle name="Normal 7 4 13 2 2" xfId="23572" xr:uid="{33F23C0F-79EB-4A7F-B8A1-245C3DA1E51F}"/>
    <cellStyle name="Normal 7 4 13 2 3" xfId="28327" xr:uid="{036C5285-F597-488E-8D2B-9530BA725187}"/>
    <cellStyle name="Normal 7 4 13 2 4" xfId="14704" xr:uid="{3118D945-0194-4CE5-9FE1-9FC8EB95E9C6}"/>
    <cellStyle name="Normal 7 4 13 3" xfId="7157" xr:uid="{9377453A-6ED2-4A9C-8041-8CDDD80AC99E}"/>
    <cellStyle name="Normal 7 4 13 3 2" xfId="25332" xr:uid="{D5C8EE71-B73A-4B2D-BCBB-AF26FF13E38B}"/>
    <cellStyle name="Normal 7 4 13 3 3" xfId="17537" xr:uid="{87865F9E-9231-4361-899D-88FB39190BB3}"/>
    <cellStyle name="Normal 7 4 13 4" xfId="9990" xr:uid="{1E5E9B8A-4DC2-4DC3-9BA3-BC349DC9D373}"/>
    <cellStyle name="Normal 7 4 13 4 2" xfId="20370" xr:uid="{A2FBD245-1426-4591-9B7F-8E4D5790A08B}"/>
    <cellStyle name="Normal 7 4 13 5" xfId="25352" xr:uid="{6C027075-70AD-4093-92FC-3B16D5CE26C3}"/>
    <cellStyle name="Normal 7 4 13 6" xfId="13358" xr:uid="{04EA1659-C33E-44CB-A130-87D58BBB89D5}"/>
    <cellStyle name="Normal 7 4 14" xfId="2433" xr:uid="{00000000-0005-0000-0000-000016080000}"/>
    <cellStyle name="Normal 7 4 14 2" xfId="5730" xr:uid="{C84917D8-661A-4DF3-9292-38E074A869A2}"/>
    <cellStyle name="Normal 7 4 14 2 2" xfId="28176" xr:uid="{454898D2-36CA-4CAC-825D-DFFE598FCDE9}"/>
    <cellStyle name="Normal 7 4 14 2 3" xfId="15105" xr:uid="{BFFD30BA-1915-43A2-B593-BE77E98D0E0F}"/>
    <cellStyle name="Normal 7 4 14 3" xfId="7558" xr:uid="{36F7DBAC-847F-4235-9CAC-C21825755F5C}"/>
    <cellStyle name="Normal 7 4 14 3 2" xfId="17938" xr:uid="{1213D01D-F1E9-4B79-B43F-CED2C27A9937}"/>
    <cellStyle name="Normal 7 4 14 4" xfId="10391" xr:uid="{83821BF0-1014-4935-9284-D3A32CE8B058}"/>
    <cellStyle name="Normal 7 4 14 4 2" xfId="20771" xr:uid="{2CEBC873-2637-4ACE-9411-EE3B78AC1970}"/>
    <cellStyle name="Normal 7 4 14 5" xfId="24152" xr:uid="{808ACA6E-43F7-4D0E-8708-8534AAB96C6F}"/>
    <cellStyle name="Normal 7 4 14 6" xfId="12820" xr:uid="{D165B4CD-8F0C-4025-B281-6729F877C19E}"/>
    <cellStyle name="Normal 7 4 15" xfId="2160" xr:uid="{00000000-0005-0000-0000-00000B080000}"/>
    <cellStyle name="Normal 7 4 15 2" xfId="7287" xr:uid="{A1D9749D-AA1F-4C7B-8E4B-FDE3E7D745A1}"/>
    <cellStyle name="Normal 7 4 15 2 2" xfId="27852" xr:uid="{404C3E8C-AE5A-4434-918B-8C31DDDA27C6}"/>
    <cellStyle name="Normal 7 4 15 2 3" xfId="17667" xr:uid="{F6D6B153-70C7-4B43-BF28-1826DBA583C5}"/>
    <cellStyle name="Normal 7 4 15 3" xfId="10120" xr:uid="{DF3F9963-4E60-4007-B72C-6B8F9A98951C}"/>
    <cellStyle name="Normal 7 4 15 3 2" xfId="20500" xr:uid="{D25CB1A1-CB9C-4466-A48A-FC54E50F2F5A}"/>
    <cellStyle name="Normal 7 4 15 4" xfId="24795" xr:uid="{6EC9E56A-F77C-441C-BFC3-8BCFDB60924E}"/>
    <cellStyle name="Normal 7 4 15 5" xfId="14834" xr:uid="{A175781E-297D-4418-B069-1F62AA874812}"/>
    <cellStyle name="Normal 7 4 16" xfId="3785" xr:uid="{81EF1548-4C16-47BF-BF10-25113C404E93}"/>
    <cellStyle name="Normal 7 4 16 2" xfId="8624" xr:uid="{19D7927A-4375-4499-ADB9-430C7C019806}"/>
    <cellStyle name="Normal 7 4 16 2 2" xfId="19004" xr:uid="{F2ECE25F-CF2B-4EED-970A-53DBF76CE5EE}"/>
    <cellStyle name="Normal 7 4 16 3" xfId="11457" xr:uid="{47F1BCB7-C5EC-4E1C-B846-A8A092D2D81B}"/>
    <cellStyle name="Normal 7 4 16 3 2" xfId="21837" xr:uid="{9E2E5B5B-3FD1-4659-ACEE-A960D12B4ECC}"/>
    <cellStyle name="Normal 7 4 16 4" xfId="24923" xr:uid="{DEB5D9B5-18EC-4772-9D52-1F1FE0439B11}"/>
    <cellStyle name="Normal 7 4 16 5" xfId="16171" xr:uid="{477ADB08-19B0-4E67-AB1B-27FFD2786841}"/>
    <cellStyle name="Normal 7 4 17" xfId="5401" xr:uid="{690F1435-7DE8-4925-9F66-0628E9CBD82C}"/>
    <cellStyle name="Normal 7 4 17 2" xfId="14698" xr:uid="{727F5B02-50AC-4BFD-8BF7-8F22A0FD67C4}"/>
    <cellStyle name="Normal 7 4 18" xfId="7151" xr:uid="{7CAAF367-0132-4C7E-AEF8-5CEFDC4924E3}"/>
    <cellStyle name="Normal 7 4 18 2" xfId="17531" xr:uid="{BA9E2749-73E0-42D0-877C-FC3362712D9C}"/>
    <cellStyle name="Normal 7 4 19" xfId="9984" xr:uid="{69D094E0-89BE-41C0-91FE-B3D34D4F5A3E}"/>
    <cellStyle name="Normal 7 4 19 2" xfId="20364" xr:uid="{B8D6304D-BADE-423E-AFBA-9555EE4B7203}"/>
    <cellStyle name="Normal 7 4 2" xfId="1390" xr:uid="{00000000-0005-0000-0000-000045070000}"/>
    <cellStyle name="Normal 7 4 2 10" xfId="1391" xr:uid="{00000000-0005-0000-0000-000046070000}"/>
    <cellStyle name="Normal 7 4 2 10 2" xfId="3420" xr:uid="{00000000-0005-0000-0000-000019080000}"/>
    <cellStyle name="Normal 7 4 2 10 2 2" xfId="6475" xr:uid="{326DA066-606D-4A6F-81A5-7393C513F2D5}"/>
    <cellStyle name="Normal 7 4 2 10 2 2 2" xfId="26865" xr:uid="{516BE980-12FE-4044-9D3F-5BA13CD2085E}"/>
    <cellStyle name="Normal 7 4 2 10 2 2 3" xfId="16046" xr:uid="{7F7F1EDD-CDE6-490F-8330-0456F1444D76}"/>
    <cellStyle name="Normal 7 4 2 10 2 3" xfId="8499" xr:uid="{EB0523FF-7D02-453C-A773-C50BBEFD07B5}"/>
    <cellStyle name="Normal 7 4 2 10 2 3 2" xfId="18879" xr:uid="{625D427A-F717-4599-82F5-33DD73340015}"/>
    <cellStyle name="Normal 7 4 2 10 2 4" xfId="11332" xr:uid="{F9C60D2A-364D-4923-8195-EA68D3532E69}"/>
    <cellStyle name="Normal 7 4 2 10 2 4 2" xfId="21712" xr:uid="{5CDF6532-6CDB-451F-93D4-EA356A37AA50}"/>
    <cellStyle name="Normal 7 4 2 10 2 5" xfId="22668" xr:uid="{C5BE352D-7F0C-40C2-BFA1-BD7FAD1A0E8A}"/>
    <cellStyle name="Normal 7 4 2 10 2 6" xfId="14001" xr:uid="{5CCE3A02-F844-4C4B-81FA-ADDC7E513042}"/>
    <cellStyle name="Normal 7 4 2 10 3" xfId="4213" xr:uid="{2FDC487A-39A3-470F-B49B-EC1A9D081FDE}"/>
    <cellStyle name="Normal 7 4 2 10 3 2" xfId="8985" xr:uid="{A3AB1BF2-6BE2-4370-BD23-DD1782EE57FB}"/>
    <cellStyle name="Normal 7 4 2 10 3 2 2" xfId="29066" xr:uid="{6503F4A7-8A46-488C-B990-EFB6EEB6D363}"/>
    <cellStyle name="Normal 7 4 2 10 3 2 3" xfId="19365" xr:uid="{A9337CC3-2831-4699-8F03-C1229443EDA7}"/>
    <cellStyle name="Normal 7 4 2 10 3 3" xfId="11818" xr:uid="{D1B2F3AF-8E11-4E5E-A133-5F096E3E2F38}"/>
    <cellStyle name="Normal 7 4 2 10 3 3 2" xfId="22198" xr:uid="{B185E9CA-C730-4B5C-A4D6-3205FA860155}"/>
    <cellStyle name="Normal 7 4 2 10 3 4" xfId="23542" xr:uid="{63ACD1BA-4F2A-4A66-9C39-A623DB27C9F0}"/>
    <cellStyle name="Normal 7 4 2 10 3 5" xfId="16532" xr:uid="{FA13A13D-A3AE-471A-89E9-A5917BF8E08A}"/>
    <cellStyle name="Normal 7 4 2 10 4" xfId="5409" xr:uid="{E8955726-9D9A-4ADC-B24B-48ACF6178402}"/>
    <cellStyle name="Normal 7 4 2 10 4 2" xfId="23205" xr:uid="{6EC121F8-F564-4D79-A6EC-6C882CC04332}"/>
    <cellStyle name="Normal 7 4 2 10 4 3" xfId="28566" xr:uid="{D600E24F-2772-499C-8F12-5F346802DE5F}"/>
    <cellStyle name="Normal 7 4 2 10 4 4" xfId="14706" xr:uid="{A6166809-6A5A-4DAF-88E0-611DEF6FCC24}"/>
    <cellStyle name="Normal 7 4 2 10 5" xfId="7159" xr:uid="{E9758D8C-D6E5-4E66-A396-52FABC3BDC4F}"/>
    <cellStyle name="Normal 7 4 2 10 5 2" xfId="28580" xr:uid="{FE4A5594-827C-4716-A4D4-FACBFDCD9897}"/>
    <cellStyle name="Normal 7 4 2 10 5 3" xfId="17539" xr:uid="{124C9572-1BE1-461A-AAB7-3F7FB7B43BE1}"/>
    <cellStyle name="Normal 7 4 2 10 6" xfId="9992" xr:uid="{9A48B0D7-F318-4E58-9ACD-139FF626719D}"/>
    <cellStyle name="Normal 7 4 2 10 6 2" xfId="20372" xr:uid="{BCD9409F-361E-4FED-9036-95356DABF1A3}"/>
    <cellStyle name="Normal 7 4 2 10 7" xfId="22799" xr:uid="{6B5C48F1-0C89-4841-B7B0-C96EB1372B0C}"/>
    <cellStyle name="Normal 7 4 2 10 8" xfId="12785" xr:uid="{C9A5AD2C-0E08-4DF4-83FF-F49C3E235C16}"/>
    <cellStyle name="Normal 7 4 2 11" xfId="1392" xr:uid="{00000000-0005-0000-0000-000047070000}"/>
    <cellStyle name="Normal 7 4 2 11 2" xfId="5410" xr:uid="{B2818A0B-3226-4E9A-A6DB-2902C1C321C0}"/>
    <cellStyle name="Normal 7 4 2 11 2 2" xfId="22745" xr:uid="{7C46150B-D20C-4138-A989-B899F15D0020}"/>
    <cellStyle name="Normal 7 4 2 11 2 3" xfId="27400" xr:uid="{DA955C69-C619-4E89-866A-99FC71794A6A}"/>
    <cellStyle name="Normal 7 4 2 11 2 4" xfId="14707" xr:uid="{DC394850-23FD-4BC1-AE7C-B243455E5BFE}"/>
    <cellStyle name="Normal 7 4 2 11 3" xfId="7160" xr:uid="{8F07DAEF-A773-4BC8-8493-43E703161E6C}"/>
    <cellStyle name="Normal 7 4 2 11 3 2" xfId="28748" xr:uid="{F4EDA823-90FF-4654-9102-8028CA743AB7}"/>
    <cellStyle name="Normal 7 4 2 11 3 3" xfId="17540" xr:uid="{4BA17A94-8B40-48FA-8E07-1131E1FD5466}"/>
    <cellStyle name="Normal 7 4 2 11 4" xfId="9993" xr:uid="{0B784868-CED5-413E-8599-BC9795D9C71E}"/>
    <cellStyle name="Normal 7 4 2 11 4 2" xfId="20373" xr:uid="{BDF57F71-1963-401E-B664-CC14C5C6772F}"/>
    <cellStyle name="Normal 7 4 2 11 5" xfId="25461" xr:uid="{F4A7E4C1-1C5F-486B-84AF-2AE5F4F66ED4}"/>
    <cellStyle name="Normal 7 4 2 11 6" xfId="13483" xr:uid="{B3475F9D-CEB3-4B6D-A7A0-ED5ECEEBB213}"/>
    <cellStyle name="Normal 7 4 2 12" xfId="2442" xr:uid="{00000000-0005-0000-0000-00001B080000}"/>
    <cellStyle name="Normal 7 4 2 12 2" xfId="5737" xr:uid="{F802D390-8974-4741-A616-85DF37F57A94}"/>
    <cellStyle name="Normal 7 4 2 12 2 2" xfId="27463" xr:uid="{FE3DADE7-BA77-471C-B666-80231FFE0D12}"/>
    <cellStyle name="Normal 7 4 2 12 2 3" xfId="15114" xr:uid="{27FAF4B7-29D2-4EEB-B8EC-41B4FBE301D4}"/>
    <cellStyle name="Normal 7 4 2 12 3" xfId="7567" xr:uid="{BAC59092-22A6-444D-AA12-82517F30C920}"/>
    <cellStyle name="Normal 7 4 2 12 3 2" xfId="17947" xr:uid="{EBFEE1AF-C45F-463B-B94A-DF1507751316}"/>
    <cellStyle name="Normal 7 4 2 12 4" xfId="10400" xr:uid="{C2E2FDC4-C132-488F-9028-088E677F6C7A}"/>
    <cellStyle name="Normal 7 4 2 12 4 2" xfId="20780" xr:uid="{7F26E151-12B5-4364-A2E3-12A91E743A80}"/>
    <cellStyle name="Normal 7 4 2 12 5" xfId="24564" xr:uid="{6978E79D-05B2-4DAA-9844-11905C1D9E82}"/>
    <cellStyle name="Normal 7 4 2 12 6" xfId="12829" xr:uid="{23C034C9-8E69-405D-91FD-BCD5C34BF8FB}"/>
    <cellStyle name="Normal 7 4 2 13" xfId="2172" xr:uid="{00000000-0005-0000-0000-000017080000}"/>
    <cellStyle name="Normal 7 4 2 13 2" xfId="7299" xr:uid="{56B5096C-C4E8-4DC5-96DC-1895B036C687}"/>
    <cellStyle name="Normal 7 4 2 13 2 2" xfId="26407" xr:uid="{BB44E6A2-BCF9-4550-B02B-40C106B3E225}"/>
    <cellStyle name="Normal 7 4 2 13 2 3" xfId="17679" xr:uid="{E5AA7D10-29B5-434D-8755-3A02B5CA15BA}"/>
    <cellStyle name="Normal 7 4 2 13 3" xfId="10132" xr:uid="{3DAC6334-6E8E-4C5F-A1DC-4115783478A2}"/>
    <cellStyle name="Normal 7 4 2 13 3 2" xfId="20512" xr:uid="{A318CEA3-2CFA-4422-8E9E-D6651C2F9AD0}"/>
    <cellStyle name="Normal 7 4 2 13 4" xfId="24907" xr:uid="{1A9502AB-86C5-44AB-8357-D8B4DF11BDDF}"/>
    <cellStyle name="Normal 7 4 2 13 5" xfId="14846" xr:uid="{1BD20AEE-596E-4290-9730-036968BFBF81}"/>
    <cellStyle name="Normal 7 4 2 14" xfId="4061" xr:uid="{A52C928B-0856-4A01-A9BB-4449A1D1B8B3}"/>
    <cellStyle name="Normal 7 4 2 14 2" xfId="8841" xr:uid="{FB30465F-B7CC-4F28-A063-BCC281A06B9F}"/>
    <cellStyle name="Normal 7 4 2 14 2 2" xfId="19221" xr:uid="{32B52E39-52B1-4CB8-AC61-1D9D5D33F77B}"/>
    <cellStyle name="Normal 7 4 2 14 3" xfId="11674" xr:uid="{96CC59EF-D42B-464E-AC7E-0233127F020C}"/>
    <cellStyle name="Normal 7 4 2 14 3 2" xfId="22054" xr:uid="{50F0EC97-0FF3-4EA3-8098-DB91A8AD16C0}"/>
    <cellStyle name="Normal 7 4 2 14 4" xfId="28488" xr:uid="{0E4F3AB4-D552-4CA0-A239-6F2EEB860CEA}"/>
    <cellStyle name="Normal 7 4 2 14 5" xfId="16388" xr:uid="{B3186367-6A9D-4680-8A0E-F7529DB54631}"/>
    <cellStyle name="Normal 7 4 2 15" xfId="5408" xr:uid="{79D4F8DE-5A10-4E99-B27D-9889D740562A}"/>
    <cellStyle name="Normal 7 4 2 15 2" xfId="14705" xr:uid="{A71FBF59-8740-450F-8FF6-396BF640BEFF}"/>
    <cellStyle name="Normal 7 4 2 16" xfId="7158" xr:uid="{D4533FCC-9BC1-4F1F-977D-AF718844C10E}"/>
    <cellStyle name="Normal 7 4 2 16 2" xfId="17538" xr:uid="{B8F27E90-A354-4925-A8CA-661F7482FC7D}"/>
    <cellStyle name="Normal 7 4 2 17" xfId="9991" xr:uid="{B470953D-E08F-4A8D-B6E4-39CD18B6BC23}"/>
    <cellStyle name="Normal 7 4 2 17 2" xfId="20371" xr:uid="{3D9F4D91-CB94-499B-87C0-B00147E1E8DA}"/>
    <cellStyle name="Normal 7 4 2 18" xfId="24594" xr:uid="{1796535B-5A62-45B6-8751-25DBCD745909}"/>
    <cellStyle name="Normal 7 4 2 19" xfId="12404" xr:uid="{DAA70829-EF14-479D-847E-D32B374477F0}"/>
    <cellStyle name="Normal 7 4 2 2" xfId="1393" xr:uid="{00000000-0005-0000-0000-000048070000}"/>
    <cellStyle name="Normal 7 4 2 2 10" xfId="5411" xr:uid="{E97C6693-A0A6-445A-ACF3-2EDAE9C7C0C5}"/>
    <cellStyle name="Normal 7 4 2 2 10 2" xfId="14708" xr:uid="{E686141F-7619-48D9-B4DF-B2D3975BA336}"/>
    <cellStyle name="Normal 7 4 2 2 11" xfId="7161" xr:uid="{3078900C-0F6E-4EF1-A5C6-9A490BE7798A}"/>
    <cellStyle name="Normal 7 4 2 2 11 2" xfId="17541" xr:uid="{53F6BD4D-E911-4F6E-BA75-1713252FBBB0}"/>
    <cellStyle name="Normal 7 4 2 2 12" xfId="9994" xr:uid="{0AF1A047-3E7B-422C-8AA3-8721B1313F7A}"/>
    <cellStyle name="Normal 7 4 2 2 12 2" xfId="20374" xr:uid="{9F1E3723-DE9B-4694-9019-A5B51B998673}"/>
    <cellStyle name="Normal 7 4 2 2 13" xfId="23136" xr:uid="{5DA3417C-B410-4F90-BDC1-5BEB3381B700}"/>
    <cellStyle name="Normal 7 4 2 2 14" xfId="12427" xr:uid="{6621C35F-B735-4972-A4AE-7273D70F2315}"/>
    <cellStyle name="Normal 7 4 2 2 2" xfId="1394" xr:uid="{00000000-0005-0000-0000-000049070000}"/>
    <cellStyle name="Normal 7 4 2 2 2 10" xfId="7162" xr:uid="{D0A072D4-8F60-47E2-A223-B65122EA8217}"/>
    <cellStyle name="Normal 7 4 2 2 2 10 2" xfId="17542" xr:uid="{A4273BB8-873A-4994-9C25-8E879758E895}"/>
    <cellStyle name="Normal 7 4 2 2 2 11" xfId="9995" xr:uid="{69E11266-35BE-4819-B7C9-1AF0AB0F913D}"/>
    <cellStyle name="Normal 7 4 2 2 2 11 2" xfId="20375" xr:uid="{6FF9A40D-BE4F-48A7-ACA8-DFEA8147D2F0}"/>
    <cellStyle name="Normal 7 4 2 2 2 12" xfId="24610" xr:uid="{EE61ED54-3AE3-4231-B2FF-D558C7454AF3}"/>
    <cellStyle name="Normal 7 4 2 2 2 13" xfId="12487" xr:uid="{BCE1313A-25B7-4100-BB87-A1D57C9031C6}"/>
    <cellStyle name="Normal 7 4 2 2 2 2" xfId="1395" xr:uid="{00000000-0005-0000-0000-00004A070000}"/>
    <cellStyle name="Normal 7 4 2 2 2 2 10" xfId="13052" xr:uid="{C2FBA6EB-B97E-45E2-A289-B4E94C86452C}"/>
    <cellStyle name="Normal 7 4 2 2 2 2 2" xfId="2822" xr:uid="{00000000-0005-0000-0000-00001F080000}"/>
    <cellStyle name="Normal 7 4 2 2 2 2 2 2" xfId="3423" xr:uid="{00000000-0005-0000-0000-000020080000}"/>
    <cellStyle name="Normal 7 4 2 2 2 2 2 2 2" xfId="6478" xr:uid="{9DB5A884-C42E-4013-A577-F942EA5D9517}"/>
    <cellStyle name="Normal 7 4 2 2 2 2 2 2 2 2" xfId="26348" xr:uid="{8B79CBA3-CC95-4806-980F-151F8701DC98}"/>
    <cellStyle name="Normal 7 4 2 2 2 2 2 2 2 3" xfId="16049" xr:uid="{2BAA1D17-0A06-4EBA-BD0C-970DED256A9E}"/>
    <cellStyle name="Normal 7 4 2 2 2 2 2 2 3" xfId="8502" xr:uid="{350BAA97-AD0C-47B6-A5F4-A0031EA88E71}"/>
    <cellStyle name="Normal 7 4 2 2 2 2 2 2 3 2" xfId="18882" xr:uid="{0663128D-6438-4678-A1F1-DA39B199FEDE}"/>
    <cellStyle name="Normal 7 4 2 2 2 2 2 2 4" xfId="11335" xr:uid="{6D06BC0B-4DDF-48B2-8E87-E56E6E0ADDE9}"/>
    <cellStyle name="Normal 7 4 2 2 2 2 2 2 4 2" xfId="21715" xr:uid="{3C007C49-D1D0-4C63-B0F3-AE1C8B2EDE17}"/>
    <cellStyle name="Normal 7 4 2 2 2 2 2 2 5" xfId="24377" xr:uid="{EAAC9070-6E16-454B-8250-8EC1BCCA33A0}"/>
    <cellStyle name="Normal 7 4 2 2 2 2 2 2 6" xfId="14004" xr:uid="{46FA7D6B-4CC6-40A7-8F6D-B85CB83ABB70}"/>
    <cellStyle name="Normal 7 4 2 2 2 2 2 3" xfId="4361" xr:uid="{7618CF6F-B551-476E-BF60-9D787EE11522}"/>
    <cellStyle name="Normal 7 4 2 2 2 2 2 3 2" xfId="9133" xr:uid="{4B8F598B-2DE0-47F6-8010-F63673C3FDB5}"/>
    <cellStyle name="Normal 7 4 2 2 2 2 2 3 2 2" xfId="29176" xr:uid="{C4FAD623-B4F6-439E-AEE9-C90E3D983ED5}"/>
    <cellStyle name="Normal 7 4 2 2 2 2 2 3 2 3" xfId="19513" xr:uid="{259F11FE-C71C-4611-9872-1D050DF15678}"/>
    <cellStyle name="Normal 7 4 2 2 2 2 2 3 3" xfId="11966" xr:uid="{C696BDEC-5101-487A-A045-2186A71EB81B}"/>
    <cellStyle name="Normal 7 4 2 2 2 2 2 3 3 2" xfId="22346" xr:uid="{BCC3F565-609E-4568-9C8B-C8F9FAEB5B31}"/>
    <cellStyle name="Normal 7 4 2 2 2 2 2 3 4" xfId="23852" xr:uid="{A03A40A1-3F18-4F11-A602-FAF727CEA6AA}"/>
    <cellStyle name="Normal 7 4 2 2 2 2 2 3 5" xfId="16680" xr:uid="{FB6C811E-6D33-4420-BAC9-9667C0A24723}"/>
    <cellStyle name="Normal 7 4 2 2 2 2 2 4" xfId="6038" xr:uid="{F82B1844-7875-4A3A-946F-B2BF492040F6}"/>
    <cellStyle name="Normal 7 4 2 2 2 2 2 4 2" xfId="26039" xr:uid="{2104FDDF-11D3-41FE-89BA-AD2749EB9FA8}"/>
    <cellStyle name="Normal 7 4 2 2 2 2 2 4 3" xfId="15492" xr:uid="{98B0D481-5FCD-4D9E-ACC3-BC16D58EB69C}"/>
    <cellStyle name="Normal 7 4 2 2 2 2 2 5" xfId="7945" xr:uid="{5E752987-CD79-433C-BD4F-9DD79F3A3F3C}"/>
    <cellStyle name="Normal 7 4 2 2 2 2 2 5 2" xfId="18325" xr:uid="{F31E17DC-0938-4580-B372-6268F07F118A}"/>
    <cellStyle name="Normal 7 4 2 2 2 2 2 6" xfId="10778" xr:uid="{4EE02466-A072-42A4-87CA-AA77CD60B9B7}"/>
    <cellStyle name="Normal 7 4 2 2 2 2 2 6 2" xfId="21158" xr:uid="{429CD86E-1AC9-4703-B0B1-79E9078F28AD}"/>
    <cellStyle name="Normal 7 4 2 2 2 2 2 7" xfId="22660" xr:uid="{7EE7DD84-AC34-4D76-826F-B52EBC30D9D6}"/>
    <cellStyle name="Normal 7 4 2 2 2 2 2 8" xfId="13293" xr:uid="{CB5164C9-11FD-4E6D-A315-CF0C51CA88AE}"/>
    <cellStyle name="Normal 7 4 2 2 2 2 3" xfId="3424" xr:uid="{00000000-0005-0000-0000-000021080000}"/>
    <cellStyle name="Normal 7 4 2 2 2 2 3 2" xfId="4572" xr:uid="{E8CD83E8-39C3-4597-AD00-8F712650C686}"/>
    <cellStyle name="Normal 7 4 2 2 2 2 3 2 2" xfId="9344" xr:uid="{31402AB5-9741-4485-95CE-983BC9A30A84}"/>
    <cellStyle name="Normal 7 4 2 2 2 2 3 2 2 2" xfId="19724" xr:uid="{4106608D-C9E2-4C5F-82B2-7EEB49042C6A}"/>
    <cellStyle name="Normal 7 4 2 2 2 2 3 2 3" xfId="12177" xr:uid="{EA1BB4BC-83D8-419A-9A09-90147BD747CD}"/>
    <cellStyle name="Normal 7 4 2 2 2 2 3 2 3 2" xfId="22557" xr:uid="{F6A73EC7-FCA8-48BF-90B8-A1C98BE65EEC}"/>
    <cellStyle name="Normal 7 4 2 2 2 2 3 2 4" xfId="28508" xr:uid="{B6E554A5-CC5A-44F0-B1B8-C88ED5AF629C}"/>
    <cellStyle name="Normal 7 4 2 2 2 2 3 2 5" xfId="16891" xr:uid="{DDD27565-7F34-4A6A-B6C8-73754A5F256C}"/>
    <cellStyle name="Normal 7 4 2 2 2 2 3 3" xfId="6479" xr:uid="{EBA8060D-8A02-40AE-BF3A-909FF341D408}"/>
    <cellStyle name="Normal 7 4 2 2 2 2 3 3 2" xfId="16050" xr:uid="{874C42DF-C533-4C26-9A18-C2C2FD5E1FFE}"/>
    <cellStyle name="Normal 7 4 2 2 2 2 3 4" xfId="8503" xr:uid="{3BE78970-22FE-45EB-B7D0-520689C46016}"/>
    <cellStyle name="Normal 7 4 2 2 2 2 3 4 2" xfId="18883" xr:uid="{F59E80A7-74F4-43D8-849D-DBF8D08F32D4}"/>
    <cellStyle name="Normal 7 4 2 2 2 2 3 5" xfId="11336" xr:uid="{6CF761E3-E685-41DC-9EBC-3944EDC8493C}"/>
    <cellStyle name="Normal 7 4 2 2 2 2 3 5 2" xfId="21716" xr:uid="{1CFDD384-FC7A-47D7-B5D4-16BCC68B229A}"/>
    <cellStyle name="Normal 7 4 2 2 2 2 3 6" xfId="25312" xr:uid="{9F3E0816-F682-4556-8D03-6E4B80BBE9FD}"/>
    <cellStyle name="Normal 7 4 2 2 2 2 3 7" xfId="14005" xr:uid="{041DE4A5-9581-4AD7-86EF-2AC5CDAF2527}"/>
    <cellStyle name="Normal 7 4 2 2 2 2 4" xfId="3422" xr:uid="{00000000-0005-0000-0000-000022080000}"/>
    <cellStyle name="Normal 7 4 2 2 2 2 4 2" xfId="6477" xr:uid="{365EBB34-4B86-44C8-BE0E-D8AFAE23C9B7}"/>
    <cellStyle name="Normal 7 4 2 2 2 2 4 2 2" xfId="28621" xr:uid="{F169F04B-1425-46B0-A3A8-79CEBB963A8D}"/>
    <cellStyle name="Normal 7 4 2 2 2 2 4 2 3" xfId="16048" xr:uid="{07A9171C-89E2-450F-ADA2-B9F1A2960BE5}"/>
    <cellStyle name="Normal 7 4 2 2 2 2 4 3" xfId="8501" xr:uid="{66256638-9C37-4B9D-9538-6A4FF2DE26F3}"/>
    <cellStyle name="Normal 7 4 2 2 2 2 4 3 2" xfId="18881" xr:uid="{F301AD12-95A0-47D3-8C4A-88CF6DF10456}"/>
    <cellStyle name="Normal 7 4 2 2 2 2 4 4" xfId="11334" xr:uid="{A373D0C9-97CA-4660-AC04-F2A14FE5EDF3}"/>
    <cellStyle name="Normal 7 4 2 2 2 2 4 4 2" xfId="21714" xr:uid="{E45BEC5E-B2B4-4E64-9F12-3723BA308CFD}"/>
    <cellStyle name="Normal 7 4 2 2 2 2 4 5" xfId="23010" xr:uid="{ABD75A91-B6DE-45C8-9DB1-FCA22F3AF19D}"/>
    <cellStyle name="Normal 7 4 2 2 2 2 4 6" xfId="14003" xr:uid="{52D16831-D2D6-47D2-B855-6E6367A2BFF4}"/>
    <cellStyle name="Normal 7 4 2 2 2 2 5" xfId="4249" xr:uid="{4CEA5DAE-F98B-4028-99C5-1EB4F184FF54}"/>
    <cellStyle name="Normal 7 4 2 2 2 2 5 2" xfId="9021" xr:uid="{AE02046C-D4E9-47FB-ABDF-DF8070D58B89}"/>
    <cellStyle name="Normal 7 4 2 2 2 2 5 2 2" xfId="29092" xr:uid="{747F736F-8D93-4752-8732-23EFC4B6BC1B}"/>
    <cellStyle name="Normal 7 4 2 2 2 2 5 2 3" xfId="19401" xr:uid="{0DCBF49C-C2D2-4B80-88DC-08C554BDB373}"/>
    <cellStyle name="Normal 7 4 2 2 2 2 5 3" xfId="11854" xr:uid="{2FBE3C4A-802D-4BB0-9C23-7FAA3E225DC4}"/>
    <cellStyle name="Normal 7 4 2 2 2 2 5 3 2" xfId="22234" xr:uid="{8DFFE79F-12FC-43F4-AA39-83E2599868A4}"/>
    <cellStyle name="Normal 7 4 2 2 2 2 5 4" xfId="23658" xr:uid="{86C4A63B-F4D7-441D-A5D9-FE1BD347C99D}"/>
    <cellStyle name="Normal 7 4 2 2 2 2 5 5" xfId="16568" xr:uid="{29D65DFE-F5A3-4F00-BCF9-7AC14A2AADD5}"/>
    <cellStyle name="Normal 7 4 2 2 2 2 6" xfId="5413" xr:uid="{441167E8-C8C1-4F7C-966C-DE5E26C0616C}"/>
    <cellStyle name="Normal 7 4 2 2 2 2 6 2" xfId="26017" xr:uid="{640D8094-D2FD-4E58-AF9C-0DAB8550FB35}"/>
    <cellStyle name="Normal 7 4 2 2 2 2 6 3" xfId="14710" xr:uid="{C86A33A9-0A95-454A-8E2E-B7E5402BFC74}"/>
    <cellStyle name="Normal 7 4 2 2 2 2 7" xfId="7163" xr:uid="{85B3AEDE-9A0F-4911-81AA-EF0F892ECA8D}"/>
    <cellStyle name="Normal 7 4 2 2 2 2 7 2" xfId="17543" xr:uid="{217D8332-7F9B-4126-B4B6-9921FE1C82CC}"/>
    <cellStyle name="Normal 7 4 2 2 2 2 8" xfId="9996" xr:uid="{8D104A86-C533-4E1B-9BF2-E6B4A17AC7DE}"/>
    <cellStyle name="Normal 7 4 2 2 2 2 8 2" xfId="20376" xr:uid="{F4F8EE0B-21D5-45EB-B477-44448C935CF3}"/>
    <cellStyle name="Normal 7 4 2 2 2 2 9" xfId="23598" xr:uid="{77143F0D-C34D-497E-82D7-9C93806EB824}"/>
    <cellStyle name="Normal 7 4 2 2 2 3" xfId="2821" xr:uid="{00000000-0005-0000-0000-000023080000}"/>
    <cellStyle name="Normal 7 4 2 2 2 3 2" xfId="3425" xr:uid="{00000000-0005-0000-0000-000024080000}"/>
    <cellStyle name="Normal 7 4 2 2 2 3 2 2" xfId="6480" xr:uid="{751BBC07-FC1F-4266-A173-3742C65CAA13}"/>
    <cellStyle name="Normal 7 4 2 2 2 3 2 2 2" xfId="27067" xr:uid="{6A9BE188-2741-4FF0-9C2E-82E96EC7ED63}"/>
    <cellStyle name="Normal 7 4 2 2 2 3 2 2 3" xfId="16051" xr:uid="{5E918990-EAFF-47A3-AE20-759332379613}"/>
    <cellStyle name="Normal 7 4 2 2 2 3 2 3" xfId="8504" xr:uid="{431474CD-4DA2-42AC-8DE9-2EC29FBAC298}"/>
    <cellStyle name="Normal 7 4 2 2 2 3 2 3 2" xfId="18884" xr:uid="{B11B2FFD-2EB7-4AA1-BBE0-FF4D516FDF28}"/>
    <cellStyle name="Normal 7 4 2 2 2 3 2 4" xfId="11337" xr:uid="{5EFF34A0-4386-434F-871E-E005BDD61BC6}"/>
    <cellStyle name="Normal 7 4 2 2 2 3 2 4 2" xfId="21717" xr:uid="{9D95512A-BA48-481E-929B-DBF73959CEF7}"/>
    <cellStyle name="Normal 7 4 2 2 2 3 2 5" xfId="23933" xr:uid="{C57A0D18-3635-448D-A425-BC17FE8EF434}"/>
    <cellStyle name="Normal 7 4 2 2 2 3 2 6" xfId="14006" xr:uid="{73E3BEF1-B1DB-4E4F-B932-496FB082A623}"/>
    <cellStyle name="Normal 7 4 2 2 2 3 3" xfId="4360" xr:uid="{ACFA9AD0-8409-4D8E-A291-B85E88EF8D53}"/>
    <cellStyle name="Normal 7 4 2 2 2 3 3 2" xfId="9132" xr:uid="{473F704A-E7CB-4407-8185-BEB1C2E7F553}"/>
    <cellStyle name="Normal 7 4 2 2 2 3 3 2 2" xfId="29175" xr:uid="{92548F11-FB3C-4417-A085-9463E509CA6B}"/>
    <cellStyle name="Normal 7 4 2 2 2 3 3 2 3" xfId="19512" xr:uid="{A1E6184C-C969-4EC7-A521-5ED4BE1E38AD}"/>
    <cellStyle name="Normal 7 4 2 2 2 3 3 3" xfId="11965" xr:uid="{0CB7AED7-3ED8-4CA6-B9D7-849FC551AD05}"/>
    <cellStyle name="Normal 7 4 2 2 2 3 3 3 2" xfId="22345" xr:uid="{7457421F-D9CE-4E38-8F2A-229727C2EC6D}"/>
    <cellStyle name="Normal 7 4 2 2 2 3 3 4" xfId="24418" xr:uid="{00CFCE18-F01B-4BE7-9DFD-1D0D03B9FCD2}"/>
    <cellStyle name="Normal 7 4 2 2 2 3 3 5" xfId="16679" xr:uid="{15A74BA4-CCF7-48C2-8708-F1C4E0B0B690}"/>
    <cellStyle name="Normal 7 4 2 2 2 3 4" xfId="6037" xr:uid="{B96C9871-83A7-4052-8445-18A546C5FEC1}"/>
    <cellStyle name="Normal 7 4 2 2 2 3 4 2" xfId="28658" xr:uid="{ACB739D5-8B98-4492-B8EF-154EE673C33A}"/>
    <cellStyle name="Normal 7 4 2 2 2 3 4 3" xfId="15491" xr:uid="{505EFCAB-6CC6-4E06-9E7F-8EC4F049CC3B}"/>
    <cellStyle name="Normal 7 4 2 2 2 3 5" xfId="7944" xr:uid="{0AFE0305-CF3F-41C0-B0CE-C64A8A66D827}"/>
    <cellStyle name="Normal 7 4 2 2 2 3 5 2" xfId="18324" xr:uid="{ED70B86F-81DC-45AE-8C41-AED2E1F586B8}"/>
    <cellStyle name="Normal 7 4 2 2 2 3 6" xfId="10777" xr:uid="{8171CDEC-30BE-467C-940E-D81AB8C6E2CB}"/>
    <cellStyle name="Normal 7 4 2 2 2 3 6 2" xfId="21157" xr:uid="{D102A5F4-3C71-4C9A-9CB5-0A04ADFC0743}"/>
    <cellStyle name="Normal 7 4 2 2 2 3 7" xfId="24440" xr:uid="{B4595E0A-868C-440B-96B8-1A86B5746850}"/>
    <cellStyle name="Normal 7 4 2 2 2 3 8" xfId="13292" xr:uid="{462CE7B5-789F-4232-BEBC-ED90A7E02A07}"/>
    <cellStyle name="Normal 7 4 2 2 2 4" xfId="3426" xr:uid="{00000000-0005-0000-0000-000025080000}"/>
    <cellStyle name="Normal 7 4 2 2 2 4 2" xfId="4573" xr:uid="{7E911584-0241-48AA-B8E2-B4838F58EF93}"/>
    <cellStyle name="Normal 7 4 2 2 2 4 2 2" xfId="9345" xr:uid="{1452BFD8-9755-4DAF-85E8-5C8545B85020}"/>
    <cellStyle name="Normal 7 4 2 2 2 4 2 2 2" xfId="19725" xr:uid="{CC2C5E72-894C-4D1F-9601-E93F43823751}"/>
    <cellStyle name="Normal 7 4 2 2 2 4 2 3" xfId="12178" xr:uid="{2A7A4FC3-B834-4CC2-AEC6-FC2B41D252DE}"/>
    <cellStyle name="Normal 7 4 2 2 2 4 2 3 2" xfId="22558" xr:uid="{EAFEFD2C-85AA-4525-A30F-33A3EDEDFC84}"/>
    <cellStyle name="Normal 7 4 2 2 2 4 2 4" xfId="27055" xr:uid="{E18E7140-5060-48E4-805B-2065C05B0A6E}"/>
    <cellStyle name="Normal 7 4 2 2 2 4 2 5" xfId="16892" xr:uid="{4BDF8A7E-5659-4431-9EB1-D9C4F57A625C}"/>
    <cellStyle name="Normal 7 4 2 2 2 4 3" xfId="6481" xr:uid="{2FC4531C-524E-4E99-9F41-216830B5F3FA}"/>
    <cellStyle name="Normal 7 4 2 2 2 4 3 2" xfId="16052" xr:uid="{81BF171A-83BB-42E9-A0EC-8A3CD7F46993}"/>
    <cellStyle name="Normal 7 4 2 2 2 4 4" xfId="8505" xr:uid="{FA954154-0875-42F9-83D1-2EDBF4A71932}"/>
    <cellStyle name="Normal 7 4 2 2 2 4 4 2" xfId="18885" xr:uid="{D704BA3E-FF1E-4DB8-B560-4701177AC587}"/>
    <cellStyle name="Normal 7 4 2 2 2 4 5" xfId="11338" xr:uid="{EC9D3C0F-2FC6-4422-B55F-CB83786AF623}"/>
    <cellStyle name="Normal 7 4 2 2 2 4 5 2" xfId="21718" xr:uid="{68C1A300-A360-413A-B024-41D728334F75}"/>
    <cellStyle name="Normal 7 4 2 2 2 4 6" xfId="25530" xr:uid="{1B5054C0-0BBB-4C59-AE6C-5F82FD104C0A}"/>
    <cellStyle name="Normal 7 4 2 2 2 4 7" xfId="14007" xr:uid="{25153F54-D0C2-4E69-B6AC-118CF42C3125}"/>
    <cellStyle name="Normal 7 4 2 2 2 5" xfId="3421" xr:uid="{00000000-0005-0000-0000-000026080000}"/>
    <cellStyle name="Normal 7 4 2 2 2 5 2" xfId="6476" xr:uid="{69F26A8D-6EA4-4AD9-A05B-8101BD1F3AC8}"/>
    <cellStyle name="Normal 7 4 2 2 2 5 2 2" xfId="27350" xr:uid="{A0732357-EA89-4CC4-BB8E-D3540250B67E}"/>
    <cellStyle name="Normal 7 4 2 2 2 5 2 3" xfId="16047" xr:uid="{FD2BE1D0-20E5-4597-8AC2-2F0B903A77D7}"/>
    <cellStyle name="Normal 7 4 2 2 2 5 3" xfId="8500" xr:uid="{79D07E95-2BF7-4A12-9594-75EC639FE02C}"/>
    <cellStyle name="Normal 7 4 2 2 2 5 3 2" xfId="18880" xr:uid="{7A992CC1-2E56-4D12-8E3B-A010DC535A9C}"/>
    <cellStyle name="Normal 7 4 2 2 2 5 4" xfId="11333" xr:uid="{CD90C17F-5F87-40A6-8701-DD45B6B3477E}"/>
    <cellStyle name="Normal 7 4 2 2 2 5 4 2" xfId="21713" xr:uid="{5E8E6086-DAF4-44DB-8DCD-B517316D4B08}"/>
    <cellStyle name="Normal 7 4 2 2 2 5 5" xfId="25449" xr:uid="{B6305010-B7E6-4630-82C6-A237BE99E17D}"/>
    <cellStyle name="Normal 7 4 2 2 2 5 6" xfId="14002" xr:uid="{E2116394-3E7C-4B6E-B09F-9240F52A11F2}"/>
    <cellStyle name="Normal 7 4 2 2 2 6" xfId="2561" xr:uid="{00000000-0005-0000-0000-000027080000}"/>
    <cellStyle name="Normal 7 4 2 2 2 6 2" xfId="5831" xr:uid="{29EF99E2-33E9-4033-9C15-5658E548A985}"/>
    <cellStyle name="Normal 7 4 2 2 2 6 2 2" xfId="27777" xr:uid="{68DC6E2F-3D57-49C2-ACEC-F9AAE377A6ED}"/>
    <cellStyle name="Normal 7 4 2 2 2 6 2 3" xfId="15233" xr:uid="{6ACAFE22-71B7-40B7-89D9-E0FB4B33B7B2}"/>
    <cellStyle name="Normal 7 4 2 2 2 6 3" xfId="7686" xr:uid="{C1A9B3FD-0C4C-4068-97F1-41A6F6E1EE18}"/>
    <cellStyle name="Normal 7 4 2 2 2 6 3 2" xfId="18066" xr:uid="{0D8F78E0-7F47-41CB-B681-C04C951AFF05}"/>
    <cellStyle name="Normal 7 4 2 2 2 6 4" xfId="10519" xr:uid="{221309B4-F85C-4292-82EC-52589DA9EFC9}"/>
    <cellStyle name="Normal 7 4 2 2 2 6 4 2" xfId="20899" xr:uid="{A169671E-D307-42E9-897E-D7C795292C71}"/>
    <cellStyle name="Normal 7 4 2 2 2 6 5" xfId="23922" xr:uid="{118BA637-206A-45C7-A144-472FDB774D34}"/>
    <cellStyle name="Normal 7 4 2 2 2 6 6" xfId="12949" xr:uid="{9B5E3005-D847-4A39-B865-4AC36EFD2211}"/>
    <cellStyle name="Normal 7 4 2 2 2 7" xfId="2255" xr:uid="{00000000-0005-0000-0000-00001D080000}"/>
    <cellStyle name="Normal 7 4 2 2 2 7 2" xfId="7382" xr:uid="{A5EBBC8A-4805-4A9B-BA14-7CBC58D0B94A}"/>
    <cellStyle name="Normal 7 4 2 2 2 7 2 2" xfId="17762" xr:uid="{CDE19C63-C84D-499C-A704-294050396E7E}"/>
    <cellStyle name="Normal 7 4 2 2 2 7 3" xfId="10215" xr:uid="{EEE9846A-CD04-4A6C-8A2E-8F2E93C33E2E}"/>
    <cellStyle name="Normal 7 4 2 2 2 7 3 2" xfId="20595" xr:uid="{469C99EE-3774-49F4-B9E6-63C1FE617EA8}"/>
    <cellStyle name="Normal 7 4 2 2 2 7 4" xfId="23214" xr:uid="{80D87983-121B-4533-AB2F-EC71820C58D4}"/>
    <cellStyle name="Normal 7 4 2 2 2 7 5" xfId="14929" xr:uid="{B7738474-AD97-410C-97D7-E114AF9835D1}"/>
    <cellStyle name="Normal 7 4 2 2 2 8" xfId="3805" xr:uid="{C06BE601-6E8E-4A23-ABC6-8F4090D579EF}"/>
    <cellStyle name="Normal 7 4 2 2 2 8 2" xfId="8641" xr:uid="{ED98D8F4-215C-4854-9C8C-8FC00A7CA332}"/>
    <cellStyle name="Normal 7 4 2 2 2 8 2 2" xfId="19021" xr:uid="{D30E7302-09BA-48F3-B231-088960639BD7}"/>
    <cellStyle name="Normal 7 4 2 2 2 8 3" xfId="11474" xr:uid="{9B563F5F-436B-453A-A53D-5031617CF4B8}"/>
    <cellStyle name="Normal 7 4 2 2 2 8 3 2" xfId="21854" xr:uid="{AA8431B8-E743-464F-9C6F-FC6E94CD75C1}"/>
    <cellStyle name="Normal 7 4 2 2 2 8 4" xfId="16188" xr:uid="{2CCFB5AC-359E-4515-A89D-75537072F78A}"/>
    <cellStyle name="Normal 7 4 2 2 2 9" xfId="5412" xr:uid="{2355B753-38F0-4078-B7EB-D469F37F6941}"/>
    <cellStyle name="Normal 7 4 2 2 2 9 2" xfId="14709" xr:uid="{9D6CCB3C-B122-4CB8-81F0-1094DB384043}"/>
    <cellStyle name="Normal 7 4 2 2 3" xfId="1396" xr:uid="{00000000-0005-0000-0000-00004B070000}"/>
    <cellStyle name="Normal 7 4 2 2 3 10" xfId="9997" xr:uid="{5A9B2C81-54B8-452F-8F8F-F6172776B0DD}"/>
    <cellStyle name="Normal 7 4 2 2 3 10 2" xfId="20377" xr:uid="{272E0C47-6312-4C18-8087-F58E67B999E8}"/>
    <cellStyle name="Normal 7 4 2 2 3 11" xfId="23418" xr:uid="{EF93F634-64F0-4801-8009-65803AD2F6F6}"/>
    <cellStyle name="Normal 7 4 2 2 3 12" xfId="12628" xr:uid="{F4F620AB-BDE0-491C-A958-483F4B9217CD}"/>
    <cellStyle name="Normal 7 4 2 2 3 2" xfId="2823" xr:uid="{00000000-0005-0000-0000-000029080000}"/>
    <cellStyle name="Normal 7 4 2 2 3 2 2" xfId="3428" xr:uid="{00000000-0005-0000-0000-00002A080000}"/>
    <cellStyle name="Normal 7 4 2 2 3 2 2 2" xfId="6483" xr:uid="{A6713F29-DF43-4476-8040-A1B679734DF4}"/>
    <cellStyle name="Normal 7 4 2 2 3 2 2 2 2" xfId="27565" xr:uid="{BD817701-15C7-4FA8-A681-D7E444A6CF06}"/>
    <cellStyle name="Normal 7 4 2 2 3 2 2 2 3" xfId="16054" xr:uid="{2127FE21-5172-47CE-A5C5-06F26AEE7F0C}"/>
    <cellStyle name="Normal 7 4 2 2 3 2 2 3" xfId="8507" xr:uid="{AAEBE416-2D34-4D93-B5A1-D016C1EEE794}"/>
    <cellStyle name="Normal 7 4 2 2 3 2 2 3 2" xfId="18887" xr:uid="{C6B85F41-2AC5-421C-B6D3-1FA9153B6167}"/>
    <cellStyle name="Normal 7 4 2 2 3 2 2 4" xfId="11340" xr:uid="{0AC66F81-689E-403F-91F1-D626B2712D79}"/>
    <cellStyle name="Normal 7 4 2 2 3 2 2 4 2" xfId="21720" xr:uid="{7063A65A-6731-4C67-AD6E-5810ED16A8DC}"/>
    <cellStyle name="Normal 7 4 2 2 3 2 2 5" xfId="23713" xr:uid="{65CC995D-D2B4-4080-8660-B3E5D6BE333E}"/>
    <cellStyle name="Normal 7 4 2 2 3 2 2 6" xfId="14009" xr:uid="{E4D5CF5D-9322-413D-9900-8FB9F33D2D09}"/>
    <cellStyle name="Normal 7 4 2 2 3 2 3" xfId="4362" xr:uid="{30083B50-655D-432F-A489-CF466DF1233B}"/>
    <cellStyle name="Normal 7 4 2 2 3 2 3 2" xfId="9134" xr:uid="{703B93D3-B8EB-4365-850A-C35CD90CAA5C}"/>
    <cellStyle name="Normal 7 4 2 2 3 2 3 2 2" xfId="29177" xr:uid="{290FDF88-8899-42B6-B214-55C5994F08B1}"/>
    <cellStyle name="Normal 7 4 2 2 3 2 3 2 3" xfId="19514" xr:uid="{CBBF34DB-388E-4EE0-8BB9-F2C19E3FA127}"/>
    <cellStyle name="Normal 7 4 2 2 3 2 3 3" xfId="11967" xr:uid="{12042743-E2DB-4EB3-8857-9EFB8C83F3C7}"/>
    <cellStyle name="Normal 7 4 2 2 3 2 3 3 2" xfId="22347" xr:uid="{8BA8EABC-E430-40D6-8C8D-E58989733B0B}"/>
    <cellStyle name="Normal 7 4 2 2 3 2 3 4" xfId="23567" xr:uid="{4213CC80-EA2C-4779-BCEF-8F4C4148B347}"/>
    <cellStyle name="Normal 7 4 2 2 3 2 3 5" xfId="16681" xr:uid="{F6DCD515-7737-4905-881D-C2027CF92F34}"/>
    <cellStyle name="Normal 7 4 2 2 3 2 4" xfId="6039" xr:uid="{8E80E5D4-1C58-4FF9-A7B1-7D6A0FD516DB}"/>
    <cellStyle name="Normal 7 4 2 2 3 2 4 2" xfId="27985" xr:uid="{2F3415E5-A939-43D6-85F3-14522630F9A7}"/>
    <cellStyle name="Normal 7 4 2 2 3 2 4 3" xfId="15493" xr:uid="{A1C27591-4548-4CE6-AD20-E04609B14B8A}"/>
    <cellStyle name="Normal 7 4 2 2 3 2 5" xfId="7946" xr:uid="{DE92313A-E0E9-4F3D-B7DD-8444C18CDCE9}"/>
    <cellStyle name="Normal 7 4 2 2 3 2 5 2" xfId="18326" xr:uid="{B2F22FEE-0C06-46A4-B925-0857560DBFD9}"/>
    <cellStyle name="Normal 7 4 2 2 3 2 6" xfId="10779" xr:uid="{CD1B608E-6C5A-431D-9416-1B26ED6C560C}"/>
    <cellStyle name="Normal 7 4 2 2 3 2 6 2" xfId="21159" xr:uid="{450140B4-0E01-4E0D-B982-C89A2EDEAA49}"/>
    <cellStyle name="Normal 7 4 2 2 3 2 7" xfId="25056" xr:uid="{EDBBF258-F243-4C65-9EF4-584622AF04AD}"/>
    <cellStyle name="Normal 7 4 2 2 3 2 8" xfId="13294" xr:uid="{B87B94FD-A80A-4C21-92F3-6CF851190746}"/>
    <cellStyle name="Normal 7 4 2 2 3 3" xfId="3429" xr:uid="{00000000-0005-0000-0000-00002B080000}"/>
    <cellStyle name="Normal 7 4 2 2 3 3 2" xfId="4574" xr:uid="{DF868D83-B479-41C7-BBF9-4DEC8D2ADE13}"/>
    <cellStyle name="Normal 7 4 2 2 3 3 2 2" xfId="9346" xr:uid="{EE5F999E-67FD-4448-80AC-1B1AAE322601}"/>
    <cellStyle name="Normal 7 4 2 2 3 3 2 2 2" xfId="29318" xr:uid="{E08D3D1E-337C-4329-801C-9A94A6342583}"/>
    <cellStyle name="Normal 7 4 2 2 3 3 2 2 3" xfId="19726" xr:uid="{5B5A4B99-454D-4546-BB5B-28DDC77971D3}"/>
    <cellStyle name="Normal 7 4 2 2 3 3 2 3" xfId="12179" xr:uid="{DC9A6113-08A3-4C8E-B76F-82FAB69C23C4}"/>
    <cellStyle name="Normal 7 4 2 2 3 3 2 3 2" xfId="22559" xr:uid="{1F11548D-FE78-41C2-B7B6-50586DEB291E}"/>
    <cellStyle name="Normal 7 4 2 2 3 3 2 4" xfId="23904" xr:uid="{10B4EE47-E4B6-4C9F-8F9B-E813072D0750}"/>
    <cellStyle name="Normal 7 4 2 2 3 3 2 5" xfId="16893" xr:uid="{560846C8-E1DE-46FA-84D5-6E0A1E87E781}"/>
    <cellStyle name="Normal 7 4 2 2 3 3 3" xfId="6484" xr:uid="{E644DBE3-541B-40C8-92B4-979B48CAF419}"/>
    <cellStyle name="Normal 7 4 2 2 3 3 3 2" xfId="26759" xr:uid="{EF29B157-3F28-427A-9A60-427013D02E7B}"/>
    <cellStyle name="Normal 7 4 2 2 3 3 3 3" xfId="16055" xr:uid="{1FE06237-B8EF-4B4A-87DF-8D30256DE294}"/>
    <cellStyle name="Normal 7 4 2 2 3 3 4" xfId="8508" xr:uid="{131BA1FF-2F34-4CAB-9FAF-FFD263B8D5CF}"/>
    <cellStyle name="Normal 7 4 2 2 3 3 4 2" xfId="18888" xr:uid="{5DD33F91-AF1E-4728-9FD2-0619C4D30824}"/>
    <cellStyle name="Normal 7 4 2 2 3 3 5" xfId="11341" xr:uid="{F2118075-934A-4B2D-9D52-8849DE4DFAC5}"/>
    <cellStyle name="Normal 7 4 2 2 3 3 5 2" xfId="21721" xr:uid="{65AD0D76-46D5-49A7-96BA-698378B9A6D9}"/>
    <cellStyle name="Normal 7 4 2 2 3 3 6" xfId="25451" xr:uid="{19931D9B-BC78-4DC3-9C5D-8AB011A869F4}"/>
    <cellStyle name="Normal 7 4 2 2 3 3 7" xfId="14010" xr:uid="{30436FE3-E892-4A3C-9AAF-5127EB420200}"/>
    <cellStyle name="Normal 7 4 2 2 3 4" xfId="3427" xr:uid="{00000000-0005-0000-0000-00002C080000}"/>
    <cellStyle name="Normal 7 4 2 2 3 4 2" xfId="6482" xr:uid="{0145A01A-8C0D-4942-9FE8-22F0171AF744}"/>
    <cellStyle name="Normal 7 4 2 2 3 4 2 2" xfId="27845" xr:uid="{3410E0E1-AE14-45A2-889A-52221ACFC69D}"/>
    <cellStyle name="Normal 7 4 2 2 3 4 2 3" xfId="16053" xr:uid="{A52495A6-5AA9-4E9E-BDF0-EFF8276F89F3}"/>
    <cellStyle name="Normal 7 4 2 2 3 4 3" xfId="8506" xr:uid="{56280F35-4E24-439D-840E-B4707D391AB0}"/>
    <cellStyle name="Normal 7 4 2 2 3 4 3 2" xfId="18886" xr:uid="{7D4D6F9E-9B54-49DA-A1EA-598AAF4A23C1}"/>
    <cellStyle name="Normal 7 4 2 2 3 4 4" xfId="11339" xr:uid="{D82DF37B-D578-41D8-8329-6A00A5FAE09B}"/>
    <cellStyle name="Normal 7 4 2 2 3 4 4 2" xfId="21719" xr:uid="{0C655F18-F268-41BB-B435-AE9C8265B927}"/>
    <cellStyle name="Normal 7 4 2 2 3 4 5" xfId="24068" xr:uid="{6F5EA0A9-2A0F-402E-AC19-145AD149419F}"/>
    <cellStyle name="Normal 7 4 2 2 3 4 6" xfId="14008" xr:uid="{7C98B0AC-F8F6-48AF-8D84-5BC1B3825922}"/>
    <cellStyle name="Normal 7 4 2 2 3 5" xfId="2604" xr:uid="{00000000-0005-0000-0000-00002D080000}"/>
    <cellStyle name="Normal 7 4 2 2 3 5 2" xfId="5869" xr:uid="{9B980913-7909-488A-A96A-307B69F95091}"/>
    <cellStyle name="Normal 7 4 2 2 3 5 2 2" xfId="26065" xr:uid="{F8FEBCFA-722C-4CE6-B57A-9C376528233E}"/>
    <cellStyle name="Normal 7 4 2 2 3 5 2 3" xfId="15276" xr:uid="{7959C7C0-617C-4C49-847E-D4CE00F20B44}"/>
    <cellStyle name="Normal 7 4 2 2 3 5 3" xfId="7729" xr:uid="{AA5525FD-ABD2-4936-B2C9-A3EA766D674A}"/>
    <cellStyle name="Normal 7 4 2 2 3 5 3 2" xfId="18109" xr:uid="{20327EAC-25A8-4D66-99C1-C5B6B9320D74}"/>
    <cellStyle name="Normal 7 4 2 2 3 5 4" xfId="10562" xr:uid="{FBAAF576-CC6E-4A56-BE24-05C54B2B0106}"/>
    <cellStyle name="Normal 7 4 2 2 3 5 4 2" xfId="20942" xr:uid="{F781C4F9-E94B-4941-95EA-98CAAB8B43DF}"/>
    <cellStyle name="Normal 7 4 2 2 3 5 5" xfId="24934" xr:uid="{37FFB7F8-A60D-44E6-9594-5221A65F1DD6}"/>
    <cellStyle name="Normal 7 4 2 2 3 5 6" xfId="12992" xr:uid="{1B9030B5-E6E5-487A-B343-DEDBFDAA41E5}"/>
    <cellStyle name="Normal 7 4 2 2 3 6" xfId="2394" xr:uid="{00000000-0005-0000-0000-000028080000}"/>
    <cellStyle name="Normal 7 4 2 2 3 6 2" xfId="7521" xr:uid="{5DE4D045-B16F-40E7-A2C9-09EAD26E002E}"/>
    <cellStyle name="Normal 7 4 2 2 3 6 2 2" xfId="17901" xr:uid="{8E32F77A-B3A8-4D1C-A761-C9EC20219E4A}"/>
    <cellStyle name="Normal 7 4 2 2 3 6 3" xfId="10354" xr:uid="{B4AA0635-3228-4837-852E-7E65F4CD2EE9}"/>
    <cellStyle name="Normal 7 4 2 2 3 6 3 2" xfId="20734" xr:uid="{3C551813-CA7E-44BF-AA87-3BEE9180A3FA}"/>
    <cellStyle name="Normal 7 4 2 2 3 6 4" xfId="25118" xr:uid="{F9AA9969-2FC7-478B-A171-64D56D51EFB0}"/>
    <cellStyle name="Normal 7 4 2 2 3 6 5" xfId="15068" xr:uid="{E6CD36DB-B9D7-430B-A8D6-9ED3605181F6}"/>
    <cellStyle name="Normal 7 4 2 2 3 7" xfId="4098" xr:uid="{84B31C01-A54F-4449-BFB1-7622A40FD18D}"/>
    <cellStyle name="Normal 7 4 2 2 3 7 2" xfId="8872" xr:uid="{B5A4DAD8-1C92-4A7D-9E26-C3C3B3CEA1D9}"/>
    <cellStyle name="Normal 7 4 2 2 3 7 2 2" xfId="19252" xr:uid="{A5C368C7-1931-4781-84D1-53CC9C081BF4}"/>
    <cellStyle name="Normal 7 4 2 2 3 7 3" xfId="11705" xr:uid="{E8EE0E5B-E995-465C-ACFE-0CD6E5F87805}"/>
    <cellStyle name="Normal 7 4 2 2 3 7 3 2" xfId="22085" xr:uid="{82B95611-9FE1-4F48-AC51-E361B86E0326}"/>
    <cellStyle name="Normal 7 4 2 2 3 7 4" xfId="16419" xr:uid="{8FC2B307-1BAE-4FFC-B76C-D8E2F45EAFFA}"/>
    <cellStyle name="Normal 7 4 2 2 3 8" xfId="5414" xr:uid="{81B71814-46F5-410E-98DE-E01ABE410EC1}"/>
    <cellStyle name="Normal 7 4 2 2 3 8 2" xfId="14711" xr:uid="{0E5E79B4-AABA-40D1-93D0-96EC3DF21040}"/>
    <cellStyle name="Normal 7 4 2 2 3 9" xfId="7164" xr:uid="{8E7A57FE-91E2-4C45-90E3-D3EA47C763DD}"/>
    <cellStyle name="Normal 7 4 2 2 3 9 2" xfId="17544" xr:uid="{6315F027-416A-4259-8AB1-F01E008A2841}"/>
    <cellStyle name="Normal 7 4 2 2 4" xfId="1397" xr:uid="{00000000-0005-0000-0000-00004C070000}"/>
    <cellStyle name="Normal 7 4 2 2 4 2" xfId="3430" xr:uid="{00000000-0005-0000-0000-00002F080000}"/>
    <cellStyle name="Normal 7 4 2 2 4 2 2" xfId="6485" xr:uid="{DE854B9F-C7C3-4C98-AB57-A65A52D2292B}"/>
    <cellStyle name="Normal 7 4 2 2 4 2 2 2" xfId="26212" xr:uid="{DBFCD840-845A-4E84-9B73-86D0152B4E16}"/>
    <cellStyle name="Normal 7 4 2 2 4 2 2 3" xfId="16056" xr:uid="{A03A2A70-9C9C-4120-A79C-63172CE1B671}"/>
    <cellStyle name="Normal 7 4 2 2 4 2 3" xfId="8509" xr:uid="{C3E4B5E2-5EC1-48B1-87D3-4CD766EE9313}"/>
    <cellStyle name="Normal 7 4 2 2 4 2 3 2" xfId="18889" xr:uid="{7113B987-0C1C-4905-91A9-0380A806233F}"/>
    <cellStyle name="Normal 7 4 2 2 4 2 4" xfId="11342" xr:uid="{E324CF82-4DF2-4155-96CE-89F1E366D390}"/>
    <cellStyle name="Normal 7 4 2 2 4 2 4 2" xfId="21722" xr:uid="{2363E80A-D10F-4807-8ED4-1C6C39B1E359}"/>
    <cellStyle name="Normal 7 4 2 2 4 2 5" xfId="25583" xr:uid="{E1E348D3-57BD-4DD6-9AB5-EB901E0FAB6C}"/>
    <cellStyle name="Normal 7 4 2 2 4 2 6" xfId="14011" xr:uid="{0DA4CF78-0F83-4406-A67A-CF9DE8F73E01}"/>
    <cellStyle name="Normal 7 4 2 2 4 3" xfId="2820" xr:uid="{00000000-0005-0000-0000-000030080000}"/>
    <cellStyle name="Normal 7 4 2 2 4 3 2" xfId="6036" xr:uid="{24275F97-422E-4BB1-91DF-37D0F599D8FB}"/>
    <cellStyle name="Normal 7 4 2 2 4 3 2 2" xfId="27540" xr:uid="{F6968377-A792-4BAA-8DEF-25671046BD29}"/>
    <cellStyle name="Normal 7 4 2 2 4 3 2 3" xfId="15490" xr:uid="{06849532-8AD2-4245-B3BA-0A39C89CAE1C}"/>
    <cellStyle name="Normal 7 4 2 2 4 3 3" xfId="7943" xr:uid="{15C81E93-7640-4B2D-9DE8-A36ECEE0310C}"/>
    <cellStyle name="Normal 7 4 2 2 4 3 3 2" xfId="18323" xr:uid="{99A9ACD3-9FDE-4DAB-8425-0B5051A27DBE}"/>
    <cellStyle name="Normal 7 4 2 2 4 3 4" xfId="10776" xr:uid="{4A543769-6BA3-41B0-B877-B40BFFE14845}"/>
    <cellStyle name="Normal 7 4 2 2 4 3 4 2" xfId="21156" xr:uid="{DD5E8543-D42A-4F51-AA02-9BA778198B7C}"/>
    <cellStyle name="Normal 7 4 2 2 4 3 5" xfId="25024" xr:uid="{27C6B879-2A9B-4C8D-BA52-667BE9BBFD24}"/>
    <cellStyle name="Normal 7 4 2 2 4 3 6" xfId="13291" xr:uid="{3F1C9EFF-1EE5-468D-98E4-2A027A15C17F}"/>
    <cellStyle name="Normal 7 4 2 2 4 4" xfId="4214" xr:uid="{AF788927-74F5-452F-99D4-A4013529F547}"/>
    <cellStyle name="Normal 7 4 2 2 4 4 2" xfId="8986" xr:uid="{B0EBA951-AD08-4382-8B05-A2DD518631AB}"/>
    <cellStyle name="Normal 7 4 2 2 4 4 2 2" xfId="19366" xr:uid="{D7301CE1-D93C-4CD9-A072-15625D17B8F2}"/>
    <cellStyle name="Normal 7 4 2 2 4 4 3" xfId="11819" xr:uid="{D12483FF-D19F-4649-82D2-9B54E11F3A5E}"/>
    <cellStyle name="Normal 7 4 2 2 4 4 3 2" xfId="22199" xr:uid="{2C2FABCD-4C85-4A66-B964-3063584DC531}"/>
    <cellStyle name="Normal 7 4 2 2 4 4 4" xfId="23219" xr:uid="{FFDB1CA5-507F-4DAB-A0B9-501CABACAD1B}"/>
    <cellStyle name="Normal 7 4 2 2 4 4 5" xfId="16533" xr:uid="{BB82FAA5-5C46-4744-8BAC-0FF1BD15A412}"/>
    <cellStyle name="Normal 7 4 2 2 4 5" xfId="5415" xr:uid="{A32B5EEA-BC34-40B9-95D1-4302E6D87236}"/>
    <cellStyle name="Normal 7 4 2 2 4 5 2" xfId="14712" xr:uid="{9F8BB946-6348-4420-9392-37B627CEE59A}"/>
    <cellStyle name="Normal 7 4 2 2 4 6" xfId="7165" xr:uid="{DAEC77F3-1C8C-4B74-98CD-5F3CF2656F7A}"/>
    <cellStyle name="Normal 7 4 2 2 4 6 2" xfId="17545" xr:uid="{C5F6AB9A-C603-467E-A82C-1D4F7268A796}"/>
    <cellStyle name="Normal 7 4 2 2 4 7" xfId="9998" xr:uid="{7B4F8D55-E74C-4B87-85DF-E6E0103E8E29}"/>
    <cellStyle name="Normal 7 4 2 2 4 7 2" xfId="20378" xr:uid="{80880717-1857-4E6D-AAA6-489A85F61717}"/>
    <cellStyle name="Normal 7 4 2 2 4 8" xfId="22731" xr:uid="{467A0ED2-EC90-473C-98DC-8255A53B9A0D}"/>
    <cellStyle name="Normal 7 4 2 2 4 9" xfId="12786" xr:uid="{B8EB3723-98B9-4927-8220-58823A7A3EA0}"/>
    <cellStyle name="Normal 7 4 2 2 5" xfId="3431" xr:uid="{00000000-0005-0000-0000-000031080000}"/>
    <cellStyle name="Normal 7 4 2 2 5 2" xfId="4575" xr:uid="{78168C4A-73C4-480C-89BC-17406287FD18}"/>
    <cellStyle name="Normal 7 4 2 2 5 2 2" xfId="9347" xr:uid="{9A97ED38-B380-4A83-8B19-F1B614E449DD}"/>
    <cellStyle name="Normal 7 4 2 2 5 2 2 2" xfId="29319" xr:uid="{5003FBDD-1731-48B2-8AD5-7F21002AA236}"/>
    <cellStyle name="Normal 7 4 2 2 5 2 2 3" xfId="19727" xr:uid="{3BD19DB3-E67B-4479-98D3-B893BEFF38DC}"/>
    <cellStyle name="Normal 7 4 2 2 5 2 3" xfId="12180" xr:uid="{43C039E7-7DFE-49E4-AE7F-5826F816AEB2}"/>
    <cellStyle name="Normal 7 4 2 2 5 2 3 2" xfId="22560" xr:uid="{096BA791-6996-4584-84AA-D9CBE0015F90}"/>
    <cellStyle name="Normal 7 4 2 2 5 2 4" xfId="24724" xr:uid="{DD6C1391-E73C-4931-8157-1A3511B235BB}"/>
    <cellStyle name="Normal 7 4 2 2 5 2 5" xfId="16894" xr:uid="{D3DA5277-97A8-4766-BC4F-4591FF1ACF9D}"/>
    <cellStyle name="Normal 7 4 2 2 5 3" xfId="6486" xr:uid="{D2CECFD3-E3E1-45D4-B8D5-C698C07FAC0C}"/>
    <cellStyle name="Normal 7 4 2 2 5 3 2" xfId="27893" xr:uid="{8B952244-3AE7-4AC9-B92D-1F402A016B3F}"/>
    <cellStyle name="Normal 7 4 2 2 5 3 3" xfId="16057" xr:uid="{84468F57-E048-4D2F-9D4D-9B0384BCA31B}"/>
    <cellStyle name="Normal 7 4 2 2 5 4" xfId="8510" xr:uid="{1050905F-D263-49CF-BF7D-503786B0BF0B}"/>
    <cellStyle name="Normal 7 4 2 2 5 4 2" xfId="18890" xr:uid="{AC6EDFB1-A6BB-42AB-B4C0-8FBAC5FED5F5}"/>
    <cellStyle name="Normal 7 4 2 2 5 5" xfId="11343" xr:uid="{91EA5473-DB12-4F7C-8707-EE41C8752789}"/>
    <cellStyle name="Normal 7 4 2 2 5 5 2" xfId="21723" xr:uid="{C27FBEAE-9812-4C1F-BCEB-9EB6BFBFF436}"/>
    <cellStyle name="Normal 7 4 2 2 5 6" xfId="24659" xr:uid="{55DEF902-AC61-48A3-9936-6030E825129F}"/>
    <cellStyle name="Normal 7 4 2 2 5 7" xfId="14012" xr:uid="{4A793EBF-9B30-41E3-90F2-E8F159926CFF}"/>
    <cellStyle name="Normal 7 4 2 2 6" xfId="2987" xr:uid="{00000000-0005-0000-0000-000032080000}"/>
    <cellStyle name="Normal 7 4 2 2 6 2" xfId="6137" xr:uid="{885CA862-FE87-40D5-ADAC-98BB7D68F214}"/>
    <cellStyle name="Normal 7 4 2 2 6 2 2" xfId="27498" xr:uid="{49ACB948-396A-49AA-A870-7044B3EA911B}"/>
    <cellStyle name="Normal 7 4 2 2 6 2 3" xfId="15615" xr:uid="{D202C4EE-4D65-4753-BFC1-FBE788747F3B}"/>
    <cellStyle name="Normal 7 4 2 2 6 3" xfId="8068" xr:uid="{0833C992-0921-49C4-A389-00BC17432EBA}"/>
    <cellStyle name="Normal 7 4 2 2 6 3 2" xfId="18448" xr:uid="{9F9D0E9F-93E3-45FC-A672-4611CF490A61}"/>
    <cellStyle name="Normal 7 4 2 2 6 4" xfId="10901" xr:uid="{8C3220A2-8012-4D07-8A6D-9380A4412557}"/>
    <cellStyle name="Normal 7 4 2 2 6 4 2" xfId="21281" xr:uid="{AFC20936-6F30-4750-9EFA-29108B1E674E}"/>
    <cellStyle name="Normal 7 4 2 2 6 5" xfId="23469" xr:uid="{B5523BE2-1C84-426B-9C30-1F58411441F7}"/>
    <cellStyle name="Normal 7 4 2 2 6 6" xfId="13484" xr:uid="{0CE8DA17-6CAF-48C4-B2FB-797ADB368D48}"/>
    <cellStyle name="Normal 7 4 2 2 7" xfId="2501" xr:uid="{00000000-0005-0000-0000-000033080000}"/>
    <cellStyle name="Normal 7 4 2 2 7 2" xfId="5782" xr:uid="{46C9377F-DD9E-44D5-8F35-C6BE65A25261}"/>
    <cellStyle name="Normal 7 4 2 2 7 2 2" xfId="25870" xr:uid="{72470397-EAC5-47B9-B3E6-E56D2566D9C7}"/>
    <cellStyle name="Normal 7 4 2 2 7 2 3" xfId="15173" xr:uid="{FCED73FE-439C-4FA6-9E9D-25114E9837FD}"/>
    <cellStyle name="Normal 7 4 2 2 7 3" xfId="7626" xr:uid="{E1DFBAD9-539B-4F59-92DF-03573E5E2357}"/>
    <cellStyle name="Normal 7 4 2 2 7 3 2" xfId="18006" xr:uid="{F14037E4-6CBB-464A-B082-F6994BEBFE73}"/>
    <cellStyle name="Normal 7 4 2 2 7 4" xfId="10459" xr:uid="{5C931ABC-546B-4A56-8B6E-95BF9B3E6AFE}"/>
    <cellStyle name="Normal 7 4 2 2 7 4 2" xfId="20839" xr:uid="{BC1A531E-9CA5-48AA-9694-781BE8B092DC}"/>
    <cellStyle name="Normal 7 4 2 2 7 5" xfId="22860" xr:uid="{15607B7D-18B4-4FBC-85CD-EB9D6D36980A}"/>
    <cellStyle name="Normal 7 4 2 2 7 6" xfId="12889" xr:uid="{367BFB58-CAD3-4BEE-B092-49B682FDD40F}"/>
    <cellStyle name="Normal 7 4 2 2 8" xfId="2195" xr:uid="{00000000-0005-0000-0000-00001C080000}"/>
    <cellStyle name="Normal 7 4 2 2 8 2" xfId="7322" xr:uid="{64345797-C159-489C-B9AB-E90EFDDCC77B}"/>
    <cellStyle name="Normal 7 4 2 2 8 2 2" xfId="17702" xr:uid="{83898018-8C4E-49CD-AB1F-68F2D2107E22}"/>
    <cellStyle name="Normal 7 4 2 2 8 3" xfId="10155" xr:uid="{AEE4DB54-113D-496D-A6BA-21276E3D7174}"/>
    <cellStyle name="Normal 7 4 2 2 8 3 2" xfId="20535" xr:uid="{E20F4350-BDB8-4826-B5DD-03E6AAC176D1}"/>
    <cellStyle name="Normal 7 4 2 2 8 4" xfId="24477" xr:uid="{6748E8E5-C49F-4643-B884-0DF9EA494750}"/>
    <cellStyle name="Normal 7 4 2 2 8 5" xfId="14869" xr:uid="{2F78EB13-F436-4C1B-AB68-EA67F7FD673A}"/>
    <cellStyle name="Normal 7 4 2 2 9" xfId="4062" xr:uid="{B46ABEFD-6A47-473A-8BDD-11556DF654C9}"/>
    <cellStyle name="Normal 7 4 2 2 9 2" xfId="8842" xr:uid="{6A88DBD8-B30B-495C-9794-291636DE9245}"/>
    <cellStyle name="Normal 7 4 2 2 9 2 2" xfId="19222" xr:uid="{56DD4781-EC25-48C9-8956-143684A094E4}"/>
    <cellStyle name="Normal 7 4 2 2 9 3" xfId="11675" xr:uid="{96E2148F-38BA-4368-9C18-4583791661D9}"/>
    <cellStyle name="Normal 7 4 2 2 9 3 2" xfId="22055" xr:uid="{56527C18-0767-4D85-8767-7287DF8BF451}"/>
    <cellStyle name="Normal 7 4 2 2 9 4" xfId="16389" xr:uid="{E56B323C-EBC0-46DD-A85E-3742D3AE952D}"/>
    <cellStyle name="Normal 7 4 2 3" xfId="1398" xr:uid="{00000000-0005-0000-0000-00004D070000}"/>
    <cellStyle name="Normal 7 4 2 3 10" xfId="5416" xr:uid="{8C8B1CD1-B6A5-467A-AF9D-289D82C2FFFB}"/>
    <cellStyle name="Normal 7 4 2 3 10 2" xfId="14713" xr:uid="{21D404C2-C36B-4169-9640-42A10BE97DDF}"/>
    <cellStyle name="Normal 7 4 2 3 11" xfId="7166" xr:uid="{F92BC005-23EB-41B2-B765-2A0FE05AC736}"/>
    <cellStyle name="Normal 7 4 2 3 11 2" xfId="17546" xr:uid="{65E3839C-1678-4AEC-8D8C-51D5A32A56E8}"/>
    <cellStyle name="Normal 7 4 2 3 12" xfId="9999" xr:uid="{0EC2392F-3625-4F96-9DAB-9E858D9CC39D}"/>
    <cellStyle name="Normal 7 4 2 3 12 2" xfId="20379" xr:uid="{5E763089-B5F7-403B-A0B8-4A022F793850}"/>
    <cellStyle name="Normal 7 4 2 3 13" xfId="25307" xr:uid="{EF046668-5702-44D2-A5A8-4FA36487B8F4}"/>
    <cellStyle name="Normal 7 4 2 3 14" xfId="12464" xr:uid="{926B9C07-A69D-46C1-8504-A0DB3191A336}"/>
    <cellStyle name="Normal 7 4 2 3 2" xfId="1399" xr:uid="{00000000-0005-0000-0000-00004E070000}"/>
    <cellStyle name="Normal 7 4 2 3 2 10" xfId="10000" xr:uid="{5588C031-AFDD-4BE2-9229-BC3BD3EBC009}"/>
    <cellStyle name="Normal 7 4 2 3 2 10 2" xfId="20380" xr:uid="{F217E0CF-C98E-4E1A-8A60-62A17BF0C8CD}"/>
    <cellStyle name="Normal 7 4 2 3 2 11" xfId="23985" xr:uid="{01B31655-4E45-48D9-9082-25E466419FA4}"/>
    <cellStyle name="Normal 7 4 2 3 2 12" xfId="12629" xr:uid="{E49CE596-0D0E-40CB-BEE2-1F84B8F33F28}"/>
    <cellStyle name="Normal 7 4 2 3 2 2" xfId="1400" xr:uid="{00000000-0005-0000-0000-00004F070000}"/>
    <cellStyle name="Normal 7 4 2 3 2 2 2" xfId="3433" xr:uid="{00000000-0005-0000-0000-000037080000}"/>
    <cellStyle name="Normal 7 4 2 3 2 2 2 2" xfId="6488" xr:uid="{B5711F0C-69AE-405C-82A4-C50BB7635633}"/>
    <cellStyle name="Normal 7 4 2 3 2 2 2 2 2" xfId="26505" xr:uid="{4F476C45-06B1-4A1C-8FBE-97090F2C0ADB}"/>
    <cellStyle name="Normal 7 4 2 3 2 2 2 2 3" xfId="26718" xr:uid="{A1CC0F1C-2CDE-4CEF-A835-41421DF29779}"/>
    <cellStyle name="Normal 7 4 2 3 2 2 2 2 4" xfId="16059" xr:uid="{1D09D644-9147-4F27-BED0-6864D311252F}"/>
    <cellStyle name="Normal 7 4 2 3 2 2 2 3" xfId="8512" xr:uid="{1C1CC2A1-1791-44D2-9246-28DEAE3821D5}"/>
    <cellStyle name="Normal 7 4 2 3 2 2 2 3 2" xfId="28935" xr:uid="{F1D6C972-A649-4FD9-B89B-CBDEF201CAB7}"/>
    <cellStyle name="Normal 7 4 2 3 2 2 2 3 3" xfId="18892" xr:uid="{5C5434A2-6896-4D07-B9E7-D8D82C5C623A}"/>
    <cellStyle name="Normal 7 4 2 3 2 2 2 4" xfId="11345" xr:uid="{FDAF0EA0-01A3-4844-8556-E87D3F1E5ACD}"/>
    <cellStyle name="Normal 7 4 2 3 2 2 2 4 2" xfId="21725" xr:uid="{9C519726-F498-488E-8980-E268B30F4178}"/>
    <cellStyle name="Normal 7 4 2 3 2 2 2 5" xfId="22686" xr:uid="{87F2C3F5-A3D9-46E5-9054-DB46D45E0E43}"/>
    <cellStyle name="Normal 7 4 2 3 2 2 2 6" xfId="14014" xr:uid="{2443BE42-3CF5-49B0-A3F3-FF7D45A9F30F}"/>
    <cellStyle name="Normal 7 4 2 3 2 2 3" xfId="4364" xr:uid="{94ED94A1-9A2F-43F9-AD2A-2B7E741A6D11}"/>
    <cellStyle name="Normal 7 4 2 3 2 2 3 2" xfId="9136" xr:uid="{9D0221DB-8492-4F03-9F62-C2E33F5D3E44}"/>
    <cellStyle name="Normal 7 4 2 3 2 2 3 2 2" xfId="29179" xr:uid="{73FD9858-82EC-48B7-BFC1-460341C59EFC}"/>
    <cellStyle name="Normal 7 4 2 3 2 2 3 2 3" xfId="19516" xr:uid="{611FEC59-E05B-4872-AAB2-BA060EE4B03C}"/>
    <cellStyle name="Normal 7 4 2 3 2 2 3 3" xfId="11969" xr:uid="{EB953968-C471-4F4C-BB25-E40106971C45}"/>
    <cellStyle name="Normal 7 4 2 3 2 2 3 3 2" xfId="22349" xr:uid="{B6CFFBD0-63E0-4BCC-969D-A7B6D53C40F3}"/>
    <cellStyle name="Normal 7 4 2 3 2 2 3 4" xfId="25023" xr:uid="{4A5EC857-2DC5-43FA-A0AC-A85F6EE6E7D8}"/>
    <cellStyle name="Normal 7 4 2 3 2 2 3 5" xfId="16683" xr:uid="{3B099161-2D2C-429D-96F3-9C20BEF4CDE6}"/>
    <cellStyle name="Normal 7 4 2 3 2 2 4" xfId="5418" xr:uid="{96CF66A8-42E5-4B3B-96C8-8A517147CC2B}"/>
    <cellStyle name="Normal 7 4 2 3 2 2 4 2" xfId="27816" xr:uid="{AD6500D6-0323-4E3D-BFB9-FE86937C92D9}"/>
    <cellStyle name="Normal 7 4 2 3 2 2 4 3" xfId="14715" xr:uid="{E967BE07-A5EB-44DD-80AF-7B7F90E96CE9}"/>
    <cellStyle name="Normal 7 4 2 3 2 2 5" xfId="7168" xr:uid="{4A58DC75-3200-4A55-BF2E-8D02B3B3027A}"/>
    <cellStyle name="Normal 7 4 2 3 2 2 5 2" xfId="17548" xr:uid="{B4DBFDA8-F731-44B4-A5C8-38B1A02EFB99}"/>
    <cellStyle name="Normal 7 4 2 3 2 2 6" xfId="10001" xr:uid="{3BB54544-8FBE-4D44-8549-7B26B4B44331}"/>
    <cellStyle name="Normal 7 4 2 3 2 2 6 2" xfId="20381" xr:uid="{AC76AF71-A62D-486B-A89B-3B19ECAB6D74}"/>
    <cellStyle name="Normal 7 4 2 3 2 2 7" xfId="24752" xr:uid="{7A7D9510-388F-40E2-93BA-E578E4F7EB8A}"/>
    <cellStyle name="Normal 7 4 2 3 2 2 8" xfId="13296" xr:uid="{E20C0592-D624-47A1-8A09-3E08B884C0C3}"/>
    <cellStyle name="Normal 7 4 2 3 2 3" xfId="3434" xr:uid="{00000000-0005-0000-0000-000038080000}"/>
    <cellStyle name="Normal 7 4 2 3 2 3 2" xfId="4576" xr:uid="{2642E171-E0CB-448E-A027-84AFC3E96FF0}"/>
    <cellStyle name="Normal 7 4 2 3 2 3 2 2" xfId="9348" xr:uid="{E3CF8F99-F321-47E5-8144-93F8FFDF976B}"/>
    <cellStyle name="Normal 7 4 2 3 2 3 2 2 2" xfId="29320" xr:uid="{2AFC9CEB-FECE-483F-953A-ABED321E6D20}"/>
    <cellStyle name="Normal 7 4 2 3 2 3 2 2 3" xfId="19728" xr:uid="{9E02E87D-686E-4317-A85D-2D4A33FB2F14}"/>
    <cellStyle name="Normal 7 4 2 3 2 3 2 3" xfId="12181" xr:uid="{EA7BD2D8-D8F8-40C1-9999-4CA79988ED7C}"/>
    <cellStyle name="Normal 7 4 2 3 2 3 2 3 2" xfId="22561" xr:uid="{7AEC5018-3A1E-4DA7-9E36-844371F7337F}"/>
    <cellStyle name="Normal 7 4 2 3 2 3 2 4" xfId="25099" xr:uid="{613729BE-7B7A-48DF-A98A-0324D9CC7896}"/>
    <cellStyle name="Normal 7 4 2 3 2 3 2 5" xfId="16895" xr:uid="{08FDC1C4-6ABA-4A7B-9145-1036EAE26631}"/>
    <cellStyle name="Normal 7 4 2 3 2 3 3" xfId="6489" xr:uid="{A85781ED-52CB-4A90-A96A-E63D87C24D21}"/>
    <cellStyle name="Normal 7 4 2 3 2 3 3 2" xfId="27452" xr:uid="{E8747902-D10F-4291-A934-5E04B75CFAE1}"/>
    <cellStyle name="Normal 7 4 2 3 2 3 3 3" xfId="16060" xr:uid="{4C667BEE-63E7-4B09-92CA-0572ADDEB1EC}"/>
    <cellStyle name="Normal 7 4 2 3 2 3 4" xfId="8513" xr:uid="{DB351BA3-2D9D-48BF-B486-C6C168BBEB17}"/>
    <cellStyle name="Normal 7 4 2 3 2 3 4 2" xfId="18893" xr:uid="{E44ED893-5F25-4E3F-BE3A-67E7D345A5EC}"/>
    <cellStyle name="Normal 7 4 2 3 2 3 5" xfId="11346" xr:uid="{B587B2D2-AFDD-4667-88BF-2211E7ED11D2}"/>
    <cellStyle name="Normal 7 4 2 3 2 3 5 2" xfId="21726" xr:uid="{5A319EE7-CECC-42E9-A6E7-D127ED4CD35D}"/>
    <cellStyle name="Normal 7 4 2 3 2 3 6" xfId="25301" xr:uid="{CF1B8EA8-E6A9-405A-B0B1-88D81E32A375}"/>
    <cellStyle name="Normal 7 4 2 3 2 3 7" xfId="14015" xr:uid="{B01ACE33-B4E8-43F8-BFDB-E16A54A75E6D}"/>
    <cellStyle name="Normal 7 4 2 3 2 4" xfId="3432" xr:uid="{00000000-0005-0000-0000-000039080000}"/>
    <cellStyle name="Normal 7 4 2 3 2 4 2" xfId="6487" xr:uid="{0F5A270F-CC57-4C4F-8E41-A53C6D61C272}"/>
    <cellStyle name="Normal 7 4 2 3 2 4 2 2" xfId="26272" xr:uid="{D6E1A9D1-6A68-4A92-9169-C0FA00208013}"/>
    <cellStyle name="Normal 7 4 2 3 2 4 2 3" xfId="16058" xr:uid="{AC5BD39D-70ED-499C-9F51-3E20DE39736E}"/>
    <cellStyle name="Normal 7 4 2 3 2 4 3" xfId="8511" xr:uid="{B706C03C-E70D-4BCA-9CE0-4834839726DE}"/>
    <cellStyle name="Normal 7 4 2 3 2 4 3 2" xfId="18891" xr:uid="{E048BDE4-74AA-49D5-B59D-D9B122159339}"/>
    <cellStyle name="Normal 7 4 2 3 2 4 4" xfId="11344" xr:uid="{DEDFD41D-4637-49F9-BFC8-CC4D2E008799}"/>
    <cellStyle name="Normal 7 4 2 3 2 4 4 2" xfId="21724" xr:uid="{4DA0E474-79B4-4059-B33A-2081634E2A56}"/>
    <cellStyle name="Normal 7 4 2 3 2 4 5" xfId="23471" xr:uid="{8C0CA739-0F46-4DDD-87A1-47C7895853FE}"/>
    <cellStyle name="Normal 7 4 2 3 2 4 6" xfId="14013" xr:uid="{737988B7-65EB-407D-A127-003ECFEE0F2E}"/>
    <cellStyle name="Normal 7 4 2 3 2 5" xfId="2538" xr:uid="{00000000-0005-0000-0000-00003A080000}"/>
    <cellStyle name="Normal 7 4 2 3 2 5 2" xfId="5812" xr:uid="{1FF86231-FF17-4F99-9AA4-D3098D8340C4}"/>
    <cellStyle name="Normal 7 4 2 3 2 5 2 2" xfId="26910" xr:uid="{1652A80E-0B7D-4869-A929-DC2770F88CCD}"/>
    <cellStyle name="Normal 7 4 2 3 2 5 2 3" xfId="15210" xr:uid="{9E8D374D-BAA5-48ED-BB4D-D94F454DEAB9}"/>
    <cellStyle name="Normal 7 4 2 3 2 5 3" xfId="7663" xr:uid="{E1E3EA2A-6393-4AC6-88C9-53712DCC99DC}"/>
    <cellStyle name="Normal 7 4 2 3 2 5 3 2" xfId="18043" xr:uid="{52BA3E61-3442-48B0-B883-612F079E78EA}"/>
    <cellStyle name="Normal 7 4 2 3 2 5 4" xfId="10496" xr:uid="{2D002C16-09DD-442E-AAE6-5C36392980DF}"/>
    <cellStyle name="Normal 7 4 2 3 2 5 4 2" xfId="20876" xr:uid="{B5904AE0-E809-4B49-A05D-121E783BAB2C}"/>
    <cellStyle name="Normal 7 4 2 3 2 5 5" xfId="23657" xr:uid="{A8F13F01-3955-4204-94B5-CBA77FE6FEF6}"/>
    <cellStyle name="Normal 7 4 2 3 2 5 6" xfId="12926" xr:uid="{F3CD5672-035A-4289-B6D9-3CE91F6189F6}"/>
    <cellStyle name="Normal 7 4 2 3 2 6" xfId="2395" xr:uid="{00000000-0005-0000-0000-000035080000}"/>
    <cellStyle name="Normal 7 4 2 3 2 6 2" xfId="7522" xr:uid="{0F39950D-8652-4161-ABDC-3F642EF46C94}"/>
    <cellStyle name="Normal 7 4 2 3 2 6 2 2" xfId="17902" xr:uid="{213839AF-EC2F-4D5D-9374-405FAC963988}"/>
    <cellStyle name="Normal 7 4 2 3 2 6 3" xfId="10355" xr:uid="{80B4AC85-96A1-4097-92B0-A8BF0291253D}"/>
    <cellStyle name="Normal 7 4 2 3 2 6 3 2" xfId="20735" xr:uid="{D46D3BF5-6AB5-4BC9-813A-92A4BF4D2CCB}"/>
    <cellStyle name="Normal 7 4 2 3 2 6 4" xfId="23911" xr:uid="{962BD4BA-EE7D-4E41-A1DB-0FC519780464}"/>
    <cellStyle name="Normal 7 4 2 3 2 6 5" xfId="15069" xr:uid="{A9A21AE6-B312-4991-9739-5ADFDAE34C66}"/>
    <cellStyle name="Normal 7 4 2 3 2 7" xfId="4099" xr:uid="{C102413C-8FEF-4D40-933E-3702638B6733}"/>
    <cellStyle name="Normal 7 4 2 3 2 7 2" xfId="8873" xr:uid="{EA41D6F8-913E-4966-A34F-2E0387505A15}"/>
    <cellStyle name="Normal 7 4 2 3 2 7 2 2" xfId="19253" xr:uid="{1E98A5DD-80D7-432B-922E-17A65C89C845}"/>
    <cellStyle name="Normal 7 4 2 3 2 7 3" xfId="11706" xr:uid="{7F139A08-1225-4F51-B75A-DD915D734B23}"/>
    <cellStyle name="Normal 7 4 2 3 2 7 3 2" xfId="22086" xr:uid="{FD6D2266-D976-4DC2-ACE7-23BB555E0D56}"/>
    <cellStyle name="Normal 7 4 2 3 2 7 4" xfId="16420" xr:uid="{3E15CA83-7512-407A-9EF5-1D6F5C6CEF29}"/>
    <cellStyle name="Normal 7 4 2 3 2 8" xfId="5417" xr:uid="{DE81DCA1-8885-4BEF-852E-1027D0916375}"/>
    <cellStyle name="Normal 7 4 2 3 2 8 2" xfId="14714" xr:uid="{CFE9DFE0-EF44-4FBE-8B56-133E5B4BEDD9}"/>
    <cellStyle name="Normal 7 4 2 3 2 9" xfId="7167" xr:uid="{1B4BA926-DEEE-4563-AF66-B8E391B5C91A}"/>
    <cellStyle name="Normal 7 4 2 3 2 9 2" xfId="17547" xr:uid="{DF10D89F-BCCA-4387-80B6-AB7E05C0C1C7}"/>
    <cellStyle name="Normal 7 4 2 3 3" xfId="1401" xr:uid="{00000000-0005-0000-0000-000050070000}"/>
    <cellStyle name="Normal 7 4 2 3 3 10" xfId="25005" xr:uid="{74A6D7E1-902E-4E7E-BB83-92D9A50C5297}"/>
    <cellStyle name="Normal 7 4 2 3 3 11" xfId="12787" xr:uid="{DF1EF04B-825C-4097-B6A5-99B5D581394A}"/>
    <cellStyle name="Normal 7 4 2 3 3 2" xfId="2824" xr:uid="{00000000-0005-0000-0000-00003C080000}"/>
    <cellStyle name="Normal 7 4 2 3 3 2 2" xfId="3436" xr:uid="{00000000-0005-0000-0000-00003D080000}"/>
    <cellStyle name="Normal 7 4 2 3 3 2 2 2" xfId="6491" xr:uid="{01988EE1-718A-4D93-8EA9-01FEC39B7208}"/>
    <cellStyle name="Normal 7 4 2 3 3 2 2 2 2" xfId="27744" xr:uid="{DDDDBCEC-506F-4A4E-8ADA-6C2ED5B7708E}"/>
    <cellStyle name="Normal 7 4 2 3 3 2 2 2 3" xfId="16062" xr:uid="{89BA0241-2803-49ED-BE9F-8943AE6E1206}"/>
    <cellStyle name="Normal 7 4 2 3 3 2 2 3" xfId="8515" xr:uid="{57CC34DA-9FBC-43E8-B8D4-EE855EA529F4}"/>
    <cellStyle name="Normal 7 4 2 3 3 2 2 3 2" xfId="18895" xr:uid="{70373274-7FA2-4375-8681-1D2E5ABC0984}"/>
    <cellStyle name="Normal 7 4 2 3 3 2 2 4" xfId="11348" xr:uid="{96B8BDCB-0773-48FE-B053-58ECC4AE6CA5}"/>
    <cellStyle name="Normal 7 4 2 3 3 2 2 4 2" xfId="21728" xr:uid="{3DD57718-6B56-4187-80A9-86ECE7EB5B36}"/>
    <cellStyle name="Normal 7 4 2 3 3 2 2 5" xfId="25258" xr:uid="{2709D340-B516-41A4-B702-79E3836CB00E}"/>
    <cellStyle name="Normal 7 4 2 3 3 2 2 6" xfId="14017" xr:uid="{FC196B02-C99F-4F05-AF34-81F7EDF26714}"/>
    <cellStyle name="Normal 7 4 2 3 3 2 3" xfId="4365" xr:uid="{044F8DE7-ED5B-44A8-8944-6EEABE281F31}"/>
    <cellStyle name="Normal 7 4 2 3 3 2 3 2" xfId="9137" xr:uid="{9EC70713-1A6D-4A67-AF71-358173D64B51}"/>
    <cellStyle name="Normal 7 4 2 3 3 2 3 2 2" xfId="29180" xr:uid="{E676AA79-59EC-4D99-BA27-D7C7A3D23B77}"/>
    <cellStyle name="Normal 7 4 2 3 3 2 3 2 3" xfId="19517" xr:uid="{93731995-B6CE-4607-83F9-73A445DC8241}"/>
    <cellStyle name="Normal 7 4 2 3 3 2 3 3" xfId="11970" xr:uid="{FD7213D9-84F2-45D8-9669-3B61C7E6F6B6}"/>
    <cellStyle name="Normal 7 4 2 3 3 2 3 3 2" xfId="22350" xr:uid="{41AD50BB-7707-40C2-8171-0850E08E0658}"/>
    <cellStyle name="Normal 7 4 2 3 3 2 3 4" xfId="24560" xr:uid="{98B05C9D-ACE6-429A-BFF4-DE3CDFB4569C}"/>
    <cellStyle name="Normal 7 4 2 3 3 2 3 5" xfId="16684" xr:uid="{73E77EB9-E214-455C-8263-A7ED96CD922A}"/>
    <cellStyle name="Normal 7 4 2 3 3 2 4" xfId="6040" xr:uid="{97B9107C-B400-43A1-94BE-40E8FCF146F7}"/>
    <cellStyle name="Normal 7 4 2 3 3 2 4 2" xfId="26455" xr:uid="{8603C08A-6BAE-48DD-AC36-B7AFF09BD670}"/>
    <cellStyle name="Normal 7 4 2 3 3 2 4 3" xfId="15494" xr:uid="{8C9EFA2E-B869-4243-AA5B-9CDAB3C94349}"/>
    <cellStyle name="Normal 7 4 2 3 3 2 5" xfId="7947" xr:uid="{968E5FC0-D0EB-4CA0-95F7-57CF3055E9F1}"/>
    <cellStyle name="Normal 7 4 2 3 3 2 5 2" xfId="18327" xr:uid="{993F9A40-5237-4F93-A0F2-099B4A3B0164}"/>
    <cellStyle name="Normal 7 4 2 3 3 2 6" xfId="10780" xr:uid="{B31B16F7-43DD-48E9-96C0-21C8479A3D7D}"/>
    <cellStyle name="Normal 7 4 2 3 3 2 6 2" xfId="21160" xr:uid="{36FB3E83-4021-4952-B75D-573410442A6A}"/>
    <cellStyle name="Normal 7 4 2 3 3 2 7" xfId="23931" xr:uid="{6B5F3540-BA25-469E-81B0-2DF3A40D8EB9}"/>
    <cellStyle name="Normal 7 4 2 3 3 2 8" xfId="13297" xr:uid="{732B9084-E958-4E44-B824-C9EA722BEF3B}"/>
    <cellStyle name="Normal 7 4 2 3 3 3" xfId="3437" xr:uid="{00000000-0005-0000-0000-00003E080000}"/>
    <cellStyle name="Normal 7 4 2 3 3 3 2" xfId="4577" xr:uid="{1DE9A599-11DA-4A6B-B5D2-21E553D70940}"/>
    <cellStyle name="Normal 7 4 2 3 3 3 2 2" xfId="9349" xr:uid="{49E7BF0F-4AAC-4702-AD80-471A65E7758E}"/>
    <cellStyle name="Normal 7 4 2 3 3 3 2 2 2" xfId="29321" xr:uid="{3B0DCB07-3523-46FB-9843-9AE8184E369C}"/>
    <cellStyle name="Normal 7 4 2 3 3 3 2 2 3" xfId="19729" xr:uid="{AD2E44D6-2FBD-4923-88D1-488B7DA0CCDE}"/>
    <cellStyle name="Normal 7 4 2 3 3 3 2 3" xfId="12182" xr:uid="{35C721A0-2FB9-46B8-A96C-0ACB99ED22D6}"/>
    <cellStyle name="Normal 7 4 2 3 3 3 2 3 2" xfId="22562" xr:uid="{4B4D8D67-3A9A-4762-B45E-9A02DE558232}"/>
    <cellStyle name="Normal 7 4 2 3 3 3 2 4" xfId="25152" xr:uid="{0CB06BCC-FE1E-4396-84B4-96541123C57E}"/>
    <cellStyle name="Normal 7 4 2 3 3 3 2 5" xfId="16896" xr:uid="{5669AC14-9F07-49DE-8DB0-48D0A5DCE652}"/>
    <cellStyle name="Normal 7 4 2 3 3 3 3" xfId="6492" xr:uid="{6E004533-E227-4A58-982A-FC863249EA28}"/>
    <cellStyle name="Normal 7 4 2 3 3 3 3 2" xfId="27091" xr:uid="{C7D07C9F-5701-46BE-A5D6-5D77DCF51F32}"/>
    <cellStyle name="Normal 7 4 2 3 3 3 3 3" xfId="16063" xr:uid="{8BEB9FAD-E7A7-4220-BF00-42F898B98964}"/>
    <cellStyle name="Normal 7 4 2 3 3 3 4" xfId="8516" xr:uid="{FC7C918C-5F82-4FD3-BB2C-2A53357A39F8}"/>
    <cellStyle name="Normal 7 4 2 3 3 3 4 2" xfId="18896" xr:uid="{8CABCAA1-2F74-4979-9477-FD78D1234EE4}"/>
    <cellStyle name="Normal 7 4 2 3 3 3 5" xfId="11349" xr:uid="{925745D4-0F3C-4630-9E3A-01AA31B7C960}"/>
    <cellStyle name="Normal 7 4 2 3 3 3 5 2" xfId="21729" xr:uid="{2F7FDD73-9CF4-4B93-972F-C3131E21665D}"/>
    <cellStyle name="Normal 7 4 2 3 3 3 6" xfId="22708" xr:uid="{F47530FB-C22E-481F-B2EB-AB0C7C194DCE}"/>
    <cellStyle name="Normal 7 4 2 3 3 3 7" xfId="14018" xr:uid="{3F06C1D1-5B71-4E2B-B2C2-FA72A14FBE59}"/>
    <cellStyle name="Normal 7 4 2 3 3 4" xfId="3435" xr:uid="{00000000-0005-0000-0000-00003F080000}"/>
    <cellStyle name="Normal 7 4 2 3 3 4 2" xfId="6490" xr:uid="{FE52D829-CEA9-43C9-9D05-BBE66D0237DF}"/>
    <cellStyle name="Normal 7 4 2 3 3 4 2 2" xfId="27047" xr:uid="{BB9D64A2-FF5A-434D-A24C-5D893C99AFCB}"/>
    <cellStyle name="Normal 7 4 2 3 3 4 2 3" xfId="16061" xr:uid="{5CBC3A4C-9AB1-4197-9072-4BE3E22218D5}"/>
    <cellStyle name="Normal 7 4 2 3 3 4 3" xfId="8514" xr:uid="{95B1BDFE-76EF-48D5-AE18-97DF9EAC4EF1}"/>
    <cellStyle name="Normal 7 4 2 3 3 4 3 2" xfId="18894" xr:uid="{E65410F0-F8B8-44EE-A42E-4231B11984F9}"/>
    <cellStyle name="Normal 7 4 2 3 3 4 4" xfId="11347" xr:uid="{FFCBB6BC-06D1-4F6E-B3AD-2CAE67AF6682}"/>
    <cellStyle name="Normal 7 4 2 3 3 4 4 2" xfId="21727" xr:uid="{6D36AA51-6251-47A6-BEA6-E61346442579}"/>
    <cellStyle name="Normal 7 4 2 3 3 4 5" xfId="23530" xr:uid="{CA63C1D9-529A-4458-A521-F58739AAC9A2}"/>
    <cellStyle name="Normal 7 4 2 3 3 4 6" xfId="14016" xr:uid="{34CE9732-A922-4B0C-813D-1BA3CCDE518D}"/>
    <cellStyle name="Normal 7 4 2 3 3 5" xfId="2640" xr:uid="{00000000-0005-0000-0000-000040080000}"/>
    <cellStyle name="Normal 7 4 2 3 3 5 2" xfId="5902" xr:uid="{06DEE614-DB1E-40C6-98B8-655A5BC840AD}"/>
    <cellStyle name="Normal 7 4 2 3 3 5 2 2" xfId="28085" xr:uid="{E73C0A48-5010-4AF4-BFF8-2779B38CAAE9}"/>
    <cellStyle name="Normal 7 4 2 3 3 5 2 3" xfId="15312" xr:uid="{CD10D29B-1BB9-4033-A72C-20650EA7939B}"/>
    <cellStyle name="Normal 7 4 2 3 3 5 3" xfId="7765" xr:uid="{AAF63A09-5ED6-4AC6-B134-9B9A07206138}"/>
    <cellStyle name="Normal 7 4 2 3 3 5 3 2" xfId="18145" xr:uid="{C28E0031-6504-4AF1-8743-859347CDA388}"/>
    <cellStyle name="Normal 7 4 2 3 3 5 4" xfId="10598" xr:uid="{10CF1869-835D-47E8-8557-5FB1FB45379C}"/>
    <cellStyle name="Normal 7 4 2 3 3 5 4 2" xfId="20978" xr:uid="{02BFD86F-D7FB-4B45-AD29-59895ECBED70}"/>
    <cellStyle name="Normal 7 4 2 3 3 5 5" xfId="24392" xr:uid="{3642CC08-061D-412D-B772-B9BBC8C52747}"/>
    <cellStyle name="Normal 7 4 2 3 3 5 6" xfId="13029" xr:uid="{F2805A81-7243-41C4-92ED-D905A26F3587}"/>
    <cellStyle name="Normal 7 4 2 3 3 6" xfId="4215" xr:uid="{2B11B9DA-3A35-4419-B17F-06112D4DA6AE}"/>
    <cellStyle name="Normal 7 4 2 3 3 6 2" xfId="8987" xr:uid="{55144603-3E18-4EA5-90FC-CC93302FD65D}"/>
    <cellStyle name="Normal 7 4 2 3 3 6 2 2" xfId="19367" xr:uid="{7E7540F5-7CC3-4663-A2BB-5954148FA671}"/>
    <cellStyle name="Normal 7 4 2 3 3 6 3" xfId="11820" xr:uid="{848B8CAE-D016-4566-9EB8-B0DB71A665C1}"/>
    <cellStyle name="Normal 7 4 2 3 3 6 3 2" xfId="22200" xr:uid="{A73647F4-93CF-430B-B492-4A6BD9BE71CC}"/>
    <cellStyle name="Normal 7 4 2 3 3 6 4" xfId="22748" xr:uid="{1023BC0F-D3FA-4D97-B691-C203FC4AE763}"/>
    <cellStyle name="Normal 7 4 2 3 3 6 5" xfId="16534" xr:uid="{45CFAB6B-5A5A-4FBC-A74B-53002E84D396}"/>
    <cellStyle name="Normal 7 4 2 3 3 7" xfId="5419" xr:uid="{35CB26D5-D276-425C-BAEA-79EE79A1F237}"/>
    <cellStyle name="Normal 7 4 2 3 3 7 2" xfId="14716" xr:uid="{33CBB5DD-991C-4EF6-BD53-3DB90CCF121C}"/>
    <cellStyle name="Normal 7 4 2 3 3 8" xfId="7169" xr:uid="{AC6F9BAC-8D75-4682-834E-C6C99FF0AE1D}"/>
    <cellStyle name="Normal 7 4 2 3 3 8 2" xfId="17549" xr:uid="{C320B0C3-2ADA-4F75-B0F5-3D83AFF2FB73}"/>
    <cellStyle name="Normal 7 4 2 3 3 9" xfId="10002" xr:uid="{DE4E08E6-0590-4940-A5A1-118E1F7254D1}"/>
    <cellStyle name="Normal 7 4 2 3 3 9 2" xfId="20382" xr:uid="{EAAF0476-701F-43F9-935E-525B6C9B205C}"/>
    <cellStyle name="Normal 7 4 2 3 4" xfId="1402" xr:uid="{00000000-0005-0000-0000-000051070000}"/>
    <cellStyle name="Normal 7 4 2 3 4 2" xfId="3438" xr:uid="{00000000-0005-0000-0000-000042080000}"/>
    <cellStyle name="Normal 7 4 2 3 4 2 2" xfId="6493" xr:uid="{6B211D80-0DCD-44B2-BE9D-58814ECC93F8}"/>
    <cellStyle name="Normal 7 4 2 3 4 2 2 2" xfId="26409" xr:uid="{105A0BFE-232B-4E6F-9EFD-C683CCCE8D3D}"/>
    <cellStyle name="Normal 7 4 2 3 4 2 2 3" xfId="16064" xr:uid="{0853C75B-EACD-4A0D-B8A4-3BB768EA7535}"/>
    <cellStyle name="Normal 7 4 2 3 4 2 3" xfId="8517" xr:uid="{C5E36588-58E5-4EDA-B035-E11519CAF348}"/>
    <cellStyle name="Normal 7 4 2 3 4 2 3 2" xfId="18897" xr:uid="{4B35EC2E-817E-4379-9348-55F7384F7A7A}"/>
    <cellStyle name="Normal 7 4 2 3 4 2 4" xfId="11350" xr:uid="{D795733E-893B-43A1-9D31-A3FD808972AA}"/>
    <cellStyle name="Normal 7 4 2 3 4 2 4 2" xfId="21730" xr:uid="{2B197E8E-C719-42DD-80FA-C4863AF729E3}"/>
    <cellStyle name="Normal 7 4 2 3 4 2 5" xfId="23234" xr:uid="{B2433BA5-93B2-48C3-8C0E-A022BC6B3F0A}"/>
    <cellStyle name="Normal 7 4 2 3 4 2 6" xfId="14019" xr:uid="{ECBC3F6B-B96E-4288-8DBF-45F6589C947D}"/>
    <cellStyle name="Normal 7 4 2 3 4 3" xfId="4363" xr:uid="{B22B2C28-8B7E-4D9A-BB80-121388E1EADB}"/>
    <cellStyle name="Normal 7 4 2 3 4 3 2" xfId="9135" xr:uid="{5B75D42C-5855-4C09-BEF3-B16F1CBAB7EF}"/>
    <cellStyle name="Normal 7 4 2 3 4 3 2 2" xfId="29178" xr:uid="{D601270E-C94E-4453-8AEC-A0E2E3E7B2DD}"/>
    <cellStyle name="Normal 7 4 2 3 4 3 2 3" xfId="19515" xr:uid="{38CD3105-4B2E-4FDD-A5F6-05B6BDEBF0E9}"/>
    <cellStyle name="Normal 7 4 2 3 4 3 3" xfId="11968" xr:uid="{07E7D6A9-7F3B-4D4E-99DA-E2D69A5D965E}"/>
    <cellStyle name="Normal 7 4 2 3 4 3 3 2" xfId="22348" xr:uid="{A733B062-B38B-4F97-8EB3-53E8DB504F27}"/>
    <cellStyle name="Normal 7 4 2 3 4 3 4" xfId="23168" xr:uid="{8077C8A8-E37E-4916-99C0-B66DCD9059A0}"/>
    <cellStyle name="Normal 7 4 2 3 4 3 5" xfId="16682" xr:uid="{27FA9808-82E3-4143-9A84-50137F7EE0A4}"/>
    <cellStyle name="Normal 7 4 2 3 4 4" xfId="5420" xr:uid="{1CCA2808-F3D0-43BE-BE99-EB7EE5FA592C}"/>
    <cellStyle name="Normal 7 4 2 3 4 4 2" xfId="27408" xr:uid="{546EEC58-C751-4718-B1A5-0437D059B702}"/>
    <cellStyle name="Normal 7 4 2 3 4 4 3" xfId="14717" xr:uid="{3AEDFBEE-A180-493C-B1DF-3CB2C9B06A58}"/>
    <cellStyle name="Normal 7 4 2 3 4 5" xfId="7170" xr:uid="{3AE37D08-FF7A-4EAD-B0AC-1357A731F114}"/>
    <cellStyle name="Normal 7 4 2 3 4 5 2" xfId="17550" xr:uid="{815136FD-09BE-4716-8114-FC0E2378FBE7}"/>
    <cellStyle name="Normal 7 4 2 3 4 6" xfId="10003" xr:uid="{CF8D9611-3354-4D0A-B242-9C205EA5DAED}"/>
    <cellStyle name="Normal 7 4 2 3 4 6 2" xfId="20383" xr:uid="{56A197B3-D2B5-430A-8BDC-862329EFB3C6}"/>
    <cellStyle name="Normal 7 4 2 3 4 7" xfId="25147" xr:uid="{42C3A5EB-114C-451B-90D0-B1C48D26644D}"/>
    <cellStyle name="Normal 7 4 2 3 4 8" xfId="13295" xr:uid="{66E7FE57-C50F-473F-A48E-83E2AAFD69B6}"/>
    <cellStyle name="Normal 7 4 2 3 5" xfId="3439" xr:uid="{00000000-0005-0000-0000-000043080000}"/>
    <cellStyle name="Normal 7 4 2 3 5 2" xfId="4578" xr:uid="{8D41DCDF-9867-4A7F-9391-7F4DE0309B96}"/>
    <cellStyle name="Normal 7 4 2 3 5 2 2" xfId="9350" xr:uid="{394D0FF3-3020-43A5-B7E3-326A51684203}"/>
    <cellStyle name="Normal 7 4 2 3 5 2 2 2" xfId="29322" xr:uid="{8876C79D-FF2C-4A1F-BC0C-11645524FAFF}"/>
    <cellStyle name="Normal 7 4 2 3 5 2 2 3" xfId="19730" xr:uid="{859E6A7D-14EE-45E3-8CA4-EBA984483543}"/>
    <cellStyle name="Normal 7 4 2 3 5 2 3" xfId="12183" xr:uid="{0A929E14-F3C2-4BC2-B93F-36482BBA9C07}"/>
    <cellStyle name="Normal 7 4 2 3 5 2 3 2" xfId="22563" xr:uid="{56FC7E13-67D6-44D1-A502-931184BA5298}"/>
    <cellStyle name="Normal 7 4 2 3 5 2 4" xfId="22798" xr:uid="{DF4B6DC9-CDB8-4A61-977F-D668ECD7A265}"/>
    <cellStyle name="Normal 7 4 2 3 5 2 5" xfId="16897" xr:uid="{5EEF3B0A-42C2-4CCE-B7E6-6FC59218785A}"/>
    <cellStyle name="Normal 7 4 2 3 5 3" xfId="6494" xr:uid="{E64F39CB-9B25-44E1-9DAA-51A89B2615E2}"/>
    <cellStyle name="Normal 7 4 2 3 5 3 2" xfId="26953" xr:uid="{73A7E2FD-9F60-45BE-B5F3-8EFD0A60A280}"/>
    <cellStyle name="Normal 7 4 2 3 5 3 3" xfId="16065" xr:uid="{FD54B8D9-1ACF-4D0A-81FC-B6C623754D97}"/>
    <cellStyle name="Normal 7 4 2 3 5 4" xfId="8518" xr:uid="{F3A3247E-1F8B-4CF6-8C0D-421FDFA5BBAD}"/>
    <cellStyle name="Normal 7 4 2 3 5 4 2" xfId="18898" xr:uid="{BE9CB8BE-3158-4E13-9692-25B98293D676}"/>
    <cellStyle name="Normal 7 4 2 3 5 5" xfId="11351" xr:uid="{9F13FFA7-DB84-4346-BFF7-B01B3F23E21E}"/>
    <cellStyle name="Normal 7 4 2 3 5 5 2" xfId="21731" xr:uid="{3CA28E00-BC65-4934-BF57-8354A2966191}"/>
    <cellStyle name="Normal 7 4 2 3 5 6" xfId="25512" xr:uid="{C46F287D-3C82-4069-AD2C-BEFBDD3A6D7B}"/>
    <cellStyle name="Normal 7 4 2 3 5 7" xfId="14020" xr:uid="{5B6BC0C1-901D-4342-9972-37A67B926C80}"/>
    <cellStyle name="Normal 7 4 2 3 6" xfId="2988" xr:uid="{00000000-0005-0000-0000-000044080000}"/>
    <cellStyle name="Normal 7 4 2 3 6 2" xfId="6138" xr:uid="{01E3796D-D798-48FE-9C0C-E4A00DDA0B07}"/>
    <cellStyle name="Normal 7 4 2 3 6 2 2" xfId="28501" xr:uid="{B49D196C-F27B-4945-A279-8C8D3D7969FE}"/>
    <cellStyle name="Normal 7 4 2 3 6 2 3" xfId="15616" xr:uid="{FFE3F257-7A6B-4386-A5EE-044B6274A04B}"/>
    <cellStyle name="Normal 7 4 2 3 6 3" xfId="8069" xr:uid="{5CDCC030-ED7E-404A-8EB4-4195BA0A9905}"/>
    <cellStyle name="Normal 7 4 2 3 6 3 2" xfId="18449" xr:uid="{6728291F-1EA2-414E-99AC-C1AF79F89D77}"/>
    <cellStyle name="Normal 7 4 2 3 6 4" xfId="10902" xr:uid="{28123847-7C3C-45B0-86FE-4A2C73DDAB30}"/>
    <cellStyle name="Normal 7 4 2 3 6 4 2" xfId="21282" xr:uid="{0B46FCF6-E7D4-4F9A-AFAB-7EC8AAEA7E70}"/>
    <cellStyle name="Normal 7 4 2 3 6 5" xfId="23161" xr:uid="{1AAEDB47-B1A5-420D-B674-153C8B07D0D6}"/>
    <cellStyle name="Normal 7 4 2 3 6 6" xfId="13485" xr:uid="{1ADD431F-70F2-44A6-81E0-DAA66D789110}"/>
    <cellStyle name="Normal 7 4 2 3 7" xfId="2478" xr:uid="{00000000-0005-0000-0000-000045080000}"/>
    <cellStyle name="Normal 7 4 2 3 7 2" xfId="5766" xr:uid="{0F3E1F4B-AB2E-4AE5-8439-F1D7EF399285}"/>
    <cellStyle name="Normal 7 4 2 3 7 2 2" xfId="26816" xr:uid="{75FF0B01-19AC-4C89-8180-56355C6ECBA7}"/>
    <cellStyle name="Normal 7 4 2 3 7 2 3" xfId="15150" xr:uid="{74D3FD33-3603-4E3B-B24D-B6ED820152BA}"/>
    <cellStyle name="Normal 7 4 2 3 7 3" xfId="7603" xr:uid="{0FEB3F89-9078-4CB6-AE8F-29C654BECED4}"/>
    <cellStyle name="Normal 7 4 2 3 7 3 2" xfId="17983" xr:uid="{F9474757-1AD0-4A3D-9E5A-1CE831E8B1EB}"/>
    <cellStyle name="Normal 7 4 2 3 7 4" xfId="10436" xr:uid="{278F2BDF-7C69-42C3-8BB8-878886F0C70A}"/>
    <cellStyle name="Normal 7 4 2 3 7 4 2" xfId="20816" xr:uid="{645EA7CB-4B75-499B-A8FD-2B0785300611}"/>
    <cellStyle name="Normal 7 4 2 3 7 5" xfId="24653" xr:uid="{14B94698-E5C2-4A3C-8A3D-2190C517C682}"/>
    <cellStyle name="Normal 7 4 2 3 7 6" xfId="12866" xr:uid="{0395CA8B-9539-4DD3-94A5-4F953090C76C}"/>
    <cellStyle name="Normal 7 4 2 3 8" xfId="2232" xr:uid="{00000000-0005-0000-0000-000034080000}"/>
    <cellStyle name="Normal 7 4 2 3 8 2" xfId="7359" xr:uid="{ABAE7B4A-5509-467D-9412-919A82B4558E}"/>
    <cellStyle name="Normal 7 4 2 3 8 2 2" xfId="17739" xr:uid="{9D2221FC-A8E9-49F3-BB92-D516393964F2}"/>
    <cellStyle name="Normal 7 4 2 3 8 3" xfId="10192" xr:uid="{042DD87E-6450-4539-81F7-DD2736D6138A}"/>
    <cellStyle name="Normal 7 4 2 3 8 3 2" xfId="20572" xr:uid="{3074D180-A790-43CA-8AF6-F0EB8702F7F8}"/>
    <cellStyle name="Normal 7 4 2 3 8 4" xfId="24953" xr:uid="{61479AF8-0B85-4185-A702-0CA42A33AD86}"/>
    <cellStyle name="Normal 7 4 2 3 8 5" xfId="14906" xr:uid="{91989871-B108-4928-9C4D-6CEAB55A48F6}"/>
    <cellStyle name="Normal 7 4 2 3 9" xfId="4063" xr:uid="{FFCED617-206A-483C-934D-7BCD0DED1567}"/>
    <cellStyle name="Normal 7 4 2 3 9 2" xfId="8843" xr:uid="{559A6206-591B-46D5-A69A-CA6C5CB41531}"/>
    <cellStyle name="Normal 7 4 2 3 9 2 2" xfId="19223" xr:uid="{E5B720D8-CE51-4AD5-8877-519B75180EE1}"/>
    <cellStyle name="Normal 7 4 2 3 9 3" xfId="11676" xr:uid="{A2219D8D-D89A-47FF-8831-7EA7854031E1}"/>
    <cellStyle name="Normal 7 4 2 3 9 3 2" xfId="22056" xr:uid="{93530434-315F-4A5C-80CC-1E41AE188AAE}"/>
    <cellStyle name="Normal 7 4 2 3 9 4" xfId="16390" xr:uid="{14217679-016B-4408-8BFC-3F2123797ADE}"/>
    <cellStyle name="Normal 7 4 2 4" xfId="1403" xr:uid="{00000000-0005-0000-0000-000052070000}"/>
    <cellStyle name="Normal 7 4 2 4 10" xfId="7171" xr:uid="{B931BC08-D4DA-4743-8933-B44C8A7C2202}"/>
    <cellStyle name="Normal 7 4 2 4 10 2" xfId="17551" xr:uid="{D2F57CD4-372B-451D-ABEE-23E915F629F6}"/>
    <cellStyle name="Normal 7 4 2 4 11" xfId="10004" xr:uid="{02A2C318-68A2-4898-A3B9-5149781E387B}"/>
    <cellStyle name="Normal 7 4 2 4 11 2" xfId="20384" xr:uid="{FE7ADACE-F28A-4BE5-9CA1-2A9B4122D6E0}"/>
    <cellStyle name="Normal 7 4 2 4 12" xfId="25146" xr:uid="{810F2310-A9E5-4F5B-AF0B-88D7042AB924}"/>
    <cellStyle name="Normal 7 4 2 4 13" xfId="12444" xr:uid="{17E98E0C-4EAB-4941-B071-E713A1D6DFFE}"/>
    <cellStyle name="Normal 7 4 2 4 2" xfId="1404" xr:uid="{00000000-0005-0000-0000-000053070000}"/>
    <cellStyle name="Normal 7 4 2 4 2 10" xfId="10005" xr:uid="{1645BABD-3E68-4A2C-9FE0-C3BD3BDE9EE2}"/>
    <cellStyle name="Normal 7 4 2 4 2 10 2" xfId="20385" xr:uid="{2E2ABC91-4A6F-4231-B91E-F2E4A7D3E3A3}"/>
    <cellStyle name="Normal 7 4 2 4 2 11" xfId="25585" xr:uid="{C2DE54F0-1EB7-42DA-A420-A65F2BAFE32B}"/>
    <cellStyle name="Normal 7 4 2 4 2 12" xfId="12630" xr:uid="{3C5934F1-5D4C-4ED1-8E3F-757D1B63E7DC}"/>
    <cellStyle name="Normal 7 4 2 4 2 2" xfId="1405" xr:uid="{00000000-0005-0000-0000-000054070000}"/>
    <cellStyle name="Normal 7 4 2 4 2 2 2" xfId="3441" xr:uid="{00000000-0005-0000-0000-000049080000}"/>
    <cellStyle name="Normal 7 4 2 4 2 2 2 2" xfId="6496" xr:uid="{E8C9FC17-B5BD-46DE-A7CB-10285394DB4C}"/>
    <cellStyle name="Normal 7 4 2 4 2 2 2 2 2" xfId="28498" xr:uid="{6128ADAE-DDCF-46E9-B274-0FC7BF54E073}"/>
    <cellStyle name="Normal 7 4 2 4 2 2 2 2 3" xfId="26057" xr:uid="{F0A1874E-C620-486D-8060-5D7C6C2C338C}"/>
    <cellStyle name="Normal 7 4 2 4 2 2 2 2 4" xfId="16067" xr:uid="{A132EF9A-BCC6-47CE-9940-19AB1B9EE32D}"/>
    <cellStyle name="Normal 7 4 2 4 2 2 2 3" xfId="8520" xr:uid="{70345AB6-28FA-4A6B-8776-0BA46C129244}"/>
    <cellStyle name="Normal 7 4 2 4 2 2 2 3 2" xfId="28936" xr:uid="{9EFB8EE6-788C-4595-A058-72D87940C73C}"/>
    <cellStyle name="Normal 7 4 2 4 2 2 2 3 3" xfId="18900" xr:uid="{1D88C5AC-56EB-4E83-A35F-070EB8EADD6C}"/>
    <cellStyle name="Normal 7 4 2 4 2 2 2 4" xfId="11353" xr:uid="{AC20873F-D2B4-4F5D-83AD-FF482A6C530B}"/>
    <cellStyle name="Normal 7 4 2 4 2 2 2 4 2" xfId="21733" xr:uid="{3238790B-5B1A-48D6-ABED-E347715489F3}"/>
    <cellStyle name="Normal 7 4 2 4 2 2 2 5" xfId="25263" xr:uid="{10019D3C-0701-4C06-9468-8695FB682D51}"/>
    <cellStyle name="Normal 7 4 2 4 2 2 2 6" xfId="14022" xr:uid="{E7C9B11C-99D1-41A5-80CD-C69707957650}"/>
    <cellStyle name="Normal 7 4 2 4 2 2 3" xfId="4366" xr:uid="{AAAEB657-D454-4295-AD7A-18F093B61451}"/>
    <cellStyle name="Normal 7 4 2 4 2 2 3 2" xfId="9138" xr:uid="{E9C25ECD-8D03-4F99-8FEA-D1B20A035017}"/>
    <cellStyle name="Normal 7 4 2 4 2 2 3 2 2" xfId="29181" xr:uid="{1E2F13CE-BB14-4AE9-9D02-823BA19C5333}"/>
    <cellStyle name="Normal 7 4 2 4 2 2 3 2 3" xfId="19518" xr:uid="{F1227117-9D3D-49C9-9A12-FA2559C8851E}"/>
    <cellStyle name="Normal 7 4 2 4 2 2 3 3" xfId="11971" xr:uid="{8CBFE4FB-0706-4030-9D52-7E0E3C598942}"/>
    <cellStyle name="Normal 7 4 2 4 2 2 3 3 2" xfId="22351" xr:uid="{03A447AF-7168-41C3-8583-196053D85370}"/>
    <cellStyle name="Normal 7 4 2 4 2 2 3 4" xfId="24444" xr:uid="{63BBBCFA-5B6B-4D4F-B11E-66772F893E60}"/>
    <cellStyle name="Normal 7 4 2 4 2 2 3 5" xfId="16685" xr:uid="{EC6CF39E-538C-4150-9DC0-9DC18579863C}"/>
    <cellStyle name="Normal 7 4 2 4 2 2 4" xfId="5423" xr:uid="{A49531EF-9E07-48B3-A00B-F9C45AAB621D}"/>
    <cellStyle name="Normal 7 4 2 4 2 2 4 2" xfId="27872" xr:uid="{0284E31A-A0AE-4136-B002-88D0E48ED855}"/>
    <cellStyle name="Normal 7 4 2 4 2 2 4 3" xfId="14720" xr:uid="{3FBA4BA8-E898-47A2-87CB-B0C816B568B1}"/>
    <cellStyle name="Normal 7 4 2 4 2 2 5" xfId="7173" xr:uid="{B71CDECA-3C7C-4478-B8B8-709B814A9314}"/>
    <cellStyle name="Normal 7 4 2 4 2 2 5 2" xfId="17553" xr:uid="{2CAD84AB-C5E0-42CA-868B-31FD631168BD}"/>
    <cellStyle name="Normal 7 4 2 4 2 2 6" xfId="10006" xr:uid="{95FCDA98-9992-470E-AB8C-B0FB05056341}"/>
    <cellStyle name="Normal 7 4 2 4 2 2 6 2" xfId="20386" xr:uid="{6B8F8F77-21D3-4083-86B9-922B1B8F4454}"/>
    <cellStyle name="Normal 7 4 2 4 2 2 7" xfId="25394" xr:uid="{19780167-0E7D-40DE-8011-0AEF26FE54F6}"/>
    <cellStyle name="Normal 7 4 2 4 2 2 8" xfId="13299" xr:uid="{8ACA14C7-1070-4824-BFA2-14F062EEFC52}"/>
    <cellStyle name="Normal 7 4 2 4 2 3" xfId="3442" xr:uid="{00000000-0005-0000-0000-00004A080000}"/>
    <cellStyle name="Normal 7 4 2 4 2 3 2" xfId="4579" xr:uid="{CCB6D9DF-D0CD-410E-A00E-4015EECB64E3}"/>
    <cellStyle name="Normal 7 4 2 4 2 3 2 2" xfId="9351" xr:uid="{DCC4F88B-7732-4D33-AB0A-ACD57DDEFD07}"/>
    <cellStyle name="Normal 7 4 2 4 2 3 2 2 2" xfId="29323" xr:uid="{EAEDB75C-7A44-4BAC-809D-8A82933E7BAA}"/>
    <cellStyle name="Normal 7 4 2 4 2 3 2 2 3" xfId="19731" xr:uid="{C4944783-D8FE-4DB4-9BA3-1E82BC34A028}"/>
    <cellStyle name="Normal 7 4 2 4 2 3 2 3" xfId="12184" xr:uid="{63CFBB8E-16F7-4C1A-AB42-20FA8D1C2393}"/>
    <cellStyle name="Normal 7 4 2 4 2 3 2 3 2" xfId="22564" xr:uid="{DA11D50E-5310-4C95-BB1C-20F4BEC4F76C}"/>
    <cellStyle name="Normal 7 4 2 4 2 3 2 4" xfId="24893" xr:uid="{EFEA5569-7CF3-474B-9905-D0D2DC77FBF8}"/>
    <cellStyle name="Normal 7 4 2 4 2 3 2 5" xfId="16898" xr:uid="{0E5F3F5E-2569-480A-BD19-2D210D3EFEF1}"/>
    <cellStyle name="Normal 7 4 2 4 2 3 3" xfId="6497" xr:uid="{FC48F7E8-8C0B-4B98-920B-2B0286FFE23E}"/>
    <cellStyle name="Normal 7 4 2 4 2 3 3 2" xfId="26405" xr:uid="{8B57975D-7B57-431F-AFA0-EBA90D5B2B6C}"/>
    <cellStyle name="Normal 7 4 2 4 2 3 3 3" xfId="16068" xr:uid="{2A7D4FCE-1B9E-4852-AC0F-593CFCD45E82}"/>
    <cellStyle name="Normal 7 4 2 4 2 3 4" xfId="8521" xr:uid="{D1D8E662-D92E-4D4B-94D1-4C0F3D9F39C7}"/>
    <cellStyle name="Normal 7 4 2 4 2 3 4 2" xfId="18901" xr:uid="{176AC416-85F2-4EA1-98E9-D00E0F615140}"/>
    <cellStyle name="Normal 7 4 2 4 2 3 5" xfId="11354" xr:uid="{A3A31C55-FA9D-4957-AC49-F573427A00BD}"/>
    <cellStyle name="Normal 7 4 2 4 2 3 5 2" xfId="21734" xr:uid="{4208DEC8-C6B4-4F37-AE56-6E605E8F1340}"/>
    <cellStyle name="Normal 7 4 2 4 2 3 6" xfId="22904" xr:uid="{E79FD255-219F-431F-B3E1-304FCA6F2C15}"/>
    <cellStyle name="Normal 7 4 2 4 2 3 7" xfId="14023" xr:uid="{66C257AD-4F3F-4013-A144-D476057269C4}"/>
    <cellStyle name="Normal 7 4 2 4 2 4" xfId="3440" xr:uid="{00000000-0005-0000-0000-00004B080000}"/>
    <cellStyle name="Normal 7 4 2 4 2 4 2" xfId="6495" xr:uid="{8BFE9F11-3954-4689-A786-FF2F9CA2A262}"/>
    <cellStyle name="Normal 7 4 2 4 2 4 2 2" xfId="28690" xr:uid="{ABA22034-8D3B-4C73-BE6F-D2077FE629EA}"/>
    <cellStyle name="Normal 7 4 2 4 2 4 2 3" xfId="16066" xr:uid="{2A6EF921-F2BD-45E7-A868-1589E9226A65}"/>
    <cellStyle name="Normal 7 4 2 4 2 4 3" xfId="8519" xr:uid="{DCCF92C3-CC7E-4C8F-AEDD-59D0FF0D089E}"/>
    <cellStyle name="Normal 7 4 2 4 2 4 3 2" xfId="18899" xr:uid="{705A7120-817A-4C9A-BBCD-AACCFACFC8FC}"/>
    <cellStyle name="Normal 7 4 2 4 2 4 4" xfId="11352" xr:uid="{D3544EA9-18B3-4A20-9D02-82043860A9CE}"/>
    <cellStyle name="Normal 7 4 2 4 2 4 4 2" xfId="21732" xr:uid="{62695414-01F9-4B16-BCA5-61906A892137}"/>
    <cellStyle name="Normal 7 4 2 4 2 4 5" xfId="23196" xr:uid="{48CCD019-64F1-476C-B343-2B3A06260B3B}"/>
    <cellStyle name="Normal 7 4 2 4 2 4 6" xfId="14021" xr:uid="{C34C3CA7-8B84-48A6-9B55-231CA1F929A4}"/>
    <cellStyle name="Normal 7 4 2 4 2 5" xfId="2621" xr:uid="{00000000-0005-0000-0000-00004C080000}"/>
    <cellStyle name="Normal 7 4 2 4 2 5 2" xfId="5883" xr:uid="{162F9534-4603-4EE7-BCC8-40DE9EB70162}"/>
    <cellStyle name="Normal 7 4 2 4 2 5 2 2" xfId="28453" xr:uid="{432BB97B-CC7F-4191-B8E3-A032AAD42965}"/>
    <cellStyle name="Normal 7 4 2 4 2 5 2 3" xfId="15293" xr:uid="{DC5DDE3B-36F3-4DB0-B0DA-D7BC83D2CD80}"/>
    <cellStyle name="Normal 7 4 2 4 2 5 3" xfId="7746" xr:uid="{8E2B9F89-271A-4C79-A763-2730A62961D8}"/>
    <cellStyle name="Normal 7 4 2 4 2 5 3 2" xfId="18126" xr:uid="{49C4C12B-032E-451E-A41E-E0B0DC138CE7}"/>
    <cellStyle name="Normal 7 4 2 4 2 5 4" xfId="10579" xr:uid="{A375E6AF-717E-4EF7-89CA-4CEAE9232747}"/>
    <cellStyle name="Normal 7 4 2 4 2 5 4 2" xfId="20959" xr:uid="{E3B04979-6F30-4D1B-8080-ADDFE1C047E3}"/>
    <cellStyle name="Normal 7 4 2 4 2 5 5" xfId="23959" xr:uid="{7B1FEF56-7F74-4BF5-AE76-88645295563C}"/>
    <cellStyle name="Normal 7 4 2 4 2 5 6" xfId="13009" xr:uid="{16D03AE3-FE86-45E0-ADF6-CAA03FDB5F2B}"/>
    <cellStyle name="Normal 7 4 2 4 2 6" xfId="2396" xr:uid="{00000000-0005-0000-0000-000047080000}"/>
    <cellStyle name="Normal 7 4 2 4 2 6 2" xfId="7523" xr:uid="{A76C84AC-D7FA-4E67-9B80-783C24274E18}"/>
    <cellStyle name="Normal 7 4 2 4 2 6 2 2" xfId="17903" xr:uid="{7735C72A-AB3A-44DB-B9CF-A60B23D5E96A}"/>
    <cellStyle name="Normal 7 4 2 4 2 6 3" xfId="10356" xr:uid="{9B054F36-4AFC-4E50-95A8-8DE63B3958E8}"/>
    <cellStyle name="Normal 7 4 2 4 2 6 3 2" xfId="20736" xr:uid="{EB380360-1AFA-4882-9966-DAE9B36363C1}"/>
    <cellStyle name="Normal 7 4 2 4 2 6 4" xfId="25489" xr:uid="{09B3EF65-0309-4500-B88F-8E69AE4097C5}"/>
    <cellStyle name="Normal 7 4 2 4 2 6 5" xfId="15070" xr:uid="{A5C5DB98-FDCA-4207-B138-48665FC4E7B5}"/>
    <cellStyle name="Normal 7 4 2 4 2 7" xfId="4100" xr:uid="{A615A8D1-6A36-46E2-847B-4878C02125FD}"/>
    <cellStyle name="Normal 7 4 2 4 2 7 2" xfId="8874" xr:uid="{4114F29A-80CA-48BA-BC1A-8A2FAF071ABD}"/>
    <cellStyle name="Normal 7 4 2 4 2 7 2 2" xfId="19254" xr:uid="{E86CC324-85D1-497C-90CD-2BE9A961181D}"/>
    <cellStyle name="Normal 7 4 2 4 2 7 3" xfId="11707" xr:uid="{D3D5E542-88E0-4657-9D32-3E8609667CC3}"/>
    <cellStyle name="Normal 7 4 2 4 2 7 3 2" xfId="22087" xr:uid="{49CD2A9E-CFD2-4895-9D5D-91A18746A95B}"/>
    <cellStyle name="Normal 7 4 2 4 2 7 4" xfId="16421" xr:uid="{573C1003-EB8C-41D1-911F-FF5B21F44878}"/>
    <cellStyle name="Normal 7 4 2 4 2 8" xfId="5422" xr:uid="{766CFB2F-622E-4F25-9D22-96633E84BE1A}"/>
    <cellStyle name="Normal 7 4 2 4 2 8 2" xfId="14719" xr:uid="{72593861-B15E-4F5A-B0ED-7813F2715FBA}"/>
    <cellStyle name="Normal 7 4 2 4 2 9" xfId="7172" xr:uid="{48407797-F7AC-41D5-9E6F-81908B182441}"/>
    <cellStyle name="Normal 7 4 2 4 2 9 2" xfId="17552" xr:uid="{2C17603D-9B4C-44AA-A0EF-A8718814D834}"/>
    <cellStyle name="Normal 7 4 2 4 3" xfId="1406" xr:uid="{00000000-0005-0000-0000-000055070000}"/>
    <cellStyle name="Normal 7 4 2 4 3 2" xfId="3443" xr:uid="{00000000-0005-0000-0000-00004E080000}"/>
    <cellStyle name="Normal 7 4 2 4 3 2 2" xfId="6498" xr:uid="{68305674-C797-40C7-BB0C-81EF594659BA}"/>
    <cellStyle name="Normal 7 4 2 4 3 2 2 2" xfId="24525" xr:uid="{3F4DC59D-B533-4571-A31D-7C9B281553C4}"/>
    <cellStyle name="Normal 7 4 2 4 3 2 2 3" xfId="28714" xr:uid="{DB599F82-26D9-4742-872D-E4677E884F2C}"/>
    <cellStyle name="Normal 7 4 2 4 3 2 2 4" xfId="16069" xr:uid="{BB2C2468-C0C3-4BD9-9CD2-9D2AB98CCE65}"/>
    <cellStyle name="Normal 7 4 2 4 3 2 3" xfId="8522" xr:uid="{517069DC-E7A8-4BCE-9CE2-9C298EBA0CEE}"/>
    <cellStyle name="Normal 7 4 2 4 3 2 3 2" xfId="28937" xr:uid="{7F8F8EDB-BB5E-42D6-8D7E-5DD70CC18786}"/>
    <cellStyle name="Normal 7 4 2 4 3 2 3 3" xfId="18902" xr:uid="{A0FA28BF-EE20-4B04-B3E4-3723FE6E22C8}"/>
    <cellStyle name="Normal 7 4 2 4 3 2 4" xfId="11355" xr:uid="{9691508A-27FF-4475-90DA-7B47F2D70909}"/>
    <cellStyle name="Normal 7 4 2 4 3 2 4 2" xfId="21735" xr:uid="{F53DEC85-5C19-4421-875A-2ACB2AA8D5BC}"/>
    <cellStyle name="Normal 7 4 2 4 3 2 5" xfId="23286" xr:uid="{7A6F7BD0-63DA-4862-8C6B-2B31A4FA3DFF}"/>
    <cellStyle name="Normal 7 4 2 4 3 2 6" xfId="14024" xr:uid="{C2486EEF-2D65-4552-A92C-6FF30E073B7A}"/>
    <cellStyle name="Normal 7 4 2 4 3 3" xfId="2825" xr:uid="{00000000-0005-0000-0000-00004F080000}"/>
    <cellStyle name="Normal 7 4 2 4 3 3 2" xfId="6041" xr:uid="{535C257E-5D4B-4198-82C8-E999FA9B3136}"/>
    <cellStyle name="Normal 7 4 2 4 3 3 2 2" xfId="27839" xr:uid="{EEAA24A5-4A7E-4F43-8F1E-8F52A537B74C}"/>
    <cellStyle name="Normal 7 4 2 4 3 3 2 3" xfId="15495" xr:uid="{31FE131C-62EE-44A7-AE47-D7F356754560}"/>
    <cellStyle name="Normal 7 4 2 4 3 3 3" xfId="7948" xr:uid="{25908E5D-77DD-4DF7-A949-876FCE3A4C83}"/>
    <cellStyle name="Normal 7 4 2 4 3 3 3 2" xfId="18328" xr:uid="{FBE47FA9-E084-4D46-83E2-26DD38C83757}"/>
    <cellStyle name="Normal 7 4 2 4 3 3 4" xfId="10781" xr:uid="{4B6532DA-BE75-4F6B-9AA2-05E530E0D4B3}"/>
    <cellStyle name="Normal 7 4 2 4 3 3 4 2" xfId="21161" xr:uid="{56285DC4-1A64-4C00-9D6E-A46781D91D64}"/>
    <cellStyle name="Normal 7 4 2 4 3 3 5" xfId="24120" xr:uid="{F557AC7F-F932-4E72-860B-1C1103051EA8}"/>
    <cellStyle name="Normal 7 4 2 4 3 3 6" xfId="13298" xr:uid="{64ADBB3E-2E50-43E0-BE71-4AF34A909986}"/>
    <cellStyle name="Normal 7 4 2 4 3 4" xfId="4216" xr:uid="{B598CC0D-41CE-4725-B55D-D9DBCBCCE81B}"/>
    <cellStyle name="Normal 7 4 2 4 3 4 2" xfId="8988" xr:uid="{346B4F6C-A1D7-4323-9FA6-6941310BCCD1}"/>
    <cellStyle name="Normal 7 4 2 4 3 4 2 2" xfId="29067" xr:uid="{C2A895EB-C6F8-4540-A260-580F69B5AEC5}"/>
    <cellStyle name="Normal 7 4 2 4 3 4 2 3" xfId="19368" xr:uid="{BBF76C09-54D7-450F-BF03-265396877F8D}"/>
    <cellStyle name="Normal 7 4 2 4 3 4 3" xfId="11821" xr:uid="{8C4A0A73-B6EA-49D5-9784-3724AB2703C1}"/>
    <cellStyle name="Normal 7 4 2 4 3 4 3 2" xfId="22201" xr:uid="{2AD8131C-1897-4EBD-9AA5-6E49E2A2711F}"/>
    <cellStyle name="Normal 7 4 2 4 3 4 4" xfId="23621" xr:uid="{977F998E-7DDA-43D2-B84A-A004A2443B61}"/>
    <cellStyle name="Normal 7 4 2 4 3 4 5" xfId="16535" xr:uid="{271A7751-C7A8-406B-A22A-45FCCD866C81}"/>
    <cellStyle name="Normal 7 4 2 4 3 5" xfId="5424" xr:uid="{2E65E1D4-3052-40C6-97F4-B6E2E11D8BF2}"/>
    <cellStyle name="Normal 7 4 2 4 3 5 2" xfId="26900" xr:uid="{39F65D39-778D-4E1B-9BD9-11AB11530AE8}"/>
    <cellStyle name="Normal 7 4 2 4 3 5 3" xfId="14721" xr:uid="{13A138FE-F583-44C8-B97E-650218C28B20}"/>
    <cellStyle name="Normal 7 4 2 4 3 6" xfId="7174" xr:uid="{DD0F5BE0-A944-4448-8295-DFBE81A71140}"/>
    <cellStyle name="Normal 7 4 2 4 3 6 2" xfId="17554" xr:uid="{D0634BD9-832B-4163-9972-AFC73A0E6B20}"/>
    <cellStyle name="Normal 7 4 2 4 3 7" xfId="10007" xr:uid="{48422E25-51C6-4046-97EA-4E22C49EDD17}"/>
    <cellStyle name="Normal 7 4 2 4 3 7 2" xfId="20387" xr:uid="{07E4FE30-D2E5-4621-B700-B135C9068521}"/>
    <cellStyle name="Normal 7 4 2 4 3 8" xfId="24131" xr:uid="{E6FC3DA2-A9DA-4B50-AEDC-E5D29766288B}"/>
    <cellStyle name="Normal 7 4 2 4 3 9" xfId="12788" xr:uid="{79A18FE0-2809-4472-8A81-356B4E62405A}"/>
    <cellStyle name="Normal 7 4 2 4 4" xfId="1407" xr:uid="{00000000-0005-0000-0000-000056070000}"/>
    <cellStyle name="Normal 7 4 2 4 4 2" xfId="4580" xr:uid="{F90CA143-97AF-4E8C-A770-D8821B1C12F5}"/>
    <cellStyle name="Normal 7 4 2 4 4 2 2" xfId="9352" xr:uid="{BABCC6F4-8932-4669-AB41-90518E651972}"/>
    <cellStyle name="Normal 7 4 2 4 4 2 2 2" xfId="29324" xr:uid="{1EBD480C-034E-4D17-897F-122D7BE25E1E}"/>
    <cellStyle name="Normal 7 4 2 4 4 2 2 3" xfId="19732" xr:uid="{FF145B92-B761-45E1-BF03-852C8B745C26}"/>
    <cellStyle name="Normal 7 4 2 4 4 2 3" xfId="12185" xr:uid="{FED648E9-FD6D-4B93-BB48-62CD3F8DCAFB}"/>
    <cellStyle name="Normal 7 4 2 4 4 2 3 2" xfId="22565" xr:uid="{D20E51FE-F8FB-4FD1-B70E-05289D3A43CA}"/>
    <cellStyle name="Normal 7 4 2 4 4 2 4" xfId="25696" xr:uid="{9AB87D3B-7502-430A-B82A-C209718BD820}"/>
    <cellStyle name="Normal 7 4 2 4 4 2 5" xfId="16899" xr:uid="{4F79C56B-8295-4535-ABB2-FDEADC126866}"/>
    <cellStyle name="Normal 7 4 2 4 4 3" xfId="5425" xr:uid="{31E3EE82-17E0-4E74-B15B-E5E7C1A8B933}"/>
    <cellStyle name="Normal 7 4 2 4 4 3 2" xfId="27831" xr:uid="{52CD2B51-6D16-4B44-A735-68CA6195A7BD}"/>
    <cellStyle name="Normal 7 4 2 4 4 3 3" xfId="14722" xr:uid="{E9A18D3B-352C-4EF1-BB95-6E1004493ECA}"/>
    <cellStyle name="Normal 7 4 2 4 4 4" xfId="7175" xr:uid="{77E0A48D-0C82-457D-A46A-8D58EA2BD4A3}"/>
    <cellStyle name="Normal 7 4 2 4 4 4 2" xfId="17555" xr:uid="{1E1110F7-1978-48EE-828F-4F436298F6E9}"/>
    <cellStyle name="Normal 7 4 2 4 4 5" xfId="10008" xr:uid="{C00F6A0C-D806-4A5B-8F7D-99E94A280068}"/>
    <cellStyle name="Normal 7 4 2 4 4 5 2" xfId="20388" xr:uid="{EDC48D79-EDBD-429E-9410-D9094CED12A4}"/>
    <cellStyle name="Normal 7 4 2 4 4 6" xfId="24544" xr:uid="{D144AA4D-3853-42D9-8FE1-26140F5E28BD}"/>
    <cellStyle name="Normal 7 4 2 4 4 7" xfId="14025" xr:uid="{AD023489-2E07-4B60-88AD-0D2124CB5C57}"/>
    <cellStyle name="Normal 7 4 2 4 5" xfId="2989" xr:uid="{00000000-0005-0000-0000-000051080000}"/>
    <cellStyle name="Normal 7 4 2 4 5 2" xfId="6139" xr:uid="{2AC1C3AE-B22F-4FE2-9930-18FFD3780E91}"/>
    <cellStyle name="Normal 7 4 2 4 5 2 2" xfId="25484" xr:uid="{CD94F832-DE7A-4F26-AB27-1611EFE6DFC3}"/>
    <cellStyle name="Normal 7 4 2 4 5 2 3" xfId="27192" xr:uid="{7D2C6571-E09A-45AD-8461-5841B9B74311}"/>
    <cellStyle name="Normal 7 4 2 4 5 2 4" xfId="15617" xr:uid="{EB12760B-3974-4EDE-A035-DF84B1A41311}"/>
    <cellStyle name="Normal 7 4 2 4 5 3" xfId="8070" xr:uid="{5DD8CBE1-B409-43F9-B9FF-50DF6587B640}"/>
    <cellStyle name="Normal 7 4 2 4 5 3 2" xfId="28766" xr:uid="{370C96D7-FBE7-40F9-8A9B-886DE567E5B3}"/>
    <cellStyle name="Normal 7 4 2 4 5 3 3" xfId="18450" xr:uid="{B1CE3031-322D-4DD1-B80A-9F7C719B033D}"/>
    <cellStyle name="Normal 7 4 2 4 5 4" xfId="10903" xr:uid="{557ACEC6-F1DC-4A79-9810-8D8953082EEC}"/>
    <cellStyle name="Normal 7 4 2 4 5 4 2" xfId="21283" xr:uid="{0CDDFD9B-9EB1-4692-91EB-F5622CF0C425}"/>
    <cellStyle name="Normal 7 4 2 4 5 5" xfId="23514" xr:uid="{7E2BDC90-743A-4CDE-8836-16218CDC2524}"/>
    <cellStyle name="Normal 7 4 2 4 5 6" xfId="13486" xr:uid="{14228182-435A-49B9-BE81-AEA0E4143C69}"/>
    <cellStyle name="Normal 7 4 2 4 6" xfId="2458" xr:uid="{00000000-0005-0000-0000-000052080000}"/>
    <cellStyle name="Normal 7 4 2 4 6 2" xfId="5750" xr:uid="{BEE05D96-D934-44ED-8368-AB5368390DFA}"/>
    <cellStyle name="Normal 7 4 2 4 6 2 2" xfId="28419" xr:uid="{7F8ECA08-AA09-4CC0-8159-86D99A414513}"/>
    <cellStyle name="Normal 7 4 2 4 6 2 3" xfId="15130" xr:uid="{3A483F97-B87C-44B3-95BF-CB39AABC850F}"/>
    <cellStyle name="Normal 7 4 2 4 6 3" xfId="7583" xr:uid="{E5E8A413-96BF-4559-BFF9-177C0427E082}"/>
    <cellStyle name="Normal 7 4 2 4 6 3 2" xfId="17963" xr:uid="{3BCC37CF-BDBE-4A19-A6B5-234712581127}"/>
    <cellStyle name="Normal 7 4 2 4 6 4" xfId="10416" xr:uid="{7679A0CE-6406-44CC-B71F-1858387BF605}"/>
    <cellStyle name="Normal 7 4 2 4 6 4 2" xfId="20796" xr:uid="{2A7A0AD0-A7BB-4844-8D8A-11783CC6F84D}"/>
    <cellStyle name="Normal 7 4 2 4 6 5" xfId="23303" xr:uid="{016C8953-02D4-49D5-9CD7-28D2D1205CB3}"/>
    <cellStyle name="Normal 7 4 2 4 6 6" xfId="12846" xr:uid="{07BC2695-B784-4FD4-BDF9-A31E26E6F7BC}"/>
    <cellStyle name="Normal 7 4 2 4 7" xfId="2212" xr:uid="{00000000-0005-0000-0000-000046080000}"/>
    <cellStyle name="Normal 7 4 2 4 7 2" xfId="7339" xr:uid="{221DA03E-D7F9-4E77-A9C9-24C02853C977}"/>
    <cellStyle name="Normal 7 4 2 4 7 2 2" xfId="17719" xr:uid="{6CED23D0-11C3-4588-9D21-0C8A53415568}"/>
    <cellStyle name="Normal 7 4 2 4 7 3" xfId="10172" xr:uid="{3CA10CEC-1F46-49A4-AD82-2E0A0BFB4AC6}"/>
    <cellStyle name="Normal 7 4 2 4 7 3 2" xfId="20552" xr:uid="{FD603573-4CC7-446F-A03F-75FD3E980E0D}"/>
    <cellStyle name="Normal 7 4 2 4 7 4" xfId="25246" xr:uid="{15C0597D-BDEA-412E-9653-FDE4E25C5976}"/>
    <cellStyle name="Normal 7 4 2 4 7 5" xfId="14886" xr:uid="{9DEC71EC-8AAA-440B-8552-BBF414B6496B}"/>
    <cellStyle name="Normal 7 4 2 4 8" xfId="4064" xr:uid="{4ABD5869-1B00-438E-90E6-141CF70F662E}"/>
    <cellStyle name="Normal 7 4 2 4 8 2" xfId="8844" xr:uid="{A3182066-70FF-4554-9B51-2999B2DAB449}"/>
    <cellStyle name="Normal 7 4 2 4 8 2 2" xfId="19224" xr:uid="{14FDB6FA-BADB-42A2-BFFB-498D668741D8}"/>
    <cellStyle name="Normal 7 4 2 4 8 3" xfId="11677" xr:uid="{67463485-28B8-44FF-A5DB-8F59EC77DC61}"/>
    <cellStyle name="Normal 7 4 2 4 8 3 2" xfId="22057" xr:uid="{06A1252E-4FB3-4E5E-ADE0-E9F9384D9AFB}"/>
    <cellStyle name="Normal 7 4 2 4 8 4" xfId="16391" xr:uid="{812D0A9A-3224-450F-B429-5C40CC67D428}"/>
    <cellStyle name="Normal 7 4 2 4 9" xfId="5421" xr:uid="{EB804556-033E-41D6-BB9C-1704BDD851CC}"/>
    <cellStyle name="Normal 7 4 2 4 9 2" xfId="14718" xr:uid="{80299997-AD89-421B-B216-EC8F8ECF5499}"/>
    <cellStyle name="Normal 7 4 2 5" xfId="1408" xr:uid="{00000000-0005-0000-0000-000057070000}"/>
    <cellStyle name="Normal 7 4 2 5 10" xfId="10009" xr:uid="{4F4B021F-78DD-4C68-8420-3089DCEF5A6A}"/>
    <cellStyle name="Normal 7 4 2 5 10 2" xfId="20389" xr:uid="{CE9593AF-2159-4713-8852-371EC3B4ED27}"/>
    <cellStyle name="Normal 7 4 2 5 11" xfId="23949" xr:uid="{A21590B5-D5FA-4C2C-91F5-25C91CBC03BE}"/>
    <cellStyle name="Normal 7 4 2 5 12" xfId="12631" xr:uid="{9C79C262-5AB5-4E25-869D-83C091DC85CA}"/>
    <cellStyle name="Normal 7 4 2 5 2" xfId="1409" xr:uid="{00000000-0005-0000-0000-000058070000}"/>
    <cellStyle name="Normal 7 4 2 5 2 2" xfId="1410" xr:uid="{00000000-0005-0000-0000-000059070000}"/>
    <cellStyle name="Normal 7 4 2 5 2 2 2" xfId="5428" xr:uid="{DC90032F-A7C8-4259-A04D-01902D52223C}"/>
    <cellStyle name="Normal 7 4 2 5 2 2 2 2" xfId="24039" xr:uid="{CF8A841D-0A25-4FFF-BE10-9094372666BC}"/>
    <cellStyle name="Normal 7 4 2 5 2 2 2 3" xfId="26697" xr:uid="{3DCE1E5B-3503-41E4-BFFB-3FC924283F66}"/>
    <cellStyle name="Normal 7 4 2 5 2 2 2 4" xfId="14725" xr:uid="{2B527BCA-D423-4503-9122-2282CC9B0298}"/>
    <cellStyle name="Normal 7 4 2 5 2 2 3" xfId="7178" xr:uid="{50096904-D60E-493E-BF10-D12065D10048}"/>
    <cellStyle name="Normal 7 4 2 5 2 2 3 2" xfId="27660" xr:uid="{03596C6D-25D5-4684-8349-791B9C74B4EA}"/>
    <cellStyle name="Normal 7 4 2 5 2 2 3 3" xfId="26808" xr:uid="{B6522971-26A5-4705-B878-C0D14A90DE1B}"/>
    <cellStyle name="Normal 7 4 2 5 2 2 3 4" xfId="17558" xr:uid="{8977E768-8809-45AA-96F3-C21DCBF63BFA}"/>
    <cellStyle name="Normal 7 4 2 5 2 2 4" xfId="10011" xr:uid="{48744055-C16C-4E02-A1BC-C76C9D86DA11}"/>
    <cellStyle name="Normal 7 4 2 5 2 2 4 2" xfId="29454" xr:uid="{82CA0832-D893-4A15-A498-C3E504F5CA01}"/>
    <cellStyle name="Normal 7 4 2 5 2 2 4 3" xfId="20391" xr:uid="{35289887-E0A1-4325-95F5-3F4E4148E3BE}"/>
    <cellStyle name="Normal 7 4 2 5 2 2 5" xfId="24368" xr:uid="{5F8623EE-AFD1-4BEE-9EFD-0D1372A39FE6}"/>
    <cellStyle name="Normal 7 4 2 5 2 2 6" xfId="14026" xr:uid="{239B6095-F271-4FC3-8047-C5C6F98D064A}"/>
    <cellStyle name="Normal 7 4 2 5 2 3" xfId="2826" xr:uid="{00000000-0005-0000-0000-000056080000}"/>
    <cellStyle name="Normal 7 4 2 5 2 3 2" xfId="6042" xr:uid="{3B687E05-5AF1-476B-96EF-1D8891D56292}"/>
    <cellStyle name="Normal 7 4 2 5 2 3 2 2" xfId="26996" xr:uid="{F174BAD1-E068-460A-8850-0F44A204B877}"/>
    <cellStyle name="Normal 7 4 2 5 2 3 2 3" xfId="15496" xr:uid="{86FC6865-D5D6-4CBA-8CD2-E90836557260}"/>
    <cellStyle name="Normal 7 4 2 5 2 3 3" xfId="7949" xr:uid="{F6A66019-9BBF-4ACB-8D7D-4937110A8EBE}"/>
    <cellStyle name="Normal 7 4 2 5 2 3 3 2" xfId="18329" xr:uid="{BAC6A313-4AF2-4524-8E47-94D2C3D3D1A5}"/>
    <cellStyle name="Normal 7 4 2 5 2 3 4" xfId="10782" xr:uid="{0A47D0C6-4148-4166-B175-0CCD96ED5179}"/>
    <cellStyle name="Normal 7 4 2 5 2 3 4 2" xfId="21162" xr:uid="{F01EA6D1-BFD3-42D8-A2C4-14718DA00CB5}"/>
    <cellStyle name="Normal 7 4 2 5 2 3 5" xfId="24254" xr:uid="{AA11F716-55BF-4F43-A013-00199C546F74}"/>
    <cellStyle name="Normal 7 4 2 5 2 3 6" xfId="13300" xr:uid="{0481F61A-9C9E-4357-8143-C6223F165FDC}"/>
    <cellStyle name="Normal 7 4 2 5 2 4" xfId="4217" xr:uid="{7908C746-7B05-4A29-BD28-29DD803831E6}"/>
    <cellStyle name="Normal 7 4 2 5 2 4 2" xfId="8989" xr:uid="{FC7F19FB-A224-4058-B1A1-C2EE96C7387A}"/>
    <cellStyle name="Normal 7 4 2 5 2 4 2 2" xfId="29068" xr:uid="{D0F4EA3A-0818-40FE-B61C-EE1ED9C623F0}"/>
    <cellStyle name="Normal 7 4 2 5 2 4 2 3" xfId="19369" xr:uid="{137D3889-0DED-4D71-82F2-D317CF828EBA}"/>
    <cellStyle name="Normal 7 4 2 5 2 4 3" xfId="11822" xr:uid="{C342DDFB-92D1-4778-9890-97FC20A8E7CB}"/>
    <cellStyle name="Normal 7 4 2 5 2 4 3 2" xfId="22202" xr:uid="{A83F5AB7-AD6A-4A27-B11A-0F0A83494DAF}"/>
    <cellStyle name="Normal 7 4 2 5 2 4 4" xfId="25137" xr:uid="{00A57F31-AA66-4FC2-9856-226F21BACAC7}"/>
    <cellStyle name="Normal 7 4 2 5 2 4 5" xfId="16536" xr:uid="{7D249806-6434-4FAC-85B3-B5D837B174F4}"/>
    <cellStyle name="Normal 7 4 2 5 2 5" xfId="5427" xr:uid="{5F0D3FCF-1197-44C3-A71A-CAAAFF02276D}"/>
    <cellStyle name="Normal 7 4 2 5 2 5 2" xfId="27998" xr:uid="{395C09B6-4C2A-4833-A72E-B29AB0BD7E53}"/>
    <cellStyle name="Normal 7 4 2 5 2 5 3" xfId="14724" xr:uid="{8526D7D3-0BCB-4BE2-AE4F-B0CBD9A1B6A1}"/>
    <cellStyle name="Normal 7 4 2 5 2 6" xfId="7177" xr:uid="{57159596-E411-4E62-ADBF-E6BB82F754F9}"/>
    <cellStyle name="Normal 7 4 2 5 2 6 2" xfId="17557" xr:uid="{FDEE0A3F-33B6-4BAD-87B5-F9AEEB3A0EA7}"/>
    <cellStyle name="Normal 7 4 2 5 2 7" xfId="10010" xr:uid="{2D9544BA-5D50-49F7-8FF8-38F6B042B1CA}"/>
    <cellStyle name="Normal 7 4 2 5 2 7 2" xfId="20390" xr:uid="{950719A6-A31F-4584-939F-52764EAE2976}"/>
    <cellStyle name="Normal 7 4 2 5 2 8" xfId="23553" xr:uid="{4263F13F-552B-45CE-AF3A-A25450F4E864}"/>
    <cellStyle name="Normal 7 4 2 5 2 9" xfId="12789" xr:uid="{61519436-3F18-46C4-B474-45A63D9C7AB6}"/>
    <cellStyle name="Normal 7 4 2 5 3" xfId="1411" xr:uid="{00000000-0005-0000-0000-00005A070000}"/>
    <cellStyle name="Normal 7 4 2 5 3 2" xfId="4581" xr:uid="{13C40225-0DA6-4F7A-93D5-510AEB78A0A7}"/>
    <cellStyle name="Normal 7 4 2 5 3 2 2" xfId="9353" xr:uid="{D44B9B45-80A4-4714-85AB-36621735EB4D}"/>
    <cellStyle name="Normal 7 4 2 5 3 2 2 2" xfId="29325" xr:uid="{F8427771-6A35-471E-9329-001360E5C35D}"/>
    <cellStyle name="Normal 7 4 2 5 3 2 2 3" xfId="19733" xr:uid="{C4D49B9A-EA51-4BE5-ABDB-C3D5687FDDB7}"/>
    <cellStyle name="Normal 7 4 2 5 3 2 3" xfId="12186" xr:uid="{47BDBF7F-27BB-4465-8373-0A622B381B62}"/>
    <cellStyle name="Normal 7 4 2 5 3 2 3 2" xfId="22566" xr:uid="{0D8467CA-3267-43C9-AF76-1E246700C673}"/>
    <cellStyle name="Normal 7 4 2 5 3 2 4" xfId="24908" xr:uid="{BD3E6A35-BE3D-4EE6-BBC1-D8212640D94A}"/>
    <cellStyle name="Normal 7 4 2 5 3 2 5" xfId="16900" xr:uid="{D77F4839-19AF-472A-AADA-876BBE0B3BD5}"/>
    <cellStyle name="Normal 7 4 2 5 3 3" xfId="5429" xr:uid="{6450F5DD-3052-44AE-9F5F-80F6A3EE9490}"/>
    <cellStyle name="Normal 7 4 2 5 3 3 2" xfId="22756" xr:uid="{82362F64-8C4D-459D-B138-3C1EDCE14382}"/>
    <cellStyle name="Normal 7 4 2 5 3 3 3" xfId="26550" xr:uid="{6EAB76BA-E1F9-4B4D-966D-BA0117E7B0BE}"/>
    <cellStyle name="Normal 7 4 2 5 3 3 4" xfId="14726" xr:uid="{7C738719-6FAF-4FC4-A32B-0116FAEB40E9}"/>
    <cellStyle name="Normal 7 4 2 5 3 4" xfId="7179" xr:uid="{F4DCA465-1ACF-45FC-9534-C32CF99F1CA5}"/>
    <cellStyle name="Normal 7 4 2 5 3 4 2" xfId="23472" xr:uid="{E9F5805B-9470-4EDC-ADDD-DCD941EAFF16}"/>
    <cellStyle name="Normal 7 4 2 5 3 4 3" xfId="26454" xr:uid="{7EECDE86-A8D7-4793-908A-F6DAB116F831}"/>
    <cellStyle name="Normal 7 4 2 5 3 4 4" xfId="17559" xr:uid="{758244B3-D92B-47D8-924C-7A5248D7C923}"/>
    <cellStyle name="Normal 7 4 2 5 3 5" xfId="10012" xr:uid="{737537A2-C40F-4B9F-BAA8-A6B342AC2340}"/>
    <cellStyle name="Normal 7 4 2 5 3 5 2" xfId="29455" xr:uid="{9BC5852B-53C0-43F8-A843-A5FF9D6E31BC}"/>
    <cellStyle name="Normal 7 4 2 5 3 5 3" xfId="20392" xr:uid="{6A8F803F-AA2E-4885-A0DA-C945AE5CD861}"/>
    <cellStyle name="Normal 7 4 2 5 3 6" xfId="25189" xr:uid="{5377AF0B-B07A-4D2B-80C5-F1CB2867184F}"/>
    <cellStyle name="Normal 7 4 2 5 3 7" xfId="14027" xr:uid="{E5137585-FB68-46C2-919F-DBB481287483}"/>
    <cellStyle name="Normal 7 4 2 5 4" xfId="1412" xr:uid="{00000000-0005-0000-0000-00005B070000}"/>
    <cellStyle name="Normal 7 4 2 5 4 2" xfId="5430" xr:uid="{9D587BF4-AC59-4918-97E4-B9E003E19072}"/>
    <cellStyle name="Normal 7 4 2 5 4 2 2" xfId="23734" xr:uid="{B019886C-1359-412E-8D96-C792177B3565}"/>
    <cellStyle name="Normal 7 4 2 5 4 2 3" xfId="26744" xr:uid="{0CE44BB1-8AB8-4275-AE33-7E35FAB49585}"/>
    <cellStyle name="Normal 7 4 2 5 4 2 4" xfId="14727" xr:uid="{45111C35-E0D5-4B5A-BBAE-16A4BE097BFF}"/>
    <cellStyle name="Normal 7 4 2 5 4 3" xfId="7180" xr:uid="{1A27C967-9251-40DF-ACB2-443B5CAB8019}"/>
    <cellStyle name="Normal 7 4 2 5 4 3 2" xfId="26087" xr:uid="{25621472-5CE3-4A0C-9494-30A0E3A54AFA}"/>
    <cellStyle name="Normal 7 4 2 5 4 3 3" xfId="17560" xr:uid="{B0C8B698-FB26-484E-873B-62D78C810D27}"/>
    <cellStyle name="Normal 7 4 2 5 4 4" xfId="10013" xr:uid="{18B4609A-23DC-4F90-B039-9F6A4303ABA1}"/>
    <cellStyle name="Normal 7 4 2 5 4 4 2" xfId="20393" xr:uid="{20A456CB-E6B6-4F6C-A6B2-C6D2B971D143}"/>
    <cellStyle name="Normal 7 4 2 5 4 5" xfId="24173" xr:uid="{FF9718A2-9A1D-406D-BDBD-1FC6CBCA4784}"/>
    <cellStyle name="Normal 7 4 2 5 4 6" xfId="13487" xr:uid="{73718355-8767-4822-BFEC-ED8909E4E64E}"/>
    <cellStyle name="Normal 7 4 2 5 5" xfId="2518" xr:uid="{00000000-0005-0000-0000-000059080000}"/>
    <cellStyle name="Normal 7 4 2 5 5 2" xfId="5796" xr:uid="{D91E1A03-91FC-4180-8558-21FDFA7B1A85}"/>
    <cellStyle name="Normal 7 4 2 5 5 2 2" xfId="26101" xr:uid="{899F7A24-B9A1-4C50-AEEA-9D474FA4A6E9}"/>
    <cellStyle name="Normal 7 4 2 5 5 2 3" xfId="15190" xr:uid="{8D1B3C93-EBFA-4819-958C-2F0CACFE1EFD}"/>
    <cellStyle name="Normal 7 4 2 5 5 3" xfId="7643" xr:uid="{81309B9C-59D9-4CC5-AD67-F40A50081CEB}"/>
    <cellStyle name="Normal 7 4 2 5 5 3 2" xfId="18023" xr:uid="{6D0B638F-51FC-4BB7-8833-AF7913B19F01}"/>
    <cellStyle name="Normal 7 4 2 5 5 4" xfId="10476" xr:uid="{EFD4DDC0-ADF2-449A-AC6E-069161845BFB}"/>
    <cellStyle name="Normal 7 4 2 5 5 4 2" xfId="20856" xr:uid="{F324FADB-B8D1-4342-A415-E1AB18C1AAA2}"/>
    <cellStyle name="Normal 7 4 2 5 5 5" xfId="24030" xr:uid="{7544ACC1-4452-4E36-8156-B8EB3A130A24}"/>
    <cellStyle name="Normal 7 4 2 5 5 6" xfId="12906" xr:uid="{5AE87465-D9FC-4676-8514-A35A9F559BF3}"/>
    <cellStyle name="Normal 7 4 2 5 6" xfId="2397" xr:uid="{00000000-0005-0000-0000-000053080000}"/>
    <cellStyle name="Normal 7 4 2 5 6 2" xfId="7524" xr:uid="{C44AA49F-EA30-4C1D-A7AA-368AC4FD12B0}"/>
    <cellStyle name="Normal 7 4 2 5 6 2 2" xfId="26848" xr:uid="{02C9C303-5722-4CA6-87FC-A9A5EBC995CE}"/>
    <cellStyle name="Normal 7 4 2 5 6 2 3" xfId="17904" xr:uid="{BB5EF9F8-B020-44DA-B448-A5890D3EE6E7}"/>
    <cellStyle name="Normal 7 4 2 5 6 3" xfId="10357" xr:uid="{A10D214D-A674-40AB-A355-E21B492E83BF}"/>
    <cellStyle name="Normal 7 4 2 5 6 3 2" xfId="20737" xr:uid="{5334C005-9896-43BF-8600-46AA296A307E}"/>
    <cellStyle name="Normal 7 4 2 5 6 4" xfId="23579" xr:uid="{24E987B6-8535-4A6B-8AC4-EF7BF8D0DAFA}"/>
    <cellStyle name="Normal 7 4 2 5 6 5" xfId="15071" xr:uid="{F3169F16-BF1F-4788-9CAD-AC7C449E61D1}"/>
    <cellStyle name="Normal 7 4 2 5 7" xfId="4065" xr:uid="{CD24C5D8-64C7-4E38-AE6A-E07FD8DAA435}"/>
    <cellStyle name="Normal 7 4 2 5 7 2" xfId="8845" xr:uid="{C6CE6DB9-81FB-438A-BE86-E541574BECAE}"/>
    <cellStyle name="Normal 7 4 2 5 7 2 2" xfId="19225" xr:uid="{1C3F134B-79D1-4839-97F2-130859F8B169}"/>
    <cellStyle name="Normal 7 4 2 5 7 3" xfId="11678" xr:uid="{57EDC30A-257C-419F-B6B7-784485107058}"/>
    <cellStyle name="Normal 7 4 2 5 7 3 2" xfId="22058" xr:uid="{A0F18111-F1BD-406C-99C7-3E89D5CADB8E}"/>
    <cellStyle name="Normal 7 4 2 5 7 4" xfId="28079" xr:uid="{C85E6CB5-C3DC-4F9A-ACB4-F3E56903F176}"/>
    <cellStyle name="Normal 7 4 2 5 7 5" xfId="16392" xr:uid="{72DD76BE-E92C-41A1-92BB-CBDEE0DF260F}"/>
    <cellStyle name="Normal 7 4 2 5 8" xfId="5426" xr:uid="{BB73E277-5C4F-4CAB-9689-E95916508D19}"/>
    <cellStyle name="Normal 7 4 2 5 8 2" xfId="14723" xr:uid="{4D7B405F-719B-4273-86A8-7ADE3E7CDFF0}"/>
    <cellStyle name="Normal 7 4 2 5 9" xfId="7176" xr:uid="{E2FC0238-D568-49BD-8CAD-C4343ECF0472}"/>
    <cellStyle name="Normal 7 4 2 5 9 2" xfId="17556" xr:uid="{1DD1EA12-FE9F-4321-98B3-29F2E25FFBB5}"/>
    <cellStyle name="Normal 7 4 2 6" xfId="1413" xr:uid="{00000000-0005-0000-0000-00005C070000}"/>
    <cellStyle name="Normal 7 4 2 6 10" xfId="10014" xr:uid="{B005047F-553F-4924-9AED-EE4FF4F402CC}"/>
    <cellStyle name="Normal 7 4 2 6 10 2" xfId="20394" xr:uid="{AEEC708B-5BE3-4339-9329-464B6727CE2D}"/>
    <cellStyle name="Normal 7 4 2 6 11" xfId="23969" xr:uid="{B1BFA53B-4411-4F77-90BC-F1ACAFC20672}"/>
    <cellStyle name="Normal 7 4 2 6 12" xfId="12632" xr:uid="{356EBB20-4CFC-4623-8999-6556D895B666}"/>
    <cellStyle name="Normal 7 4 2 6 2" xfId="1414" xr:uid="{00000000-0005-0000-0000-00005D070000}"/>
    <cellStyle name="Normal 7 4 2 6 2 2" xfId="1415" xr:uid="{00000000-0005-0000-0000-00005E070000}"/>
    <cellStyle name="Normal 7 4 2 6 2 2 2" xfId="5433" xr:uid="{ACC49959-56F5-457B-8777-6A4362BBF026}"/>
    <cellStyle name="Normal 7 4 2 6 2 2 2 2" xfId="25083" xr:uid="{3B9B08C4-D6CA-4A0C-B355-9341D725EBDD}"/>
    <cellStyle name="Normal 7 4 2 6 2 2 2 3" xfId="28229" xr:uid="{20C2A7A5-F58B-4B9B-B161-904618D63BBB}"/>
    <cellStyle name="Normal 7 4 2 6 2 2 2 4" xfId="14730" xr:uid="{C0232D7C-B838-4704-8517-D1D2136571EB}"/>
    <cellStyle name="Normal 7 4 2 6 2 2 3" xfId="7183" xr:uid="{BE33CC03-26D6-4F9E-96FB-EF0745C5CFBC}"/>
    <cellStyle name="Normal 7 4 2 6 2 2 3 2" xfId="27662" xr:uid="{8A55FD98-BA27-42A1-B444-FCB1DEC93CE1}"/>
    <cellStyle name="Normal 7 4 2 6 2 2 3 3" xfId="28706" xr:uid="{F3335788-22CA-49A2-A198-B67340352892}"/>
    <cellStyle name="Normal 7 4 2 6 2 2 3 4" xfId="17563" xr:uid="{5D2F1BA3-BFA8-4272-8075-7B079CD1E603}"/>
    <cellStyle name="Normal 7 4 2 6 2 2 4" xfId="10016" xr:uid="{62D4065E-236E-4227-B202-B705D98E07CB}"/>
    <cellStyle name="Normal 7 4 2 6 2 2 4 2" xfId="29456" xr:uid="{953B8973-E9D4-4A28-9448-9283324B166F}"/>
    <cellStyle name="Normal 7 4 2 6 2 2 4 3" xfId="20396" xr:uid="{A4154077-145C-4608-B623-9B291738B4B5}"/>
    <cellStyle name="Normal 7 4 2 6 2 2 5" xfId="24111" xr:uid="{1E6376B6-685C-41F6-AA1A-0E1371E4F7E4}"/>
    <cellStyle name="Normal 7 4 2 6 2 2 6" xfId="14028" xr:uid="{F2E8C2ED-6652-4E5E-B034-69DEC9945787}"/>
    <cellStyle name="Normal 7 4 2 6 2 3" xfId="2827" xr:uid="{00000000-0005-0000-0000-00005D080000}"/>
    <cellStyle name="Normal 7 4 2 6 2 3 2" xfId="6043" xr:uid="{CD12F26D-7E38-4B72-BD0F-648FE20591B2}"/>
    <cellStyle name="Normal 7 4 2 6 2 3 2 2" xfId="26925" xr:uid="{7A04FC21-7B5E-4CD7-B124-1DF756BCC50B}"/>
    <cellStyle name="Normal 7 4 2 6 2 3 2 3" xfId="15497" xr:uid="{92AEBB35-1F1E-45DB-A179-204373507A49}"/>
    <cellStyle name="Normal 7 4 2 6 2 3 3" xfId="7950" xr:uid="{544102D1-B4FD-4580-AB52-37F5F53691B1}"/>
    <cellStyle name="Normal 7 4 2 6 2 3 3 2" xfId="18330" xr:uid="{D5BE6525-FBCC-4B18-A71C-5E613C285E72}"/>
    <cellStyle name="Normal 7 4 2 6 2 3 4" xfId="10783" xr:uid="{4F84140B-4949-4A65-8CA7-13438E35AAFE}"/>
    <cellStyle name="Normal 7 4 2 6 2 3 4 2" xfId="21163" xr:uid="{EADBB21F-4358-4A40-9D66-D97F8AD657E1}"/>
    <cellStyle name="Normal 7 4 2 6 2 3 5" xfId="24550" xr:uid="{236C8CB4-8771-4D9A-A151-835DD1644386}"/>
    <cellStyle name="Normal 7 4 2 6 2 3 6" xfId="13301" xr:uid="{FFBBAFCE-4E25-452F-A3A4-2BFC8F0A33A5}"/>
    <cellStyle name="Normal 7 4 2 6 2 4" xfId="4218" xr:uid="{CB5E1B9E-8298-4AB5-8BA2-CDA1208127F1}"/>
    <cellStyle name="Normal 7 4 2 6 2 4 2" xfId="8990" xr:uid="{8A08711D-C16C-4D26-A112-C5B19FD900A6}"/>
    <cellStyle name="Normal 7 4 2 6 2 4 2 2" xfId="29069" xr:uid="{7DBA42BE-1030-4A1A-9B27-A843FA100053}"/>
    <cellStyle name="Normal 7 4 2 6 2 4 2 3" xfId="19370" xr:uid="{185869D1-AB3E-426B-B499-220AD464EF35}"/>
    <cellStyle name="Normal 7 4 2 6 2 4 3" xfId="11823" xr:uid="{67F4D7A1-B4EE-4730-8EAD-10F1F3EF120C}"/>
    <cellStyle name="Normal 7 4 2 6 2 4 3 2" xfId="22203" xr:uid="{23FF878B-135C-476A-A974-E6D81A426931}"/>
    <cellStyle name="Normal 7 4 2 6 2 4 4" xfId="24156" xr:uid="{3F4AFEAA-481D-442A-A5F1-93DED3FB4675}"/>
    <cellStyle name="Normal 7 4 2 6 2 4 5" xfId="16537" xr:uid="{9DDB4BA9-5EFA-4772-8776-20EE45B267C5}"/>
    <cellStyle name="Normal 7 4 2 6 2 5" xfId="5432" xr:uid="{B53CA646-856C-40E3-B9B1-1B1C39C90F5B}"/>
    <cellStyle name="Normal 7 4 2 6 2 5 2" xfId="26381" xr:uid="{985CE4B6-9B97-404E-8FC0-9CA482811201}"/>
    <cellStyle name="Normal 7 4 2 6 2 5 3" xfId="14729" xr:uid="{0DB742FD-2D59-49F6-8D24-05C7BE73D3ED}"/>
    <cellStyle name="Normal 7 4 2 6 2 6" xfId="7182" xr:uid="{7F0CD3EC-A7ED-415E-BB71-E350FC058EFE}"/>
    <cellStyle name="Normal 7 4 2 6 2 6 2" xfId="17562" xr:uid="{BF747459-136E-42E9-B078-152299A8E6D6}"/>
    <cellStyle name="Normal 7 4 2 6 2 7" xfId="10015" xr:uid="{AE1DDB34-B94D-4F70-8B50-BBDACA9B0F46}"/>
    <cellStyle name="Normal 7 4 2 6 2 7 2" xfId="20395" xr:uid="{32D57998-B51C-4D26-AE68-6ED260EE16CF}"/>
    <cellStyle name="Normal 7 4 2 6 2 8" xfId="24493" xr:uid="{6CC6677E-E6E1-45EE-BA0C-C14C13A7610E}"/>
    <cellStyle name="Normal 7 4 2 6 2 9" xfId="12790" xr:uid="{173BBFF3-D0F4-4160-AFF4-3F0497245FA6}"/>
    <cellStyle name="Normal 7 4 2 6 3" xfId="1416" xr:uid="{00000000-0005-0000-0000-00005F070000}"/>
    <cellStyle name="Normal 7 4 2 6 3 2" xfId="4582" xr:uid="{1BF54EF6-A596-4E83-B706-8E4A11FB6522}"/>
    <cellStyle name="Normal 7 4 2 6 3 2 2" xfId="9354" xr:uid="{C70380DC-B373-40D4-AC39-627D89764B5A}"/>
    <cellStyle name="Normal 7 4 2 6 3 2 2 2" xfId="29326" xr:uid="{9C1A41FE-2635-4791-A25C-E3F106F38BD2}"/>
    <cellStyle name="Normal 7 4 2 6 3 2 2 3" xfId="19734" xr:uid="{C10CF57A-7449-4792-B663-B665D61B8051}"/>
    <cellStyle name="Normal 7 4 2 6 3 2 3" xfId="12187" xr:uid="{9987C1F0-235F-4763-85FC-D06D2B2C4ECF}"/>
    <cellStyle name="Normal 7 4 2 6 3 2 3 2" xfId="22567" xr:uid="{FB548799-0E5E-406E-9E65-6539CA2FCB7D}"/>
    <cellStyle name="Normal 7 4 2 6 3 2 4" xfId="23525" xr:uid="{43912BF1-D01E-4BCF-81CA-9DEFFB11AD82}"/>
    <cellStyle name="Normal 7 4 2 6 3 2 5" xfId="16901" xr:uid="{BA4ECC0D-83ED-407F-BCAA-064BFB4F01C3}"/>
    <cellStyle name="Normal 7 4 2 6 3 3" xfId="5434" xr:uid="{586EF2D9-24F5-4293-9A1C-40A22B06FF20}"/>
    <cellStyle name="Normal 7 4 2 6 3 3 2" xfId="26867" xr:uid="{9703619E-5EBC-4ECB-9542-BD3FC3B49889}"/>
    <cellStyle name="Normal 7 4 2 6 3 3 3" xfId="27060" xr:uid="{898A3EAE-B37A-42A8-A9B5-A4B9E4D060D4}"/>
    <cellStyle name="Normal 7 4 2 6 3 3 4" xfId="14731" xr:uid="{0BBC9CEC-1798-4D37-915A-9BA30FF844EE}"/>
    <cellStyle name="Normal 7 4 2 6 3 4" xfId="7184" xr:uid="{81C49B6A-535B-4744-9D34-E03E2DC1FC01}"/>
    <cellStyle name="Normal 7 4 2 6 3 4 2" xfId="26071" xr:uid="{54965685-2E95-4A9A-8DAC-26B9ACC33AAE}"/>
    <cellStyle name="Normal 7 4 2 6 3 4 3" xfId="26078" xr:uid="{4B8C6A35-BB5E-4E04-8659-982CCD8A6CCD}"/>
    <cellStyle name="Normal 7 4 2 6 3 4 4" xfId="17564" xr:uid="{B27B0C0C-397F-4F16-AD78-649203BA9DBB}"/>
    <cellStyle name="Normal 7 4 2 6 3 5" xfId="10017" xr:uid="{DB3DA74A-F661-4D5D-9965-C692008A5E5F}"/>
    <cellStyle name="Normal 7 4 2 6 3 5 2" xfId="29457" xr:uid="{D3B1CD2D-4B81-49DE-99E0-FDDCC3584FA2}"/>
    <cellStyle name="Normal 7 4 2 6 3 5 3" xfId="20397" xr:uid="{06C36481-C097-46B8-BFA2-9452BC204D9B}"/>
    <cellStyle name="Normal 7 4 2 6 3 6" xfId="23181" xr:uid="{1DB60C66-997E-4EBF-BC69-CA57773C7EEB}"/>
    <cellStyle name="Normal 7 4 2 6 3 7" xfId="14029" xr:uid="{38A60E8F-1A15-4F0E-B1BC-C7F451D6E98E}"/>
    <cellStyle name="Normal 7 4 2 6 4" xfId="1417" xr:uid="{00000000-0005-0000-0000-000060070000}"/>
    <cellStyle name="Normal 7 4 2 6 4 2" xfId="5435" xr:uid="{1098EACB-F920-4291-9391-EFC70FC55943}"/>
    <cellStyle name="Normal 7 4 2 6 4 2 2" xfId="25674" xr:uid="{A31B6F93-403A-46B7-838C-23C6F6A7892F}"/>
    <cellStyle name="Normal 7 4 2 6 4 2 3" xfId="27223" xr:uid="{AF167C8A-3895-4A44-9B5F-E4A0FD058299}"/>
    <cellStyle name="Normal 7 4 2 6 4 2 4" xfId="14732" xr:uid="{F0BBF8B3-23E5-4EA8-81AF-B1566C2E3D6F}"/>
    <cellStyle name="Normal 7 4 2 6 4 3" xfId="7185" xr:uid="{F100B69C-70E3-4089-B3A4-FA365EB5D525}"/>
    <cellStyle name="Normal 7 4 2 6 4 3 2" xfId="27074" xr:uid="{847359D5-C1DB-48F5-8BE8-52AA144B6839}"/>
    <cellStyle name="Normal 7 4 2 6 4 3 3" xfId="17565" xr:uid="{E755EA97-62BB-408D-812C-AD918708BE0D}"/>
    <cellStyle name="Normal 7 4 2 6 4 4" xfId="10018" xr:uid="{62B92776-CB32-4631-AAD3-0911FDE28057}"/>
    <cellStyle name="Normal 7 4 2 6 4 4 2" xfId="20398" xr:uid="{7E4BA555-3E90-425F-AD14-F5855C84BBEB}"/>
    <cellStyle name="Normal 7 4 2 6 4 5" xfId="24506" xr:uid="{D1F60048-1F01-454C-8F29-5C365FD9AE94}"/>
    <cellStyle name="Normal 7 4 2 6 4 6" xfId="13488" xr:uid="{A33226EE-2783-4EA0-AEF9-1D2369B95F25}"/>
    <cellStyle name="Normal 7 4 2 6 5" xfId="2581" xr:uid="{00000000-0005-0000-0000-000060080000}"/>
    <cellStyle name="Normal 7 4 2 6 5 2" xfId="5846" xr:uid="{17D75B77-B2E5-482C-AF94-4F4BB57B6AA4}"/>
    <cellStyle name="Normal 7 4 2 6 5 2 2" xfId="28578" xr:uid="{47400427-7ED5-4ED7-8D01-2982F6F56245}"/>
    <cellStyle name="Normal 7 4 2 6 5 2 3" xfId="15253" xr:uid="{0692E47A-8ABA-490E-B809-91E5AD376575}"/>
    <cellStyle name="Normal 7 4 2 6 5 3" xfId="7706" xr:uid="{8F573EFC-8B2A-4675-9DAA-06B413A2D871}"/>
    <cellStyle name="Normal 7 4 2 6 5 3 2" xfId="18086" xr:uid="{A72F17EF-D17E-457D-A99B-9EDDAE54C255}"/>
    <cellStyle name="Normal 7 4 2 6 5 4" xfId="10539" xr:uid="{FE721382-46EC-47CE-9E00-1C7D2AD5CB5C}"/>
    <cellStyle name="Normal 7 4 2 6 5 4 2" xfId="20919" xr:uid="{BA75287A-DD7E-48BF-B60B-1477C427A975}"/>
    <cellStyle name="Normal 7 4 2 6 5 5" xfId="25294" xr:uid="{2E4EDD41-397C-4261-A4FE-33FF3F5E5E5E}"/>
    <cellStyle name="Normal 7 4 2 6 5 6" xfId="12969" xr:uid="{D2E29B5C-A764-4CBE-A5A5-82E3569611B1}"/>
    <cellStyle name="Normal 7 4 2 6 6" xfId="2398" xr:uid="{00000000-0005-0000-0000-00005A080000}"/>
    <cellStyle name="Normal 7 4 2 6 6 2" xfId="7525" xr:uid="{21F174A7-4987-4EBF-A1EF-44A664994639}"/>
    <cellStyle name="Normal 7 4 2 6 6 2 2" xfId="26786" xr:uid="{FCC0CB2D-E4EF-45DB-B929-DFB54B1569B1}"/>
    <cellStyle name="Normal 7 4 2 6 6 2 3" xfId="17905" xr:uid="{6AAD9FE9-06E3-4AD8-95AD-40296A6C342B}"/>
    <cellStyle name="Normal 7 4 2 6 6 3" xfId="10358" xr:uid="{96808953-3DDB-4A9D-9F4C-E5CBDC75F4BE}"/>
    <cellStyle name="Normal 7 4 2 6 6 3 2" xfId="20738" xr:uid="{A6BE3F22-05B0-4709-A6B2-6F8C6FB45ECB}"/>
    <cellStyle name="Normal 7 4 2 6 6 4" xfId="23100" xr:uid="{50A340EA-2354-4D27-A57E-7B444BE316CA}"/>
    <cellStyle name="Normal 7 4 2 6 6 5" xfId="15072" xr:uid="{02E62824-B523-4CBE-9AC5-A726FE865AD8}"/>
    <cellStyle name="Normal 7 4 2 6 7" xfId="4066" xr:uid="{787504FD-E615-4DF1-9D77-BBECC0DE93F8}"/>
    <cellStyle name="Normal 7 4 2 6 7 2" xfId="8846" xr:uid="{FCF05B19-81FB-4A54-BEB7-F0A61DB12570}"/>
    <cellStyle name="Normal 7 4 2 6 7 2 2" xfId="19226" xr:uid="{32B3D620-F75A-4CAD-B1E5-597DD8136D45}"/>
    <cellStyle name="Normal 7 4 2 6 7 3" xfId="11679" xr:uid="{33C1B2BD-D14A-44C0-9307-05BFF67FA58E}"/>
    <cellStyle name="Normal 7 4 2 6 7 3 2" xfId="22059" xr:uid="{6B631C3B-0DB2-48F2-B87D-D2F45125569C}"/>
    <cellStyle name="Normal 7 4 2 6 7 4" xfId="28107" xr:uid="{F5261F1D-F1B9-45E8-8F81-7C53A7BE747C}"/>
    <cellStyle name="Normal 7 4 2 6 7 5" xfId="16393" xr:uid="{D8E47FB0-8BB3-4344-AB82-69A4BA1C62CB}"/>
    <cellStyle name="Normal 7 4 2 6 8" xfId="5431" xr:uid="{1F40B752-6737-46EE-A6DF-1B75DA96DBD1}"/>
    <cellStyle name="Normal 7 4 2 6 8 2" xfId="14728" xr:uid="{391F89FC-6944-4964-B2E1-FDFC3C4ED719}"/>
    <cellStyle name="Normal 7 4 2 6 9" xfId="7181" xr:uid="{450B9847-020C-49F1-B642-B0DEC3E29F00}"/>
    <cellStyle name="Normal 7 4 2 6 9 2" xfId="17561" xr:uid="{ACCB61D8-4537-48D9-9271-7E8864C9E44C}"/>
    <cellStyle name="Normal 7 4 2 7" xfId="1418" xr:uid="{00000000-0005-0000-0000-000061070000}"/>
    <cellStyle name="Normal 7 4 2 7 10" xfId="12633" xr:uid="{94DB8E25-984C-4D8D-A56D-979E81D1A1DE}"/>
    <cellStyle name="Normal 7 4 2 7 2" xfId="1419" xr:uid="{00000000-0005-0000-0000-000062070000}"/>
    <cellStyle name="Normal 7 4 2 7 2 2" xfId="2990" xr:uid="{00000000-0005-0000-0000-000063080000}"/>
    <cellStyle name="Normal 7 4 2 7 2 2 2" xfId="6140" xr:uid="{1266CA9C-5035-448E-8939-3C069FE41792}"/>
    <cellStyle name="Normal 7 4 2 7 2 2 2 2" xfId="27832" xr:uid="{6BA6E3E3-0B5D-4725-AD7D-45FA59660042}"/>
    <cellStyle name="Normal 7 4 2 7 2 2 2 3" xfId="26313" xr:uid="{14734C87-6DE6-4D0B-84FB-F5E620DB5FDB}"/>
    <cellStyle name="Normal 7 4 2 7 2 2 2 4" xfId="15618" xr:uid="{6FB34FEA-6554-4BE3-8D10-9AD6CE81D6C6}"/>
    <cellStyle name="Normal 7 4 2 7 2 2 3" xfId="8071" xr:uid="{CE9E1B3D-C1FD-4CBA-A6BB-D92144A0865F}"/>
    <cellStyle name="Normal 7 4 2 7 2 2 3 2" xfId="27723" xr:uid="{0032E810-F024-4C77-AE8D-9373B8055228}"/>
    <cellStyle name="Normal 7 4 2 7 2 2 3 3" xfId="18451" xr:uid="{B3FB1B6C-478C-4CD5-A026-5797CBD64E79}"/>
    <cellStyle name="Normal 7 4 2 7 2 2 4" xfId="10904" xr:uid="{4415CB7F-40E9-45E1-85D9-6DABC2764ED3}"/>
    <cellStyle name="Normal 7 4 2 7 2 2 4 2" xfId="21284" xr:uid="{3E1FD531-B551-4991-9904-10393FE33A3C}"/>
    <cellStyle name="Normal 7 4 2 7 2 2 5" xfId="23829" xr:uid="{E0E623C1-45BB-4EFA-87D1-5D1FD674B409}"/>
    <cellStyle name="Normal 7 4 2 7 2 2 6" xfId="13489" xr:uid="{6258D515-6824-426D-9C18-B099CE2EE0A9}"/>
    <cellStyle name="Normal 7 4 2 7 2 3" xfId="5437" xr:uid="{73706557-7274-4A62-9D2E-9D0F68BD4BC2}"/>
    <cellStyle name="Normal 7 4 2 7 2 3 2" xfId="23501" xr:uid="{15F8D672-281A-4D72-AD12-49CEE82E7533}"/>
    <cellStyle name="Normal 7 4 2 7 2 3 3" xfId="27197" xr:uid="{D064E7A5-6181-4134-830F-81AF10BBEB20}"/>
    <cellStyle name="Normal 7 4 2 7 2 3 4" xfId="14734" xr:uid="{DB7C5814-2379-4983-8608-9F3F172D6E7F}"/>
    <cellStyle name="Normal 7 4 2 7 2 4" xfId="7187" xr:uid="{3836BD7D-4B8E-4F9B-8B5D-7B489FC8B2BF}"/>
    <cellStyle name="Normal 7 4 2 7 2 4 2" xfId="26635" xr:uid="{18E5D6C6-EF43-4D85-8CE8-AE7EE66E87D1}"/>
    <cellStyle name="Normal 7 4 2 7 2 4 3" xfId="27244" xr:uid="{6B17FA2A-E0D2-44FB-8207-51940BE33BD3}"/>
    <cellStyle name="Normal 7 4 2 7 2 4 4" xfId="17567" xr:uid="{DFEF93DD-08C3-4443-844E-F6CA5FDD1CF2}"/>
    <cellStyle name="Normal 7 4 2 7 2 5" xfId="10020" xr:uid="{0889C94F-1ABA-4FC6-9E28-0795963A3FA9}"/>
    <cellStyle name="Normal 7 4 2 7 2 5 2" xfId="29458" xr:uid="{70201FCB-86E4-489F-8B22-D4D9F690346B}"/>
    <cellStyle name="Normal 7 4 2 7 2 5 3" xfId="20400" xr:uid="{89FBEA2D-C08B-4774-AF5A-524674D3512A}"/>
    <cellStyle name="Normal 7 4 2 7 2 6" xfId="23850" xr:uid="{DF26400E-02C4-4589-8613-8A8F024D1767}"/>
    <cellStyle name="Normal 7 4 2 7 2 7" xfId="12791" xr:uid="{BFB7021A-E11C-42FB-8F02-FE5A49CDF78E}"/>
    <cellStyle name="Normal 7 4 2 7 3" xfId="1420" xr:uid="{00000000-0005-0000-0000-000063070000}"/>
    <cellStyle name="Normal 7 4 2 7 3 2" xfId="5438" xr:uid="{82B5E694-2FC5-4E24-8479-0FC41482D483}"/>
    <cellStyle name="Normal 7 4 2 7 3 2 2" xfId="26972" xr:uid="{2BF54BE0-ED09-4508-B9C3-888EF3FACA7E}"/>
    <cellStyle name="Normal 7 4 2 7 3 2 3" xfId="28158" xr:uid="{41CB8755-7976-4FA8-92E0-440C84D9FADA}"/>
    <cellStyle name="Normal 7 4 2 7 3 2 4" xfId="14735" xr:uid="{8D89238C-0030-4AB4-9F24-B117B919F0F0}"/>
    <cellStyle name="Normal 7 4 2 7 3 3" xfId="7188" xr:uid="{0008B33A-5D63-4F47-B563-238954287A5F}"/>
    <cellStyle name="Normal 7 4 2 7 3 3 2" xfId="28238" xr:uid="{260C5BFE-EE4A-4508-BB9D-B54A34FC1DD1}"/>
    <cellStyle name="Normal 7 4 2 7 3 3 3" xfId="26044" xr:uid="{7BC6694E-8F7E-426B-982B-C6FE59EE42A5}"/>
    <cellStyle name="Normal 7 4 2 7 3 3 4" xfId="17568" xr:uid="{27E6BAC9-0590-4F18-8EA6-355AEED43B58}"/>
    <cellStyle name="Normal 7 4 2 7 3 4" xfId="10021" xr:uid="{D6282C0B-23EE-4436-B69D-F5E8D9CEA92A}"/>
    <cellStyle name="Normal 7 4 2 7 3 4 2" xfId="29459" xr:uid="{794BD335-970E-4ABE-8731-2B8B81EFDD62}"/>
    <cellStyle name="Normal 7 4 2 7 3 4 3" xfId="20401" xr:uid="{5459E404-4B22-4EAD-B82F-42EE3543FD20}"/>
    <cellStyle name="Normal 7 4 2 7 3 5" xfId="23110" xr:uid="{BCC33169-2365-4075-A213-E531A6313F02}"/>
    <cellStyle name="Normal 7 4 2 7 3 6" xfId="13302" xr:uid="{44BF5C5C-C4C7-4BF3-978B-7EB2E005626C}"/>
    <cellStyle name="Normal 7 4 2 7 4" xfId="2399" xr:uid="{00000000-0005-0000-0000-000061080000}"/>
    <cellStyle name="Normal 7 4 2 7 4 2" xfId="7526" xr:uid="{86492D43-90EB-48CF-8201-D4300A5D77A1}"/>
    <cellStyle name="Normal 7 4 2 7 4 2 2" xfId="25868" xr:uid="{FFB7116F-81E7-4660-99A9-B36EAAF51FAD}"/>
    <cellStyle name="Normal 7 4 2 7 4 2 3" xfId="17906" xr:uid="{9EBB2063-CA9F-41AA-ACB2-36A461FE1529}"/>
    <cellStyle name="Normal 7 4 2 7 4 3" xfId="10359" xr:uid="{54018CCB-AB0E-4704-9798-FE8BC0349EED}"/>
    <cellStyle name="Normal 7 4 2 7 4 3 2" xfId="20739" xr:uid="{9AD254BA-D173-4481-812D-E6A24542D02F}"/>
    <cellStyle name="Normal 7 4 2 7 4 4" xfId="24788" xr:uid="{9018913B-342D-4E75-A25C-8C37B551CB05}"/>
    <cellStyle name="Normal 7 4 2 7 4 5" xfId="15073" xr:uid="{7DD61C3C-68EC-4DA4-8FD3-0480FC45329D}"/>
    <cellStyle name="Normal 7 4 2 7 5" xfId="4067" xr:uid="{77472886-F551-449A-8098-A7FB30B7B646}"/>
    <cellStyle name="Normal 7 4 2 7 5 2" xfId="8847" xr:uid="{F84EA359-FB2C-4639-A40E-838E073F2E29}"/>
    <cellStyle name="Normal 7 4 2 7 5 2 2" xfId="28996" xr:uid="{7BF56CC5-6A5C-4EF6-B5F0-8F2CBE3D79FE}"/>
    <cellStyle name="Normal 7 4 2 7 5 2 3" xfId="19227" xr:uid="{8AD95E74-020B-4D2D-9F96-D8EB383DF9DA}"/>
    <cellStyle name="Normal 7 4 2 7 5 3" xfId="11680" xr:uid="{C12A5A78-6510-436E-A32D-926A5FAD00FB}"/>
    <cellStyle name="Normal 7 4 2 7 5 3 2" xfId="22060" xr:uid="{B6EEC522-B3A4-4B2E-85A7-A04BC0C8DDFB}"/>
    <cellStyle name="Normal 7 4 2 7 5 4" xfId="22812" xr:uid="{37258880-037A-4767-9152-4095A0169B94}"/>
    <cellStyle name="Normal 7 4 2 7 5 5" xfId="16394" xr:uid="{6E299FD7-684B-4802-A6FF-86435AC177AA}"/>
    <cellStyle name="Normal 7 4 2 7 6" xfId="5436" xr:uid="{D3C90363-648C-472E-B1D6-0895137A7634}"/>
    <cellStyle name="Normal 7 4 2 7 6 2" xfId="26328" xr:uid="{B017C560-B810-4746-8C55-B4995878F636}"/>
    <cellStyle name="Normal 7 4 2 7 6 3" xfId="26510" xr:uid="{92F04E2A-EF45-425E-B460-6E5D80E4539C}"/>
    <cellStyle name="Normal 7 4 2 7 6 4" xfId="14733" xr:uid="{BAE21227-5844-4849-AED3-9A0C92C98A8C}"/>
    <cellStyle name="Normal 7 4 2 7 7" xfId="7186" xr:uid="{7CC78FA1-708E-40DD-960B-EAF910F14868}"/>
    <cellStyle name="Normal 7 4 2 7 7 2" xfId="26421" xr:uid="{6A8787EE-F31E-4982-9135-5F1148B2FDBE}"/>
    <cellStyle name="Normal 7 4 2 7 7 3" xfId="17566" xr:uid="{23954045-1D4A-4E58-9EDC-5DC74BA99BA5}"/>
    <cellStyle name="Normal 7 4 2 7 8" xfId="10019" xr:uid="{94B3A68A-3BD4-419B-9AC3-B8BD758CE315}"/>
    <cellStyle name="Normal 7 4 2 7 8 2" xfId="20399" xr:uid="{FB3E73B1-994C-477B-9EC3-AED1D1AD3CD1}"/>
    <cellStyle name="Normal 7 4 2 7 9" xfId="24625" xr:uid="{E09003C2-1B00-4328-BBF9-063EA82CCD48}"/>
    <cellStyle name="Normal 7 4 2 8" xfId="1421" xr:uid="{00000000-0005-0000-0000-000064070000}"/>
    <cellStyle name="Normal 7 4 2 8 10" xfId="12634" xr:uid="{764DDC1B-9402-4F8E-8F51-32FAF920D60E}"/>
    <cellStyle name="Normal 7 4 2 8 2" xfId="1422" xr:uid="{00000000-0005-0000-0000-000065070000}"/>
    <cellStyle name="Normal 7 4 2 8 2 2" xfId="2991" xr:uid="{00000000-0005-0000-0000-000067080000}"/>
    <cellStyle name="Normal 7 4 2 8 2 2 2" xfId="6141" xr:uid="{9041C163-69A9-43CC-9E9A-D833F2C7176D}"/>
    <cellStyle name="Normal 7 4 2 8 2 2 2 2" xfId="26203" xr:uid="{B493E099-C3E2-4544-9AA4-825065CBA4E2}"/>
    <cellStyle name="Normal 7 4 2 8 2 2 2 3" xfId="27475" xr:uid="{3AB40F7B-C570-4D06-ADBC-05D10685A382}"/>
    <cellStyle name="Normal 7 4 2 8 2 2 2 4" xfId="15619" xr:uid="{662CF5B3-522E-4A27-8305-2C33727EF944}"/>
    <cellStyle name="Normal 7 4 2 8 2 2 3" xfId="8072" xr:uid="{A7D51079-161A-4855-A031-386021851227}"/>
    <cellStyle name="Normal 7 4 2 8 2 2 3 2" xfId="28767" xr:uid="{E2D87E69-31E9-42B6-96CD-1C9BA892C7BB}"/>
    <cellStyle name="Normal 7 4 2 8 2 2 3 3" xfId="18452" xr:uid="{A4CED350-C79A-4982-82E0-0E78037D358B}"/>
    <cellStyle name="Normal 7 4 2 8 2 2 4" xfId="10905" xr:uid="{CB272D73-6214-4DBE-B2F7-601C344F4AED}"/>
    <cellStyle name="Normal 7 4 2 8 2 2 4 2" xfId="21285" xr:uid="{A51A0245-F2DF-4AE0-AADB-DA7AF0E58429}"/>
    <cellStyle name="Normal 7 4 2 8 2 2 5" xfId="25247" xr:uid="{3814E4DE-EEA9-49D4-9238-DCCEEA448DD9}"/>
    <cellStyle name="Normal 7 4 2 8 2 2 6" xfId="13490" xr:uid="{CC3172A9-4FD7-4114-8024-2F839FFAC561}"/>
    <cellStyle name="Normal 7 4 2 8 2 3" xfId="5440" xr:uid="{336699C8-1CEE-4FE0-A41F-11B48F3781CB}"/>
    <cellStyle name="Normal 7 4 2 8 2 3 2" xfId="25141" xr:uid="{143F8DC0-D0F0-4F1B-A5F6-49BBA04A9BAA}"/>
    <cellStyle name="Normal 7 4 2 8 2 3 3" xfId="27241" xr:uid="{FCF3E825-A10B-4A4B-9EA1-E9B2699347E6}"/>
    <cellStyle name="Normal 7 4 2 8 2 3 4" xfId="14737" xr:uid="{F4C934E6-EF23-4A45-A8C7-37BB666CB016}"/>
    <cellStyle name="Normal 7 4 2 8 2 4" xfId="7190" xr:uid="{18D41000-B14D-4DB2-B55D-9828FC100708}"/>
    <cellStyle name="Normal 7 4 2 8 2 4 2" xfId="26095" xr:uid="{B5DDF77C-89DA-471A-8272-5E6E03F47423}"/>
    <cellStyle name="Normal 7 4 2 8 2 4 3" xfId="26435" xr:uid="{EADE3D3C-76DB-4633-9772-34B4800C979C}"/>
    <cellStyle name="Normal 7 4 2 8 2 4 4" xfId="17570" xr:uid="{2AEDA77A-D5D4-4E04-B75B-45DDA0F9A858}"/>
    <cellStyle name="Normal 7 4 2 8 2 5" xfId="10023" xr:uid="{0B9161BD-1312-4222-8C65-7C901862FE49}"/>
    <cellStyle name="Normal 7 4 2 8 2 5 2" xfId="29460" xr:uid="{3B11A4C3-9B9B-404A-AAB3-C3FF001AC2C4}"/>
    <cellStyle name="Normal 7 4 2 8 2 5 3" xfId="20403" xr:uid="{22CC1A39-7AB0-474E-9DD9-C58BA7F6E7DB}"/>
    <cellStyle name="Normal 7 4 2 8 2 6" xfId="23375" xr:uid="{4798756F-1AD2-44D4-A672-6B80D892F56E}"/>
    <cellStyle name="Normal 7 4 2 8 2 7" xfId="12792" xr:uid="{BF2F52C6-13F2-4F1D-9924-D50FFADB0400}"/>
    <cellStyle name="Normal 7 4 2 8 3" xfId="1423" xr:uid="{00000000-0005-0000-0000-000066070000}"/>
    <cellStyle name="Normal 7 4 2 8 3 2" xfId="5441" xr:uid="{DF7E501D-4D91-426D-AD30-9FD2EF2BFCE7}"/>
    <cellStyle name="Normal 7 4 2 8 3 2 2" xfId="27433" xr:uid="{7D3C8E64-94D2-442D-AA48-12B7CF08B5B7}"/>
    <cellStyle name="Normal 7 4 2 8 3 2 3" xfId="28601" xr:uid="{1FEA78ED-3976-4495-9929-FD5F90723AF7}"/>
    <cellStyle name="Normal 7 4 2 8 3 2 4" xfId="14738" xr:uid="{E3B0F55E-0118-4914-A1F6-148CF20F42D4}"/>
    <cellStyle name="Normal 7 4 2 8 3 3" xfId="7191" xr:uid="{E0B26F10-6A1D-4076-95F6-2A99FD4F5D93}"/>
    <cellStyle name="Normal 7 4 2 8 3 3 2" xfId="27426" xr:uid="{5A5AEE34-4573-48E5-9EB2-1803A67C8182}"/>
    <cellStyle name="Normal 7 4 2 8 3 3 3" xfId="27402" xr:uid="{2556DBBF-00E5-435C-841D-7AE47896058F}"/>
    <cellStyle name="Normal 7 4 2 8 3 3 4" xfId="17571" xr:uid="{050D4FF1-B4FE-48C8-B357-5E446ABB2642}"/>
    <cellStyle name="Normal 7 4 2 8 3 4" xfId="10024" xr:uid="{D2779331-985F-4D2A-B82B-048C9760EA3D}"/>
    <cellStyle name="Normal 7 4 2 8 3 4 2" xfId="29461" xr:uid="{637DFF79-F514-4FB7-8A89-4E4CEE4DC035}"/>
    <cellStyle name="Normal 7 4 2 8 3 4 3" xfId="20404" xr:uid="{1B7A3929-C49F-4C4E-A47E-E6A72371383E}"/>
    <cellStyle name="Normal 7 4 2 8 3 5" xfId="25126" xr:uid="{7A71748C-01E1-42B4-AA1C-8BCDE39C24C6}"/>
    <cellStyle name="Normal 7 4 2 8 3 6" xfId="13303" xr:uid="{D245C534-4BE7-4770-B518-4D1A290DFB03}"/>
    <cellStyle name="Normal 7 4 2 8 4" xfId="2400" xr:uid="{00000000-0005-0000-0000-000065080000}"/>
    <cellStyle name="Normal 7 4 2 8 4 2" xfId="7527" xr:uid="{7A821489-26D7-4677-B041-69A2C39EA31A}"/>
    <cellStyle name="Normal 7 4 2 8 4 2 2" xfId="26247" xr:uid="{3F381CF9-2F0E-45E0-99AC-CBE86D141DBD}"/>
    <cellStyle name="Normal 7 4 2 8 4 2 3" xfId="17907" xr:uid="{2272D246-2772-444E-8657-CD6E53F0122A}"/>
    <cellStyle name="Normal 7 4 2 8 4 3" xfId="10360" xr:uid="{E3E695FB-914F-4538-A5FE-829A11F73630}"/>
    <cellStyle name="Normal 7 4 2 8 4 3 2" xfId="20740" xr:uid="{E48C7E1C-2B52-443E-BF89-E06BBDE3396E}"/>
    <cellStyle name="Normal 7 4 2 8 4 4" xfId="25499" xr:uid="{A4BA8B26-23DB-4570-B019-11C38E654B92}"/>
    <cellStyle name="Normal 7 4 2 8 4 5" xfId="15074" xr:uid="{D4271D88-5D5E-4508-BFC3-E6279DEB43BE}"/>
    <cellStyle name="Normal 7 4 2 8 5" xfId="4068" xr:uid="{DEAF12DA-3FA9-4DCB-8904-0FEFEC41EF1A}"/>
    <cellStyle name="Normal 7 4 2 8 5 2" xfId="8848" xr:uid="{1E336397-8442-444B-B4E3-A2BBFD7CEBFF}"/>
    <cellStyle name="Normal 7 4 2 8 5 2 2" xfId="28997" xr:uid="{75514FFB-B72B-46F8-ACF7-870092C6E62D}"/>
    <cellStyle name="Normal 7 4 2 8 5 2 3" xfId="19228" xr:uid="{4DA0DEEB-F0A6-4D78-B87F-5D39B35D266F}"/>
    <cellStyle name="Normal 7 4 2 8 5 3" xfId="11681" xr:uid="{D55E82D3-75FE-4EF0-A82A-5C356FFF3CB3}"/>
    <cellStyle name="Normal 7 4 2 8 5 3 2" xfId="22061" xr:uid="{C7ED9254-E5EE-4DDC-883D-9503F73F9DA8}"/>
    <cellStyle name="Normal 7 4 2 8 5 4" xfId="24975" xr:uid="{A72BF85D-5E4B-40FC-84A2-4CFFF781B86B}"/>
    <cellStyle name="Normal 7 4 2 8 5 5" xfId="16395" xr:uid="{D3B83BD2-8D64-4965-BCEF-EA03A12C7646}"/>
    <cellStyle name="Normal 7 4 2 8 6" xfId="5439" xr:uid="{7F3F327F-51DB-4F24-9C4B-E5C89DF83EE3}"/>
    <cellStyle name="Normal 7 4 2 8 6 2" xfId="26898" xr:uid="{E8A65548-4070-4D93-BEEB-7CCF5EE40D86}"/>
    <cellStyle name="Normal 7 4 2 8 6 3" xfId="26871" xr:uid="{84838828-46F0-4DEF-BA3F-EAB48AF9A8E2}"/>
    <cellStyle name="Normal 7 4 2 8 6 4" xfId="14736" xr:uid="{69A46E30-CEE4-4EEB-93D4-36FD588DE682}"/>
    <cellStyle name="Normal 7 4 2 8 7" xfId="7189" xr:uid="{022E0D6E-5008-440E-94C0-FCA08E2C0C61}"/>
    <cellStyle name="Normal 7 4 2 8 7 2" xfId="26952" xr:uid="{2FCBC965-BC6D-4F97-8AB6-7B6C07325484}"/>
    <cellStyle name="Normal 7 4 2 8 7 3" xfId="17569" xr:uid="{D552055A-C5C7-4BFF-92A2-74EE2AEF58D8}"/>
    <cellStyle name="Normal 7 4 2 8 8" xfId="10022" xr:uid="{9EB0C26B-B5D2-4F74-A99F-8154FF2AFA9E}"/>
    <cellStyle name="Normal 7 4 2 8 8 2" xfId="20402" xr:uid="{FAE3E505-1AB7-4AFC-99DE-4F30A123E761}"/>
    <cellStyle name="Normal 7 4 2 8 9" xfId="24218" xr:uid="{90CC9198-C7BD-4DC7-A6D9-37C25CDAEFF2}"/>
    <cellStyle name="Normal 7 4 2 9" xfId="1424" xr:uid="{00000000-0005-0000-0000-000067070000}"/>
    <cellStyle name="Normal 7 4 2 9 10" xfId="12627" xr:uid="{DFDE78C4-8E58-41BD-A9CC-0E3FE4FF757E}"/>
    <cellStyle name="Normal 7 4 2 9 2" xfId="3444" xr:uid="{00000000-0005-0000-0000-00006A080000}"/>
    <cellStyle name="Normal 7 4 2 9 2 2" xfId="6499" xr:uid="{D6E9C181-6061-4F0C-B3EA-ED194457DA41}"/>
    <cellStyle name="Normal 7 4 2 9 2 2 2" xfId="25660" xr:uid="{AF607323-AC0D-414A-8F77-EE6893045231}"/>
    <cellStyle name="Normal 7 4 2 9 2 2 3" xfId="26412" xr:uid="{509785D6-8A2F-42A6-B8DB-8ABF8E3C060A}"/>
    <cellStyle name="Normal 7 4 2 9 2 2 4" xfId="16070" xr:uid="{A58D279F-36A8-461F-89B9-FFE923980C7C}"/>
    <cellStyle name="Normal 7 4 2 9 2 3" xfId="8523" xr:uid="{EF66F453-D807-4980-B50E-4CCBAFB733A8}"/>
    <cellStyle name="Normal 7 4 2 9 2 3 2" xfId="28604" xr:uid="{B547C6E4-D9DC-4171-8FAD-C356971CE623}"/>
    <cellStyle name="Normal 7 4 2 9 2 3 3" xfId="28938" xr:uid="{0E25B91D-7487-4276-B067-0ABEBC60BEDF}"/>
    <cellStyle name="Normal 7 4 2 9 2 3 4" xfId="18903" xr:uid="{02A1BA71-9964-4CB4-A4D8-1ADEA24125BC}"/>
    <cellStyle name="Normal 7 4 2 9 2 4" xfId="11356" xr:uid="{54519620-988D-49D7-A0EA-4A122FE56D51}"/>
    <cellStyle name="Normal 7 4 2 9 2 4 2" xfId="29484" xr:uid="{FC835250-DF4C-4944-8875-1A77052EC6B1}"/>
    <cellStyle name="Normal 7 4 2 9 2 4 3" xfId="21736" xr:uid="{6E24494B-DCF2-4A6B-A86C-9F188EF0E2F6}"/>
    <cellStyle name="Normal 7 4 2 9 2 5" xfId="25160" xr:uid="{A329167D-D56F-4DA6-B18E-91E3E4955854}"/>
    <cellStyle name="Normal 7 4 2 9 2 6" xfId="14030" xr:uid="{4C006EB8-F23A-4180-92FA-69EFDB76ED45}"/>
    <cellStyle name="Normal 7 4 2 9 3" xfId="2819" xr:uid="{00000000-0005-0000-0000-00006B080000}"/>
    <cellStyle name="Normal 7 4 2 9 3 2" xfId="6035" xr:uid="{795FEE40-626B-42B5-BAF9-A3BEA4C1BB8C}"/>
    <cellStyle name="Normal 7 4 2 9 3 2 2" xfId="26771" xr:uid="{87813332-7EAD-4E02-9112-3A1229BE077B}"/>
    <cellStyle name="Normal 7 4 2 9 3 2 3" xfId="15489" xr:uid="{DCBA6F41-7C2A-414B-A542-F8AB5A081384}"/>
    <cellStyle name="Normal 7 4 2 9 3 3" xfId="7942" xr:uid="{A1F020B0-9442-4F1D-A526-F7270CF91865}"/>
    <cellStyle name="Normal 7 4 2 9 3 3 2" xfId="18322" xr:uid="{3EB35884-0264-4057-AE8C-9FAA1A3E7328}"/>
    <cellStyle name="Normal 7 4 2 9 3 4" xfId="10775" xr:uid="{3F4BB8D7-6A93-4816-BC7A-13FB97BEC3AF}"/>
    <cellStyle name="Normal 7 4 2 9 3 4 2" xfId="21155" xr:uid="{13474AFC-43F4-443F-BE0B-320A30877F95}"/>
    <cellStyle name="Normal 7 4 2 9 3 5" xfId="25145" xr:uid="{6B8F29FD-44AE-4E2F-8C63-D9C0C2430D48}"/>
    <cellStyle name="Normal 7 4 2 9 3 6" xfId="13290" xr:uid="{5C832931-E50C-4A84-AC60-CCB69FE73A52}"/>
    <cellStyle name="Normal 7 4 2 9 4" xfId="2393" xr:uid="{00000000-0005-0000-0000-000069080000}"/>
    <cellStyle name="Normal 7 4 2 9 4 2" xfId="7520" xr:uid="{7870606D-1837-44BD-BC37-7E3134EB028F}"/>
    <cellStyle name="Normal 7 4 2 9 4 2 2" xfId="26415" xr:uid="{FF062303-D59F-49DD-AAC3-2A4BA0C5BA02}"/>
    <cellStyle name="Normal 7 4 2 9 4 2 3" xfId="17900" xr:uid="{C8470F4B-0DC2-4EF0-BD9F-ED27D4F6CB5A}"/>
    <cellStyle name="Normal 7 4 2 9 4 3" xfId="10353" xr:uid="{4D7874B9-E019-443B-B306-FA092DEC4B01}"/>
    <cellStyle name="Normal 7 4 2 9 4 3 2" xfId="20733" xr:uid="{585F05EA-88E4-4145-84E6-9E74DDADE4AE}"/>
    <cellStyle name="Normal 7 4 2 9 4 4" xfId="23871" xr:uid="{AFFA7455-76C5-4A6D-AEC8-973157377937}"/>
    <cellStyle name="Normal 7 4 2 9 4 5" xfId="15067" xr:uid="{B1DA497D-9798-4947-85EB-2DFFC2B3D5A0}"/>
    <cellStyle name="Normal 7 4 2 9 5" xfId="4097" xr:uid="{A842F1E4-1C7A-4362-BC43-4637DC25B33F}"/>
    <cellStyle name="Normal 7 4 2 9 5 2" xfId="8871" xr:uid="{E5C15C7A-E4A4-4CBD-BCBC-C757F7FB36EB}"/>
    <cellStyle name="Normal 7 4 2 9 5 2 2" xfId="19251" xr:uid="{F5CF3878-642A-43DB-BF34-E6CA3F0EA0BE}"/>
    <cellStyle name="Normal 7 4 2 9 5 3" xfId="11704" xr:uid="{117745DD-C582-496B-9D1E-46B70FE21667}"/>
    <cellStyle name="Normal 7 4 2 9 5 3 2" xfId="22084" xr:uid="{6A9EA27A-94F0-48FF-B287-40F1488F38AA}"/>
    <cellStyle name="Normal 7 4 2 9 5 4" xfId="27760" xr:uid="{2936B5FE-D440-4912-B0A0-9AB4800926E0}"/>
    <cellStyle name="Normal 7 4 2 9 5 5" xfId="16418" xr:uid="{07618204-4FC9-4EDF-BD54-DADBDD2AB6B1}"/>
    <cellStyle name="Normal 7 4 2 9 6" xfId="5442" xr:uid="{4C217F3C-EC4B-448B-A6F0-DF227F715B36}"/>
    <cellStyle name="Normal 7 4 2 9 6 2" xfId="14739" xr:uid="{92D1C401-A612-4185-9E34-B9FD7B5A1E0C}"/>
    <cellStyle name="Normal 7 4 2 9 7" xfId="7192" xr:uid="{10B00204-3DB2-47A6-950C-F9215B517CCC}"/>
    <cellStyle name="Normal 7 4 2 9 7 2" xfId="17572" xr:uid="{674329F4-AE34-4A67-BEF0-E293902B27BD}"/>
    <cellStyle name="Normal 7 4 2 9 8" xfId="10025" xr:uid="{99634E40-1A29-4CCD-AD4E-A2253FDB5D72}"/>
    <cellStyle name="Normal 7 4 2 9 8 2" xfId="20405" xr:uid="{244B2B4B-504F-45AA-A156-A6C6DAC7A6B6}"/>
    <cellStyle name="Normal 7 4 2 9 9" xfId="23434" xr:uid="{187FFA7C-3B7F-4477-A6E0-532B8B6D20FC}"/>
    <cellStyle name="Normal 7 4 20" xfId="23421" xr:uid="{560269DD-4FB6-443C-9D5A-BCA4A87C8567}"/>
    <cellStyle name="Normal 7 4 21" xfId="12392" xr:uid="{78020374-5E69-42E9-9C1C-CA25722A3109}"/>
    <cellStyle name="Normal 7 4 3" xfId="1425" xr:uid="{00000000-0005-0000-0000-000068070000}"/>
    <cellStyle name="Normal 7 4 3 10" xfId="5443" xr:uid="{C369CAD4-6E23-40D4-A836-672D1462F693}"/>
    <cellStyle name="Normal 7 4 3 10 2" xfId="14740" xr:uid="{7E55366E-75AD-4BA1-A727-D0583EBE90C3}"/>
    <cellStyle name="Normal 7 4 3 11" xfId="7193" xr:uid="{0B7C27FE-72A1-4F2E-882E-9EF1BC97106C}"/>
    <cellStyle name="Normal 7 4 3 11 2" xfId="17573" xr:uid="{4EEEDC54-1342-4B0A-B166-087A6D2AEEAD}"/>
    <cellStyle name="Normal 7 4 3 12" xfId="10026" xr:uid="{E732EAF0-F96F-48CF-9F7A-C0CBA9BC5432}"/>
    <cellStyle name="Normal 7 4 3 12 2" xfId="20406" xr:uid="{49E1E74F-71EF-4F1C-AD0E-90E359AF8CCB}"/>
    <cellStyle name="Normal 7 4 3 13" xfId="23484" xr:uid="{47A70420-A2A9-41DE-AA50-2BF0B5A3C8AD}"/>
    <cellStyle name="Normal 7 4 3 14" xfId="12411" xr:uid="{369AE292-FCDB-4819-B036-27F97726FB3B}"/>
    <cellStyle name="Normal 7 4 3 2" xfId="1426" xr:uid="{00000000-0005-0000-0000-000069070000}"/>
    <cellStyle name="Normal 7 4 3 2 10" xfId="7194" xr:uid="{2E0ABF26-5374-4290-A047-2C58A8227129}"/>
    <cellStyle name="Normal 7 4 3 2 10 2" xfId="17574" xr:uid="{396054ED-31D5-4B50-8579-D2DC193BBA01}"/>
    <cellStyle name="Normal 7 4 3 2 11" xfId="10027" xr:uid="{AB474B92-B5A4-4F31-86C9-46914798584A}"/>
    <cellStyle name="Normal 7 4 3 2 11 2" xfId="20407" xr:uid="{979AABA8-78AF-4E30-A6D0-985F1669E228}"/>
    <cellStyle name="Normal 7 4 3 2 12" xfId="22695" xr:uid="{A51C8BFF-F624-4974-B58B-B31555F393BD}"/>
    <cellStyle name="Normal 7 4 3 2 13" xfId="12471" xr:uid="{A89F8D3A-8214-40EA-ABAD-20CD723F2742}"/>
    <cellStyle name="Normal 7 4 3 2 2" xfId="1427" xr:uid="{00000000-0005-0000-0000-00006A070000}"/>
    <cellStyle name="Normal 7 4 3 2 2 10" xfId="10028" xr:uid="{9FD8A555-7A7B-47CE-8FEF-C456F4145EAB}"/>
    <cellStyle name="Normal 7 4 3 2 2 10 2" xfId="20408" xr:uid="{0029460B-CCCD-48EA-BB22-22239F4AAE76}"/>
    <cellStyle name="Normal 7 4 3 2 2 11" xfId="22907" xr:uid="{CB737441-0451-493A-B999-E5301B36F1C2}"/>
    <cellStyle name="Normal 7 4 3 2 2 12" xfId="12636" xr:uid="{DCD91032-04B0-4F09-8630-4478A35CD128}"/>
    <cellStyle name="Normal 7 4 3 2 2 2" xfId="2830" xr:uid="{00000000-0005-0000-0000-00006F080000}"/>
    <cellStyle name="Normal 7 4 3 2 2 2 2" xfId="3446" xr:uid="{00000000-0005-0000-0000-000070080000}"/>
    <cellStyle name="Normal 7 4 3 2 2 2 2 2" xfId="6501" xr:uid="{73A91FAC-8613-4027-A5BA-6AE933FD408E}"/>
    <cellStyle name="Normal 7 4 3 2 2 2 2 2 2" xfId="28313" xr:uid="{5FFBBE1D-255B-4763-A079-A6BEF753B5D3}"/>
    <cellStyle name="Normal 7 4 3 2 2 2 2 2 3" xfId="28248" xr:uid="{6DE3B26C-2185-455B-AF8E-B203BB4D126C}"/>
    <cellStyle name="Normal 7 4 3 2 2 2 2 2 4" xfId="16072" xr:uid="{F97FE7E3-C7AA-4795-A148-9D2A85B8CBA2}"/>
    <cellStyle name="Normal 7 4 3 2 2 2 2 3" xfId="8525" xr:uid="{BDA0CCFD-9723-4FEC-803F-F710041E190E}"/>
    <cellStyle name="Normal 7 4 3 2 2 2 2 3 2" xfId="28939" xr:uid="{EE6549BB-6E10-4DB0-BB3C-F04D23E78B70}"/>
    <cellStyle name="Normal 7 4 3 2 2 2 2 3 3" xfId="18905" xr:uid="{B9E0C6DC-AF27-408C-9952-F29578D91555}"/>
    <cellStyle name="Normal 7 4 3 2 2 2 2 4" xfId="11358" xr:uid="{DF6325A3-6120-4C43-8647-26D0489490F5}"/>
    <cellStyle name="Normal 7 4 3 2 2 2 2 4 2" xfId="21738" xr:uid="{8B137044-9094-44BE-840D-E4C6ED98F0D9}"/>
    <cellStyle name="Normal 7 4 3 2 2 2 2 5" xfId="23133" xr:uid="{D4DDEAEF-6C19-4D83-95A6-099272D66830}"/>
    <cellStyle name="Normal 7 4 3 2 2 2 2 6" xfId="14032" xr:uid="{535B6EB0-279D-4C7B-BE13-9884454E50BC}"/>
    <cellStyle name="Normal 7 4 3 2 2 2 3" xfId="4367" xr:uid="{77596B4F-F602-4722-A351-F785FD60A7E7}"/>
    <cellStyle name="Normal 7 4 3 2 2 2 3 2" xfId="9139" xr:uid="{C31CC852-97F2-4584-AE45-B2782F8C5E6E}"/>
    <cellStyle name="Normal 7 4 3 2 2 2 3 2 2" xfId="29182" xr:uid="{3F619BC3-5FA2-4B13-A833-32DA547B3E29}"/>
    <cellStyle name="Normal 7 4 3 2 2 2 3 2 3" xfId="19519" xr:uid="{FD1E87B0-BC72-47AF-B722-8D69342202EB}"/>
    <cellStyle name="Normal 7 4 3 2 2 2 3 3" xfId="11972" xr:uid="{C915D1DB-CF42-4E04-AB1B-D2FECA0D456D}"/>
    <cellStyle name="Normal 7 4 3 2 2 2 3 3 2" xfId="22352" xr:uid="{17772FA0-B8D8-4A5F-874D-62C8045E9355}"/>
    <cellStyle name="Normal 7 4 3 2 2 2 3 4" xfId="23317" xr:uid="{2E932ACB-2132-4D31-9BDD-0C7BB62784E7}"/>
    <cellStyle name="Normal 7 4 3 2 2 2 3 5" xfId="16686" xr:uid="{F938DDC9-6772-4E20-AC96-34B02072E7DD}"/>
    <cellStyle name="Normal 7 4 3 2 2 2 4" xfId="6046" xr:uid="{A2E7AD9E-4C3A-4EF6-8D2C-2EE0BABDB26E}"/>
    <cellStyle name="Normal 7 4 3 2 2 2 4 2" xfId="28517" xr:uid="{D9EE22C2-9722-4779-ABFC-5C853846D868}"/>
    <cellStyle name="Normal 7 4 3 2 2 2 4 3" xfId="15500" xr:uid="{0787DD3D-75F4-4B77-B226-57B449D82234}"/>
    <cellStyle name="Normal 7 4 3 2 2 2 5" xfId="7953" xr:uid="{5441EE2B-D936-489D-9EBE-9784A22F64F1}"/>
    <cellStyle name="Normal 7 4 3 2 2 2 5 2" xfId="18333" xr:uid="{1CEDD6E3-F816-47AA-9346-714025A00908}"/>
    <cellStyle name="Normal 7 4 3 2 2 2 6" xfId="10786" xr:uid="{59C2E9FD-C4D8-4357-9071-9887B6DEE46F}"/>
    <cellStyle name="Normal 7 4 3 2 2 2 6 2" xfId="21166" xr:uid="{39D776FF-EE52-4020-A835-6AE2523CED41}"/>
    <cellStyle name="Normal 7 4 3 2 2 2 7" xfId="24040" xr:uid="{49765F66-5107-44ED-A16D-3EC0454B4BFA}"/>
    <cellStyle name="Normal 7 4 3 2 2 2 8" xfId="13306" xr:uid="{5CCD7CD2-BA35-4202-81D4-C8C157A4EDE8}"/>
    <cellStyle name="Normal 7 4 3 2 2 3" xfId="3447" xr:uid="{00000000-0005-0000-0000-000071080000}"/>
    <cellStyle name="Normal 7 4 3 2 2 3 2" xfId="4583" xr:uid="{448BA9DD-CA71-4DD4-9A4A-98AC19CD0CE6}"/>
    <cellStyle name="Normal 7 4 3 2 2 3 2 2" xfId="9355" xr:uid="{E92207E9-8361-42B0-B86D-18828B8D9E09}"/>
    <cellStyle name="Normal 7 4 3 2 2 3 2 2 2" xfId="29327" xr:uid="{BEA8D4E0-A165-4EF0-B274-C351B0992894}"/>
    <cellStyle name="Normal 7 4 3 2 2 3 2 2 3" xfId="19735" xr:uid="{B5F2B030-D025-46A3-9DE3-E1053033F439}"/>
    <cellStyle name="Normal 7 4 3 2 2 3 2 3" xfId="12188" xr:uid="{F0DF7214-F1EA-4BE6-A67F-DAD43EA13FAE}"/>
    <cellStyle name="Normal 7 4 3 2 2 3 2 3 2" xfId="22568" xr:uid="{DB403025-7911-486A-A3FD-C254DE64CB5E}"/>
    <cellStyle name="Normal 7 4 3 2 2 3 2 4" xfId="27276" xr:uid="{4346FAE6-88C2-4B14-B648-0908CF5F5982}"/>
    <cellStyle name="Normal 7 4 3 2 2 3 2 5" xfId="16902" xr:uid="{ADFAEA55-BD5A-4623-8389-DFAB4EBE6B30}"/>
    <cellStyle name="Normal 7 4 3 2 2 3 3" xfId="6502" xr:uid="{520C026B-62FA-45B6-95E0-484FCC53083F}"/>
    <cellStyle name="Normal 7 4 3 2 2 3 3 2" xfId="28608" xr:uid="{C897C46F-99A8-4007-90ED-9A99E7AF6F58}"/>
    <cellStyle name="Normal 7 4 3 2 2 3 3 3" xfId="16073" xr:uid="{F5CABBCC-D517-4B6D-A06E-D8F75282FBCE}"/>
    <cellStyle name="Normal 7 4 3 2 2 3 4" xfId="8526" xr:uid="{3729610D-88BC-4173-9FCE-F431092F9000}"/>
    <cellStyle name="Normal 7 4 3 2 2 3 4 2" xfId="18906" xr:uid="{E6D5C908-F513-4FFF-94A8-9C385E02D92B}"/>
    <cellStyle name="Normal 7 4 3 2 2 3 5" xfId="11359" xr:uid="{C8B369C4-6E3E-4043-A7A3-2DBBE5A5EEE4}"/>
    <cellStyle name="Normal 7 4 3 2 2 3 5 2" xfId="21739" xr:uid="{2A4305E4-BB5C-496F-BC5B-49AD81EAD71D}"/>
    <cellStyle name="Normal 7 4 3 2 2 3 6" xfId="24457" xr:uid="{004AE425-5CEF-4BF9-B966-9DA729332B64}"/>
    <cellStyle name="Normal 7 4 3 2 2 3 7" xfId="14033" xr:uid="{90D6CE88-CD3F-49B3-9CCA-153BB73EB1F4}"/>
    <cellStyle name="Normal 7 4 3 2 2 4" xfId="3445" xr:uid="{00000000-0005-0000-0000-000072080000}"/>
    <cellStyle name="Normal 7 4 3 2 2 4 2" xfId="6500" xr:uid="{EB1A46E9-0FE2-4CAA-9295-95259B6574B9}"/>
    <cellStyle name="Normal 7 4 3 2 2 4 2 2" xfId="25967" xr:uid="{5E021479-D919-4B53-A37F-E3021A4A4C58}"/>
    <cellStyle name="Normal 7 4 3 2 2 4 2 3" xfId="16071" xr:uid="{BE7FB648-4CC2-40F0-96AE-D8F325984D9F}"/>
    <cellStyle name="Normal 7 4 3 2 2 4 3" xfId="8524" xr:uid="{777CCF37-BB25-4772-A0DC-981B9D2E7A87}"/>
    <cellStyle name="Normal 7 4 3 2 2 4 3 2" xfId="18904" xr:uid="{AE8E2B10-346F-47B4-9B2E-77F81B9526C2}"/>
    <cellStyle name="Normal 7 4 3 2 2 4 4" xfId="11357" xr:uid="{BBC2A0CE-EF62-486A-9D34-6338A93DC58C}"/>
    <cellStyle name="Normal 7 4 3 2 2 4 4 2" xfId="21737" xr:uid="{041F560B-48AB-42D2-A448-E298E35B1CC5}"/>
    <cellStyle name="Normal 7 4 3 2 2 4 5" xfId="23913" xr:uid="{C5DAC3F0-87A3-448C-B2FA-D1124791F83A}"/>
    <cellStyle name="Normal 7 4 3 2 2 4 6" xfId="14031" xr:uid="{76E94513-B395-4A5B-9A19-E0C9AF0486B0}"/>
    <cellStyle name="Normal 7 4 3 2 2 5" xfId="2647" xr:uid="{00000000-0005-0000-0000-000073080000}"/>
    <cellStyle name="Normal 7 4 3 2 2 5 2" xfId="5909" xr:uid="{991E32FB-FFEC-4EA7-9CFA-9C42ED05704F}"/>
    <cellStyle name="Normal 7 4 3 2 2 5 2 2" xfId="27455" xr:uid="{A709F353-F263-4736-9BD8-43DE5C3A1F1E}"/>
    <cellStyle name="Normal 7 4 3 2 2 5 2 3" xfId="15319" xr:uid="{EC252FE6-7278-4F83-A335-0B4F2B31C299}"/>
    <cellStyle name="Normal 7 4 3 2 2 5 3" xfId="7772" xr:uid="{BF3A39B9-A372-4F64-BA03-7A2CB5013155}"/>
    <cellStyle name="Normal 7 4 3 2 2 5 3 2" xfId="18152" xr:uid="{F7951E38-6DB3-42DD-A715-E051A96463DF}"/>
    <cellStyle name="Normal 7 4 3 2 2 5 4" xfId="10605" xr:uid="{A6C5F2DA-65F0-4837-AC0B-F544FBC34583}"/>
    <cellStyle name="Normal 7 4 3 2 2 5 4 2" xfId="20985" xr:uid="{CC5D2271-DC00-4E5E-AFDE-354FCBEB032E}"/>
    <cellStyle name="Normal 7 4 3 2 2 5 5" xfId="23860" xr:uid="{683ABF96-C534-42EC-96FE-087BCB2CEFFA}"/>
    <cellStyle name="Normal 7 4 3 2 2 5 6" xfId="13036" xr:uid="{555E0BEF-EA73-478D-97B4-3F259BFE293E}"/>
    <cellStyle name="Normal 7 4 3 2 2 6" xfId="2402" xr:uid="{00000000-0005-0000-0000-00006E080000}"/>
    <cellStyle name="Normal 7 4 3 2 2 6 2" xfId="7529" xr:uid="{B7D2C21E-E0D9-45E7-A65D-035B94FE8B2B}"/>
    <cellStyle name="Normal 7 4 3 2 2 6 2 2" xfId="17909" xr:uid="{FB97DE76-37F7-4312-9792-DADF345222B9}"/>
    <cellStyle name="Normal 7 4 3 2 2 6 3" xfId="10362" xr:uid="{84F3CEE3-971D-41E2-8788-31836FAA8B11}"/>
    <cellStyle name="Normal 7 4 3 2 2 6 3 2" xfId="20742" xr:uid="{11C0C840-C431-469C-B2DA-4DEF3F50D488}"/>
    <cellStyle name="Normal 7 4 3 2 2 6 4" xfId="25588" xr:uid="{283B6E97-968B-4F13-B48B-E1C3A2BE1C14}"/>
    <cellStyle name="Normal 7 4 3 2 2 6 5" xfId="15076" xr:uid="{442A0DA2-0514-4A45-ABB2-8E3FEBB68A4E}"/>
    <cellStyle name="Normal 7 4 3 2 2 7" xfId="4102" xr:uid="{5EFD4A15-4447-498E-A1F4-436CC18FD198}"/>
    <cellStyle name="Normal 7 4 3 2 2 7 2" xfId="8876" xr:uid="{E1E5E935-8613-425E-99C8-C13E6C6CE237}"/>
    <cellStyle name="Normal 7 4 3 2 2 7 2 2" xfId="19256" xr:uid="{D46AA6BF-B9D2-47B2-A934-C6205DF9E734}"/>
    <cellStyle name="Normal 7 4 3 2 2 7 3" xfId="11709" xr:uid="{3D93CCC8-260A-4414-BFCB-792F1491E5BD}"/>
    <cellStyle name="Normal 7 4 3 2 2 7 3 2" xfId="22089" xr:uid="{D6E8D4B0-0118-4AB7-BF38-587E40144071}"/>
    <cellStyle name="Normal 7 4 3 2 2 7 4" xfId="16423" xr:uid="{88D7E175-8BEC-464D-A5E9-B3DC7325B47A}"/>
    <cellStyle name="Normal 7 4 3 2 2 8" xfId="5445" xr:uid="{8E7E55A8-31B2-436C-9C83-C7D65E223C4C}"/>
    <cellStyle name="Normal 7 4 3 2 2 8 2" xfId="14742" xr:uid="{22FFCC05-27A4-40D7-AAAF-85620A809732}"/>
    <cellStyle name="Normal 7 4 3 2 2 9" xfId="7195" xr:uid="{004D57DF-3249-4E47-812A-2F3A521EE2C6}"/>
    <cellStyle name="Normal 7 4 3 2 2 9 2" xfId="17575" xr:uid="{B5B7B915-20E5-49CE-8BAD-437A52656451}"/>
    <cellStyle name="Normal 7 4 3 2 3" xfId="1428" xr:uid="{00000000-0005-0000-0000-00006B070000}"/>
    <cellStyle name="Normal 7 4 3 2 3 2" xfId="3448" xr:uid="{00000000-0005-0000-0000-000075080000}"/>
    <cellStyle name="Normal 7 4 3 2 3 2 2" xfId="6503" xr:uid="{21205F71-0D82-48F6-A296-F4892DB16333}"/>
    <cellStyle name="Normal 7 4 3 2 3 2 2 2" xfId="25919" xr:uid="{789EB38F-23A3-4908-8B10-A46B8010D0CA}"/>
    <cellStyle name="Normal 7 4 3 2 3 2 2 3" xfId="28080" xr:uid="{40051244-9B90-4AFF-8D4B-96A99796BEE4}"/>
    <cellStyle name="Normal 7 4 3 2 3 2 2 4" xfId="16074" xr:uid="{6C408732-3AE7-4EC2-B8C5-858C2DD6BE0C}"/>
    <cellStyle name="Normal 7 4 3 2 3 2 3" xfId="8527" xr:uid="{E103CC02-1ACB-4465-9645-7C3FE3CD6878}"/>
    <cellStyle name="Normal 7 4 3 2 3 2 3 2" xfId="28940" xr:uid="{4EAD5B8C-9A20-4B2D-99FD-A03A229996F1}"/>
    <cellStyle name="Normal 7 4 3 2 3 2 3 3" xfId="18907" xr:uid="{0852BAA3-CB15-47A3-91F9-32C7A65D879E}"/>
    <cellStyle name="Normal 7 4 3 2 3 2 4" xfId="11360" xr:uid="{9032075C-26ED-4781-966B-B0368C910AAE}"/>
    <cellStyle name="Normal 7 4 3 2 3 2 4 2" xfId="21740" xr:uid="{73A39CD6-9DDB-4407-B97F-C94710083B05}"/>
    <cellStyle name="Normal 7 4 3 2 3 2 5" xfId="23558" xr:uid="{0F0FD7DD-4A65-4952-92C4-0057997402F0}"/>
    <cellStyle name="Normal 7 4 3 2 3 2 6" xfId="14034" xr:uid="{F2AC072C-4C48-4344-BDF4-A2048CA14A6B}"/>
    <cellStyle name="Normal 7 4 3 2 3 3" xfId="2829" xr:uid="{00000000-0005-0000-0000-000076080000}"/>
    <cellStyle name="Normal 7 4 3 2 3 3 2" xfId="6045" xr:uid="{2F40B74F-DC07-4D92-886F-813AC11669F3}"/>
    <cellStyle name="Normal 7 4 3 2 3 3 2 2" xfId="28723" xr:uid="{3AC6F74E-A50C-4E63-A16C-07ED6E60BD5C}"/>
    <cellStyle name="Normal 7 4 3 2 3 3 2 3" xfId="15499" xr:uid="{8CBA6569-B346-4A2B-B530-A80A3C59EBBB}"/>
    <cellStyle name="Normal 7 4 3 2 3 3 3" xfId="7952" xr:uid="{4E373BB4-504E-47EF-9E79-CAC8FA87135F}"/>
    <cellStyle name="Normal 7 4 3 2 3 3 3 2" xfId="18332" xr:uid="{EB791CD6-0471-4D99-96B7-AB76F0B3136A}"/>
    <cellStyle name="Normal 7 4 3 2 3 3 4" xfId="10785" xr:uid="{DD737E0D-9AF6-4E52-9381-ACB0A82C147E}"/>
    <cellStyle name="Normal 7 4 3 2 3 3 4 2" xfId="21165" xr:uid="{F5859D5F-3700-4692-A331-58F93B34411D}"/>
    <cellStyle name="Normal 7 4 3 2 3 3 5" xfId="24641" xr:uid="{FF35E9EC-13CF-4680-A665-3EE2893DAD72}"/>
    <cellStyle name="Normal 7 4 3 2 3 3 6" xfId="13305" xr:uid="{3CE12D0D-599C-4B99-940A-93B1F0266566}"/>
    <cellStyle name="Normal 7 4 3 2 3 4" xfId="4220" xr:uid="{6E3BC1E7-F8BD-43C1-B91A-816D12426DEE}"/>
    <cellStyle name="Normal 7 4 3 2 3 4 2" xfId="8992" xr:uid="{0A692B99-1804-4513-9F06-643635BB0790}"/>
    <cellStyle name="Normal 7 4 3 2 3 4 2 2" xfId="29071" xr:uid="{DA9D2592-47FB-4F1D-BFA6-EBB81FB188E0}"/>
    <cellStyle name="Normal 7 4 3 2 3 4 2 3" xfId="19372" xr:uid="{038B2056-D737-4FB1-A6D2-4BC63B056001}"/>
    <cellStyle name="Normal 7 4 3 2 3 4 3" xfId="11825" xr:uid="{78535C63-AB7A-44EF-A101-95F98832CCA5}"/>
    <cellStyle name="Normal 7 4 3 2 3 4 3 2" xfId="22205" xr:uid="{6D16DAF9-4B44-4D47-BF69-2D8280A83371}"/>
    <cellStyle name="Normal 7 4 3 2 3 4 4" xfId="22693" xr:uid="{B973C05B-9CC2-478B-A2C5-62E833C796DA}"/>
    <cellStyle name="Normal 7 4 3 2 3 4 5" xfId="16539" xr:uid="{C4633A96-5B7D-47DC-85FA-81F02C2A433B}"/>
    <cellStyle name="Normal 7 4 3 2 3 5" xfId="5446" xr:uid="{3A6AD47D-EAD5-4F97-A979-749B398589A4}"/>
    <cellStyle name="Normal 7 4 3 2 3 5 2" xfId="25913" xr:uid="{C5D29D23-FE1C-4BFF-89C5-69310B0DCE9C}"/>
    <cellStyle name="Normal 7 4 3 2 3 5 3" xfId="14743" xr:uid="{BD3256AC-3DE1-47C1-935A-7AF5EA9C1D44}"/>
    <cellStyle name="Normal 7 4 3 2 3 6" xfId="7196" xr:uid="{47654914-8CFE-4023-AB97-B19E9F93A688}"/>
    <cellStyle name="Normal 7 4 3 2 3 6 2" xfId="17576" xr:uid="{631FE5E1-3465-4C7A-9FCD-6AC02CF6B120}"/>
    <cellStyle name="Normal 7 4 3 2 3 7" xfId="10029" xr:uid="{9112CE37-E33E-4B59-A80E-4B8E74D3D28E}"/>
    <cellStyle name="Normal 7 4 3 2 3 7 2" xfId="20409" xr:uid="{A9ED16B8-F03F-4E24-90D7-02012BB168AC}"/>
    <cellStyle name="Normal 7 4 3 2 3 8" xfId="23823" xr:uid="{D81D44BF-8E0A-479B-B128-DD40BB514314}"/>
    <cellStyle name="Normal 7 4 3 2 3 9" xfId="12794" xr:uid="{D3B2A001-D1BB-464D-85C9-47EEBAE40815}"/>
    <cellStyle name="Normal 7 4 3 2 4" xfId="3449" xr:uid="{00000000-0005-0000-0000-000077080000}"/>
    <cellStyle name="Normal 7 4 3 2 4 2" xfId="4584" xr:uid="{BE69B502-CFA4-4673-B0CA-466D6376D99E}"/>
    <cellStyle name="Normal 7 4 3 2 4 2 2" xfId="9356" xr:uid="{B6849C53-F490-4032-AEC4-3A084CC61281}"/>
    <cellStyle name="Normal 7 4 3 2 4 2 2 2" xfId="29328" xr:uid="{49EFC940-64F5-4477-9D86-DB69A7F4CFA3}"/>
    <cellStyle name="Normal 7 4 3 2 4 2 2 3" xfId="19736" xr:uid="{32AE62BA-70DE-498C-A44C-59826C128A7C}"/>
    <cellStyle name="Normal 7 4 3 2 4 2 3" xfId="12189" xr:uid="{159A9BA1-2929-4A12-92CB-676A1CFADB15}"/>
    <cellStyle name="Normal 7 4 3 2 4 2 3 2" xfId="22569" xr:uid="{292322E4-F4B3-4726-A139-7E0F817029FB}"/>
    <cellStyle name="Normal 7 4 3 2 4 2 4" xfId="23495" xr:uid="{E04771C6-694C-4C78-9686-66A2E4A88F17}"/>
    <cellStyle name="Normal 7 4 3 2 4 2 5" xfId="16903" xr:uid="{941EFF89-C574-4C61-88AF-87557EA019BF}"/>
    <cellStyle name="Normal 7 4 3 2 4 3" xfId="6504" xr:uid="{FE9CE113-79F2-4B5C-BA67-98F3380ED68B}"/>
    <cellStyle name="Normal 7 4 3 2 4 3 2" xfId="26656" xr:uid="{D6492BDD-063D-43CD-B114-9F3447EF7DF7}"/>
    <cellStyle name="Normal 7 4 3 2 4 3 3" xfId="16075" xr:uid="{D28ACD28-03F2-41DF-91DC-E18B1FFD3BD2}"/>
    <cellStyle name="Normal 7 4 3 2 4 4" xfId="8528" xr:uid="{E3E207EE-AB51-45CE-AC81-46110AE208CC}"/>
    <cellStyle name="Normal 7 4 3 2 4 4 2" xfId="18908" xr:uid="{3022FECD-1E22-4532-8251-13E8C2CA2EF1}"/>
    <cellStyle name="Normal 7 4 3 2 4 5" xfId="11361" xr:uid="{06032698-B473-4D99-B7A2-A384DF1D6120}"/>
    <cellStyle name="Normal 7 4 3 2 4 5 2" xfId="21741" xr:uid="{2DEF58B8-F434-4326-833C-2C6D8957AC90}"/>
    <cellStyle name="Normal 7 4 3 2 4 6" xfId="23941" xr:uid="{583D7F32-4C0C-48B8-B0D6-39460D9575C2}"/>
    <cellStyle name="Normal 7 4 3 2 4 7" xfId="14035" xr:uid="{60928655-B0A7-4FF0-B832-B5642E0859B1}"/>
    <cellStyle name="Normal 7 4 3 2 5" xfId="2993" xr:uid="{00000000-0005-0000-0000-000078080000}"/>
    <cellStyle name="Normal 7 4 3 2 5 2" xfId="6143" xr:uid="{578F7411-E3DC-4F14-81AC-C358F6B04072}"/>
    <cellStyle name="Normal 7 4 3 2 5 2 2" xfId="26933" xr:uid="{FBD999AA-530E-4AA4-BD85-D9722360CD28}"/>
    <cellStyle name="Normal 7 4 3 2 5 2 3" xfId="27870" xr:uid="{B257E8BD-D4E7-4059-8C1B-A9B76FE6BFEC}"/>
    <cellStyle name="Normal 7 4 3 2 5 2 4" xfId="15621" xr:uid="{CFEBD5F4-751F-4372-A347-0DA6494FD338}"/>
    <cellStyle name="Normal 7 4 3 2 5 3" xfId="8074" xr:uid="{538275EF-640F-432E-9825-FF19D2D51182}"/>
    <cellStyle name="Normal 7 4 3 2 5 3 2" xfId="28769" xr:uid="{C681F8E4-BF3D-4C72-BD42-733E0A0057F2}"/>
    <cellStyle name="Normal 7 4 3 2 5 3 3" xfId="18454" xr:uid="{F43F2424-0270-42EC-B3BD-C36BAC8BA10C}"/>
    <cellStyle name="Normal 7 4 3 2 5 4" xfId="10907" xr:uid="{35B6B5F3-DC7D-4D12-825A-3586A22CBAF9}"/>
    <cellStyle name="Normal 7 4 3 2 5 4 2" xfId="21287" xr:uid="{5169B47F-28E6-40F9-AA14-89B747D7E99D}"/>
    <cellStyle name="Normal 7 4 3 2 5 5" xfId="24997" xr:uid="{B73C22F6-2F7D-46AC-865D-26CB506AA2E2}"/>
    <cellStyle name="Normal 7 4 3 2 5 6" xfId="13492" xr:uid="{318B7E50-E7A8-4B7B-878B-4E42339EB4EA}"/>
    <cellStyle name="Normal 7 4 3 2 6" xfId="2545" xr:uid="{00000000-0005-0000-0000-000079080000}"/>
    <cellStyle name="Normal 7 4 3 2 6 2" xfId="5817" xr:uid="{56974547-57DB-43F4-ADFE-38DD14043912}"/>
    <cellStyle name="Normal 7 4 3 2 6 2 2" xfId="26665" xr:uid="{00B38EBC-9ECA-43A2-9A83-6AA81309DC05}"/>
    <cellStyle name="Normal 7 4 3 2 6 2 3" xfId="15217" xr:uid="{32481FC7-B74B-4984-A4FF-43335934C822}"/>
    <cellStyle name="Normal 7 4 3 2 6 3" xfId="7670" xr:uid="{35F1688F-0AB5-49FC-AE97-A0D52627FA0B}"/>
    <cellStyle name="Normal 7 4 3 2 6 3 2" xfId="18050" xr:uid="{ED46ED4D-BA3A-4FBE-8BBC-5F0DD9015BE0}"/>
    <cellStyle name="Normal 7 4 3 2 6 4" xfId="10503" xr:uid="{D5929A23-9E1C-4E58-A651-98B5DB851C0A}"/>
    <cellStyle name="Normal 7 4 3 2 6 4 2" xfId="20883" xr:uid="{02F5C775-2FC8-410B-8ABB-F0311A026A2D}"/>
    <cellStyle name="Normal 7 4 3 2 6 5" xfId="23680" xr:uid="{E5C72DE6-A4B7-4B4A-9F09-5E0E03FCE46C}"/>
    <cellStyle name="Normal 7 4 3 2 6 6" xfId="12933" xr:uid="{A1D994E2-F66D-4C4C-A4DF-BC2FEA1C8FFF}"/>
    <cellStyle name="Normal 7 4 3 2 7" xfId="2239" xr:uid="{00000000-0005-0000-0000-00006D080000}"/>
    <cellStyle name="Normal 7 4 3 2 7 2" xfId="7366" xr:uid="{54C6D058-527F-4302-B06F-EF8FAFA9A236}"/>
    <cellStyle name="Normal 7 4 3 2 7 2 2" xfId="17746" xr:uid="{D19D41E0-7A7D-40B2-9C1D-59DDB17FC557}"/>
    <cellStyle name="Normal 7 4 3 2 7 3" xfId="10199" xr:uid="{A2100957-86A7-40A9-A08A-021D8F1E89DF}"/>
    <cellStyle name="Normal 7 4 3 2 7 3 2" xfId="20579" xr:uid="{A2280B11-CD6D-4527-AFE0-8A056FB63D09}"/>
    <cellStyle name="Normal 7 4 3 2 7 4" xfId="25300" xr:uid="{0603B06E-A1F5-4D58-8A1B-000246F50293}"/>
    <cellStyle name="Normal 7 4 3 2 7 5" xfId="14913" xr:uid="{40C4DFAD-8EB2-498D-A09C-408A62E4D8B9}"/>
    <cellStyle name="Normal 7 4 3 2 8" xfId="4070" xr:uid="{1788756D-2364-4287-B913-92CA22C8B232}"/>
    <cellStyle name="Normal 7 4 3 2 8 2" xfId="8850" xr:uid="{F636902B-44CD-452E-A097-BD6C9B82C6F6}"/>
    <cellStyle name="Normal 7 4 3 2 8 2 2" xfId="19230" xr:uid="{6F87E975-C485-4A61-BE1A-5F05CB89F4EE}"/>
    <cellStyle name="Normal 7 4 3 2 8 3" xfId="11683" xr:uid="{8FFFB54E-DC3D-4100-9DB7-3C91F2B513D6}"/>
    <cellStyle name="Normal 7 4 3 2 8 3 2" xfId="22063" xr:uid="{16F6A337-3841-45CC-B34C-4B770E5AADE0}"/>
    <cellStyle name="Normal 7 4 3 2 8 4" xfId="16397" xr:uid="{96617CEB-2E3E-4F5C-BCE9-EEF55DA318E9}"/>
    <cellStyle name="Normal 7 4 3 2 9" xfId="5444" xr:uid="{3E4D21E4-15FB-474A-9291-70A16EB38D4A}"/>
    <cellStyle name="Normal 7 4 3 2 9 2" xfId="14741" xr:uid="{BA42F566-5410-4CAC-812B-1D5B44999462}"/>
    <cellStyle name="Normal 7 4 3 3" xfId="1429" xr:uid="{00000000-0005-0000-0000-00006C070000}"/>
    <cellStyle name="Normal 7 4 3 3 10" xfId="10030" xr:uid="{6667FA85-31D9-4427-9837-D0170AFC350D}"/>
    <cellStyle name="Normal 7 4 3 3 10 2" xfId="20410" xr:uid="{089B2346-AECA-44F6-9A15-0847870DF850}"/>
    <cellStyle name="Normal 7 4 3 3 11" xfId="22764" xr:uid="{B86F18A5-73F3-4000-ACBC-207F0FA23A4A}"/>
    <cellStyle name="Normal 7 4 3 3 12" xfId="12635" xr:uid="{7A85351B-D760-457A-A31A-24CD8DE5DBDA}"/>
    <cellStyle name="Normal 7 4 3 3 2" xfId="2831" xr:uid="{00000000-0005-0000-0000-00007B080000}"/>
    <cellStyle name="Normal 7 4 3 3 2 2" xfId="3451" xr:uid="{00000000-0005-0000-0000-00007C080000}"/>
    <cellStyle name="Normal 7 4 3 3 2 2 2" xfId="6506" xr:uid="{48B5E98D-E20A-446E-8CE6-CB1B22942103}"/>
    <cellStyle name="Normal 7 4 3 3 2 2 2 2" xfId="26050" xr:uid="{E78C11AD-0DCB-4CFD-AC95-376CACF35712}"/>
    <cellStyle name="Normal 7 4 3 3 2 2 2 3" xfId="28499" xr:uid="{D6EB5508-2B1F-409F-BF0E-5F62BF76C654}"/>
    <cellStyle name="Normal 7 4 3 3 2 2 2 4" xfId="16077" xr:uid="{262CD2BB-F139-47AC-90B7-CAB4073CD94D}"/>
    <cellStyle name="Normal 7 4 3 3 2 2 3" xfId="8530" xr:uid="{E30491D7-3CEA-4373-B543-9CB1B7626C17}"/>
    <cellStyle name="Normal 7 4 3 3 2 2 3 2" xfId="28941" xr:uid="{1D3C20E2-F2B4-4F2C-B041-D12DDFCD41DD}"/>
    <cellStyle name="Normal 7 4 3 3 2 2 3 3" xfId="18910" xr:uid="{B6EE3C50-3755-4F44-BF67-E82A5DFA14B4}"/>
    <cellStyle name="Normal 7 4 3 3 2 2 4" xfId="11363" xr:uid="{7DC0C649-CFCA-438C-96B8-974CDE4E2BAD}"/>
    <cellStyle name="Normal 7 4 3 3 2 2 4 2" xfId="21743" xr:uid="{312F8E66-125B-4C94-9E3C-927D9C54082E}"/>
    <cellStyle name="Normal 7 4 3 3 2 2 5" xfId="24577" xr:uid="{CF31D9AE-9CF8-4A4E-A71E-355ABC001280}"/>
    <cellStyle name="Normal 7 4 3 3 2 2 6" xfId="14037" xr:uid="{96ED7D6B-5A4B-4533-A5EC-81BAC427DE5C}"/>
    <cellStyle name="Normal 7 4 3 3 2 3" xfId="4368" xr:uid="{1164E2F6-BE54-4C9A-9367-B13ECC269973}"/>
    <cellStyle name="Normal 7 4 3 3 2 3 2" xfId="9140" xr:uid="{CE24510D-F338-49D8-B45A-D82D59DDA679}"/>
    <cellStyle name="Normal 7 4 3 3 2 3 2 2" xfId="29183" xr:uid="{15A0BC14-9723-4844-997D-7F608D6D3BE4}"/>
    <cellStyle name="Normal 7 4 3 3 2 3 2 3" xfId="19520" xr:uid="{279C4189-A4D0-4F42-B42F-D442B7F2B84D}"/>
    <cellStyle name="Normal 7 4 3 3 2 3 3" xfId="11973" xr:uid="{BEC1F4D3-518A-4F33-BA3F-4CF935058B4B}"/>
    <cellStyle name="Normal 7 4 3 3 2 3 3 2" xfId="22353" xr:uid="{F89F05BD-F693-4E0A-A692-51703F75E7DD}"/>
    <cellStyle name="Normal 7 4 3 3 2 3 4" xfId="22855" xr:uid="{1326B803-3310-46CE-A6FB-42D3ED54462C}"/>
    <cellStyle name="Normal 7 4 3 3 2 3 5" xfId="16687" xr:uid="{5014DB47-F0F0-40C8-B66B-0941FA40DF3B}"/>
    <cellStyle name="Normal 7 4 3 3 2 4" xfId="6047" xr:uid="{7BB6B4AF-EA51-459C-86B6-BABFCD88A947}"/>
    <cellStyle name="Normal 7 4 3 3 2 4 2" xfId="28067" xr:uid="{17D66357-EF32-4F8C-84B6-32FE3BE82A93}"/>
    <cellStyle name="Normal 7 4 3 3 2 4 3" xfId="15501" xr:uid="{9DD7B4D8-A34D-4CAB-91BE-38C25D3B1407}"/>
    <cellStyle name="Normal 7 4 3 3 2 5" xfId="7954" xr:uid="{A98EE685-BE0A-47CF-B38D-E67C444EBDC5}"/>
    <cellStyle name="Normal 7 4 3 3 2 5 2" xfId="18334" xr:uid="{7313D125-3020-4C73-A463-409099B17A9F}"/>
    <cellStyle name="Normal 7 4 3 3 2 6" xfId="10787" xr:uid="{C0957656-6A55-4DCB-918D-D196EA4F5E7F}"/>
    <cellStyle name="Normal 7 4 3 3 2 6 2" xfId="21167" xr:uid="{2A2FB51E-E0AF-4311-AF82-31FEE760DB29}"/>
    <cellStyle name="Normal 7 4 3 3 2 7" xfId="25204" xr:uid="{F41EA67F-7807-4F32-B7E0-7363D90FCC61}"/>
    <cellStyle name="Normal 7 4 3 3 2 8" xfId="13307" xr:uid="{607FBB25-0D28-4F52-AD1B-83BEBCB24050}"/>
    <cellStyle name="Normal 7 4 3 3 3" xfId="3452" xr:uid="{00000000-0005-0000-0000-00007D080000}"/>
    <cellStyle name="Normal 7 4 3 3 3 2" xfId="4585" xr:uid="{F18E3703-1BDE-480F-BE5E-1F730306F51A}"/>
    <cellStyle name="Normal 7 4 3 3 3 2 2" xfId="9357" xr:uid="{B0677BE6-9079-4D98-A8F1-8D97277FF505}"/>
    <cellStyle name="Normal 7 4 3 3 3 2 2 2" xfId="29329" xr:uid="{24071852-15EF-40E2-9F82-D651F337EB84}"/>
    <cellStyle name="Normal 7 4 3 3 3 2 2 3" xfId="19737" xr:uid="{12701740-B917-40F3-B4F7-9F90747D2844}"/>
    <cellStyle name="Normal 7 4 3 3 3 2 3" xfId="12190" xr:uid="{BB004EC3-B997-40D7-B22F-908ADF68194E}"/>
    <cellStyle name="Normal 7 4 3 3 3 2 3 2" xfId="22570" xr:uid="{C3534578-EB7C-4F64-8B94-4616D70F02AC}"/>
    <cellStyle name="Normal 7 4 3 3 3 2 4" xfId="25454" xr:uid="{22DA6432-24DF-4E3B-B59B-B9C6A0520FC1}"/>
    <cellStyle name="Normal 7 4 3 3 3 2 5" xfId="16904" xr:uid="{FCDC8A1C-E1FD-4A4B-9C72-13153C0BB55A}"/>
    <cellStyle name="Normal 7 4 3 3 3 3" xfId="6507" xr:uid="{654F5FB6-7196-47D6-8AAF-6C493651A246}"/>
    <cellStyle name="Normal 7 4 3 3 3 3 2" xfId="27474" xr:uid="{69965E02-6437-4F03-804C-9A661E470984}"/>
    <cellStyle name="Normal 7 4 3 3 3 3 3" xfId="16078" xr:uid="{55A8CC60-1E47-4A51-A6B4-F2F325865EC8}"/>
    <cellStyle name="Normal 7 4 3 3 3 4" xfId="8531" xr:uid="{5A83B3DB-B880-4A3B-AE55-6BB6EDA7B46B}"/>
    <cellStyle name="Normal 7 4 3 3 3 4 2" xfId="18911" xr:uid="{26FDF01F-42BD-4B10-8796-FE241310EE7C}"/>
    <cellStyle name="Normal 7 4 3 3 3 5" xfId="11364" xr:uid="{06C307B1-50D8-42DF-AA97-0D940E415962}"/>
    <cellStyle name="Normal 7 4 3 3 3 5 2" xfId="21744" xr:uid="{2B6081B6-FE53-4D57-BA48-CE0983A23D21}"/>
    <cellStyle name="Normal 7 4 3 3 3 6" xfId="25238" xr:uid="{C1208326-4645-4857-A234-EB126694D89D}"/>
    <cellStyle name="Normal 7 4 3 3 3 7" xfId="14038" xr:uid="{6150ABE2-3190-4D8E-9C58-717516F2FC4D}"/>
    <cellStyle name="Normal 7 4 3 3 4" xfId="3450" xr:uid="{00000000-0005-0000-0000-00007E080000}"/>
    <cellStyle name="Normal 7 4 3 3 4 2" xfId="6505" xr:uid="{AB9CC0A2-EA6E-4ECE-8E8F-6953D22BD62A}"/>
    <cellStyle name="Normal 7 4 3 3 4 2 2" xfId="26686" xr:uid="{EF441DC9-0BA0-4DAF-859C-EAED2F3FA7E7}"/>
    <cellStyle name="Normal 7 4 3 3 4 2 3" xfId="16076" xr:uid="{CF51B8B6-35B7-465A-A95E-21074B0F731E}"/>
    <cellStyle name="Normal 7 4 3 3 4 3" xfId="8529" xr:uid="{6E3458D8-3B9B-4F11-8724-43C5E55F88DF}"/>
    <cellStyle name="Normal 7 4 3 3 4 3 2" xfId="18909" xr:uid="{AFA529B8-41D2-4DBF-A25E-50AE2612621F}"/>
    <cellStyle name="Normal 7 4 3 3 4 4" xfId="11362" xr:uid="{25DDDA3A-69A0-4D9A-BEB2-4E48E9D4813E}"/>
    <cellStyle name="Normal 7 4 3 3 4 4 2" xfId="21742" xr:uid="{561A8E3B-8179-4F40-85BC-CDBEA35B6370}"/>
    <cellStyle name="Normal 7 4 3 3 4 5" xfId="24927" xr:uid="{DF90C266-0B60-4C07-BD54-1B0EEFE5325C}"/>
    <cellStyle name="Normal 7 4 3 3 4 6" xfId="14036" xr:uid="{DFE5541A-9458-4317-A8E5-1691D21861B9}"/>
    <cellStyle name="Normal 7 4 3 3 5" xfId="2588" xr:uid="{00000000-0005-0000-0000-00007F080000}"/>
    <cellStyle name="Normal 7 4 3 3 5 2" xfId="5853" xr:uid="{111C5C2C-A182-4704-A487-D3944057A596}"/>
    <cellStyle name="Normal 7 4 3 3 5 2 2" xfId="26178" xr:uid="{1F5AABDE-1389-477C-80D6-A213032F088B}"/>
    <cellStyle name="Normal 7 4 3 3 5 2 3" xfId="15260" xr:uid="{7EA4A352-F373-45DD-B537-590F3A11C396}"/>
    <cellStyle name="Normal 7 4 3 3 5 3" xfId="7713" xr:uid="{7EAFA413-63AD-4A34-B4A4-F513D1AD5670}"/>
    <cellStyle name="Normal 7 4 3 3 5 3 2" xfId="18093" xr:uid="{8BB37E77-570C-4567-8D06-F87243B472B1}"/>
    <cellStyle name="Normal 7 4 3 3 5 4" xfId="10546" xr:uid="{E1549959-8817-4633-8289-6E00F9783B2C}"/>
    <cellStyle name="Normal 7 4 3 3 5 4 2" xfId="20926" xr:uid="{2E6ED116-9846-431C-815B-D5DC8B253A02}"/>
    <cellStyle name="Normal 7 4 3 3 5 5" xfId="25048" xr:uid="{8511F9FB-FE04-4F54-B76D-0F6555F47898}"/>
    <cellStyle name="Normal 7 4 3 3 5 6" xfId="12976" xr:uid="{43FEF3D2-CBF4-4FBD-9A90-92776017DD28}"/>
    <cellStyle name="Normal 7 4 3 3 6" xfId="2401" xr:uid="{00000000-0005-0000-0000-00007A080000}"/>
    <cellStyle name="Normal 7 4 3 3 6 2" xfId="7528" xr:uid="{3FF4B652-F802-4890-923C-4AC57CFC6BA0}"/>
    <cellStyle name="Normal 7 4 3 3 6 2 2" xfId="17908" xr:uid="{E68CA27F-967A-487A-B572-281C900CF99F}"/>
    <cellStyle name="Normal 7 4 3 3 6 3" xfId="10361" xr:uid="{193E1795-909A-4BF7-8262-DD4654DFBF86}"/>
    <cellStyle name="Normal 7 4 3 3 6 3 2" xfId="20741" xr:uid="{7AAEED86-CD26-4E1B-BB33-3ADBE7B5BB89}"/>
    <cellStyle name="Normal 7 4 3 3 6 4" xfId="23249" xr:uid="{429D2802-A5D3-42F3-9D3E-41E494361E46}"/>
    <cellStyle name="Normal 7 4 3 3 6 5" xfId="15075" xr:uid="{BD8597E0-3AE8-49CB-9D76-9F4A689838B5}"/>
    <cellStyle name="Normal 7 4 3 3 7" xfId="4101" xr:uid="{F0B7520E-C9CD-4676-9705-62383BEED1A9}"/>
    <cellStyle name="Normal 7 4 3 3 7 2" xfId="8875" xr:uid="{10C788E9-E200-4D9A-AE89-79B41165D7DD}"/>
    <cellStyle name="Normal 7 4 3 3 7 2 2" xfId="19255" xr:uid="{EA5A4DC9-E0B7-41F7-9A93-A760A1F9960C}"/>
    <cellStyle name="Normal 7 4 3 3 7 3" xfId="11708" xr:uid="{5BD47590-79D5-442D-8776-37C03AA1DA7B}"/>
    <cellStyle name="Normal 7 4 3 3 7 3 2" xfId="22088" xr:uid="{3F53DE9D-52C7-4518-8D70-DA4FED8E9BF3}"/>
    <cellStyle name="Normal 7 4 3 3 7 4" xfId="16422" xr:uid="{02B56F57-C9AC-494F-8A20-DEC5A811C11D}"/>
    <cellStyle name="Normal 7 4 3 3 8" xfId="5447" xr:uid="{DB9B4F3E-2691-495E-8284-1ECC209D77C9}"/>
    <cellStyle name="Normal 7 4 3 3 8 2" xfId="14744" xr:uid="{004188FD-65A4-406B-B9B7-8FEFB49F8489}"/>
    <cellStyle name="Normal 7 4 3 3 9" xfId="7197" xr:uid="{1D9BF1DF-B944-4ABA-BE4A-CA1C939720ED}"/>
    <cellStyle name="Normal 7 4 3 3 9 2" xfId="17577" xr:uid="{7034C2D9-C843-4505-A313-432FB976C8D2}"/>
    <cellStyle name="Normal 7 4 3 4" xfId="1430" xr:uid="{00000000-0005-0000-0000-00006D070000}"/>
    <cellStyle name="Normal 7 4 3 4 2" xfId="3453" xr:uid="{00000000-0005-0000-0000-000081080000}"/>
    <cellStyle name="Normal 7 4 3 4 2 2" xfId="6508" xr:uid="{5CBF7F30-3323-4EAB-A7E0-3F88CF0BC913}"/>
    <cellStyle name="Normal 7 4 3 4 2 2 2" xfId="23518" xr:uid="{5901EB7B-0C5A-47E2-9E44-D71F908B0092}"/>
    <cellStyle name="Normal 7 4 3 4 2 2 3" xfId="25879" xr:uid="{B2BBB98A-4899-4C7E-B326-4C91DB326458}"/>
    <cellStyle name="Normal 7 4 3 4 2 2 4" xfId="16079" xr:uid="{7055F32A-BC18-4F42-A7A0-3D55BB69C3F4}"/>
    <cellStyle name="Normal 7 4 3 4 2 3" xfId="8532" xr:uid="{11430790-3FEE-49B1-8B5A-0D306385F222}"/>
    <cellStyle name="Normal 7 4 3 4 2 3 2" xfId="28942" xr:uid="{7163F059-7EB7-4F8B-BA34-ECD7FE44467B}"/>
    <cellStyle name="Normal 7 4 3 4 2 3 3" xfId="18912" xr:uid="{C9F4ED25-46E9-4B0D-BE71-DCFFD89F00A2}"/>
    <cellStyle name="Normal 7 4 3 4 2 4" xfId="11365" xr:uid="{22A9B4A9-E21A-4750-A368-B09B5A08F92A}"/>
    <cellStyle name="Normal 7 4 3 4 2 4 2" xfId="21745" xr:uid="{8AA30EE1-CC49-4A13-B4F6-AF9FBD41C4FD}"/>
    <cellStyle name="Normal 7 4 3 4 2 5" xfId="23352" xr:uid="{F9DBE65A-8BAE-46A8-93B5-A94EE58F61D8}"/>
    <cellStyle name="Normal 7 4 3 4 2 6" xfId="14039" xr:uid="{FCB69EA9-4645-4C69-910A-24F5C7EF16C8}"/>
    <cellStyle name="Normal 7 4 3 4 3" xfId="2828" xr:uid="{00000000-0005-0000-0000-000082080000}"/>
    <cellStyle name="Normal 7 4 3 4 3 2" xfId="6044" xr:uid="{D4436D1D-1802-4B4C-A77E-8756FEE4AB49}"/>
    <cellStyle name="Normal 7 4 3 4 3 2 2" xfId="26010" xr:uid="{65CC4502-9897-4C0E-9116-B511B4EB6C1D}"/>
    <cellStyle name="Normal 7 4 3 4 3 2 3" xfId="15498" xr:uid="{870FBBFF-365B-4C7C-83AC-AB62265F91CB}"/>
    <cellStyle name="Normal 7 4 3 4 3 3" xfId="7951" xr:uid="{F289DF43-462C-4EF2-A46E-67BDAB1512D1}"/>
    <cellStyle name="Normal 7 4 3 4 3 3 2" xfId="18331" xr:uid="{36038B05-0B63-4624-BCE8-A4FEBD5C722B}"/>
    <cellStyle name="Normal 7 4 3 4 3 4" xfId="10784" xr:uid="{6781698A-5BCE-41C9-BBCA-4301FDC8D239}"/>
    <cellStyle name="Normal 7 4 3 4 3 4 2" xfId="21164" xr:uid="{F7B0FE75-3DE0-4F6B-B8B2-1A43B84AC2DE}"/>
    <cellStyle name="Normal 7 4 3 4 3 5" xfId="24872" xr:uid="{52399C13-1388-495D-8E38-FC6CAC5DC2DF}"/>
    <cellStyle name="Normal 7 4 3 4 3 6" xfId="13304" xr:uid="{C10AA231-F24F-4722-9717-CB84CBE0EB2D}"/>
    <cellStyle name="Normal 7 4 3 4 4" xfId="4219" xr:uid="{F78D4B62-EDF2-4AB7-9DEE-497CD2C415AD}"/>
    <cellStyle name="Normal 7 4 3 4 4 2" xfId="8991" xr:uid="{F71EDB45-9810-4D87-8762-F549CCD7BB02}"/>
    <cellStyle name="Normal 7 4 3 4 4 2 2" xfId="29070" xr:uid="{524B28EC-43F0-4019-9D4D-DBF6E9BC9755}"/>
    <cellStyle name="Normal 7 4 3 4 4 2 3" xfId="19371" xr:uid="{56EC96C9-509D-400C-919D-212DC4D85B5F}"/>
    <cellStyle name="Normal 7 4 3 4 4 3" xfId="11824" xr:uid="{A6B36A25-F2E9-4829-80BF-949050D817B5}"/>
    <cellStyle name="Normal 7 4 3 4 4 3 2" xfId="22204" xr:uid="{D93F6B13-0F03-4A69-80D1-F00874B103F5}"/>
    <cellStyle name="Normal 7 4 3 4 4 4" xfId="24951" xr:uid="{98B0EA07-A356-42CD-A364-0F6F4D084560}"/>
    <cellStyle name="Normal 7 4 3 4 4 5" xfId="16538" xr:uid="{C99310B4-52FC-42F8-998B-F83A68E8C447}"/>
    <cellStyle name="Normal 7 4 3 4 5" xfId="5448" xr:uid="{FFA53823-102B-449A-B135-DAA9CE52C2E1}"/>
    <cellStyle name="Normal 7 4 3 4 5 2" xfId="25872" xr:uid="{8547CB7E-A1FF-4B13-951F-A22FF4AE4097}"/>
    <cellStyle name="Normal 7 4 3 4 5 3" xfId="14745" xr:uid="{08FF8EB2-D4DD-4BE1-968D-3CF95B1085D0}"/>
    <cellStyle name="Normal 7 4 3 4 6" xfId="7198" xr:uid="{BAF5CBFF-6980-43EA-959E-43221B798C71}"/>
    <cellStyle name="Normal 7 4 3 4 6 2" xfId="17578" xr:uid="{E0417E85-D902-45ED-850B-BDDDC1EAB10C}"/>
    <cellStyle name="Normal 7 4 3 4 7" xfId="10031" xr:uid="{20E05630-56E6-49F8-B05E-B39E08C74933}"/>
    <cellStyle name="Normal 7 4 3 4 7 2" xfId="20411" xr:uid="{D606B5E7-D6DF-49FB-B867-04950CA47F6F}"/>
    <cellStyle name="Normal 7 4 3 4 8" xfId="22698" xr:uid="{E663FDFE-3056-4B0A-A699-530B605D2EAB}"/>
    <cellStyle name="Normal 7 4 3 4 9" xfId="12793" xr:uid="{EFC20897-F697-4AC5-A1D5-242406207B9D}"/>
    <cellStyle name="Normal 7 4 3 5" xfId="1431" xr:uid="{00000000-0005-0000-0000-00006E070000}"/>
    <cellStyle name="Normal 7 4 3 5 2" xfId="4586" xr:uid="{32AAEC66-C84F-4F4B-9085-09C0EB6273DA}"/>
    <cellStyle name="Normal 7 4 3 5 2 2" xfId="9358" xr:uid="{90B25159-4300-4BCE-8DE3-24844D9CEED2}"/>
    <cellStyle name="Normal 7 4 3 5 2 2 2" xfId="29330" xr:uid="{03391A60-D465-4962-94B1-865E32136359}"/>
    <cellStyle name="Normal 7 4 3 5 2 2 3" xfId="19738" xr:uid="{7B7679F3-5742-44C6-B9DA-6773280A4856}"/>
    <cellStyle name="Normal 7 4 3 5 2 3" xfId="12191" xr:uid="{32F85BC9-45B3-4D52-9F8A-C4B8F058362B}"/>
    <cellStyle name="Normal 7 4 3 5 2 3 2" xfId="22571" xr:uid="{58028893-E889-4500-9A5A-5192B2981EAA}"/>
    <cellStyle name="Normal 7 4 3 5 2 4" xfId="23988" xr:uid="{662E79A0-DCE2-4051-9540-1F063C7A2FF5}"/>
    <cellStyle name="Normal 7 4 3 5 2 5" xfId="16905" xr:uid="{36964F92-B719-4357-928D-C0A9D95E955E}"/>
    <cellStyle name="Normal 7 4 3 5 3" xfId="5449" xr:uid="{55395201-A444-4DAF-8240-6F1A99D8FF91}"/>
    <cellStyle name="Normal 7 4 3 5 3 2" xfId="26343" xr:uid="{96547A6C-7F4D-47A4-936A-437334C9FF4F}"/>
    <cellStyle name="Normal 7 4 3 5 3 3" xfId="14746" xr:uid="{B01B003D-09F0-41A7-9E25-076F0A13C040}"/>
    <cellStyle name="Normal 7 4 3 5 4" xfId="7199" xr:uid="{06444F2C-0374-48A8-8176-B66859AA11CC}"/>
    <cellStyle name="Normal 7 4 3 5 4 2" xfId="17579" xr:uid="{8B888782-6FEA-407C-9DFB-589676603ED3}"/>
    <cellStyle name="Normal 7 4 3 5 5" xfId="10032" xr:uid="{29AAE153-BD0B-4399-9C73-A798C68315C9}"/>
    <cellStyle name="Normal 7 4 3 5 5 2" xfId="20412" xr:uid="{81DDCE17-9BA0-4C95-AE8E-4B670AEA1C3D}"/>
    <cellStyle name="Normal 7 4 3 5 6" xfId="23858" xr:uid="{DA4BEBB2-AFC0-4336-ADD6-7BD0DB116E1A}"/>
    <cellStyle name="Normal 7 4 3 5 7" xfId="14040" xr:uid="{78E0465A-D360-474F-81AB-8916C3666EF8}"/>
    <cellStyle name="Normal 7 4 3 6" xfId="2992" xr:uid="{00000000-0005-0000-0000-000084080000}"/>
    <cellStyle name="Normal 7 4 3 6 2" xfId="6142" xr:uid="{DECB5462-13A0-4971-93E2-67D64097B287}"/>
    <cellStyle name="Normal 7 4 3 6 2 2" xfId="24786" xr:uid="{4763614B-9A15-465F-B4E0-4D5682EEC570}"/>
    <cellStyle name="Normal 7 4 3 6 2 3" xfId="26641" xr:uid="{38E6F481-054E-4951-A4C8-038582470DEC}"/>
    <cellStyle name="Normal 7 4 3 6 2 4" xfId="15620" xr:uid="{CF275B3F-9D0A-467E-8F53-450B4BBB2501}"/>
    <cellStyle name="Normal 7 4 3 6 3" xfId="8073" xr:uid="{684E6C9B-8F1F-4C96-B900-9475A48A6A90}"/>
    <cellStyle name="Normal 7 4 3 6 3 2" xfId="28768" xr:uid="{101FAE63-21CF-4237-B40A-3C0788565985}"/>
    <cellStyle name="Normal 7 4 3 6 3 3" xfId="18453" xr:uid="{4E427ABA-F9E9-499C-9D02-F1D537CD0FCA}"/>
    <cellStyle name="Normal 7 4 3 6 4" xfId="10906" xr:uid="{A10836A0-4C54-4C33-9779-473B3614B4F3}"/>
    <cellStyle name="Normal 7 4 3 6 4 2" xfId="21286" xr:uid="{DA2223B3-1516-44A5-BF6E-D468F9EA8F0A}"/>
    <cellStyle name="Normal 7 4 3 6 5" xfId="24501" xr:uid="{2D2D3BAB-4EE1-40A9-9DAE-9BBDB025D104}"/>
    <cellStyle name="Normal 7 4 3 6 6" xfId="13491" xr:uid="{D8C51755-15E4-4D5D-B33E-C5777ED4CD4D}"/>
    <cellStyle name="Normal 7 4 3 7" xfId="2485" xr:uid="{00000000-0005-0000-0000-000085080000}"/>
    <cellStyle name="Normal 7 4 3 7 2" xfId="5771" xr:uid="{7EC0E344-7771-4C9E-8813-722F72405483}"/>
    <cellStyle name="Normal 7 4 3 7 2 2" xfId="27031" xr:uid="{C4A76B5A-3250-41B6-83CD-0ADFD2DE1444}"/>
    <cellStyle name="Normal 7 4 3 7 2 3" xfId="15157" xr:uid="{607EB0E2-E535-4617-8722-6D0ADED78D08}"/>
    <cellStyle name="Normal 7 4 3 7 3" xfId="7610" xr:uid="{33C3883B-9E2C-4F93-BF03-9232B138A1EE}"/>
    <cellStyle name="Normal 7 4 3 7 3 2" xfId="17990" xr:uid="{67879044-935B-4B97-A03A-E634BCF98FB2}"/>
    <cellStyle name="Normal 7 4 3 7 4" xfId="10443" xr:uid="{C8B9B9BB-45C1-46CC-A234-96C734088617}"/>
    <cellStyle name="Normal 7 4 3 7 4 2" xfId="20823" xr:uid="{1DE6E8F3-B876-42BD-BA32-1791CD97C485}"/>
    <cellStyle name="Normal 7 4 3 7 5" xfId="23068" xr:uid="{0271FA07-948E-446C-9858-16D19FE45933}"/>
    <cellStyle name="Normal 7 4 3 7 6" xfId="12873" xr:uid="{231A3B36-517F-475A-9A76-713D87C84C49}"/>
    <cellStyle name="Normal 7 4 3 8" xfId="2179" xr:uid="{00000000-0005-0000-0000-00006C080000}"/>
    <cellStyle name="Normal 7 4 3 8 2" xfId="7306" xr:uid="{61404530-84D2-4FCC-B79A-40F6D1459624}"/>
    <cellStyle name="Normal 7 4 3 8 2 2" xfId="17686" xr:uid="{0B164E7B-ABA5-4238-BF26-6C01C2A9E63F}"/>
    <cellStyle name="Normal 7 4 3 8 3" xfId="10139" xr:uid="{9D3117D7-E98C-47FF-B117-08F9C3256A30}"/>
    <cellStyle name="Normal 7 4 3 8 3 2" xfId="20519" xr:uid="{90C46BEB-9A72-495F-AF5C-3C849CDBEAB0}"/>
    <cellStyle name="Normal 7 4 3 8 4" xfId="22818" xr:uid="{8043779F-2F38-4DEF-B53C-1493A615375A}"/>
    <cellStyle name="Normal 7 4 3 8 5" xfId="14853" xr:uid="{92C41245-DB38-4685-9AA4-D23501AAEF39}"/>
    <cellStyle name="Normal 7 4 3 9" xfId="4069" xr:uid="{9B83B12B-F037-4973-AB0C-83E137F3CCA4}"/>
    <cellStyle name="Normal 7 4 3 9 2" xfId="8849" xr:uid="{F26D4E52-7049-4504-862C-EDEE61895F5C}"/>
    <cellStyle name="Normal 7 4 3 9 2 2" xfId="19229" xr:uid="{BF60D9B6-3B18-46FC-AF3E-456E390ED4FD}"/>
    <cellStyle name="Normal 7 4 3 9 3" xfId="11682" xr:uid="{5AE3403A-02C3-4D2D-8309-643F1A197D08}"/>
    <cellStyle name="Normal 7 4 3 9 3 2" xfId="22062" xr:uid="{0C78B99F-AD36-4BE1-92A4-14881384F045}"/>
    <cellStyle name="Normal 7 4 3 9 4" xfId="16396" xr:uid="{92F4B5A9-F8D7-426A-A253-1347198AF915}"/>
    <cellStyle name="Normal 7 4 4" xfId="1432" xr:uid="{00000000-0005-0000-0000-00006F070000}"/>
    <cellStyle name="Normal 7 4 4 10" xfId="5450" xr:uid="{E3B89E48-5BD7-4CAB-A493-53FC19BCD894}"/>
    <cellStyle name="Normal 7 4 4 10 2" xfId="14747" xr:uid="{F69FED75-DFAE-48F9-AEF7-F43173D57B3F}"/>
    <cellStyle name="Normal 7 4 4 11" xfId="7200" xr:uid="{450BA93B-30BB-4489-A0C0-4616AAFE258B}"/>
    <cellStyle name="Normal 7 4 4 11 2" xfId="17580" xr:uid="{38E264F0-7759-4EEB-A8BE-79CFD9A7C20A}"/>
    <cellStyle name="Normal 7 4 4 12" xfId="10033" xr:uid="{AFDCE651-09CB-423B-A6E6-CBD55F2B2AFA}"/>
    <cellStyle name="Normal 7 4 4 12 2" xfId="20413" xr:uid="{1DE52EE3-07B5-4308-A5FC-33897D9F665A}"/>
    <cellStyle name="Normal 7 4 4 13" xfId="25346" xr:uid="{ECE91AA8-E135-4F43-A425-BFD3BD91DA6D}"/>
    <cellStyle name="Normal 7 4 4 14" xfId="12418" xr:uid="{91BFECF0-198C-452A-90F5-3BC8E451D944}"/>
    <cellStyle name="Normal 7 4 4 2" xfId="1433" xr:uid="{00000000-0005-0000-0000-000070070000}"/>
    <cellStyle name="Normal 7 4 4 2 10" xfId="7201" xr:uid="{1780B4E2-A429-4928-8711-A8E9D8D7B098}"/>
    <cellStyle name="Normal 7 4 4 2 10 2" xfId="17581" xr:uid="{971BB55E-6229-4B92-8ACF-623834102A83}"/>
    <cellStyle name="Normal 7 4 4 2 11" xfId="10034" xr:uid="{C035D557-3EFF-45F3-BC8F-FDEA512F952C}"/>
    <cellStyle name="Normal 7 4 4 2 11 2" xfId="20414" xr:uid="{C4E67250-1EE6-4C48-A021-E2DE29480886}"/>
    <cellStyle name="Normal 7 4 4 2 12" xfId="23473" xr:uid="{99C65200-6E1C-4865-920A-1AD02BF528B9}"/>
    <cellStyle name="Normal 7 4 4 2 13" xfId="12478" xr:uid="{1787C933-1F9A-474B-94C4-ACF8D47EE646}"/>
    <cellStyle name="Normal 7 4 4 2 2" xfId="1434" xr:uid="{00000000-0005-0000-0000-000071070000}"/>
    <cellStyle name="Normal 7 4 4 2 2 10" xfId="13043" xr:uid="{85D260CD-ECE6-4BDB-B90F-7767C72C53D5}"/>
    <cellStyle name="Normal 7 4 4 2 2 2" xfId="2834" xr:uid="{00000000-0005-0000-0000-000089080000}"/>
    <cellStyle name="Normal 7 4 4 2 2 2 2" xfId="3456" xr:uid="{00000000-0005-0000-0000-00008A080000}"/>
    <cellStyle name="Normal 7 4 4 2 2 2 2 2" xfId="6511" xr:uid="{B0689EE3-D10E-460E-9499-3C1AFF201603}"/>
    <cellStyle name="Normal 7 4 4 2 2 2 2 2 2" xfId="27707" xr:uid="{F87B1CF3-4D27-433F-AEB6-4849FE48B7BE}"/>
    <cellStyle name="Normal 7 4 4 2 2 2 2 2 3" xfId="16082" xr:uid="{09436EDD-7B29-41AF-B1F1-BCEC022D3963}"/>
    <cellStyle name="Normal 7 4 4 2 2 2 2 3" xfId="8535" xr:uid="{8D76F6F3-08D3-4D55-883F-27E1666CE904}"/>
    <cellStyle name="Normal 7 4 4 2 2 2 2 3 2" xfId="18915" xr:uid="{BC115AB2-6628-4205-B78C-F266D4F8CD53}"/>
    <cellStyle name="Normal 7 4 4 2 2 2 2 4" xfId="11368" xr:uid="{A8742545-96B9-4C68-BB6A-E1AEAD17E7C4}"/>
    <cellStyle name="Normal 7 4 4 2 2 2 2 4 2" xfId="21748" xr:uid="{98077CBB-A4A3-4B92-8568-D1EC04E51BCA}"/>
    <cellStyle name="Normal 7 4 4 2 2 2 2 5" xfId="25334" xr:uid="{D866E4A2-C79F-444C-A4E1-DAB3A77704E1}"/>
    <cellStyle name="Normal 7 4 4 2 2 2 2 6" xfId="14043" xr:uid="{1FA1CED8-CA7B-4386-9666-50BF16F6D7AE}"/>
    <cellStyle name="Normal 7 4 4 2 2 2 3" xfId="4370" xr:uid="{0DAD4E56-0B56-42BE-BBA3-FC5733DFFF43}"/>
    <cellStyle name="Normal 7 4 4 2 2 2 3 2" xfId="9142" xr:uid="{105A3B7F-F95A-4D38-AA5A-0218E258D147}"/>
    <cellStyle name="Normal 7 4 4 2 2 2 3 2 2" xfId="29185" xr:uid="{9E197F34-F4F8-449E-BC15-E5F56BE7EE69}"/>
    <cellStyle name="Normal 7 4 4 2 2 2 3 2 3" xfId="19522" xr:uid="{0E93FDFD-73C9-46BA-9CB3-0CF54B0594EB}"/>
    <cellStyle name="Normal 7 4 4 2 2 2 3 3" xfId="11975" xr:uid="{4DAAE4C4-1896-44CD-A007-6C93B672DEB7}"/>
    <cellStyle name="Normal 7 4 4 2 2 2 3 3 2" xfId="22355" xr:uid="{1931F75A-796A-4B3B-89E8-933BD93EAF88}"/>
    <cellStyle name="Normal 7 4 4 2 2 2 3 4" xfId="25558" xr:uid="{072D2D10-7B7D-4B65-BC32-6BFD4E46F379}"/>
    <cellStyle name="Normal 7 4 4 2 2 2 3 5" xfId="16689" xr:uid="{EA5C8DFA-B06A-41F5-9FB1-BEE951D0CF65}"/>
    <cellStyle name="Normal 7 4 4 2 2 2 4" xfId="6050" xr:uid="{9ED16AA7-F360-4202-AB4C-D8C141A8E0C9}"/>
    <cellStyle name="Normal 7 4 4 2 2 2 4 2" xfId="28434" xr:uid="{08334893-4728-4854-B02F-B20CA7ACE106}"/>
    <cellStyle name="Normal 7 4 4 2 2 2 4 3" xfId="15504" xr:uid="{E45DE93C-3E44-4B63-8658-F9BF77A3F236}"/>
    <cellStyle name="Normal 7 4 4 2 2 2 5" xfId="7957" xr:uid="{B44D6036-ED79-4F4A-B1EB-626F643EB465}"/>
    <cellStyle name="Normal 7 4 4 2 2 2 5 2" xfId="18337" xr:uid="{B9EB0688-D67C-43ED-8CF5-A010D5608565}"/>
    <cellStyle name="Normal 7 4 4 2 2 2 6" xfId="10790" xr:uid="{2C09063D-25A9-413E-8F72-31835EC2AABA}"/>
    <cellStyle name="Normal 7 4 4 2 2 2 6 2" xfId="21170" xr:uid="{FDDA696B-39FC-44CD-BEFC-D8925BB1D484}"/>
    <cellStyle name="Normal 7 4 4 2 2 2 7" xfId="23132" xr:uid="{EE77D4BC-B01A-4857-8FD9-A3277F61286D}"/>
    <cellStyle name="Normal 7 4 4 2 2 2 8" xfId="13310" xr:uid="{D7EA7EE7-B82D-4043-8A0B-B0E6CF6892C8}"/>
    <cellStyle name="Normal 7 4 4 2 2 3" xfId="3457" xr:uid="{00000000-0005-0000-0000-00008B080000}"/>
    <cellStyle name="Normal 7 4 4 2 2 3 2" xfId="4587" xr:uid="{0A2EBD96-5343-4C53-A307-37B25ADC726E}"/>
    <cellStyle name="Normal 7 4 4 2 2 3 2 2" xfId="9359" xr:uid="{B7D332E5-2E09-4014-96B1-2C5C2738B2E4}"/>
    <cellStyle name="Normal 7 4 4 2 2 3 2 2 2" xfId="19739" xr:uid="{FFBD64CA-DA1C-4BB5-9282-DF6B817BD172}"/>
    <cellStyle name="Normal 7 4 4 2 2 3 2 3" xfId="12192" xr:uid="{2B77A7CA-EE70-44B3-8F8B-94F9305BBC2A}"/>
    <cellStyle name="Normal 7 4 4 2 2 3 2 3 2" xfId="22572" xr:uid="{18C8B68B-75B3-48CA-82A5-BD04641DB0F0}"/>
    <cellStyle name="Normal 7 4 4 2 2 3 2 4" xfId="28440" xr:uid="{371F78E5-887F-4666-B682-8E8898BBF52B}"/>
    <cellStyle name="Normal 7 4 4 2 2 3 2 5" xfId="16906" xr:uid="{B51432E6-24D0-4EB4-8058-909E6B13D686}"/>
    <cellStyle name="Normal 7 4 4 2 2 3 3" xfId="6512" xr:uid="{EBFEE145-7C44-4FEA-A424-560480DD22B9}"/>
    <cellStyle name="Normal 7 4 4 2 2 3 3 2" xfId="16083" xr:uid="{AC61386E-B397-4853-83DC-5AF087868306}"/>
    <cellStyle name="Normal 7 4 4 2 2 3 4" xfId="8536" xr:uid="{FDE0BA1F-9267-4564-94C9-C081213DD651}"/>
    <cellStyle name="Normal 7 4 4 2 2 3 4 2" xfId="18916" xr:uid="{1BE319B7-4E1A-4DCB-9664-0E818A5C84CD}"/>
    <cellStyle name="Normal 7 4 4 2 2 3 5" xfId="11369" xr:uid="{D0543F52-B8AC-4B37-819C-9DD0F9F23915}"/>
    <cellStyle name="Normal 7 4 4 2 2 3 5 2" xfId="21749" xr:uid="{C2548F04-A02E-4CD9-AAD1-D362474D311D}"/>
    <cellStyle name="Normal 7 4 4 2 2 3 6" xfId="23054" xr:uid="{001E25AE-D7A2-415C-A238-CF147CEF1ED8}"/>
    <cellStyle name="Normal 7 4 4 2 2 3 7" xfId="14044" xr:uid="{9A645B1E-FA20-4A76-94D7-27A4F1B0F564}"/>
    <cellStyle name="Normal 7 4 4 2 2 4" xfId="3455" xr:uid="{00000000-0005-0000-0000-00008C080000}"/>
    <cellStyle name="Normal 7 4 4 2 2 4 2" xfId="6510" xr:uid="{DB8979AA-4BDB-435B-A2C3-7F281B79A5DB}"/>
    <cellStyle name="Normal 7 4 4 2 2 4 2 2" xfId="27625" xr:uid="{1364445D-4378-4F8B-8E18-5CA8A1B837D2}"/>
    <cellStyle name="Normal 7 4 4 2 2 4 2 3" xfId="16081" xr:uid="{AE9BD2D5-10BC-4B9B-B911-5F91E53CB1D2}"/>
    <cellStyle name="Normal 7 4 4 2 2 4 3" xfId="8534" xr:uid="{AB089DE0-4D9C-4850-ABE7-B6F9056C3B5A}"/>
    <cellStyle name="Normal 7 4 4 2 2 4 3 2" xfId="18914" xr:uid="{088AB71F-1714-47EF-B619-63A0C5103E0F}"/>
    <cellStyle name="Normal 7 4 4 2 2 4 4" xfId="11367" xr:uid="{E6788041-E3DF-4264-B2C2-F3EB8F695F17}"/>
    <cellStyle name="Normal 7 4 4 2 2 4 4 2" xfId="21747" xr:uid="{F513B7B1-0713-491D-922C-7C02520EB424}"/>
    <cellStyle name="Normal 7 4 4 2 2 4 5" xfId="24473" xr:uid="{BD33F25E-4D01-43E2-A79E-DACF017A302B}"/>
    <cellStyle name="Normal 7 4 4 2 2 4 6" xfId="14042" xr:uid="{AA518B72-551D-49FF-97B6-5F5E268E2048}"/>
    <cellStyle name="Normal 7 4 4 2 2 5" xfId="4244" xr:uid="{6424EC82-10A1-42F5-9FFA-D6F9DA223917}"/>
    <cellStyle name="Normal 7 4 4 2 2 5 2" xfId="9016" xr:uid="{C0A51B5F-A418-46AF-81D2-8B163386F866}"/>
    <cellStyle name="Normal 7 4 4 2 2 5 2 2" xfId="29087" xr:uid="{7EBFC413-0B91-49A7-BDAD-66B27BE1A561}"/>
    <cellStyle name="Normal 7 4 4 2 2 5 2 3" xfId="19396" xr:uid="{13EEF0C0-7C9E-4888-9368-D49232433AAC}"/>
    <cellStyle name="Normal 7 4 4 2 2 5 3" xfId="11849" xr:uid="{CC1BFE65-A6EB-4675-B539-0C46A4A8B8A0}"/>
    <cellStyle name="Normal 7 4 4 2 2 5 3 2" xfId="22229" xr:uid="{2C82E1B6-16C8-4636-AE8B-2C290E7D2D6E}"/>
    <cellStyle name="Normal 7 4 4 2 2 5 4" xfId="23101" xr:uid="{B184A7CB-64E8-4552-9480-71A0B3794C87}"/>
    <cellStyle name="Normal 7 4 4 2 2 5 5" xfId="16563" xr:uid="{35234B4C-12F7-43EA-BCE1-C58380744C48}"/>
    <cellStyle name="Normal 7 4 4 2 2 6" xfId="5452" xr:uid="{C937A26F-B1D4-4453-9186-D297675A8C84}"/>
    <cellStyle name="Normal 7 4 4 2 2 6 2" xfId="26124" xr:uid="{C4976971-ADAE-423B-AE09-1C6B9BD6BE9E}"/>
    <cellStyle name="Normal 7 4 4 2 2 6 3" xfId="14749" xr:uid="{2AFE0F13-E501-4D26-96E0-F1BDEF3312A4}"/>
    <cellStyle name="Normal 7 4 4 2 2 7" xfId="7202" xr:uid="{C07BAA99-A4AD-40A8-8A24-D840DC98A042}"/>
    <cellStyle name="Normal 7 4 4 2 2 7 2" xfId="17582" xr:uid="{87D137C4-F41A-4C53-BD2A-2A75BD6A7E74}"/>
    <cellStyle name="Normal 7 4 4 2 2 8" xfId="10035" xr:uid="{2E0ADCB0-F339-4F9E-8A5D-752AB01A92F3}"/>
    <cellStyle name="Normal 7 4 4 2 2 8 2" xfId="20415" xr:uid="{6B75B93F-10E8-49C0-950C-F9A78D9836EF}"/>
    <cellStyle name="Normal 7 4 4 2 2 9" xfId="24460" xr:uid="{73C2BF4B-6624-44F6-8D87-B3A3255B3196}"/>
    <cellStyle name="Normal 7 4 4 2 3" xfId="2833" xr:uid="{00000000-0005-0000-0000-00008D080000}"/>
    <cellStyle name="Normal 7 4 4 2 3 2" xfId="3458" xr:uid="{00000000-0005-0000-0000-00008E080000}"/>
    <cellStyle name="Normal 7 4 4 2 3 2 2" xfId="6513" xr:uid="{34236F50-C037-4F8D-B6B2-6F0363CB5844}"/>
    <cellStyle name="Normal 7 4 4 2 3 2 2 2" xfId="28486" xr:uid="{339F1BE5-9433-44FE-A763-3AF771840D39}"/>
    <cellStyle name="Normal 7 4 4 2 3 2 2 3" xfId="16084" xr:uid="{61EB5AE0-87F8-4BF5-B28C-B790D2F2AC84}"/>
    <cellStyle name="Normal 7 4 4 2 3 2 3" xfId="8537" xr:uid="{650E8CFB-2725-44A8-89A1-D7BA0FE2923E}"/>
    <cellStyle name="Normal 7 4 4 2 3 2 3 2" xfId="18917" xr:uid="{91C5B97E-2457-4587-9FA5-4B5E372B5DCA}"/>
    <cellStyle name="Normal 7 4 4 2 3 2 4" xfId="11370" xr:uid="{DA7DFC6C-B0AC-4C3E-A861-98A860641B96}"/>
    <cellStyle name="Normal 7 4 4 2 3 2 4 2" xfId="21750" xr:uid="{C6B46EAB-3A80-43F7-B514-D3D782DCE271}"/>
    <cellStyle name="Normal 7 4 4 2 3 2 5" xfId="24499" xr:uid="{D8A95826-72A8-43FF-BD71-35E9BCBFCE99}"/>
    <cellStyle name="Normal 7 4 4 2 3 2 6" xfId="14045" xr:uid="{79DA3B40-853C-4D18-8FE6-C40E89EF19E0}"/>
    <cellStyle name="Normal 7 4 4 2 3 3" xfId="4369" xr:uid="{5718650D-9B49-4598-94A3-96C121F7519F}"/>
    <cellStyle name="Normal 7 4 4 2 3 3 2" xfId="9141" xr:uid="{50B08A76-5F8B-479D-99B5-B4F20FA5D439}"/>
    <cellStyle name="Normal 7 4 4 2 3 3 2 2" xfId="29184" xr:uid="{61F201DD-B55C-4156-A085-167C97EE008E}"/>
    <cellStyle name="Normal 7 4 4 2 3 3 2 3" xfId="19521" xr:uid="{DC5B0B79-D730-4828-98F9-CC47A1978333}"/>
    <cellStyle name="Normal 7 4 4 2 3 3 3" xfId="11974" xr:uid="{28D945B7-1103-47D4-A6EB-162A9E1A71DA}"/>
    <cellStyle name="Normal 7 4 4 2 3 3 3 2" xfId="22354" xr:uid="{E65617C7-B9F8-476B-8BF2-97882EAC814A}"/>
    <cellStyle name="Normal 7 4 4 2 3 3 4" xfId="23056" xr:uid="{3C537B82-AA9A-467F-ACA3-8F8ED612691F}"/>
    <cellStyle name="Normal 7 4 4 2 3 3 5" xfId="16688" xr:uid="{B7C056BC-24CF-4E2A-9F1C-4734D38A5989}"/>
    <cellStyle name="Normal 7 4 4 2 3 4" xfId="6049" xr:uid="{8614F297-A17E-4D0E-870D-3711AD73852B}"/>
    <cellStyle name="Normal 7 4 4 2 3 4 2" xfId="27642" xr:uid="{BA3C52BA-3AC7-4896-92F9-7A7300903EC5}"/>
    <cellStyle name="Normal 7 4 4 2 3 4 3" xfId="15503" xr:uid="{2876EE0A-FAFE-4DB0-A291-825A606682A6}"/>
    <cellStyle name="Normal 7 4 4 2 3 5" xfId="7956" xr:uid="{DB2DE750-5190-4404-B65E-67182576AD24}"/>
    <cellStyle name="Normal 7 4 4 2 3 5 2" xfId="18336" xr:uid="{882DBBCA-7C96-4DDE-A6C7-39C2E96C92ED}"/>
    <cellStyle name="Normal 7 4 4 2 3 6" xfId="10789" xr:uid="{45FA64DC-7A4B-4A17-9FB9-EAE8C4D295C8}"/>
    <cellStyle name="Normal 7 4 4 2 3 6 2" xfId="21169" xr:uid="{D2095383-C4E5-473E-A330-898A2D163753}"/>
    <cellStyle name="Normal 7 4 4 2 3 7" xfId="22897" xr:uid="{A02929AC-6E9B-44A5-80F6-0B24F1028588}"/>
    <cellStyle name="Normal 7 4 4 2 3 8" xfId="13309" xr:uid="{5B80B824-8D58-4B5C-AE5C-EDE867B145B7}"/>
    <cellStyle name="Normal 7 4 4 2 4" xfId="3459" xr:uid="{00000000-0005-0000-0000-00008F080000}"/>
    <cellStyle name="Normal 7 4 4 2 4 2" xfId="4588" xr:uid="{EB627D3D-2681-4252-9B95-0E8D4C27F3C3}"/>
    <cellStyle name="Normal 7 4 4 2 4 2 2" xfId="9360" xr:uid="{1C290444-83FC-41FC-B6A0-8BFA93D20B08}"/>
    <cellStyle name="Normal 7 4 4 2 4 2 2 2" xfId="19740" xr:uid="{0F8BD4ED-A530-4B81-8098-D4E0E51C95B1}"/>
    <cellStyle name="Normal 7 4 4 2 4 2 3" xfId="12193" xr:uid="{236D53CA-13DE-41CD-B516-3C2D9C7EACBB}"/>
    <cellStyle name="Normal 7 4 4 2 4 2 3 2" xfId="22573" xr:uid="{7BFB50A7-875F-418A-AF09-1025B45772EF}"/>
    <cellStyle name="Normal 7 4 4 2 4 2 4" xfId="25978" xr:uid="{D9B52417-CCBE-49AE-B848-B57D3E63404E}"/>
    <cellStyle name="Normal 7 4 4 2 4 2 5" xfId="16907" xr:uid="{517A41E9-BAC1-4FCE-BFF1-D519FE74BAC8}"/>
    <cellStyle name="Normal 7 4 4 2 4 3" xfId="6514" xr:uid="{715B2ACF-BA4F-4DF4-A8D1-52A2E092DDE9}"/>
    <cellStyle name="Normal 7 4 4 2 4 3 2" xfId="16085" xr:uid="{0D8CF97E-21EB-4AC7-A2BA-9764C4015C9E}"/>
    <cellStyle name="Normal 7 4 4 2 4 4" xfId="8538" xr:uid="{A22FAA5C-A938-4B0B-9F88-ACABAE0B73A9}"/>
    <cellStyle name="Normal 7 4 4 2 4 4 2" xfId="18918" xr:uid="{D9A5A6CF-640A-43A0-9D79-261DAED40A5C}"/>
    <cellStyle name="Normal 7 4 4 2 4 5" xfId="11371" xr:uid="{265CEEB0-A996-4D92-8966-842C11952763}"/>
    <cellStyle name="Normal 7 4 4 2 4 5 2" xfId="21751" xr:uid="{16F38D62-10F3-4B07-B1CE-B2AD6A5F059C}"/>
    <cellStyle name="Normal 7 4 4 2 4 6" xfId="22707" xr:uid="{68B1762D-D6C1-4593-8ADC-EC870A07BDF8}"/>
    <cellStyle name="Normal 7 4 4 2 4 7" xfId="14046" xr:uid="{12A4D8A0-42B0-4D28-B709-D35887FE31D9}"/>
    <cellStyle name="Normal 7 4 4 2 5" xfId="3454" xr:uid="{00000000-0005-0000-0000-000090080000}"/>
    <cellStyle name="Normal 7 4 4 2 5 2" xfId="6509" xr:uid="{71442CDA-8704-465A-9E78-1DF9673FDA59}"/>
    <cellStyle name="Normal 7 4 4 2 5 2 2" xfId="26471" xr:uid="{7968241E-6B5D-4F67-9009-FAA894F99D23}"/>
    <cellStyle name="Normal 7 4 4 2 5 2 3" xfId="16080" xr:uid="{F0CB1509-292A-48DF-97E6-9585DCB4F1B9}"/>
    <cellStyle name="Normal 7 4 4 2 5 3" xfId="8533" xr:uid="{0AAAFE54-847A-489F-AF1C-63C13B231E16}"/>
    <cellStyle name="Normal 7 4 4 2 5 3 2" xfId="18913" xr:uid="{A7AE5073-9934-4218-95BB-4C13A6598B37}"/>
    <cellStyle name="Normal 7 4 4 2 5 4" xfId="11366" xr:uid="{A9D3F44A-5F53-4F95-B187-DB99A473ACC0}"/>
    <cellStyle name="Normal 7 4 4 2 5 4 2" xfId="21746" xr:uid="{11B55F38-7F1C-4A4E-B4E8-833C6941F2AB}"/>
    <cellStyle name="Normal 7 4 4 2 5 5" xfId="25096" xr:uid="{3AB56816-3174-4584-B530-8EBDB09C1D5E}"/>
    <cellStyle name="Normal 7 4 4 2 5 6" xfId="14041" xr:uid="{81C8A64A-C038-4D7B-B98F-C8EAF384ECC4}"/>
    <cellStyle name="Normal 7 4 4 2 6" xfId="2552" xr:uid="{00000000-0005-0000-0000-000091080000}"/>
    <cellStyle name="Normal 7 4 4 2 6 2" xfId="5824" xr:uid="{F20CE6BA-12C7-4C14-A008-A15032D5A25B}"/>
    <cellStyle name="Normal 7 4 4 2 6 2 2" xfId="27587" xr:uid="{5BEA6F7A-80FC-4FFF-AAE9-237450D76ED5}"/>
    <cellStyle name="Normal 7 4 4 2 6 2 3" xfId="15224" xr:uid="{F90B9A98-A7E6-451C-8BAE-57C7F3A42DEA}"/>
    <cellStyle name="Normal 7 4 4 2 6 3" xfId="7677" xr:uid="{F23C6D6B-CF8D-40E4-A892-EFCF66043F69}"/>
    <cellStyle name="Normal 7 4 4 2 6 3 2" xfId="18057" xr:uid="{AFF8699B-7BCE-4E04-82FD-282E7A9342F1}"/>
    <cellStyle name="Normal 7 4 4 2 6 4" xfId="10510" xr:uid="{0D24AE76-6568-4B47-8025-7FA3A808C65A}"/>
    <cellStyle name="Normal 7 4 4 2 6 4 2" xfId="20890" xr:uid="{86768A89-C52D-46AE-9800-33A4FE29CFD8}"/>
    <cellStyle name="Normal 7 4 4 2 6 5" xfId="24200" xr:uid="{91F6AB87-A6E4-486E-A0B5-0D2DA2143D03}"/>
    <cellStyle name="Normal 7 4 4 2 6 6" xfId="12940" xr:uid="{C866F9FC-8C70-4F91-A275-BC83D5C86989}"/>
    <cellStyle name="Normal 7 4 4 2 7" xfId="2246" xr:uid="{00000000-0005-0000-0000-000087080000}"/>
    <cellStyle name="Normal 7 4 4 2 7 2" xfId="7373" xr:uid="{26283281-5ABF-482D-B5B3-127F8E984BFF}"/>
    <cellStyle name="Normal 7 4 4 2 7 2 2" xfId="17753" xr:uid="{2A060D8B-9545-4E67-BD93-DE0D9596E7FB}"/>
    <cellStyle name="Normal 7 4 4 2 7 3" xfId="10206" xr:uid="{F58D38A8-DBD8-41D8-AF5C-8D0538519E16}"/>
    <cellStyle name="Normal 7 4 4 2 7 3 2" xfId="20586" xr:uid="{5E0907C3-349F-4D28-A9D8-857AE3176668}"/>
    <cellStyle name="Normal 7 4 4 2 7 4" xfId="22753" xr:uid="{FD00B7D4-3539-4198-9907-1464487681AC}"/>
    <cellStyle name="Normal 7 4 4 2 7 5" xfId="14920" xr:uid="{BA2D0341-9462-4C2B-AF9D-67FB8C251BA0}"/>
    <cellStyle name="Normal 7 4 4 2 8" xfId="3799" xr:uid="{DAA32352-6BAD-430F-9A17-F7EF7AB6614A}"/>
    <cellStyle name="Normal 7 4 4 2 8 2" xfId="8635" xr:uid="{CD6C34D6-6911-49EF-B3EA-F852754DDF1F}"/>
    <cellStyle name="Normal 7 4 4 2 8 2 2" xfId="19015" xr:uid="{F97DB3D1-9FE7-40C0-8B08-55F2D4C221F4}"/>
    <cellStyle name="Normal 7 4 4 2 8 3" xfId="11468" xr:uid="{FCEA4E2D-C2D2-4663-92A4-343D02BD1178}"/>
    <cellStyle name="Normal 7 4 4 2 8 3 2" xfId="21848" xr:uid="{E050C544-35DC-4BD0-BCB9-42DCBE06AECA}"/>
    <cellStyle name="Normal 7 4 4 2 8 4" xfId="16182" xr:uid="{EC44B864-D532-4297-BAE3-94C32EBC660A}"/>
    <cellStyle name="Normal 7 4 4 2 9" xfId="5451" xr:uid="{EE4BCC74-C422-439B-AD8A-2B512A0795F4}"/>
    <cellStyle name="Normal 7 4 4 2 9 2" xfId="14748" xr:uid="{F516A8B1-8CC9-4949-9E5F-848D22370AAE}"/>
    <cellStyle name="Normal 7 4 4 3" xfId="1435" xr:uid="{00000000-0005-0000-0000-000072070000}"/>
    <cellStyle name="Normal 7 4 4 3 10" xfId="10036" xr:uid="{0AD9C01A-7272-4FE1-A52F-22B7BBD12FF2}"/>
    <cellStyle name="Normal 7 4 4 3 10 2" xfId="20416" xr:uid="{36F7C331-6751-4B69-8C0D-AB4B7C300153}"/>
    <cellStyle name="Normal 7 4 4 3 11" xfId="24032" xr:uid="{BA681105-BE24-4BB5-8D87-F19F049BCC02}"/>
    <cellStyle name="Normal 7 4 4 3 12" xfId="12637" xr:uid="{99999AEE-47FD-4FA7-8FD4-45B02F09CBEB}"/>
    <cellStyle name="Normal 7 4 4 3 2" xfId="2835" xr:uid="{00000000-0005-0000-0000-000093080000}"/>
    <cellStyle name="Normal 7 4 4 3 2 2" xfId="3461" xr:uid="{00000000-0005-0000-0000-000094080000}"/>
    <cellStyle name="Normal 7 4 4 3 2 2 2" xfId="6516" xr:uid="{034D1EAC-D921-43B0-9889-CD6826907649}"/>
    <cellStyle name="Normal 7 4 4 3 2 2 2 2" xfId="28680" xr:uid="{053950AF-9542-4417-9943-2597D0C02EBD}"/>
    <cellStyle name="Normal 7 4 4 3 2 2 2 3" xfId="16087" xr:uid="{D1C17C96-AF36-4CC9-96B3-454480DA749B}"/>
    <cellStyle name="Normal 7 4 4 3 2 2 3" xfId="8540" xr:uid="{986437B4-FBB8-4F2F-BB70-FA6454ADB463}"/>
    <cellStyle name="Normal 7 4 4 3 2 2 3 2" xfId="18920" xr:uid="{4C575817-6CB8-496D-BF09-ABB4A9CF2DCD}"/>
    <cellStyle name="Normal 7 4 4 3 2 2 4" xfId="11373" xr:uid="{54F9B92A-66AA-45B3-866D-B16A31EC942C}"/>
    <cellStyle name="Normal 7 4 4 3 2 2 4 2" xfId="21753" xr:uid="{2502CA8E-522F-42A9-B245-AF35E3C98EA0}"/>
    <cellStyle name="Normal 7 4 4 3 2 2 5" xfId="23907" xr:uid="{1D2E9EE8-F643-4313-AF75-E46F10BE5FC2}"/>
    <cellStyle name="Normal 7 4 4 3 2 2 6" xfId="14048" xr:uid="{C13405EC-5891-4A8E-8B7C-BC6D51C259A8}"/>
    <cellStyle name="Normal 7 4 4 3 2 3" xfId="4371" xr:uid="{0659832D-C1DD-467F-B7B6-1FE42F2F2940}"/>
    <cellStyle name="Normal 7 4 4 3 2 3 2" xfId="9143" xr:uid="{E6B3A5D8-7DA3-45F9-9942-9F0A3EF5ABB4}"/>
    <cellStyle name="Normal 7 4 4 3 2 3 2 2" xfId="29186" xr:uid="{BB606388-E4A1-42F9-9CF4-70216C3CF050}"/>
    <cellStyle name="Normal 7 4 4 3 2 3 2 3" xfId="19523" xr:uid="{EDFCAAEA-3CFC-4FDC-99F1-1183F7FC1430}"/>
    <cellStyle name="Normal 7 4 4 3 2 3 3" xfId="11976" xr:uid="{E656D6CD-A3F3-4801-985F-D85295FA1C57}"/>
    <cellStyle name="Normal 7 4 4 3 2 3 3 2" xfId="22356" xr:uid="{5155C7CA-726A-4A03-988F-9D04AEDE7B53}"/>
    <cellStyle name="Normal 7 4 4 3 2 3 4" xfId="23313" xr:uid="{FF037F3A-C9EE-4789-8D8F-16D1F83D2BA6}"/>
    <cellStyle name="Normal 7 4 4 3 2 3 5" xfId="16690" xr:uid="{8113FA6A-9C2B-46E4-9489-643A315959DF}"/>
    <cellStyle name="Normal 7 4 4 3 2 4" xfId="6051" xr:uid="{DE932555-5864-4A68-B63A-46AF8A2B591A}"/>
    <cellStyle name="Normal 7 4 4 3 2 4 2" xfId="28607" xr:uid="{E8D0DB87-9700-4EAB-990B-2381980AF999}"/>
    <cellStyle name="Normal 7 4 4 3 2 4 3" xfId="15505" xr:uid="{675359B0-1C01-40AA-B61F-9A4003C9AC56}"/>
    <cellStyle name="Normal 7 4 4 3 2 5" xfId="7958" xr:uid="{49DF7570-FCF9-426A-8F55-B6D9CDC1FB76}"/>
    <cellStyle name="Normal 7 4 4 3 2 5 2" xfId="18338" xr:uid="{4CFF227B-804B-4CC6-83BE-B35A6B8DAFBA}"/>
    <cellStyle name="Normal 7 4 4 3 2 6" xfId="10791" xr:uid="{04644EAF-96E5-4873-9266-32AAE5E3774A}"/>
    <cellStyle name="Normal 7 4 4 3 2 6 2" xfId="21171" xr:uid="{C81BB689-44C1-4D2A-82D1-C28D0552B0D8}"/>
    <cellStyle name="Normal 7 4 4 3 2 7" xfId="24868" xr:uid="{807E4EA1-9D04-4E45-83F2-68B50B7A8515}"/>
    <cellStyle name="Normal 7 4 4 3 2 8" xfId="13311" xr:uid="{BD10ACE1-8FCF-4488-A07D-D7342DFEBAD6}"/>
    <cellStyle name="Normal 7 4 4 3 3" xfId="3462" xr:uid="{00000000-0005-0000-0000-000095080000}"/>
    <cellStyle name="Normal 7 4 4 3 3 2" xfId="4589" xr:uid="{A474941C-FDE8-462E-80AC-1AEBB47CFAA8}"/>
    <cellStyle name="Normal 7 4 4 3 3 2 2" xfId="9361" xr:uid="{8C1074CE-37B7-4913-A6FF-6C6D691F1ED5}"/>
    <cellStyle name="Normal 7 4 4 3 3 2 2 2" xfId="29331" xr:uid="{A451520F-E369-4C5D-9818-8B2B69613E76}"/>
    <cellStyle name="Normal 7 4 4 3 3 2 2 3" xfId="19741" xr:uid="{9F6772C3-147C-42B4-9790-4925794F556E}"/>
    <cellStyle name="Normal 7 4 4 3 3 2 3" xfId="12194" xr:uid="{231DC338-AEDB-4BF9-A826-BC73AD859B1C}"/>
    <cellStyle name="Normal 7 4 4 3 3 2 3 2" xfId="22574" xr:uid="{092FBB8C-4A28-4367-B46E-126423D2A717}"/>
    <cellStyle name="Normal 7 4 4 3 3 2 4" xfId="25336" xr:uid="{0987B2FE-3244-4645-A112-18F593F4BCFA}"/>
    <cellStyle name="Normal 7 4 4 3 3 2 5" xfId="16908" xr:uid="{67B67DB3-2EDC-4FB1-868F-EDBA5B21871B}"/>
    <cellStyle name="Normal 7 4 4 3 3 3" xfId="6517" xr:uid="{AC414C89-6E7D-4392-B1CC-1E182DA39C3D}"/>
    <cellStyle name="Normal 7 4 4 3 3 3 2" xfId="28409" xr:uid="{8DBF70E8-8A8F-4CCD-83F2-87CABD6C61ED}"/>
    <cellStyle name="Normal 7 4 4 3 3 3 3" xfId="16088" xr:uid="{037F70C4-A8F5-46D9-9E67-E1D66CF33B36}"/>
    <cellStyle name="Normal 7 4 4 3 3 4" xfId="8541" xr:uid="{CFABD363-A6D3-452D-930E-013BC2326696}"/>
    <cellStyle name="Normal 7 4 4 3 3 4 2" xfId="18921" xr:uid="{55E0E2B5-57F9-4C00-9C63-80DB3467B08E}"/>
    <cellStyle name="Normal 7 4 4 3 3 5" xfId="11374" xr:uid="{BAEB42AC-B1BC-4DBE-B93C-B07B4FF468F7}"/>
    <cellStyle name="Normal 7 4 4 3 3 5 2" xfId="21754" xr:uid="{08795ADC-573E-43A9-A426-73BD16C606C4}"/>
    <cellStyle name="Normal 7 4 4 3 3 6" xfId="25143" xr:uid="{C7CCA1E3-02D1-4BB8-AD9F-084A8C76BBD2}"/>
    <cellStyle name="Normal 7 4 4 3 3 7" xfId="14049" xr:uid="{6C3CDA8A-5BA2-48C0-82AD-A38D7AA7E568}"/>
    <cellStyle name="Normal 7 4 4 3 4" xfId="3460" xr:uid="{00000000-0005-0000-0000-000096080000}"/>
    <cellStyle name="Normal 7 4 4 3 4 2" xfId="6515" xr:uid="{F9090B4D-F3CC-4F61-8095-3B8BE0779478}"/>
    <cellStyle name="Normal 7 4 4 3 4 2 2" xfId="26422" xr:uid="{D379E330-4095-4BDC-97F3-0ADCF8EECFBB}"/>
    <cellStyle name="Normal 7 4 4 3 4 2 3" xfId="16086" xr:uid="{D375E2F8-E8AE-4EEF-8ED1-BBDAD5360910}"/>
    <cellStyle name="Normal 7 4 4 3 4 3" xfId="8539" xr:uid="{A18FDA77-F04D-4DF8-A347-B24A599E4CFD}"/>
    <cellStyle name="Normal 7 4 4 3 4 3 2" xfId="18919" xr:uid="{88DD5590-8B64-4490-8E7C-9C0CAEA6849D}"/>
    <cellStyle name="Normal 7 4 4 3 4 4" xfId="11372" xr:uid="{524758A7-14DA-41D6-9A4A-6D4F48CE43A8}"/>
    <cellStyle name="Normal 7 4 4 3 4 4 2" xfId="21752" xr:uid="{2385AD1A-2651-4DD3-A382-D510A661377B}"/>
    <cellStyle name="Normal 7 4 4 3 4 5" xfId="23402" xr:uid="{76C33ED5-E615-4081-8154-0EFD014530B6}"/>
    <cellStyle name="Normal 7 4 4 3 4 6" xfId="14047" xr:uid="{A7C35981-5852-4505-AB7C-66BF7BBD2B18}"/>
    <cellStyle name="Normal 7 4 4 3 5" xfId="2595" xr:uid="{00000000-0005-0000-0000-000097080000}"/>
    <cellStyle name="Normal 7 4 4 3 5 2" xfId="5860" xr:uid="{F2599C98-B9A0-4118-9CE8-33021C6A6B6D}"/>
    <cellStyle name="Normal 7 4 4 3 5 2 2" xfId="27146" xr:uid="{76DC0338-C8F7-4BB1-A594-E523882A8B15}"/>
    <cellStyle name="Normal 7 4 4 3 5 2 3" xfId="15267" xr:uid="{5F33D464-7C8E-4DD5-9456-6D815C1F9100}"/>
    <cellStyle name="Normal 7 4 4 3 5 3" xfId="7720" xr:uid="{AFEF6897-243C-497C-A883-74FDF5E5B904}"/>
    <cellStyle name="Normal 7 4 4 3 5 3 2" xfId="18100" xr:uid="{943B9694-A54A-4FC0-BE14-C5768314675A}"/>
    <cellStyle name="Normal 7 4 4 3 5 4" xfId="10553" xr:uid="{A4072F29-C570-459A-B51F-E90C79C94AAA}"/>
    <cellStyle name="Normal 7 4 4 3 5 4 2" xfId="20933" xr:uid="{8051ED48-CFA2-4EF5-B914-29BDD6F917FF}"/>
    <cellStyle name="Normal 7 4 4 3 5 5" xfId="25264" xr:uid="{29DE1F0B-1A51-499B-8642-4715FCB8BDB9}"/>
    <cellStyle name="Normal 7 4 4 3 5 6" xfId="12983" xr:uid="{CB99174D-2904-4DB9-8D7E-5ED794E6D756}"/>
    <cellStyle name="Normal 7 4 4 3 6" xfId="2403" xr:uid="{00000000-0005-0000-0000-000092080000}"/>
    <cellStyle name="Normal 7 4 4 3 6 2" xfId="7530" xr:uid="{22B55CE2-FDBF-4440-B37F-3513AA4B2DB5}"/>
    <cellStyle name="Normal 7 4 4 3 6 2 2" xfId="17910" xr:uid="{00E4EC6B-257D-4D6E-B791-8B8C924B17E9}"/>
    <cellStyle name="Normal 7 4 4 3 6 3" xfId="10363" xr:uid="{1D14EC35-D8CD-41E6-A37C-78351754AA0E}"/>
    <cellStyle name="Normal 7 4 4 3 6 3 2" xfId="20743" xr:uid="{18DCC22E-5D92-407D-848C-517E166002DE}"/>
    <cellStyle name="Normal 7 4 4 3 6 4" xfId="23351" xr:uid="{6059F81A-D840-4902-B026-ABAEFA6A9F0B}"/>
    <cellStyle name="Normal 7 4 4 3 6 5" xfId="15077" xr:uid="{4D55F934-1FFC-4396-9F31-6D84758483DD}"/>
    <cellStyle name="Normal 7 4 4 3 7" xfId="4103" xr:uid="{6A1C0A1D-511F-4E74-B247-18BCDAE310FC}"/>
    <cellStyle name="Normal 7 4 4 3 7 2" xfId="8877" xr:uid="{27E6B2CE-1AFD-4862-9E16-5BF29D5C5909}"/>
    <cellStyle name="Normal 7 4 4 3 7 2 2" xfId="19257" xr:uid="{824FCCF6-6BC4-4C86-AB05-99C7ABE84B42}"/>
    <cellStyle name="Normal 7 4 4 3 7 3" xfId="11710" xr:uid="{05DB735E-454B-4105-88B9-5CC241F5CCCB}"/>
    <cellStyle name="Normal 7 4 4 3 7 3 2" xfId="22090" xr:uid="{81AFA6DA-3E88-4DB8-90F1-7319E912E8F2}"/>
    <cellStyle name="Normal 7 4 4 3 7 4" xfId="16424" xr:uid="{46FF35D0-51FF-4D94-B961-C26787B78596}"/>
    <cellStyle name="Normal 7 4 4 3 8" xfId="5453" xr:uid="{58EF8992-1F4B-41D3-A46F-97B36DCFC36A}"/>
    <cellStyle name="Normal 7 4 4 3 8 2" xfId="14750" xr:uid="{472FBAF2-5C4C-439D-9980-33A89F795071}"/>
    <cellStyle name="Normal 7 4 4 3 9" xfId="7203" xr:uid="{952ADF49-3098-473E-B217-95CF5041A2A8}"/>
    <cellStyle name="Normal 7 4 4 3 9 2" xfId="17583" xr:uid="{70E7D636-D7A1-460A-BE46-3B0A90B2B5F6}"/>
    <cellStyle name="Normal 7 4 4 4" xfId="1436" xr:uid="{00000000-0005-0000-0000-000073070000}"/>
    <cellStyle name="Normal 7 4 4 4 2" xfId="3463" xr:uid="{00000000-0005-0000-0000-000099080000}"/>
    <cellStyle name="Normal 7 4 4 4 2 2" xfId="6518" xr:uid="{F982CCF3-E4B3-45BC-9DF4-6F2C832F9625}"/>
    <cellStyle name="Normal 7 4 4 4 2 2 2" xfId="25835" xr:uid="{0C93712A-98B4-4A27-9406-FAAD6D859413}"/>
    <cellStyle name="Normal 7 4 4 4 2 2 3" xfId="16089" xr:uid="{48FB1532-3D66-4BB7-92D7-C502905FCC63}"/>
    <cellStyle name="Normal 7 4 4 4 2 3" xfId="8542" xr:uid="{4A994164-35D4-4108-80D3-9858944D52C1}"/>
    <cellStyle name="Normal 7 4 4 4 2 3 2" xfId="18922" xr:uid="{178C6F7F-B996-4AAC-9298-269F9631A294}"/>
    <cellStyle name="Normal 7 4 4 4 2 4" xfId="11375" xr:uid="{4FA9F0EE-E592-4579-A037-25E98C68D43D}"/>
    <cellStyle name="Normal 7 4 4 4 2 4 2" xfId="21755" xr:uid="{0FE6EAEE-F1E8-40B0-9D52-50A69A761F3A}"/>
    <cellStyle name="Normal 7 4 4 4 2 5" xfId="22765" xr:uid="{D6039679-CC4D-4C29-9FBD-23AA925B05DE}"/>
    <cellStyle name="Normal 7 4 4 4 2 6" xfId="14050" xr:uid="{AFEDC8C5-B75D-4B3B-A740-64D6C07312F0}"/>
    <cellStyle name="Normal 7 4 4 4 3" xfId="2832" xr:uid="{00000000-0005-0000-0000-00009A080000}"/>
    <cellStyle name="Normal 7 4 4 4 3 2" xfId="6048" xr:uid="{B47FB063-49D7-4081-8C3E-40F89A8ED9AD}"/>
    <cellStyle name="Normal 7 4 4 4 3 2 2" xfId="27734" xr:uid="{B792A0A3-E041-45B6-BFA5-6531E09A3C53}"/>
    <cellStyle name="Normal 7 4 4 4 3 2 3" xfId="15502" xr:uid="{12BEB11B-A442-450C-9428-A9E6BB086A87}"/>
    <cellStyle name="Normal 7 4 4 4 3 3" xfId="7955" xr:uid="{DA97BF09-2837-4C57-AB4E-94C0D8F31BD2}"/>
    <cellStyle name="Normal 7 4 4 4 3 3 2" xfId="18335" xr:uid="{5B287435-B7E4-48B5-9AA8-6B13DAD14B82}"/>
    <cellStyle name="Normal 7 4 4 4 3 4" xfId="10788" xr:uid="{0596FCAC-9CAA-4574-86D2-F97DE7354D19}"/>
    <cellStyle name="Normal 7 4 4 4 3 4 2" xfId="21168" xr:uid="{A899A5D7-41A6-498C-9BA0-19AD65E3F0A7}"/>
    <cellStyle name="Normal 7 4 4 4 3 5" xfId="25089" xr:uid="{68A8F8FA-735F-4F37-A8AD-7CF63DF62108}"/>
    <cellStyle name="Normal 7 4 4 4 3 6" xfId="13308" xr:uid="{E3C36802-0ABD-4645-B477-520D77839989}"/>
    <cellStyle name="Normal 7 4 4 4 4" xfId="4221" xr:uid="{44491943-E6A8-4D35-9E5F-48696B2FDF6C}"/>
    <cellStyle name="Normal 7 4 4 4 4 2" xfId="8993" xr:uid="{1E995EB1-E39A-482C-9073-C5620D091600}"/>
    <cellStyle name="Normal 7 4 4 4 4 2 2" xfId="19373" xr:uid="{2100FD03-C50A-4B77-A4DE-6A7C7745C0B5}"/>
    <cellStyle name="Normal 7 4 4 4 4 3" xfId="11826" xr:uid="{AE41E4D8-5D4B-4406-9864-AF1BE471B40F}"/>
    <cellStyle name="Normal 7 4 4 4 4 3 2" xfId="22206" xr:uid="{CA58DF2F-54B7-4BC1-B6A7-876B93D3E253}"/>
    <cellStyle name="Normal 7 4 4 4 4 4" xfId="22920" xr:uid="{3A848BF1-9B56-4355-A25C-B03A989D831A}"/>
    <cellStyle name="Normal 7 4 4 4 4 5" xfId="16540" xr:uid="{6E5F843C-BF66-444E-9962-572C83A6D746}"/>
    <cellStyle name="Normal 7 4 4 4 5" xfId="5454" xr:uid="{D13E76A0-1ECF-4EBD-9186-795140A7597B}"/>
    <cellStyle name="Normal 7 4 4 4 5 2" xfId="14751" xr:uid="{25EF9968-B704-4A78-9AD6-F02A07C76212}"/>
    <cellStyle name="Normal 7 4 4 4 6" xfId="7204" xr:uid="{1EC584B9-648C-453C-8CFB-406AB96E37EB}"/>
    <cellStyle name="Normal 7 4 4 4 6 2" xfId="17584" xr:uid="{E0CF6BBE-30B7-48B7-841A-C002A3E2060D}"/>
    <cellStyle name="Normal 7 4 4 4 7" xfId="10037" xr:uid="{460CF3DF-2A15-47CB-BF9D-651639FEFF7A}"/>
    <cellStyle name="Normal 7 4 4 4 7 2" xfId="20417" xr:uid="{01419667-F645-4A46-ABBE-D34331822207}"/>
    <cellStyle name="Normal 7 4 4 4 8" xfId="25155" xr:uid="{63897A23-9DF6-4E47-90C0-BA341FBC4E4F}"/>
    <cellStyle name="Normal 7 4 4 4 9" xfId="12795" xr:uid="{18F73C9F-56BF-4797-BE54-74F01120802D}"/>
    <cellStyle name="Normal 7 4 4 5" xfId="3464" xr:uid="{00000000-0005-0000-0000-00009B080000}"/>
    <cellStyle name="Normal 7 4 4 5 2" xfId="4590" xr:uid="{BBAA1457-EF96-48C1-BC26-BB325F7B0E53}"/>
    <cellStyle name="Normal 7 4 4 5 2 2" xfId="9362" xr:uid="{73D4206B-084D-4F0E-AB3C-3EE94F592A02}"/>
    <cellStyle name="Normal 7 4 4 5 2 2 2" xfId="29332" xr:uid="{2C97B3A2-03A9-4BF5-BB89-F3AB6C7DA914}"/>
    <cellStyle name="Normal 7 4 4 5 2 2 3" xfId="19742" xr:uid="{E7D47298-C79C-4B27-A375-271385A1F32E}"/>
    <cellStyle name="Normal 7 4 4 5 2 3" xfId="12195" xr:uid="{772E7CD2-A7F4-4D15-97BD-2B6F74B8C2F8}"/>
    <cellStyle name="Normal 7 4 4 5 2 3 2" xfId="22575" xr:uid="{C5AE1F92-A2D4-4FE4-81AB-738EA7E2869B}"/>
    <cellStyle name="Normal 7 4 4 5 2 4" xfId="24838" xr:uid="{7728F992-F520-4B48-88DC-FB6E4522D4E8}"/>
    <cellStyle name="Normal 7 4 4 5 2 5" xfId="16909" xr:uid="{B77B69CB-D17F-4BA0-8BD3-EEFDA8B55E6A}"/>
    <cellStyle name="Normal 7 4 4 5 3" xfId="6519" xr:uid="{B81E5C47-1D47-43B5-A72E-8098E337F4AB}"/>
    <cellStyle name="Normal 7 4 4 5 3 2" xfId="28487" xr:uid="{61508F15-6411-4A3A-A82A-871F8F563594}"/>
    <cellStyle name="Normal 7 4 4 5 3 3" xfId="16090" xr:uid="{C400E1FF-3987-425B-8638-06C24403A991}"/>
    <cellStyle name="Normal 7 4 4 5 4" xfId="8543" xr:uid="{0F897E2E-7061-41CB-8372-D4EFA0033D3B}"/>
    <cellStyle name="Normal 7 4 4 5 4 2" xfId="18923" xr:uid="{CEAB414B-8420-45E9-ABD5-BD6DD0561A42}"/>
    <cellStyle name="Normal 7 4 4 5 5" xfId="11376" xr:uid="{8063B509-CC82-421B-95B5-CBF15BA79A53}"/>
    <cellStyle name="Normal 7 4 4 5 5 2" xfId="21756" xr:uid="{7E8C913D-9533-4ABD-8479-CB6DB2D5AE29}"/>
    <cellStyle name="Normal 7 4 4 5 6" xfId="25190" xr:uid="{1E9517DB-DDAB-419C-992E-10533A90F797}"/>
    <cellStyle name="Normal 7 4 4 5 7" xfId="14051" xr:uid="{3F2AC03E-8703-48A2-89E3-48BA060139C0}"/>
    <cellStyle name="Normal 7 4 4 6" xfId="2994" xr:uid="{00000000-0005-0000-0000-00009C080000}"/>
    <cellStyle name="Normal 7 4 4 6 2" xfId="6144" xr:uid="{2B43D5BA-5114-430D-9C49-4DCAF0AB7850}"/>
    <cellStyle name="Normal 7 4 4 6 2 2" xfId="28477" xr:uid="{28BD2B38-C118-4B21-BF93-8215D5DE7C40}"/>
    <cellStyle name="Normal 7 4 4 6 2 3" xfId="15622" xr:uid="{1DD96F9A-EB3C-4030-9B74-E9C6683B6D13}"/>
    <cellStyle name="Normal 7 4 4 6 3" xfId="8075" xr:uid="{2CC6AF16-6074-435E-8A6B-605B84CC3B5A}"/>
    <cellStyle name="Normal 7 4 4 6 3 2" xfId="18455" xr:uid="{10C6D6B9-8ACB-42E3-BB51-CC60F075ABC4}"/>
    <cellStyle name="Normal 7 4 4 6 4" xfId="10908" xr:uid="{7F482487-2CC4-4837-B8DF-E45A7A5E75C7}"/>
    <cellStyle name="Normal 7 4 4 6 4 2" xfId="21288" xr:uid="{7622F3EF-8FA5-4E71-87E5-84797A8D97E4}"/>
    <cellStyle name="Normal 7 4 4 6 5" xfId="23333" xr:uid="{A4E4CD58-90B9-4C4C-9D2F-499DA1778149}"/>
    <cellStyle name="Normal 7 4 4 6 6" xfId="13493" xr:uid="{A5FAEBB9-6985-4BD3-A833-B5FDFF03F085}"/>
    <cellStyle name="Normal 7 4 4 7" xfId="2492" xr:uid="{00000000-0005-0000-0000-00009D080000}"/>
    <cellStyle name="Normal 7 4 4 7 2" xfId="5777" xr:uid="{01B52D0A-3CF0-46DC-B6F0-FBF64E3B159C}"/>
    <cellStyle name="Normal 7 4 4 7 2 2" xfId="28613" xr:uid="{24E7A3D5-3D8D-426B-8BD8-E36A2FA9DEB1}"/>
    <cellStyle name="Normal 7 4 4 7 2 3" xfId="15164" xr:uid="{B762EAD9-688B-4EDF-913C-39867300C7A8}"/>
    <cellStyle name="Normal 7 4 4 7 3" xfId="7617" xr:uid="{9CE6A97B-B5F4-46D8-8D4A-F4AA3D6F1806}"/>
    <cellStyle name="Normal 7 4 4 7 3 2" xfId="17997" xr:uid="{F8064113-CE90-49C0-A8B7-CC868350F09C}"/>
    <cellStyle name="Normal 7 4 4 7 4" xfId="10450" xr:uid="{B7983416-652E-43C7-8228-D077394E3EF5}"/>
    <cellStyle name="Normal 7 4 4 7 4 2" xfId="20830" xr:uid="{C937A6F6-E287-47A8-8618-DA885DC3C596}"/>
    <cellStyle name="Normal 7 4 4 7 5" xfId="25017" xr:uid="{AB707457-F50F-4488-B3E1-3EB8DAE6B6F6}"/>
    <cellStyle name="Normal 7 4 4 7 6" xfId="12880" xr:uid="{7546E79D-F083-4AA2-858C-2ED96CFB2C03}"/>
    <cellStyle name="Normal 7 4 4 8" xfId="2186" xr:uid="{00000000-0005-0000-0000-000086080000}"/>
    <cellStyle name="Normal 7 4 4 8 2" xfId="7313" xr:uid="{F190B6F3-DFEB-4069-BCA7-52C1B43AB5D8}"/>
    <cellStyle name="Normal 7 4 4 8 2 2" xfId="17693" xr:uid="{CD95C1DD-EB56-4B25-8F18-B6FE79337B1B}"/>
    <cellStyle name="Normal 7 4 4 8 3" xfId="10146" xr:uid="{C513C012-6B52-44B6-AD99-B5F620C56156}"/>
    <cellStyle name="Normal 7 4 4 8 3 2" xfId="20526" xr:uid="{E058294E-89D6-44CE-A1BE-2029E7C4C2E8}"/>
    <cellStyle name="Normal 7 4 4 8 4" xfId="24348" xr:uid="{A316E81C-E4FF-4399-BB54-8027D9BCFF0F}"/>
    <cellStyle name="Normal 7 4 4 8 5" xfId="14860" xr:uid="{6FAF84CF-AF10-4F2C-909B-E12D90F9401B}"/>
    <cellStyle name="Normal 7 4 4 9" xfId="4071" xr:uid="{8D74B87E-CD51-42A7-BBFA-D19E8595345F}"/>
    <cellStyle name="Normal 7 4 4 9 2" xfId="8851" xr:uid="{78141478-0620-4302-A6B6-3580DEEA7251}"/>
    <cellStyle name="Normal 7 4 4 9 2 2" xfId="19231" xr:uid="{6ACAF1E5-B00C-4740-95A1-FC93F0EB3386}"/>
    <cellStyle name="Normal 7 4 4 9 3" xfId="11684" xr:uid="{710F83C3-37EA-4B30-8D94-EFB2076B3B47}"/>
    <cellStyle name="Normal 7 4 4 9 3 2" xfId="22064" xr:uid="{5DACBBCD-65F7-421A-9850-59D620ABD4A6}"/>
    <cellStyle name="Normal 7 4 4 9 4" xfId="16398" xr:uid="{5108955D-11F1-4CB2-A850-EE4BFF4D196F}"/>
    <cellStyle name="Normal 7 4 5" xfId="1437" xr:uid="{00000000-0005-0000-0000-000074070000}"/>
    <cellStyle name="Normal 7 4 5 10" xfId="5455" xr:uid="{3BEA69EA-7367-4B83-93C6-827E4511E462}"/>
    <cellStyle name="Normal 7 4 5 10 2" xfId="14752" xr:uid="{98E0E415-F561-49A0-B3A0-87C6719E80DE}"/>
    <cellStyle name="Normal 7 4 5 11" xfId="7205" xr:uid="{D23C35F3-A56E-4ED3-98FB-293A345E11E0}"/>
    <cellStyle name="Normal 7 4 5 11 2" xfId="17585" xr:uid="{5A62008C-C375-43A8-BEEA-1B14C41898A5}"/>
    <cellStyle name="Normal 7 4 5 12" xfId="10038" xr:uid="{20AD47E1-C817-4817-B990-CA429EE224EE}"/>
    <cellStyle name="Normal 7 4 5 12 2" xfId="20418" xr:uid="{EE524DD4-A4A4-4D08-BFF5-C085C63825A1}"/>
    <cellStyle name="Normal 7 4 5 13" xfId="23190" xr:uid="{13FA5086-04B8-458F-9CD4-5D21F985A8FF}"/>
    <cellStyle name="Normal 7 4 5 14" xfId="12452" xr:uid="{8B12ECBD-940B-4229-8FBA-83B178826641}"/>
    <cellStyle name="Normal 7 4 5 2" xfId="1438" xr:uid="{00000000-0005-0000-0000-000075070000}"/>
    <cellStyle name="Normal 7 4 5 2 10" xfId="10039" xr:uid="{7E4A2B0B-6A88-44F0-A277-731B8AE6015E}"/>
    <cellStyle name="Normal 7 4 5 2 10 2" xfId="20419" xr:uid="{B2F2615F-9C46-4F7D-B051-AB20533FE80F}"/>
    <cellStyle name="Normal 7 4 5 2 11" xfId="24164" xr:uid="{C678FABD-64B0-41FB-ACC4-EC1234DAECA2}"/>
    <cellStyle name="Normal 7 4 5 2 12" xfId="12638" xr:uid="{C532D50D-F9F1-4330-BCE7-3F9E92E22F8A}"/>
    <cellStyle name="Normal 7 4 5 2 2" xfId="1439" xr:uid="{00000000-0005-0000-0000-000076070000}"/>
    <cellStyle name="Normal 7 4 5 2 2 2" xfId="3466" xr:uid="{00000000-0005-0000-0000-0000A1080000}"/>
    <cellStyle name="Normal 7 4 5 2 2 2 2" xfId="6521" xr:uid="{759C40B8-2BAD-48C4-BBAA-C50AB5F0A92A}"/>
    <cellStyle name="Normal 7 4 5 2 2 2 2 2" xfId="27739" xr:uid="{226FC528-0EE5-4D66-AFD9-5205DE87404B}"/>
    <cellStyle name="Normal 7 4 5 2 2 2 2 3" xfId="26928" xr:uid="{C9002E2F-8DCE-45A3-A35E-13558D4EEF36}"/>
    <cellStyle name="Normal 7 4 5 2 2 2 2 4" xfId="16092" xr:uid="{95B69166-525D-4D49-9E84-AF984F5FF843}"/>
    <cellStyle name="Normal 7 4 5 2 2 2 3" xfId="8545" xr:uid="{3B7703FE-2103-42F9-A5C2-D5E40CDEDA4F}"/>
    <cellStyle name="Normal 7 4 5 2 2 2 3 2" xfId="28943" xr:uid="{2B0205DA-F7B1-4837-88B4-3162D65112BC}"/>
    <cellStyle name="Normal 7 4 5 2 2 2 3 3" xfId="18925" xr:uid="{E3BD6200-D717-4910-8462-1C4409ADFDE1}"/>
    <cellStyle name="Normal 7 4 5 2 2 2 4" xfId="11378" xr:uid="{5DF666FB-AC85-4C66-9217-AD1973C4A5C7}"/>
    <cellStyle name="Normal 7 4 5 2 2 2 4 2" xfId="21758" xr:uid="{89F97885-1607-464C-BFB4-6A1857302746}"/>
    <cellStyle name="Normal 7 4 5 2 2 2 5" xfId="23452" xr:uid="{B7218DFF-9D69-4080-B380-64735778F0ED}"/>
    <cellStyle name="Normal 7 4 5 2 2 2 6" xfId="14053" xr:uid="{49DFE780-4C61-418F-994E-F134DF7FC24D}"/>
    <cellStyle name="Normal 7 4 5 2 2 3" xfId="4373" xr:uid="{C8443702-7F2D-4E52-9E30-664900B6AACD}"/>
    <cellStyle name="Normal 7 4 5 2 2 3 2" xfId="9145" xr:uid="{1AD95E88-1032-4597-92E3-C3C5614A1AC2}"/>
    <cellStyle name="Normal 7 4 5 2 2 3 2 2" xfId="29188" xr:uid="{D1EA1C01-4B98-4844-A2E8-A5971B45F20B}"/>
    <cellStyle name="Normal 7 4 5 2 2 3 2 3" xfId="19525" xr:uid="{5E4D1342-F5FF-465C-AD31-16ECFBBBAC0E}"/>
    <cellStyle name="Normal 7 4 5 2 2 3 3" xfId="11978" xr:uid="{C342A270-226B-4E98-BA91-0EEB14C41C73}"/>
    <cellStyle name="Normal 7 4 5 2 2 3 3 2" xfId="22358" xr:uid="{4ECE6B0F-AE4F-458C-A2BE-A10850F9160D}"/>
    <cellStyle name="Normal 7 4 5 2 2 3 4" xfId="24052" xr:uid="{7488166C-A495-44C2-B9F9-42FDCE3AB047}"/>
    <cellStyle name="Normal 7 4 5 2 2 3 5" xfId="16692" xr:uid="{E0EF8343-B663-4CC7-A472-DCFED6AB6021}"/>
    <cellStyle name="Normal 7 4 5 2 2 4" xfId="5457" xr:uid="{284E01FD-7710-485A-BFA2-B4C4EDB3EDD2}"/>
    <cellStyle name="Normal 7 4 5 2 2 4 2" xfId="26772" xr:uid="{02247007-EEC9-4278-828F-C6E499097436}"/>
    <cellStyle name="Normal 7 4 5 2 2 4 3" xfId="14754" xr:uid="{98DA4B1B-DB3E-4551-8B04-2BAFA1D10C83}"/>
    <cellStyle name="Normal 7 4 5 2 2 5" xfId="7207" xr:uid="{A8D606ED-48B7-4114-9511-75844D53DF0A}"/>
    <cellStyle name="Normal 7 4 5 2 2 5 2" xfId="17587" xr:uid="{76C499E0-4165-4B1F-B593-E78787CA9E29}"/>
    <cellStyle name="Normal 7 4 5 2 2 6" xfId="10040" xr:uid="{5EB3A933-48D2-47D3-A543-5C286C2649D5}"/>
    <cellStyle name="Normal 7 4 5 2 2 6 2" xfId="20420" xr:uid="{1CA99D9C-4FF8-42D1-A289-E0C84746A60D}"/>
    <cellStyle name="Normal 7 4 5 2 2 7" xfId="22835" xr:uid="{5A7C386A-1115-4874-85A7-41FBC5C69438}"/>
    <cellStyle name="Normal 7 4 5 2 2 8" xfId="13313" xr:uid="{3424E5BB-EBB7-47F3-8D06-BC6DC77B58DA}"/>
    <cellStyle name="Normal 7 4 5 2 3" xfId="3467" xr:uid="{00000000-0005-0000-0000-0000A2080000}"/>
    <cellStyle name="Normal 7 4 5 2 3 2" xfId="4591" xr:uid="{C5FB1697-5F66-4D73-BBEF-A574F753092C}"/>
    <cellStyle name="Normal 7 4 5 2 3 2 2" xfId="9363" xr:uid="{50D94030-38F6-450D-8C26-A93EA93BC79E}"/>
    <cellStyle name="Normal 7 4 5 2 3 2 2 2" xfId="29333" xr:uid="{31C34051-A5FD-4A0E-80FD-62F7A520F809}"/>
    <cellStyle name="Normal 7 4 5 2 3 2 2 3" xfId="19743" xr:uid="{5E42A3E0-37F7-43D6-9A70-88B270FB2BC0}"/>
    <cellStyle name="Normal 7 4 5 2 3 2 3" xfId="12196" xr:uid="{E6F6FA50-DEA6-420F-9D35-C11873B36E8B}"/>
    <cellStyle name="Normal 7 4 5 2 3 2 3 2" xfId="22576" xr:uid="{8E578A5C-8020-42A4-95A5-AD3C784CCEA8}"/>
    <cellStyle name="Normal 7 4 5 2 3 2 4" xfId="25337" xr:uid="{9EC854F1-36B2-407C-A633-75D679117AF6}"/>
    <cellStyle name="Normal 7 4 5 2 3 2 5" xfId="16910" xr:uid="{1C3506FF-1B26-4EAE-BF05-07D4747E042D}"/>
    <cellStyle name="Normal 7 4 5 2 3 3" xfId="6522" xr:uid="{56C522B1-B0A4-4B91-AD8E-03E569B695CC}"/>
    <cellStyle name="Normal 7 4 5 2 3 3 2" xfId="28702" xr:uid="{8D8C42E4-4AD0-4358-9332-A68EC79F9756}"/>
    <cellStyle name="Normal 7 4 5 2 3 3 3" xfId="16093" xr:uid="{5D57D89A-FFF1-4811-8C8B-67D4BCAC36D6}"/>
    <cellStyle name="Normal 7 4 5 2 3 4" xfId="8546" xr:uid="{8DEC7C9E-115A-40D0-A41A-8514A63B41A8}"/>
    <cellStyle name="Normal 7 4 5 2 3 4 2" xfId="18926" xr:uid="{BF4047EB-C272-4D1A-8B85-C5F2C820607D}"/>
    <cellStyle name="Normal 7 4 5 2 3 5" xfId="11379" xr:uid="{217215EC-841B-40AA-B0DB-35EFE4BC0D14}"/>
    <cellStyle name="Normal 7 4 5 2 3 5 2" xfId="21759" xr:uid="{FB26DF1D-3007-4DF0-9B48-A521486431BB}"/>
    <cellStyle name="Normal 7 4 5 2 3 6" xfId="23876" xr:uid="{2B142B24-9C6B-4A99-8197-3CAFB2245630}"/>
    <cellStyle name="Normal 7 4 5 2 3 7" xfId="14054" xr:uid="{528A2296-5118-41DE-B0F1-9251904292C4}"/>
    <cellStyle name="Normal 7 4 5 2 4" xfId="3465" xr:uid="{00000000-0005-0000-0000-0000A3080000}"/>
    <cellStyle name="Normal 7 4 5 2 4 2" xfId="6520" xr:uid="{3FCEE10E-AB9A-410F-ADD7-7A98A5FF4167}"/>
    <cellStyle name="Normal 7 4 5 2 4 2 2" xfId="27875" xr:uid="{08C35DFB-141B-4EB0-A9D0-6361D4F1E786}"/>
    <cellStyle name="Normal 7 4 5 2 4 2 3" xfId="16091" xr:uid="{938F8666-FB29-49E3-A3A9-8B5F7ABC7FDA}"/>
    <cellStyle name="Normal 7 4 5 2 4 3" xfId="8544" xr:uid="{6951522A-5B8B-4170-919C-C622CBC96F3D}"/>
    <cellStyle name="Normal 7 4 5 2 4 3 2" xfId="18924" xr:uid="{16D6616C-F1F8-4DC9-A10D-1E361B5A5261}"/>
    <cellStyle name="Normal 7 4 5 2 4 4" xfId="11377" xr:uid="{13ECABE8-85AD-4240-AE31-D061B4D05B5A}"/>
    <cellStyle name="Normal 7 4 5 2 4 4 2" xfId="21757" xr:uid="{9CC4C4C8-7B1B-4FC6-B531-18B674D20C27}"/>
    <cellStyle name="Normal 7 4 5 2 4 5" xfId="24453" xr:uid="{4E86DF6A-B825-4616-810A-F440E709C2B7}"/>
    <cellStyle name="Normal 7 4 5 2 4 6" xfId="14052" xr:uid="{8E394009-EDAA-4408-852F-E73257E41C83}"/>
    <cellStyle name="Normal 7 4 5 2 5" xfId="2526" xr:uid="{00000000-0005-0000-0000-0000A4080000}"/>
    <cellStyle name="Normal 7 4 5 2 5 2" xfId="5803" xr:uid="{AE5464FD-9C27-4CD4-835D-278EF0D461C1}"/>
    <cellStyle name="Normal 7 4 5 2 5 2 2" xfId="26297" xr:uid="{EE06E6B2-2519-4BEC-B248-A80F9A994B32}"/>
    <cellStyle name="Normal 7 4 5 2 5 2 3" xfId="15198" xr:uid="{4580F76A-3C06-4ADB-9621-BE67C42B329C}"/>
    <cellStyle name="Normal 7 4 5 2 5 3" xfId="7651" xr:uid="{E6F6C072-70FB-40C0-A9A9-ED00A30D4C7F}"/>
    <cellStyle name="Normal 7 4 5 2 5 3 2" xfId="18031" xr:uid="{C5875B92-3594-4955-AC39-B2AF25FFBDE0}"/>
    <cellStyle name="Normal 7 4 5 2 5 4" xfId="10484" xr:uid="{C4F87399-C515-4447-BF61-2B0AFDEDDD36}"/>
    <cellStyle name="Normal 7 4 5 2 5 4 2" xfId="20864" xr:uid="{4156CA54-464C-40C9-B49B-22F3D6E88135}"/>
    <cellStyle name="Normal 7 4 5 2 5 5" xfId="23209" xr:uid="{B2B70038-36D2-484A-9EDE-AF015FAE5F12}"/>
    <cellStyle name="Normal 7 4 5 2 5 6" xfId="12914" xr:uid="{EFEE560A-0B5F-41BA-B8C7-72148F06874C}"/>
    <cellStyle name="Normal 7 4 5 2 6" xfId="2404" xr:uid="{00000000-0005-0000-0000-00009F080000}"/>
    <cellStyle name="Normal 7 4 5 2 6 2" xfId="7531" xr:uid="{9BBEDFB3-869E-4604-9785-608F56B8E45A}"/>
    <cellStyle name="Normal 7 4 5 2 6 2 2" xfId="17911" xr:uid="{770AEAD1-1F39-4014-8A9A-93B524BD4E77}"/>
    <cellStyle name="Normal 7 4 5 2 6 3" xfId="10364" xr:uid="{5B6E3C15-26B9-45F6-9C7D-B57E3FA50F3B}"/>
    <cellStyle name="Normal 7 4 5 2 6 3 2" xfId="20744" xr:uid="{DB5830AA-A633-46EC-9F60-CA94BABB248D}"/>
    <cellStyle name="Normal 7 4 5 2 6 4" xfId="25260" xr:uid="{7B45440A-7E9E-4EB0-916B-88EE8F7E7259}"/>
    <cellStyle name="Normal 7 4 5 2 6 5" xfId="15078" xr:uid="{FB9032AF-3629-459C-B70A-4B9C53AEF29E}"/>
    <cellStyle name="Normal 7 4 5 2 7" xfId="4104" xr:uid="{8FD28EFA-C3CB-4557-AC4E-BF87B29153B0}"/>
    <cellStyle name="Normal 7 4 5 2 7 2" xfId="8878" xr:uid="{260B4A7B-6277-4E72-B3BC-9471517336C0}"/>
    <cellStyle name="Normal 7 4 5 2 7 2 2" xfId="19258" xr:uid="{AB1FB1C3-5381-4B26-BC02-389B83916361}"/>
    <cellStyle name="Normal 7 4 5 2 7 3" xfId="11711" xr:uid="{0AFBAB61-1214-4C50-BC9C-457C50C5A534}"/>
    <cellStyle name="Normal 7 4 5 2 7 3 2" xfId="22091" xr:uid="{A884F0D6-1218-4C37-9B1E-C74A3129080F}"/>
    <cellStyle name="Normal 7 4 5 2 7 4" xfId="16425" xr:uid="{849EE00F-E1E3-49D3-801F-6DEC2BFB5916}"/>
    <cellStyle name="Normal 7 4 5 2 8" xfId="5456" xr:uid="{F09B4FB6-D050-449A-B582-47A32A44F49C}"/>
    <cellStyle name="Normal 7 4 5 2 8 2" xfId="14753" xr:uid="{1249583C-87EA-482C-963D-784FE3213BCE}"/>
    <cellStyle name="Normal 7 4 5 2 9" xfId="7206" xr:uid="{0C851AFB-7C92-43C9-A4D6-A63E4FBF4BCD}"/>
    <cellStyle name="Normal 7 4 5 2 9 2" xfId="17586" xr:uid="{C14A22CA-C2B2-4725-9704-2F05FBB73448}"/>
    <cellStyle name="Normal 7 4 5 3" xfId="1440" xr:uid="{00000000-0005-0000-0000-000077070000}"/>
    <cellStyle name="Normal 7 4 5 3 10" xfId="24614" xr:uid="{4C744DA3-21BC-440E-8C96-D4CB18772947}"/>
    <cellStyle name="Normal 7 4 5 3 11" xfId="12796" xr:uid="{99365A30-2A21-4C99-87DC-94CD63FE7E63}"/>
    <cellStyle name="Normal 7 4 5 3 2" xfId="2836" xr:uid="{00000000-0005-0000-0000-0000A6080000}"/>
    <cellStyle name="Normal 7 4 5 3 2 2" xfId="3469" xr:uid="{00000000-0005-0000-0000-0000A7080000}"/>
    <cellStyle name="Normal 7 4 5 3 2 2 2" xfId="6524" xr:uid="{3D43E045-23D5-488C-9E94-5C16E657E405}"/>
    <cellStyle name="Normal 7 4 5 3 2 2 2 2" xfId="28423" xr:uid="{15790266-B34E-4E9F-933A-BD9FF2D41BBA}"/>
    <cellStyle name="Normal 7 4 5 3 2 2 2 3" xfId="16095" xr:uid="{C4463353-E454-41CE-A818-2C9CF0EA256D}"/>
    <cellStyle name="Normal 7 4 5 3 2 2 3" xfId="8548" xr:uid="{53F06438-B183-49CA-9ABA-B126D95AEB7C}"/>
    <cellStyle name="Normal 7 4 5 3 2 2 3 2" xfId="18928" xr:uid="{C5AF21F7-5F5E-49AF-98B0-B166EE2D6D36}"/>
    <cellStyle name="Normal 7 4 5 3 2 2 4" xfId="11381" xr:uid="{5550EB3C-C080-4D72-9AF8-79C67338107E}"/>
    <cellStyle name="Normal 7 4 5 3 2 2 4 2" xfId="21761" xr:uid="{0ADD8D08-89CC-4F81-8F2A-63C26EE882A8}"/>
    <cellStyle name="Normal 7 4 5 3 2 2 5" xfId="24331" xr:uid="{110C14E9-4DA6-4C8A-A623-8C4DA1C18513}"/>
    <cellStyle name="Normal 7 4 5 3 2 2 6" xfId="14056" xr:uid="{5D48DA47-A997-40DF-A05E-03E1AA896ED0}"/>
    <cellStyle name="Normal 7 4 5 3 2 3" xfId="4374" xr:uid="{0C638723-7EC5-4BBF-B85A-F7DA74481A1F}"/>
    <cellStyle name="Normal 7 4 5 3 2 3 2" xfId="9146" xr:uid="{B721CCCD-0A08-41C4-BCBF-1B443D0E2176}"/>
    <cellStyle name="Normal 7 4 5 3 2 3 2 2" xfId="29189" xr:uid="{9AF4A210-9EBD-431C-8F19-B71E5EADA8C2}"/>
    <cellStyle name="Normal 7 4 5 3 2 3 2 3" xfId="19526" xr:uid="{8171C32E-4272-46E8-8898-B49904C3F162}"/>
    <cellStyle name="Normal 7 4 5 3 2 3 3" xfId="11979" xr:uid="{3C2152C7-F5BB-419A-88C9-79BD358B1DD7}"/>
    <cellStyle name="Normal 7 4 5 3 2 3 3 2" xfId="22359" xr:uid="{28444200-7BA3-41E2-ADD8-7301CFF40D45}"/>
    <cellStyle name="Normal 7 4 5 3 2 3 4" xfId="22918" xr:uid="{09FBA3C0-D311-4F13-AFA1-7D0F432B1A8F}"/>
    <cellStyle name="Normal 7 4 5 3 2 3 5" xfId="16693" xr:uid="{78C2EC2F-2DA8-4386-8033-35B74E2DDBB6}"/>
    <cellStyle name="Normal 7 4 5 3 2 4" xfId="6052" xr:uid="{E39BE4B3-2DF2-44F3-AC26-C01470B4FC7A}"/>
    <cellStyle name="Normal 7 4 5 3 2 4 2" xfId="26566" xr:uid="{A98C0F54-6348-4585-9F78-F7DE2FC3E7D5}"/>
    <cellStyle name="Normal 7 4 5 3 2 4 3" xfId="15506" xr:uid="{71F9AB58-1893-4104-A00A-DF7B2A71C980}"/>
    <cellStyle name="Normal 7 4 5 3 2 5" xfId="7959" xr:uid="{C8BDD795-4668-43C6-AAD5-1987D8CA839C}"/>
    <cellStyle name="Normal 7 4 5 3 2 5 2" xfId="18339" xr:uid="{00EB6901-7F88-4FF7-8B00-FA4F51A5D420}"/>
    <cellStyle name="Normal 7 4 5 3 2 6" xfId="10792" xr:uid="{62A9211B-1887-457E-ABFA-3BA132E2CE7D}"/>
    <cellStyle name="Normal 7 4 5 3 2 6 2" xfId="21172" xr:uid="{1423FCE5-862C-46F5-8F8E-E6D61F840160}"/>
    <cellStyle name="Normal 7 4 5 3 2 7" xfId="23539" xr:uid="{DE2B695C-D9BC-4A10-AD4C-A8B5B1A7AB60}"/>
    <cellStyle name="Normal 7 4 5 3 2 8" xfId="13314" xr:uid="{5B7C446C-12F1-4EF5-99F8-DB42FFD90ADB}"/>
    <cellStyle name="Normal 7 4 5 3 3" xfId="3470" xr:uid="{00000000-0005-0000-0000-0000A8080000}"/>
    <cellStyle name="Normal 7 4 5 3 3 2" xfId="4592" xr:uid="{F16ECC63-77FB-4BC0-9263-3D0232E68377}"/>
    <cellStyle name="Normal 7 4 5 3 3 2 2" xfId="9364" xr:uid="{49B8B833-66EB-47B7-A317-B968AE51B0CF}"/>
    <cellStyle name="Normal 7 4 5 3 3 2 2 2" xfId="29334" xr:uid="{9593D21F-2633-4EB4-A6EC-5B30E8195583}"/>
    <cellStyle name="Normal 7 4 5 3 3 2 2 3" xfId="19744" xr:uid="{0D44F4C7-D9D4-4DBC-9DCD-9DFEB449FD0F}"/>
    <cellStyle name="Normal 7 4 5 3 3 2 3" xfId="12197" xr:uid="{5FB3DE9C-06F9-48E1-998C-8887FF754BAE}"/>
    <cellStyle name="Normal 7 4 5 3 3 2 3 2" xfId="22577" xr:uid="{FBDB5E6A-93AE-4500-9A85-23F5F0ECF22D}"/>
    <cellStyle name="Normal 7 4 5 3 3 2 4" xfId="25813" xr:uid="{B7346527-8675-4701-B877-62C841F6EBE0}"/>
    <cellStyle name="Normal 7 4 5 3 3 2 5" xfId="16911" xr:uid="{04D13FF9-3085-4228-BF3C-FE4E49CC3FCC}"/>
    <cellStyle name="Normal 7 4 5 3 3 3" xfId="6525" xr:uid="{9A4816BF-5D82-4100-95FF-086C23DB05A8}"/>
    <cellStyle name="Normal 7 4 5 3 3 3 2" xfId="26966" xr:uid="{7D3823DC-C7EB-4964-8756-C5BA544B68C4}"/>
    <cellStyle name="Normal 7 4 5 3 3 3 3" xfId="16096" xr:uid="{B126597B-9062-4A5E-968E-68A5860302BF}"/>
    <cellStyle name="Normal 7 4 5 3 3 4" xfId="8549" xr:uid="{4142520B-C995-40C9-9D97-9BBE14EDE247}"/>
    <cellStyle name="Normal 7 4 5 3 3 4 2" xfId="18929" xr:uid="{38A8EDC7-9CCF-4D01-B2AE-A1C83511C591}"/>
    <cellStyle name="Normal 7 4 5 3 3 5" xfId="11382" xr:uid="{28947E2A-5BBA-406A-98C1-DF60F3D73676}"/>
    <cellStyle name="Normal 7 4 5 3 3 5 2" xfId="21762" xr:uid="{5175FD23-5EE1-417D-A47F-73CF52833302}"/>
    <cellStyle name="Normal 7 4 5 3 3 6" xfId="25221" xr:uid="{64D9CA94-8A3C-40DD-98CD-79811DF79CBA}"/>
    <cellStyle name="Normal 7 4 5 3 3 7" xfId="14057" xr:uid="{F8447182-E098-4626-B45E-98AADA5EA0D7}"/>
    <cellStyle name="Normal 7 4 5 3 4" xfId="3468" xr:uid="{00000000-0005-0000-0000-0000A9080000}"/>
    <cellStyle name="Normal 7 4 5 3 4 2" xfId="6523" xr:uid="{EC580DD9-7275-479A-AA36-4019BB56B500}"/>
    <cellStyle name="Normal 7 4 5 3 4 2 2" xfId="28171" xr:uid="{667E8CEF-9AC4-4C27-96BB-0ADA10B9C7DA}"/>
    <cellStyle name="Normal 7 4 5 3 4 2 3" xfId="16094" xr:uid="{B8026675-0137-407F-933C-49AB3640FD85}"/>
    <cellStyle name="Normal 7 4 5 3 4 3" xfId="8547" xr:uid="{524A143B-8D12-41FA-9DBD-30220D6C3132}"/>
    <cellStyle name="Normal 7 4 5 3 4 3 2" xfId="18927" xr:uid="{0D27E462-6BF9-4BED-9856-E51B33311492}"/>
    <cellStyle name="Normal 7 4 5 3 4 4" xfId="11380" xr:uid="{3C91C5C8-72B4-426B-B061-1B5A2292495F}"/>
    <cellStyle name="Normal 7 4 5 3 4 4 2" xfId="21760" xr:uid="{8B5C94E8-934E-4BA0-8E92-79D17A692450}"/>
    <cellStyle name="Normal 7 4 5 3 4 5" xfId="24628" xr:uid="{D35239FD-09F5-4203-B7CB-904310CA3BF3}"/>
    <cellStyle name="Normal 7 4 5 3 4 6" xfId="14055" xr:uid="{C5CDB690-D4CE-42E7-ABAA-01518013248E}"/>
    <cellStyle name="Normal 7 4 5 3 5" xfId="2629" xr:uid="{00000000-0005-0000-0000-0000AA080000}"/>
    <cellStyle name="Normal 7 4 5 3 5 2" xfId="5891" xr:uid="{23142878-3E64-49A3-BA10-E99C203598A0}"/>
    <cellStyle name="Normal 7 4 5 3 5 2 2" xfId="26004" xr:uid="{BEF8B5AC-3BC3-4BD5-A597-7EC34795E82A}"/>
    <cellStyle name="Normal 7 4 5 3 5 2 3" xfId="15301" xr:uid="{1178578C-D67A-4B6C-8AFA-C38FDC910A54}"/>
    <cellStyle name="Normal 7 4 5 3 5 3" xfId="7754" xr:uid="{D6A72C4C-0188-4478-8821-B4BACD68C0F8}"/>
    <cellStyle name="Normal 7 4 5 3 5 3 2" xfId="18134" xr:uid="{046EB1D8-C08A-4410-B8C1-BA9D1632C251}"/>
    <cellStyle name="Normal 7 4 5 3 5 4" xfId="10587" xr:uid="{D00AB987-4839-467C-A7C1-09C933AED028}"/>
    <cellStyle name="Normal 7 4 5 3 5 4 2" xfId="20967" xr:uid="{147252C8-FADB-4773-B582-3E7DBC0152CB}"/>
    <cellStyle name="Normal 7 4 5 3 5 5" xfId="22879" xr:uid="{F78359D1-4FFF-4A2A-A148-43F4BFFDE41B}"/>
    <cellStyle name="Normal 7 4 5 3 5 6" xfId="13017" xr:uid="{0E89B7A7-D291-437F-B36D-3DABFBB30ECB}"/>
    <cellStyle name="Normal 7 4 5 3 6" xfId="4222" xr:uid="{6733272E-A744-4F20-B62A-DCC6BF90E6DB}"/>
    <cellStyle name="Normal 7 4 5 3 6 2" xfId="8994" xr:uid="{BD24733A-6C45-4563-87F3-273B8C8CA50A}"/>
    <cellStyle name="Normal 7 4 5 3 6 2 2" xfId="19374" xr:uid="{5DF50BFC-DDA0-4805-926D-A233BFE2283F}"/>
    <cellStyle name="Normal 7 4 5 3 6 3" xfId="11827" xr:uid="{87FB4150-563F-4FE9-8252-81900F4010FF}"/>
    <cellStyle name="Normal 7 4 5 3 6 3 2" xfId="22207" xr:uid="{3AEBE2F6-8496-45AA-B148-6F773FFCB072}"/>
    <cellStyle name="Normal 7 4 5 3 6 4" xfId="23592" xr:uid="{96941FE2-5BA6-45C7-94A9-6E6D07771D06}"/>
    <cellStyle name="Normal 7 4 5 3 6 5" xfId="16541" xr:uid="{AC15E640-E84D-4419-A405-D7592B8FFC29}"/>
    <cellStyle name="Normal 7 4 5 3 7" xfId="5458" xr:uid="{CB254C3D-8328-438C-BCB2-8175D5A7D7C0}"/>
    <cellStyle name="Normal 7 4 5 3 7 2" xfId="14755" xr:uid="{BF2EACDD-1085-482B-92B4-1207E9B75013}"/>
    <cellStyle name="Normal 7 4 5 3 8" xfId="7208" xr:uid="{AE704272-A315-4F5C-9074-FE104449892B}"/>
    <cellStyle name="Normal 7 4 5 3 8 2" xfId="17588" xr:uid="{0E02743E-A4C4-4CC3-8694-090F8FA53EAF}"/>
    <cellStyle name="Normal 7 4 5 3 9" xfId="10041" xr:uid="{0B61A119-BD13-445E-90A8-6817F9C647CE}"/>
    <cellStyle name="Normal 7 4 5 3 9 2" xfId="20421" xr:uid="{0BB920D2-DADD-49BC-BF35-D06395A6B8A6}"/>
    <cellStyle name="Normal 7 4 5 4" xfId="1441" xr:uid="{00000000-0005-0000-0000-000078070000}"/>
    <cellStyle name="Normal 7 4 5 4 2" xfId="3471" xr:uid="{00000000-0005-0000-0000-0000AC080000}"/>
    <cellStyle name="Normal 7 4 5 4 2 2" xfId="6526" xr:uid="{42FBD595-D5B7-4AB9-8D34-D4A4C1708753}"/>
    <cellStyle name="Normal 7 4 5 4 2 2 2" xfId="25971" xr:uid="{2980C43F-A4A4-4484-B060-7C9B30649953}"/>
    <cellStyle name="Normal 7 4 5 4 2 2 3" xfId="16097" xr:uid="{DCD9613D-4A7E-43F9-A40E-EE3F54EC9E4B}"/>
    <cellStyle name="Normal 7 4 5 4 2 3" xfId="8550" xr:uid="{55FBFC02-499D-47BD-B532-C2640EB2B05D}"/>
    <cellStyle name="Normal 7 4 5 4 2 3 2" xfId="18930" xr:uid="{0F914924-E3DF-4011-854A-867251C0B59B}"/>
    <cellStyle name="Normal 7 4 5 4 2 4" xfId="11383" xr:uid="{13AC4B8A-9E5B-474E-9E6C-EE4AE33C4E9C}"/>
    <cellStyle name="Normal 7 4 5 4 2 4 2" xfId="21763" xr:uid="{90CA32E0-CB42-40E4-9F5A-8DB54EAC6541}"/>
    <cellStyle name="Normal 7 4 5 4 2 5" xfId="22771" xr:uid="{94BBA90A-4A8B-48E8-A640-3995F7A77AF9}"/>
    <cellStyle name="Normal 7 4 5 4 2 6" xfId="14058" xr:uid="{B7C92D4B-1964-4EB7-9CFC-E84F2E7C7CAE}"/>
    <cellStyle name="Normal 7 4 5 4 3" xfId="4372" xr:uid="{982E9A28-BAEF-4D2A-BA36-1FA1CE6DD9F4}"/>
    <cellStyle name="Normal 7 4 5 4 3 2" xfId="9144" xr:uid="{B712051D-32A4-43A4-8A2F-54401EFD0C75}"/>
    <cellStyle name="Normal 7 4 5 4 3 2 2" xfId="29187" xr:uid="{99D741DD-8818-4024-9257-3A11E348F120}"/>
    <cellStyle name="Normal 7 4 5 4 3 2 3" xfId="19524" xr:uid="{8264D096-1196-40D9-B548-697DC033D31E}"/>
    <cellStyle name="Normal 7 4 5 4 3 3" xfId="11977" xr:uid="{152172AE-EAFB-467A-95C5-81277FA4B09E}"/>
    <cellStyle name="Normal 7 4 5 4 3 3 2" xfId="22357" xr:uid="{0508528A-A947-49DE-AF97-F946734EE209}"/>
    <cellStyle name="Normal 7 4 5 4 3 4" xfId="25531" xr:uid="{E6EC1743-A75B-4844-8031-40D139C09885}"/>
    <cellStyle name="Normal 7 4 5 4 3 5" xfId="16691" xr:uid="{36DC94FC-6C39-42C6-91E1-F72E73567142}"/>
    <cellStyle name="Normal 7 4 5 4 4" xfId="5459" xr:uid="{F4736D85-8878-4FA8-923A-E1403838DB9E}"/>
    <cellStyle name="Normal 7 4 5 4 4 2" xfId="26572" xr:uid="{624BF12C-C3D0-4C8B-A536-EFF8619DDA34}"/>
    <cellStyle name="Normal 7 4 5 4 4 3" xfId="14756" xr:uid="{1B9A5E26-C8C1-483B-9DFB-4844385D2F0A}"/>
    <cellStyle name="Normal 7 4 5 4 5" xfId="7209" xr:uid="{D60782DB-55D6-48B1-956D-983D1F530E6E}"/>
    <cellStyle name="Normal 7 4 5 4 5 2" xfId="17589" xr:uid="{5D06CA8C-1AD9-4647-94A1-100975BFC402}"/>
    <cellStyle name="Normal 7 4 5 4 6" xfId="10042" xr:uid="{B046BC94-B393-4FC2-B26B-E939306116A1}"/>
    <cellStyle name="Normal 7 4 5 4 6 2" xfId="20422" xr:uid="{E0179641-1977-468D-A4DF-EE6E9ED518F0}"/>
    <cellStyle name="Normal 7 4 5 4 7" xfId="25045" xr:uid="{DAD150E5-63F9-456D-9DE2-ECABA4755ED5}"/>
    <cellStyle name="Normal 7 4 5 4 8" xfId="13312" xr:uid="{8A287C97-45FB-442A-B27F-6A8E1BE93E89}"/>
    <cellStyle name="Normal 7 4 5 5" xfId="3472" xr:uid="{00000000-0005-0000-0000-0000AD080000}"/>
    <cellStyle name="Normal 7 4 5 5 2" xfId="4593" xr:uid="{35926369-7039-4EEC-B75A-3BB1B347393D}"/>
    <cellStyle name="Normal 7 4 5 5 2 2" xfId="9365" xr:uid="{546177B1-454A-4B2A-BFEC-6304F37CC577}"/>
    <cellStyle name="Normal 7 4 5 5 2 2 2" xfId="29335" xr:uid="{CC14DF5E-FE0D-486C-AAF8-1B25ECD8B96E}"/>
    <cellStyle name="Normal 7 4 5 5 2 2 3" xfId="19745" xr:uid="{87C6055A-3964-4D38-8D4A-CE748D2E6B01}"/>
    <cellStyle name="Normal 7 4 5 5 2 3" xfId="12198" xr:uid="{2EC098A8-4B36-4970-AF8C-00FFD5C5EBAE}"/>
    <cellStyle name="Normal 7 4 5 5 2 3 2" xfId="22578" xr:uid="{22FC2890-9AC8-4682-9492-D716708225D3}"/>
    <cellStyle name="Normal 7 4 5 5 2 4" xfId="25014" xr:uid="{BCC1CDE4-D924-4A74-ABE2-BC5407609446}"/>
    <cellStyle name="Normal 7 4 5 5 2 5" xfId="16912" xr:uid="{004673F0-7811-480D-A61E-403C4EE5590B}"/>
    <cellStyle name="Normal 7 4 5 5 3" xfId="6527" xr:uid="{E3206B87-3C43-4C2E-8780-6DE350835BA0}"/>
    <cellStyle name="Normal 7 4 5 5 3 2" xfId="27460" xr:uid="{2502B905-3FA1-4966-ACCB-BC7CAACEF295}"/>
    <cellStyle name="Normal 7 4 5 5 3 3" xfId="16098" xr:uid="{996D8786-8EBA-4700-BBEC-ED4C5AC1B543}"/>
    <cellStyle name="Normal 7 4 5 5 4" xfId="8551" xr:uid="{82075F95-A6E9-4D35-A9F0-06F7AC3631A3}"/>
    <cellStyle name="Normal 7 4 5 5 4 2" xfId="18931" xr:uid="{A9FEF4C5-48FB-455A-BC90-FD1F945BC554}"/>
    <cellStyle name="Normal 7 4 5 5 5" xfId="11384" xr:uid="{6649B145-16D2-42EB-9E9A-6272A5863D30}"/>
    <cellStyle name="Normal 7 4 5 5 5 2" xfId="21764" xr:uid="{23C63933-20B4-4F27-B148-5287C908DEA0}"/>
    <cellStyle name="Normal 7 4 5 5 6" xfId="24611" xr:uid="{EA31AACA-524A-4320-BE62-8957480C0168}"/>
    <cellStyle name="Normal 7 4 5 5 7" xfId="14059" xr:uid="{4CB9380D-C10B-4E9E-B0DE-819499236CC6}"/>
    <cellStyle name="Normal 7 4 5 6" xfId="2995" xr:uid="{00000000-0005-0000-0000-0000AE080000}"/>
    <cellStyle name="Normal 7 4 5 6 2" xfId="6145" xr:uid="{329964A5-29AB-4E50-A18A-0A87C77E0CD2}"/>
    <cellStyle name="Normal 7 4 5 6 2 2" xfId="26283" xr:uid="{F6A11925-35D7-4E7B-A272-D237D9A4867B}"/>
    <cellStyle name="Normal 7 4 5 6 2 3" xfId="15623" xr:uid="{8C08E7FF-2AAA-4A1F-ABA8-09F53F075606}"/>
    <cellStyle name="Normal 7 4 5 6 3" xfId="8076" xr:uid="{3CE81D40-D365-4DDF-AD91-51407A1C4B00}"/>
    <cellStyle name="Normal 7 4 5 6 3 2" xfId="18456" xr:uid="{2699446A-D6E3-4CE3-B055-4CB4598BFD69}"/>
    <cellStyle name="Normal 7 4 5 6 4" xfId="10909" xr:uid="{C0D1FBFA-0F28-4D12-A591-2DBC776B99E0}"/>
    <cellStyle name="Normal 7 4 5 6 4 2" xfId="21289" xr:uid="{9C1F2FD1-FEB8-41EF-98CD-A19DD9AE8D71}"/>
    <cellStyle name="Normal 7 4 5 6 5" xfId="23244" xr:uid="{76C9B4D9-2046-4620-9B09-B04B8044D621}"/>
    <cellStyle name="Normal 7 4 5 6 6" xfId="13494" xr:uid="{94814A25-6D71-4B56-BB2B-1EF7487F1533}"/>
    <cellStyle name="Normal 7 4 5 7" xfId="2466" xr:uid="{00000000-0005-0000-0000-0000AF080000}"/>
    <cellStyle name="Normal 7 4 5 7 2" xfId="5757" xr:uid="{0806CEDE-82C4-4757-94A1-D4A364F385D3}"/>
    <cellStyle name="Normal 7 4 5 7 2 2" xfId="27824" xr:uid="{D8A20EC4-0930-48B5-BB8D-002EEEFF8B79}"/>
    <cellStyle name="Normal 7 4 5 7 2 3" xfId="15138" xr:uid="{DAB03735-5BCD-45F9-965F-F78638AB8C71}"/>
    <cellStyle name="Normal 7 4 5 7 3" xfId="7591" xr:uid="{ED185F1D-0AFD-46B2-AFBC-5817A752073C}"/>
    <cellStyle name="Normal 7 4 5 7 3 2" xfId="17971" xr:uid="{2A1AE796-8920-4BEB-9B03-81203931504B}"/>
    <cellStyle name="Normal 7 4 5 7 4" xfId="10424" xr:uid="{F3CE7AE9-9597-4D70-ADB1-9CD09D5303E7}"/>
    <cellStyle name="Normal 7 4 5 7 4 2" xfId="20804" xr:uid="{4BD12F4B-85C9-443B-ADB6-EB5598A001F6}"/>
    <cellStyle name="Normal 7 4 5 7 5" xfId="24686" xr:uid="{7F498DCC-8B79-42AE-A66D-651ED3928429}"/>
    <cellStyle name="Normal 7 4 5 7 6" xfId="12854" xr:uid="{9679F6B9-5814-4809-BD04-04514E08081E}"/>
    <cellStyle name="Normal 7 4 5 8" xfId="2220" xr:uid="{00000000-0005-0000-0000-00009E080000}"/>
    <cellStyle name="Normal 7 4 5 8 2" xfId="7347" xr:uid="{F557962B-98E4-404E-BF09-964D44DF646A}"/>
    <cellStyle name="Normal 7 4 5 8 2 2" xfId="17727" xr:uid="{AC796349-D30C-4D4B-B059-04E362F1D48F}"/>
    <cellStyle name="Normal 7 4 5 8 3" xfId="10180" xr:uid="{65D29BBD-196A-4C9A-871F-33946F3CB743}"/>
    <cellStyle name="Normal 7 4 5 8 3 2" xfId="20560" xr:uid="{0A8EC2C8-C8BA-4B53-896F-A5393B55CE64}"/>
    <cellStyle name="Normal 7 4 5 8 4" xfId="25055" xr:uid="{1DAEE79F-B8A0-4360-B81F-5E1789B45645}"/>
    <cellStyle name="Normal 7 4 5 8 5" xfId="14894" xr:uid="{9007E917-66A3-431C-88DD-43C81AF06304}"/>
    <cellStyle name="Normal 7 4 5 9" xfId="4072" xr:uid="{3A901DB5-58D0-4820-A143-9FCA31460F7B}"/>
    <cellStyle name="Normal 7 4 5 9 2" xfId="8852" xr:uid="{700C17F6-D58A-408C-990F-C332EC8EC78C}"/>
    <cellStyle name="Normal 7 4 5 9 2 2" xfId="19232" xr:uid="{21BE3DC1-CB27-4FAF-BB6A-6FA87890E308}"/>
    <cellStyle name="Normal 7 4 5 9 3" xfId="11685" xr:uid="{1CB0413C-DD3D-4618-9B8E-208420E02059}"/>
    <cellStyle name="Normal 7 4 5 9 3 2" xfId="22065" xr:uid="{5227A0D6-DE0B-44F1-888B-5E60B3D3CD5C}"/>
    <cellStyle name="Normal 7 4 5 9 4" xfId="16399" xr:uid="{C8264871-7043-484B-8B5D-04A589B9A087}"/>
    <cellStyle name="Normal 7 4 6" xfId="1442" xr:uid="{00000000-0005-0000-0000-000079070000}"/>
    <cellStyle name="Normal 7 4 6 10" xfId="7210" xr:uid="{9D0BAB81-E060-46C4-A067-C3886DD2E4F5}"/>
    <cellStyle name="Normal 7 4 6 10 2" xfId="17590" xr:uid="{9281F678-6949-4A54-9733-A9AB1BF089C4}"/>
    <cellStyle name="Normal 7 4 6 11" xfId="10043" xr:uid="{579AAEC4-267E-45D8-8DA8-18AB3513478E}"/>
    <cellStyle name="Normal 7 4 6 11 2" xfId="20423" xr:uid="{59AE8321-472F-48C9-9BCE-38BE78599AF0}"/>
    <cellStyle name="Normal 7 4 6 12" xfId="24333" xr:uid="{BBFED37D-C0AD-4F14-AA04-70C6AE104C62}"/>
    <cellStyle name="Normal 7 4 6 13" xfId="12435" xr:uid="{6BCE06AF-85C4-4CC2-A918-E39D433FF0CD}"/>
    <cellStyle name="Normal 7 4 6 2" xfId="1443" xr:uid="{00000000-0005-0000-0000-00007A070000}"/>
    <cellStyle name="Normal 7 4 6 2 10" xfId="10044" xr:uid="{015A21AC-34D4-4826-84DF-2A188863A218}"/>
    <cellStyle name="Normal 7 4 6 2 10 2" xfId="20424" xr:uid="{57D37285-A06B-422F-B2D6-F44DF926CFBE}"/>
    <cellStyle name="Normal 7 4 6 2 11" xfId="24464" xr:uid="{3A31A8B7-2F92-472E-B7B5-9E887E7C8D00}"/>
    <cellStyle name="Normal 7 4 6 2 12" xfId="12639" xr:uid="{36FBE80E-5417-4AF5-86DE-81A4404606E3}"/>
    <cellStyle name="Normal 7 4 6 2 2" xfId="1444" xr:uid="{00000000-0005-0000-0000-00007B070000}"/>
    <cellStyle name="Normal 7 4 6 2 2 2" xfId="3474" xr:uid="{00000000-0005-0000-0000-0000B3080000}"/>
    <cellStyle name="Normal 7 4 6 2 2 2 2" xfId="6529" xr:uid="{2F811766-F2D8-4F4A-BA50-EF6F59704A35}"/>
    <cellStyle name="Normal 7 4 6 2 2 2 2 2" xfId="28019" xr:uid="{0EDEF980-8DC6-4133-825D-0AC672B945BF}"/>
    <cellStyle name="Normal 7 4 6 2 2 2 2 3" xfId="28174" xr:uid="{C9E9391A-CE76-400B-A4DD-A6C96FC18D1A}"/>
    <cellStyle name="Normal 7 4 6 2 2 2 2 4" xfId="16100" xr:uid="{3605FF11-A96C-4B5F-8FB7-99805CCB62D8}"/>
    <cellStyle name="Normal 7 4 6 2 2 2 3" xfId="8553" xr:uid="{C4F74542-B8A6-42C1-A393-BC01099B8C81}"/>
    <cellStyle name="Normal 7 4 6 2 2 2 3 2" xfId="28944" xr:uid="{484EA8FF-A658-414F-9465-055E6F23859F}"/>
    <cellStyle name="Normal 7 4 6 2 2 2 3 3" xfId="18933" xr:uid="{6981B120-B073-420F-B6D7-0CB1E2F8A322}"/>
    <cellStyle name="Normal 7 4 6 2 2 2 4" xfId="11386" xr:uid="{395CAD96-80CB-41CA-BD86-7FD10E6DB9DF}"/>
    <cellStyle name="Normal 7 4 6 2 2 2 4 2" xfId="21766" xr:uid="{50EB8523-F2CE-4146-8B69-A2E310D75B9E}"/>
    <cellStyle name="Normal 7 4 6 2 2 2 5" xfId="23315" xr:uid="{7176CF5D-11D8-4B27-8F9A-BFE9DC434CCA}"/>
    <cellStyle name="Normal 7 4 6 2 2 2 6" xfId="14061" xr:uid="{D5A276A3-7024-4E73-9B16-9116CA47891B}"/>
    <cellStyle name="Normal 7 4 6 2 2 3" xfId="4375" xr:uid="{A95130CF-C1A4-4A97-BA51-A9E1E46AC1AE}"/>
    <cellStyle name="Normal 7 4 6 2 2 3 2" xfId="9147" xr:uid="{8FB22CD3-2825-4E0D-8E2B-C6AE3C0C82EF}"/>
    <cellStyle name="Normal 7 4 6 2 2 3 2 2" xfId="29190" xr:uid="{D13D335D-E041-48E9-B7D1-4A67740958C5}"/>
    <cellStyle name="Normal 7 4 6 2 2 3 2 3" xfId="19527" xr:uid="{DB344710-F17E-418C-B4A2-630026663705}"/>
    <cellStyle name="Normal 7 4 6 2 2 3 3" xfId="11980" xr:uid="{8B36AEBF-4134-4BF8-A36C-9786466154DA}"/>
    <cellStyle name="Normal 7 4 6 2 2 3 3 2" xfId="22360" xr:uid="{C7F59C12-9CF7-4B47-9F45-F7C1BEC7C5BE}"/>
    <cellStyle name="Normal 7 4 6 2 2 3 4" xfId="25164" xr:uid="{3C115A6D-5126-4E2C-B507-31228BFAAE47}"/>
    <cellStyle name="Normal 7 4 6 2 2 3 5" xfId="16694" xr:uid="{D66D56DF-7F5C-49BE-BBB9-7F2F3686A2B0}"/>
    <cellStyle name="Normal 7 4 6 2 2 4" xfId="5462" xr:uid="{0CC6A5EB-0BCE-4510-BA88-5FEA0A5CE841}"/>
    <cellStyle name="Normal 7 4 6 2 2 4 2" xfId="28463" xr:uid="{5B671DBE-841C-4EF3-B4B0-44130DDBD783}"/>
    <cellStyle name="Normal 7 4 6 2 2 4 3" xfId="14759" xr:uid="{EDEA2358-8CBB-4A34-ADCC-15B892D84035}"/>
    <cellStyle name="Normal 7 4 6 2 2 5" xfId="7212" xr:uid="{C8622CF0-6FD8-4D48-B3CB-2AF7D2A7302D}"/>
    <cellStyle name="Normal 7 4 6 2 2 5 2" xfId="17592" xr:uid="{61377672-1CFC-4732-A347-7DE660EB372D}"/>
    <cellStyle name="Normal 7 4 6 2 2 6" xfId="10045" xr:uid="{65A19268-3767-4078-A796-2C4CBC861A87}"/>
    <cellStyle name="Normal 7 4 6 2 2 6 2" xfId="20425" xr:uid="{6EEB025A-54AB-4B21-B3FD-EFE52BBACBEC}"/>
    <cellStyle name="Normal 7 4 6 2 2 7" xfId="24150" xr:uid="{DF5D084C-42C6-42A0-B7E0-1157BB69E3A5}"/>
    <cellStyle name="Normal 7 4 6 2 2 8" xfId="13316" xr:uid="{165DDDD3-124E-47C3-91DC-3E4956AB94E1}"/>
    <cellStyle name="Normal 7 4 6 2 3" xfId="3475" xr:uid="{00000000-0005-0000-0000-0000B4080000}"/>
    <cellStyle name="Normal 7 4 6 2 3 2" xfId="4594" xr:uid="{AA9A90EB-6786-4553-BCF1-820E08D62D55}"/>
    <cellStyle name="Normal 7 4 6 2 3 2 2" xfId="9366" xr:uid="{C2246DDC-4E13-4C61-8968-6177DDB50795}"/>
    <cellStyle name="Normal 7 4 6 2 3 2 2 2" xfId="29336" xr:uid="{31266F53-CA8F-4EF3-8346-F5CE4DF6BBA1}"/>
    <cellStyle name="Normal 7 4 6 2 3 2 2 3" xfId="19746" xr:uid="{35689738-0262-4E2E-BAF1-64F685E77766}"/>
    <cellStyle name="Normal 7 4 6 2 3 2 3" xfId="12199" xr:uid="{BE3011C3-5EC8-436E-AAD2-BD8EF622F124}"/>
    <cellStyle name="Normal 7 4 6 2 3 2 3 2" xfId="22579" xr:uid="{8CC6CDDA-E727-4ED4-A72A-05F6C13D9FD8}"/>
    <cellStyle name="Normal 7 4 6 2 3 2 4" xfId="23993" xr:uid="{4D51B64E-BCB2-4EE1-B006-9BC0CD8C2EF3}"/>
    <cellStyle name="Normal 7 4 6 2 3 2 5" xfId="16913" xr:uid="{012AE3E8-1ED9-4641-AB2A-A7BB3922440C}"/>
    <cellStyle name="Normal 7 4 6 2 3 3" xfId="6530" xr:uid="{2EFCFD26-23A9-43B4-8E21-F6FB3260333C}"/>
    <cellStyle name="Normal 7 4 6 2 3 3 2" xfId="26702" xr:uid="{B4B5CA8E-1E02-446A-B17B-F16112AD7BB4}"/>
    <cellStyle name="Normal 7 4 6 2 3 3 3" xfId="16101" xr:uid="{6F902B5B-0EF3-4C63-810A-D291B05A10F1}"/>
    <cellStyle name="Normal 7 4 6 2 3 4" xfId="8554" xr:uid="{4687F2C9-0B83-42E4-B559-9E6EF6827985}"/>
    <cellStyle name="Normal 7 4 6 2 3 4 2" xfId="18934" xr:uid="{3B844C43-1343-40FE-BD7C-093E5C60487E}"/>
    <cellStyle name="Normal 7 4 6 2 3 5" xfId="11387" xr:uid="{D9D4C41C-9940-41B4-83A4-0C3BF2E3A360}"/>
    <cellStyle name="Normal 7 4 6 2 3 5 2" xfId="21767" xr:uid="{3A4A0930-732E-4036-913C-716D778E0713}"/>
    <cellStyle name="Normal 7 4 6 2 3 6" xfId="22900" xr:uid="{FC5630F8-D770-4D8E-B960-DE9C0187F3DE}"/>
    <cellStyle name="Normal 7 4 6 2 3 7" xfId="14062" xr:uid="{4CE8185E-7E44-4B27-A157-43795DCE7A16}"/>
    <cellStyle name="Normal 7 4 6 2 4" xfId="3473" xr:uid="{00000000-0005-0000-0000-0000B5080000}"/>
    <cellStyle name="Normal 7 4 6 2 4 2" xfId="6528" xr:uid="{A7065ACD-749C-4101-B617-76BAE472C0A7}"/>
    <cellStyle name="Normal 7 4 6 2 4 2 2" xfId="25906" xr:uid="{B86BAEC1-F979-42C6-99B5-2C2E12484112}"/>
    <cellStyle name="Normal 7 4 6 2 4 2 3" xfId="16099" xr:uid="{58F29C10-D636-4686-938A-855CF3DCD771}"/>
    <cellStyle name="Normal 7 4 6 2 4 3" xfId="8552" xr:uid="{0AEA8D9C-556A-403C-B4B1-97E240CDC933}"/>
    <cellStyle name="Normal 7 4 6 2 4 3 2" xfId="18932" xr:uid="{79DB9C0E-2454-4F95-BF3E-02655D6D29C7}"/>
    <cellStyle name="Normal 7 4 6 2 4 4" xfId="11385" xr:uid="{5704E751-D96F-4DBF-859F-4DEFDDB9AB3D}"/>
    <cellStyle name="Normal 7 4 6 2 4 4 2" xfId="21765" xr:uid="{731B8A3F-E65F-4DA0-8B6C-75A01AF6462B}"/>
    <cellStyle name="Normal 7 4 6 2 4 5" xfId="25051" xr:uid="{F842D7F2-DBC3-4B01-8A2B-4FBB6AB1F674}"/>
    <cellStyle name="Normal 7 4 6 2 4 6" xfId="14060" xr:uid="{3FA029E0-83EC-4C1E-924F-02FAFF8C3151}"/>
    <cellStyle name="Normal 7 4 6 2 5" xfId="2612" xr:uid="{00000000-0005-0000-0000-0000B6080000}"/>
    <cellStyle name="Normal 7 4 6 2 5 2" xfId="5876" xr:uid="{ED28E35E-3B05-43CA-8272-C98CFE752A4D}"/>
    <cellStyle name="Normal 7 4 6 2 5 2 2" xfId="28342" xr:uid="{AFB9A578-F33D-4994-B6A6-915A59C8352E}"/>
    <cellStyle name="Normal 7 4 6 2 5 2 3" xfId="15284" xr:uid="{183E967D-EBC3-47C1-BAF4-AC54C24D929C}"/>
    <cellStyle name="Normal 7 4 6 2 5 3" xfId="7737" xr:uid="{7E3AB69C-436C-401C-9731-4BF2E5CA0323}"/>
    <cellStyle name="Normal 7 4 6 2 5 3 2" xfId="18117" xr:uid="{37B93855-0475-488B-AD3D-C61E28883DFC}"/>
    <cellStyle name="Normal 7 4 6 2 5 4" xfId="10570" xr:uid="{B178F962-2657-4F24-AA8F-DE264DF48D23}"/>
    <cellStyle name="Normal 7 4 6 2 5 4 2" xfId="20950" xr:uid="{077C6A62-37F7-425D-AABA-A9B4B25DC1F8}"/>
    <cellStyle name="Normal 7 4 6 2 5 5" xfId="24143" xr:uid="{5151E569-3E21-4983-BF90-72E5D7566DF1}"/>
    <cellStyle name="Normal 7 4 6 2 5 6" xfId="13000" xr:uid="{B0D1F0C8-B578-42DD-9297-A7A26493E6A5}"/>
    <cellStyle name="Normal 7 4 6 2 6" xfId="2405" xr:uid="{00000000-0005-0000-0000-0000B1080000}"/>
    <cellStyle name="Normal 7 4 6 2 6 2" xfId="7532" xr:uid="{3E5CC756-B253-4B3C-9DB5-BDF4E3049137}"/>
    <cellStyle name="Normal 7 4 6 2 6 2 2" xfId="17912" xr:uid="{4F7B4801-3A30-4063-9945-9276C0972B4A}"/>
    <cellStyle name="Normal 7 4 6 2 6 3" xfId="10365" xr:uid="{D328754E-1865-498D-ABA5-A3AA117E1F7A}"/>
    <cellStyle name="Normal 7 4 6 2 6 3 2" xfId="20745" xr:uid="{89CE0C2E-16F7-4DA9-9179-5B9D4093E09C}"/>
    <cellStyle name="Normal 7 4 6 2 6 4" xfId="23614" xr:uid="{C63B725F-10E9-4005-B129-185D18AB4974}"/>
    <cellStyle name="Normal 7 4 6 2 6 5" xfId="15079" xr:uid="{686D7622-0DA7-455A-B5E0-6173D814EE00}"/>
    <cellStyle name="Normal 7 4 6 2 7" xfId="4105" xr:uid="{FBC0C879-14E9-4755-8B03-4CDD731C2FC5}"/>
    <cellStyle name="Normal 7 4 6 2 7 2" xfId="8879" xr:uid="{C58BACB1-648D-4A62-8DF5-AE1F6BC94290}"/>
    <cellStyle name="Normal 7 4 6 2 7 2 2" xfId="19259" xr:uid="{9DE98E81-F832-46FD-90D4-FD7D25B8E057}"/>
    <cellStyle name="Normal 7 4 6 2 7 3" xfId="11712" xr:uid="{74A38B67-90CA-4EEB-BF93-499AD9B73FD6}"/>
    <cellStyle name="Normal 7 4 6 2 7 3 2" xfId="22092" xr:uid="{D7F29AF2-0D5B-41BE-82B6-57DAC19ABB89}"/>
    <cellStyle name="Normal 7 4 6 2 7 4" xfId="16426" xr:uid="{637739DF-7C78-4B06-938E-04C37FC8F35F}"/>
    <cellStyle name="Normal 7 4 6 2 8" xfId="5461" xr:uid="{2F886AA2-4DDA-40FD-9E88-F748B011B828}"/>
    <cellStyle name="Normal 7 4 6 2 8 2" xfId="14758" xr:uid="{7FA1EA60-EAA8-429A-A717-719E22507350}"/>
    <cellStyle name="Normal 7 4 6 2 9" xfId="7211" xr:uid="{0EBDD1CB-AD53-45F4-AA45-AB9B37BCF00A}"/>
    <cellStyle name="Normal 7 4 6 2 9 2" xfId="17591" xr:uid="{6BC88A3B-1DCE-4ABE-9228-C1F329747FBB}"/>
    <cellStyle name="Normal 7 4 6 3" xfId="1445" xr:uid="{00000000-0005-0000-0000-00007C070000}"/>
    <cellStyle name="Normal 7 4 6 3 2" xfId="3476" xr:uid="{00000000-0005-0000-0000-0000B8080000}"/>
    <cellStyle name="Normal 7 4 6 3 2 2" xfId="6531" xr:uid="{35017E7D-4080-453E-9AB5-4EBD7D742297}"/>
    <cellStyle name="Normal 7 4 6 3 2 2 2" xfId="25596" xr:uid="{0F8CE7FB-386C-435B-A026-98059F5A95A9}"/>
    <cellStyle name="Normal 7 4 6 3 2 2 3" xfId="28536" xr:uid="{1F2CEFE1-D1FE-4130-ACC8-FD585A24FA99}"/>
    <cellStyle name="Normal 7 4 6 3 2 2 4" xfId="16102" xr:uid="{88626788-AA4A-42B7-8834-79CDBF1F5327}"/>
    <cellStyle name="Normal 7 4 6 3 2 3" xfId="8555" xr:uid="{8FB01244-A933-4F0C-BCDB-A633B5525C26}"/>
    <cellStyle name="Normal 7 4 6 3 2 3 2" xfId="28945" xr:uid="{B5BAFC47-2B98-4822-959C-22BE61FD9BC3}"/>
    <cellStyle name="Normal 7 4 6 3 2 3 3" xfId="18935" xr:uid="{763CE3F2-E5C5-47D8-BA0B-756F115B01F4}"/>
    <cellStyle name="Normal 7 4 6 3 2 4" xfId="11388" xr:uid="{3581D6B7-B0E6-457A-AA56-376099B8AF45}"/>
    <cellStyle name="Normal 7 4 6 3 2 4 2" xfId="21768" xr:uid="{9EAA1A85-C736-4161-8EB5-AE161B56076D}"/>
    <cellStyle name="Normal 7 4 6 3 2 5" xfId="23682" xr:uid="{F6B9E067-6AA6-466A-B3C9-A78C4E1F66B9}"/>
    <cellStyle name="Normal 7 4 6 3 2 6" xfId="14063" xr:uid="{22FA1A24-F2FC-4BFE-8BAB-1373E623DF80}"/>
    <cellStyle name="Normal 7 4 6 3 3" xfId="2837" xr:uid="{00000000-0005-0000-0000-0000B9080000}"/>
    <cellStyle name="Normal 7 4 6 3 3 2" xfId="6053" xr:uid="{9833E8C8-D664-4632-AEAC-06D0FE3225DB}"/>
    <cellStyle name="Normal 7 4 6 3 3 2 2" xfId="25926" xr:uid="{1F4B852F-4C06-42C4-AD07-13893317F0E1}"/>
    <cellStyle name="Normal 7 4 6 3 3 2 3" xfId="15507" xr:uid="{17B32C06-3280-4A63-81CA-C96A785D6C1D}"/>
    <cellStyle name="Normal 7 4 6 3 3 3" xfId="7960" xr:uid="{BC3F3018-7F28-4708-97DE-8915B1749A03}"/>
    <cellStyle name="Normal 7 4 6 3 3 3 2" xfId="18340" xr:uid="{27BA55F5-426F-4C43-9835-B844C5A2DD31}"/>
    <cellStyle name="Normal 7 4 6 3 3 4" xfId="10793" xr:uid="{EAA73794-EE82-4AE9-A943-B5B056B37C1A}"/>
    <cellStyle name="Normal 7 4 6 3 3 4 2" xfId="21173" xr:uid="{5A10CD32-36F2-438E-B345-DE2BDB4A9EFE}"/>
    <cellStyle name="Normal 7 4 6 3 3 5" xfId="22941" xr:uid="{FB4C0B42-AD50-4039-A7AA-357C00D435AC}"/>
    <cellStyle name="Normal 7 4 6 3 3 6" xfId="13315" xr:uid="{C3FCB08E-F407-46DD-8B97-023E94F4A4B3}"/>
    <cellStyle name="Normal 7 4 6 3 4" xfId="4223" xr:uid="{3D508AE3-1814-404D-9AC4-712273263D09}"/>
    <cellStyle name="Normal 7 4 6 3 4 2" xfId="8995" xr:uid="{CF3251C8-5F32-48E4-AEF0-9E4ECEFAC3C5}"/>
    <cellStyle name="Normal 7 4 6 3 4 2 2" xfId="29072" xr:uid="{1044CA18-5623-4314-B05D-5ABAAC6D8965}"/>
    <cellStyle name="Normal 7 4 6 3 4 2 3" xfId="19375" xr:uid="{3ADC7E10-6F86-492B-B40F-0999E1058B87}"/>
    <cellStyle name="Normal 7 4 6 3 4 3" xfId="11828" xr:uid="{059EDE9C-EEF9-4E19-A280-1845B7381291}"/>
    <cellStyle name="Normal 7 4 6 3 4 3 2" xfId="22208" xr:uid="{1E094AD0-1DCD-4C0E-9C66-5325193AEC02}"/>
    <cellStyle name="Normal 7 4 6 3 4 4" xfId="24428" xr:uid="{2757FBC0-CFF8-45CD-BA73-66D590E944AE}"/>
    <cellStyle name="Normal 7 4 6 3 4 5" xfId="16542" xr:uid="{E8F3403B-B7F8-45DF-841A-A643EC17ED5D}"/>
    <cellStyle name="Normal 7 4 6 3 5" xfId="5463" xr:uid="{ACED7834-840E-47D4-8EAE-013D3F8DD5E1}"/>
    <cellStyle name="Normal 7 4 6 3 5 2" xfId="28045" xr:uid="{DBA71A09-0ABB-419B-85A4-F90BCEADE320}"/>
    <cellStyle name="Normal 7 4 6 3 5 3" xfId="14760" xr:uid="{3F6B750F-8CA5-4894-B3FC-F21D8C721CA2}"/>
    <cellStyle name="Normal 7 4 6 3 6" xfId="7213" xr:uid="{C6DA2319-B02F-4D3C-BA00-AEB648EC567D}"/>
    <cellStyle name="Normal 7 4 6 3 6 2" xfId="17593" xr:uid="{F6ECAE9E-E100-48F6-90F1-82731369342C}"/>
    <cellStyle name="Normal 7 4 6 3 7" xfId="10046" xr:uid="{14B519C2-0820-4466-A584-7FE00120A0A3}"/>
    <cellStyle name="Normal 7 4 6 3 7 2" xfId="20426" xr:uid="{23B42D99-E8B9-470A-B34B-1E6BC71D1E6B}"/>
    <cellStyle name="Normal 7 4 6 3 8" xfId="23301" xr:uid="{D10B02A0-CC7F-451E-B557-50CF86281086}"/>
    <cellStyle name="Normal 7 4 6 3 9" xfId="12797" xr:uid="{4D297DEC-FC89-4059-A06B-191A9F90780A}"/>
    <cellStyle name="Normal 7 4 6 4" xfId="1446" xr:uid="{00000000-0005-0000-0000-00007D070000}"/>
    <cellStyle name="Normal 7 4 6 4 2" xfId="4595" xr:uid="{06556283-BC7A-40E8-B0B8-1D337E804B2B}"/>
    <cellStyle name="Normal 7 4 6 4 2 2" xfId="9367" xr:uid="{8802636A-28FD-46A2-8892-80F032F8547E}"/>
    <cellStyle name="Normal 7 4 6 4 2 2 2" xfId="29337" xr:uid="{61E34EF4-3A13-4C76-932B-12452DD5E700}"/>
    <cellStyle name="Normal 7 4 6 4 2 2 3" xfId="19747" xr:uid="{9021AC51-3EDE-4047-A68C-1E8C5C9E6091}"/>
    <cellStyle name="Normal 7 4 6 4 2 3" xfId="12200" xr:uid="{E5B5D3AD-DEE0-44EC-BCFE-0A1535C70484}"/>
    <cellStyle name="Normal 7 4 6 4 2 3 2" xfId="22580" xr:uid="{542A0DC7-1ED4-4D5E-AC95-46C3FA357628}"/>
    <cellStyle name="Normal 7 4 6 4 2 4" xfId="23086" xr:uid="{203B5CCE-9CAB-4CF3-AB1B-CA03B1CD66EE}"/>
    <cellStyle name="Normal 7 4 6 4 2 5" xfId="16914" xr:uid="{A4F82774-452B-493E-8F71-5D91F5FB0493}"/>
    <cellStyle name="Normal 7 4 6 4 3" xfId="5464" xr:uid="{B833A83F-A323-476C-BDC2-5D9177DC1535}"/>
    <cellStyle name="Normal 7 4 6 4 3 2" xfId="27063" xr:uid="{5B70F443-C489-4B90-8D3B-0BE26E28E497}"/>
    <cellStyle name="Normal 7 4 6 4 3 3" xfId="14761" xr:uid="{D5F94BAF-D334-43DC-B93D-852F0F7F4488}"/>
    <cellStyle name="Normal 7 4 6 4 4" xfId="7214" xr:uid="{BA01F59F-0ADB-4B7F-9840-4EDC9AA8FB21}"/>
    <cellStyle name="Normal 7 4 6 4 4 2" xfId="17594" xr:uid="{49834D77-38BE-4EF6-A045-C2AA3B4A435F}"/>
    <cellStyle name="Normal 7 4 6 4 5" xfId="10047" xr:uid="{7AFF5F4B-400D-4BCE-852F-FB4131887FFD}"/>
    <cellStyle name="Normal 7 4 6 4 5 2" xfId="20427" xr:uid="{1A653C84-D28E-46F4-871C-FFFD91262864}"/>
    <cellStyle name="Normal 7 4 6 4 6" xfId="23260" xr:uid="{3DF2D86D-5F6B-4241-8670-53457CA0D6BC}"/>
    <cellStyle name="Normal 7 4 6 4 7" xfId="14064" xr:uid="{EED9FD42-1709-4C37-A935-014C3E30E31B}"/>
    <cellStyle name="Normal 7 4 6 5" xfId="2996" xr:uid="{00000000-0005-0000-0000-0000BB080000}"/>
    <cellStyle name="Normal 7 4 6 5 2" xfId="6146" xr:uid="{55E48DA5-4B76-478A-BA7F-7495F63ACFBE}"/>
    <cellStyle name="Normal 7 4 6 5 2 2" xfId="22637" xr:uid="{67BD9E09-E9FD-4CC8-B327-D9551139194D}"/>
    <cellStyle name="Normal 7 4 6 5 2 3" xfId="26804" xr:uid="{643CC87A-6649-4CAA-9C93-5E302EDF844F}"/>
    <cellStyle name="Normal 7 4 6 5 2 4" xfId="15624" xr:uid="{0EFCFE9F-1BB0-4F14-9B97-C7E15DF2761F}"/>
    <cellStyle name="Normal 7 4 6 5 3" xfId="8077" xr:uid="{8814ED0B-8579-4B4A-ACC6-722A933F1F07}"/>
    <cellStyle name="Normal 7 4 6 5 3 2" xfId="28770" xr:uid="{CB6418F2-424E-4ABA-9D8A-0060B00E9E94}"/>
    <cellStyle name="Normal 7 4 6 5 3 3" xfId="18457" xr:uid="{7AAF2FE2-E9AE-437F-B825-DB61440AA9F7}"/>
    <cellStyle name="Normal 7 4 6 5 4" xfId="10910" xr:uid="{DFAA71AD-5AE9-4FD7-A701-8DD957708B93}"/>
    <cellStyle name="Normal 7 4 6 5 4 2" xfId="21290" xr:uid="{0F31019A-44AE-4AE4-8E49-3FAD3C383265}"/>
    <cellStyle name="Normal 7 4 6 5 5" xfId="24816" xr:uid="{55A88DCE-7EB1-4825-A9C5-5692F014DE4E}"/>
    <cellStyle name="Normal 7 4 6 5 6" xfId="13495" xr:uid="{DAFD1A46-5ED7-4040-809C-00EB2EDC4E0E}"/>
    <cellStyle name="Normal 7 4 6 6" xfId="2449" xr:uid="{00000000-0005-0000-0000-0000BC080000}"/>
    <cellStyle name="Normal 7 4 6 6 2" xfId="5743" xr:uid="{91DC8A24-84B8-44CC-8DAF-4A1B7006D8FA}"/>
    <cellStyle name="Normal 7 4 6 6 2 2" xfId="28603" xr:uid="{1008F856-5904-4562-8ABB-82B63C120CBB}"/>
    <cellStyle name="Normal 7 4 6 6 2 3" xfId="15121" xr:uid="{34BBFA9B-2282-4D60-A8D3-7F1983AF70F9}"/>
    <cellStyle name="Normal 7 4 6 6 3" xfId="7574" xr:uid="{38F769B6-93FF-41AE-989A-483E7E0C64A6}"/>
    <cellStyle name="Normal 7 4 6 6 3 2" xfId="17954" xr:uid="{E56532B5-334C-41A0-9408-9A8D9896B87A}"/>
    <cellStyle name="Normal 7 4 6 6 4" xfId="10407" xr:uid="{D4173E3F-45A5-4BB0-BA83-B0B90F13EDE9}"/>
    <cellStyle name="Normal 7 4 6 6 4 2" xfId="20787" xr:uid="{6E430E16-8CFC-444C-A9D6-F231C478AA65}"/>
    <cellStyle name="Normal 7 4 6 6 5" xfId="23461" xr:uid="{15E33F00-4954-4425-BC03-3D6722B643D9}"/>
    <cellStyle name="Normal 7 4 6 6 6" xfId="12837" xr:uid="{9DA777EC-6CF3-41AD-9C1B-C781CB28E336}"/>
    <cellStyle name="Normal 7 4 6 7" xfId="2203" xr:uid="{00000000-0005-0000-0000-0000B0080000}"/>
    <cellStyle name="Normal 7 4 6 7 2" xfId="7330" xr:uid="{A8F81ABD-473B-4918-9E04-DB1C766D92A5}"/>
    <cellStyle name="Normal 7 4 6 7 2 2" xfId="17710" xr:uid="{FDCE9D7A-B89D-40BB-BEA4-74A61A8B40CC}"/>
    <cellStyle name="Normal 7 4 6 7 3" xfId="10163" xr:uid="{2C0D19E8-C15D-422B-B923-BD2F5C035D3B}"/>
    <cellStyle name="Normal 7 4 6 7 3 2" xfId="20543" xr:uid="{394CAB9D-35A2-4A86-937B-5F0D8D6D7041}"/>
    <cellStyle name="Normal 7 4 6 7 4" xfId="24840" xr:uid="{9E5FDA80-4CAB-44E3-B4E4-46156B50308A}"/>
    <cellStyle name="Normal 7 4 6 7 5" xfId="14877" xr:uid="{5DF8B1D1-0475-4895-BFC3-551D63DE687A}"/>
    <cellStyle name="Normal 7 4 6 8" xfId="4073" xr:uid="{33E269F1-C808-433A-91A0-C4A75B23DD7C}"/>
    <cellStyle name="Normal 7 4 6 8 2" xfId="8853" xr:uid="{A6AB4A80-9BD7-4DBA-8503-88D339F7795E}"/>
    <cellStyle name="Normal 7 4 6 8 2 2" xfId="19233" xr:uid="{A79640B2-7119-4697-9C1C-115D9A4EAF16}"/>
    <cellStyle name="Normal 7 4 6 8 3" xfId="11686" xr:uid="{D99C783C-3268-4C21-8A0E-0C682639B465}"/>
    <cellStyle name="Normal 7 4 6 8 3 2" xfId="22066" xr:uid="{F152A3B2-D04F-4AD8-83C6-2BB298DF8924}"/>
    <cellStyle name="Normal 7 4 6 8 4" xfId="16400" xr:uid="{BD37A6C5-F0BE-4A49-BB6C-8F9B0900EB06}"/>
    <cellStyle name="Normal 7 4 6 9" xfId="5460" xr:uid="{71C8AF85-F312-4E30-893B-D1658E4F63A4}"/>
    <cellStyle name="Normal 7 4 6 9 2" xfId="14757" xr:uid="{F214C8CE-D46B-4D80-9E30-215AC376FC0F}"/>
    <cellStyle name="Normal 7 4 7" xfId="1447" xr:uid="{00000000-0005-0000-0000-00007E070000}"/>
    <cellStyle name="Normal 7 4 7 10" xfId="7215" xr:uid="{B79F1174-C0EF-43EE-B43A-E3C61683CAC6}"/>
    <cellStyle name="Normal 7 4 7 10 2" xfId="17595" xr:uid="{95B2FC8A-E885-4B3B-B5EC-02781C1A58EC}"/>
    <cellStyle name="Normal 7 4 7 11" xfId="10048" xr:uid="{61F7AF7F-836E-4902-8FA2-4DFDAF1457E1}"/>
    <cellStyle name="Normal 7 4 7 11 2" xfId="20428" xr:uid="{ACDF87DF-0957-4653-A0EB-E45124CC174F}"/>
    <cellStyle name="Normal 7 4 7 12" xfId="23784" xr:uid="{A414E85A-79DA-4583-8CF8-9F03726BE8F9}"/>
    <cellStyle name="Normal 7 4 7 13" xfId="12496" xr:uid="{E3FF85BB-8BF9-4B25-ADB5-6C1CD46C9B5C}"/>
    <cellStyle name="Normal 7 4 7 2" xfId="1448" xr:uid="{00000000-0005-0000-0000-00007F070000}"/>
    <cellStyle name="Normal 7 4 7 2 10" xfId="10049" xr:uid="{F40C03E6-EB31-4D47-9DB7-C15F15CCF13A}"/>
    <cellStyle name="Normal 7 4 7 2 10 2" xfId="20429" xr:uid="{F6D054F0-4AB0-4B3F-95C6-26A0388FEC62}"/>
    <cellStyle name="Normal 7 4 7 2 11" xfId="23602" xr:uid="{31F11D70-37E3-4F73-9881-E3BF5C0B086F}"/>
    <cellStyle name="Normal 7 4 7 2 12" xfId="12640" xr:uid="{C1B98FB0-5037-4A65-BF12-7FE07AB74A9A}"/>
    <cellStyle name="Normal 7 4 7 2 2" xfId="1449" xr:uid="{00000000-0005-0000-0000-000080070000}"/>
    <cellStyle name="Normal 7 4 7 2 2 2" xfId="3478" xr:uid="{00000000-0005-0000-0000-0000C0080000}"/>
    <cellStyle name="Normal 7 4 7 2 2 2 2" xfId="6533" xr:uid="{835532A3-77B8-450B-8517-EF41F501D9C9}"/>
    <cellStyle name="Normal 7 4 7 2 2 2 2 2" xfId="27878" xr:uid="{753EB7B4-3D9C-4D5D-A3FC-F4E5B8D41D55}"/>
    <cellStyle name="Normal 7 4 7 2 2 2 2 3" xfId="26176" xr:uid="{0582B580-DB86-483F-8105-DFA09FC7ADC3}"/>
    <cellStyle name="Normal 7 4 7 2 2 2 2 4" xfId="16104" xr:uid="{C69B7FE9-6CA8-4618-B6CE-089E9D15D73F}"/>
    <cellStyle name="Normal 7 4 7 2 2 2 3" xfId="8557" xr:uid="{CF3D07B9-FEBB-483E-9979-C38A4907E144}"/>
    <cellStyle name="Normal 7 4 7 2 2 2 3 2" xfId="28946" xr:uid="{569A284B-BF6D-43C1-912F-2FBEB10DEC4A}"/>
    <cellStyle name="Normal 7 4 7 2 2 2 3 3" xfId="18937" xr:uid="{B79C1081-154D-47F1-BE0F-7D0B459F0F90}"/>
    <cellStyle name="Normal 7 4 7 2 2 2 4" xfId="11390" xr:uid="{198CE081-D38D-41D3-BA1F-18F68ADDD82A}"/>
    <cellStyle name="Normal 7 4 7 2 2 2 4 2" xfId="21770" xr:uid="{E91A20DD-98E4-4926-83CB-3B99B424C5A2}"/>
    <cellStyle name="Normal 7 4 7 2 2 2 5" xfId="25070" xr:uid="{2EAD1687-EDF3-4532-8749-D9E3BE5D5912}"/>
    <cellStyle name="Normal 7 4 7 2 2 2 6" xfId="14066" xr:uid="{B8C2BAA5-061A-4030-945D-403DD5A96AFD}"/>
    <cellStyle name="Normal 7 4 7 2 2 3" xfId="4376" xr:uid="{BFB4A6B1-5B30-48CD-8C71-C8027AED9B9E}"/>
    <cellStyle name="Normal 7 4 7 2 2 3 2" xfId="9148" xr:uid="{1151F43E-E6E9-4C32-97FE-1859BBC3D077}"/>
    <cellStyle name="Normal 7 4 7 2 2 3 2 2" xfId="29191" xr:uid="{1E835761-F2DC-4A00-B563-DEBA163B5F0C}"/>
    <cellStyle name="Normal 7 4 7 2 2 3 2 3" xfId="19528" xr:uid="{635DC76E-0DCC-4D5C-B01B-95173782E5BA}"/>
    <cellStyle name="Normal 7 4 7 2 2 3 3" xfId="11981" xr:uid="{890425D6-E295-44D2-A670-FE1A4CBAF665}"/>
    <cellStyle name="Normal 7 4 7 2 2 3 3 2" xfId="22361" xr:uid="{7B6E5C9E-F032-49CB-93ED-49F1925F2AEC}"/>
    <cellStyle name="Normal 7 4 7 2 2 3 4" xfId="22921" xr:uid="{180EDF12-3F04-42F0-9650-D5BA1FEAAC50}"/>
    <cellStyle name="Normal 7 4 7 2 2 3 5" xfId="16695" xr:uid="{0B8F5DD4-C2A8-408C-AB7A-BFA92340C3F0}"/>
    <cellStyle name="Normal 7 4 7 2 2 4" xfId="5467" xr:uid="{085C80A0-B636-43BC-B6E0-918B21F9F4FE}"/>
    <cellStyle name="Normal 7 4 7 2 2 4 2" xfId="27877" xr:uid="{A0231EC6-6DBA-425B-A7BE-ECB7CCE7148D}"/>
    <cellStyle name="Normal 7 4 7 2 2 4 3" xfId="14764" xr:uid="{814A1EDD-0F76-4742-802A-DDF1E255A252}"/>
    <cellStyle name="Normal 7 4 7 2 2 5" xfId="7217" xr:uid="{60B59DE1-CF70-4DFA-83F7-D16E015BB124}"/>
    <cellStyle name="Normal 7 4 7 2 2 5 2" xfId="17597" xr:uid="{114C42DE-3216-4CD0-832F-26E415C0D56A}"/>
    <cellStyle name="Normal 7 4 7 2 2 6" xfId="10050" xr:uid="{0E815CF9-78A4-4845-B442-F14A9B09353A}"/>
    <cellStyle name="Normal 7 4 7 2 2 6 2" xfId="20430" xr:uid="{CEFB5057-1F37-48F9-A9C3-5EA3C85E5147}"/>
    <cellStyle name="Normal 7 4 7 2 2 7" xfId="25195" xr:uid="{809CDBE0-EF51-474A-8E89-25D65B8BA3D0}"/>
    <cellStyle name="Normal 7 4 7 2 2 8" xfId="13318" xr:uid="{1AADC6D2-94A6-4D00-8F14-11595BDC81F5}"/>
    <cellStyle name="Normal 7 4 7 2 3" xfId="3479" xr:uid="{00000000-0005-0000-0000-0000C1080000}"/>
    <cellStyle name="Normal 7 4 7 2 3 2" xfId="4596" xr:uid="{1689FB8F-5DB2-4F3F-8C00-9F23EBA7B220}"/>
    <cellStyle name="Normal 7 4 7 2 3 2 2" xfId="9368" xr:uid="{087BBC59-C397-489E-9DBF-0D4209A62F13}"/>
    <cellStyle name="Normal 7 4 7 2 3 2 2 2" xfId="29338" xr:uid="{DBD29D0C-9D6F-4A27-B56E-90DEE53D2EFB}"/>
    <cellStyle name="Normal 7 4 7 2 3 2 2 3" xfId="19748" xr:uid="{522F09AD-AAD5-4A97-BAC3-DBA3DE60D4F5}"/>
    <cellStyle name="Normal 7 4 7 2 3 2 3" xfId="12201" xr:uid="{55C93E96-8871-49B4-80C9-9B89DE07AEDE}"/>
    <cellStyle name="Normal 7 4 7 2 3 2 3 2" xfId="22581" xr:uid="{2AA920AA-7192-4A4A-9C0E-282153FC5606}"/>
    <cellStyle name="Normal 7 4 7 2 3 2 4" xfId="22803" xr:uid="{82676B81-828D-4BDD-8E8C-6D58812B4460}"/>
    <cellStyle name="Normal 7 4 7 2 3 2 5" xfId="16915" xr:uid="{7726C983-AA88-4D6C-AFCD-8DB7CCB30F29}"/>
    <cellStyle name="Normal 7 4 7 2 3 3" xfId="6534" xr:uid="{A95C4F38-A94E-4D03-9440-684836A648C8}"/>
    <cellStyle name="Normal 7 4 7 2 3 3 2" xfId="26904" xr:uid="{F523E6E7-5F38-4FFB-92F5-496B29A97F41}"/>
    <cellStyle name="Normal 7 4 7 2 3 3 3" xfId="16105" xr:uid="{6CC3315D-F4AA-41D1-955C-B870089E995B}"/>
    <cellStyle name="Normal 7 4 7 2 3 4" xfId="8558" xr:uid="{2D62317B-2C70-4287-8FDF-457891378A2F}"/>
    <cellStyle name="Normal 7 4 7 2 3 4 2" xfId="18938" xr:uid="{9138CF04-DC4A-4C56-B8F5-CD86EB6CC4C6}"/>
    <cellStyle name="Normal 7 4 7 2 3 5" xfId="11391" xr:uid="{F5B87F4C-24F6-4D73-BE1F-956492E1AA20}"/>
    <cellStyle name="Normal 7 4 7 2 3 5 2" xfId="21771" xr:uid="{180E7CB1-72AC-4F60-BA6F-72C3B5C0D1D7}"/>
    <cellStyle name="Normal 7 4 7 2 3 6" xfId="23660" xr:uid="{433E7EB2-4F66-404D-BD3F-C6CCCB4C2BAA}"/>
    <cellStyle name="Normal 7 4 7 2 3 7" xfId="14067" xr:uid="{14FE246A-9A3A-422B-AFD3-FFE4BA1479EC}"/>
    <cellStyle name="Normal 7 4 7 2 4" xfId="3477" xr:uid="{00000000-0005-0000-0000-0000C2080000}"/>
    <cellStyle name="Normal 7 4 7 2 4 2" xfId="6532" xr:uid="{AC873C04-59CF-44C5-B9D8-1244FA312A75}"/>
    <cellStyle name="Normal 7 4 7 2 4 2 2" xfId="28693" xr:uid="{F47CEBB1-A5FF-4223-AC54-5E4BFE1C4D05}"/>
    <cellStyle name="Normal 7 4 7 2 4 2 3" xfId="16103" xr:uid="{0ECF9ED6-B2E9-400C-A529-9D0DA49C269C}"/>
    <cellStyle name="Normal 7 4 7 2 4 3" xfId="8556" xr:uid="{0AEB99EA-8B24-4814-9EAD-C812A5E1DFA2}"/>
    <cellStyle name="Normal 7 4 7 2 4 3 2" xfId="18936" xr:uid="{FBF54366-F1B3-4EB3-9265-3AA238B11917}"/>
    <cellStyle name="Normal 7 4 7 2 4 4" xfId="11389" xr:uid="{CF7BF7FC-13C8-4CF2-A553-3E054EC32361}"/>
    <cellStyle name="Normal 7 4 7 2 4 4 2" xfId="21769" xr:uid="{7FBBBFD2-9D3F-4570-8E8D-42FCDBA696EF}"/>
    <cellStyle name="Normal 7 4 7 2 4 5" xfId="23082" xr:uid="{F500A9A7-03FF-48CE-B3DA-7D9A7BF22254}"/>
    <cellStyle name="Normal 7 4 7 2 4 6" xfId="14065" xr:uid="{944BD33C-BC03-4ECA-8058-07C53A9CECA4}"/>
    <cellStyle name="Normal 7 4 7 2 5" xfId="2659" xr:uid="{00000000-0005-0000-0000-0000C3080000}"/>
    <cellStyle name="Normal 7 4 7 2 5 2" xfId="5919" xr:uid="{443DCE2B-1BCC-4789-BC72-DF370AE7C418}"/>
    <cellStyle name="Normal 7 4 7 2 5 2 2" xfId="28338" xr:uid="{8B00CD0F-65F8-4F19-92C2-FBEC85C3723B}"/>
    <cellStyle name="Normal 7 4 7 2 5 2 3" xfId="15331" xr:uid="{BC3654FF-F640-4849-BBE5-A074CF7AE471}"/>
    <cellStyle name="Normal 7 4 7 2 5 3" xfId="7784" xr:uid="{96DFB3CC-A7FD-4EDB-A126-275A452086D4}"/>
    <cellStyle name="Normal 7 4 7 2 5 3 2" xfId="18164" xr:uid="{BB748B09-C445-4262-A3D2-665784591EBE}"/>
    <cellStyle name="Normal 7 4 7 2 5 4" xfId="10617" xr:uid="{9E00C11B-8CA0-4262-9313-24F7205A5E35}"/>
    <cellStyle name="Normal 7 4 7 2 5 4 2" xfId="20997" xr:uid="{44ACAF02-FCC8-46FF-BCFC-1AC8A436311E}"/>
    <cellStyle name="Normal 7 4 7 2 5 5" xfId="24249" xr:uid="{9652E4A4-661C-461F-A4E5-6C30D82367C9}"/>
    <cellStyle name="Normal 7 4 7 2 5 6" xfId="13061" xr:uid="{497D5461-BAB8-482E-AEF1-32484752C112}"/>
    <cellStyle name="Normal 7 4 7 2 6" xfId="2406" xr:uid="{00000000-0005-0000-0000-0000BE080000}"/>
    <cellStyle name="Normal 7 4 7 2 6 2" xfId="7533" xr:uid="{12C15163-D3D2-4099-AD4D-3F32D16C7917}"/>
    <cellStyle name="Normal 7 4 7 2 6 2 2" xfId="17913" xr:uid="{752FFE43-BDC1-4658-8EE9-E42E01502B7F}"/>
    <cellStyle name="Normal 7 4 7 2 6 3" xfId="10366" xr:uid="{414B79A5-C223-41B1-8954-D6404FDB9F63}"/>
    <cellStyle name="Normal 7 4 7 2 6 3 2" xfId="20746" xr:uid="{8E74309E-0898-4694-8E1E-F07D1D4CC7CA}"/>
    <cellStyle name="Normal 7 4 7 2 6 4" xfId="24277" xr:uid="{9D38924A-EC67-40DF-9F6E-C50DBBED1E9D}"/>
    <cellStyle name="Normal 7 4 7 2 6 5" xfId="15080" xr:uid="{73E8DB9B-F18A-47A6-8E5F-C8FA1EF47659}"/>
    <cellStyle name="Normal 7 4 7 2 7" xfId="4106" xr:uid="{D87A775D-18FB-45E1-96AA-50CF7B162F1F}"/>
    <cellStyle name="Normal 7 4 7 2 7 2" xfId="8880" xr:uid="{DF991E6F-1F0C-44AE-BA6A-543E71D4749D}"/>
    <cellStyle name="Normal 7 4 7 2 7 2 2" xfId="19260" xr:uid="{3B727B29-FCC8-4D2C-8F00-B26C7C7D7724}"/>
    <cellStyle name="Normal 7 4 7 2 7 3" xfId="11713" xr:uid="{16BF8E4F-AD5A-4707-A9DC-F6654F932618}"/>
    <cellStyle name="Normal 7 4 7 2 7 3 2" xfId="22093" xr:uid="{97491C52-85E1-4BAA-A2A7-BD76FA8D6397}"/>
    <cellStyle name="Normal 7 4 7 2 7 4" xfId="16427" xr:uid="{A5E909EF-B5C4-4877-941B-A3659F729203}"/>
    <cellStyle name="Normal 7 4 7 2 8" xfId="5466" xr:uid="{6F0B7010-59EE-490E-8ED4-B783C191CA87}"/>
    <cellStyle name="Normal 7 4 7 2 8 2" xfId="14763" xr:uid="{78E2288B-5128-4C6D-9A0F-3CB5109E590F}"/>
    <cellStyle name="Normal 7 4 7 2 9" xfId="7216" xr:uid="{F4913F37-2E7F-4915-B248-3364406353F7}"/>
    <cellStyle name="Normal 7 4 7 2 9 2" xfId="17596" xr:uid="{4B90E811-204E-4212-A726-358031C684E7}"/>
    <cellStyle name="Normal 7 4 7 3" xfId="1450" xr:uid="{00000000-0005-0000-0000-000081070000}"/>
    <cellStyle name="Normal 7 4 7 3 2" xfId="3480" xr:uid="{00000000-0005-0000-0000-0000C5080000}"/>
    <cellStyle name="Normal 7 4 7 3 2 2" xfId="6535" xr:uid="{61706EA8-5D82-469E-B186-E0431E394375}"/>
    <cellStyle name="Normal 7 4 7 3 2 2 2" xfId="25750" xr:uid="{ECFDC6EF-3C9F-4A61-BFBD-7FDC7F3C51B4}"/>
    <cellStyle name="Normal 7 4 7 3 2 2 3" xfId="28069" xr:uid="{7AFE8E7C-95E4-4E6B-ACC6-3E6100D2653B}"/>
    <cellStyle name="Normal 7 4 7 3 2 2 4" xfId="16106" xr:uid="{4493339F-23EC-4A52-A00A-F6BE7069BBA3}"/>
    <cellStyle name="Normal 7 4 7 3 2 3" xfId="8559" xr:uid="{335C79E9-6054-4027-BE5B-C25C41F48C52}"/>
    <cellStyle name="Normal 7 4 7 3 2 3 2" xfId="28947" xr:uid="{B5E39330-300B-4FD5-ACC7-490077C31DCA}"/>
    <cellStyle name="Normal 7 4 7 3 2 3 3" xfId="18939" xr:uid="{6FA3E757-27A9-4C60-9684-D2642DBB38CC}"/>
    <cellStyle name="Normal 7 4 7 3 2 4" xfId="11392" xr:uid="{086E2616-65C5-472F-8D1A-8BD68DCA150D}"/>
    <cellStyle name="Normal 7 4 7 3 2 4 2" xfId="21772" xr:uid="{F7D4E1DB-B764-47EB-B5F7-06B498E5C787}"/>
    <cellStyle name="Normal 7 4 7 3 2 5" xfId="23230" xr:uid="{4AB5FA36-6094-498D-AF13-7EB6F3BD39B5}"/>
    <cellStyle name="Normal 7 4 7 3 2 6" xfId="14068" xr:uid="{753790BE-DA64-4AB2-9067-92DD94E84573}"/>
    <cellStyle name="Normal 7 4 7 3 3" xfId="2838" xr:uid="{00000000-0005-0000-0000-0000C6080000}"/>
    <cellStyle name="Normal 7 4 7 3 3 2" xfId="6054" xr:uid="{8DE4C71E-332A-403D-A415-A81138DD4354}"/>
    <cellStyle name="Normal 7 4 7 3 3 2 2" xfId="26054" xr:uid="{D388C9E6-6518-457A-8D14-B941CACB46EC}"/>
    <cellStyle name="Normal 7 4 7 3 3 2 3" xfId="15508" xr:uid="{E0B7F2D8-A1B1-452C-A864-AEFFD9A3EB8E}"/>
    <cellStyle name="Normal 7 4 7 3 3 3" xfId="7961" xr:uid="{BBE9A254-9019-4A38-B50A-12B081FC8543}"/>
    <cellStyle name="Normal 7 4 7 3 3 3 2" xfId="18341" xr:uid="{7CEA1581-C4CF-43FD-8F79-132B725EA5F5}"/>
    <cellStyle name="Normal 7 4 7 3 3 4" xfId="10794" xr:uid="{03794532-AD69-4E82-B4E9-AF8643F71B54}"/>
    <cellStyle name="Normal 7 4 7 3 3 4 2" xfId="21174" xr:uid="{1B24BDCB-82BC-4609-BCA8-2D409AFBA1C1}"/>
    <cellStyle name="Normal 7 4 7 3 3 5" xfId="23420" xr:uid="{00DB68DD-9B57-4227-8DE6-69BEA69A5BDB}"/>
    <cellStyle name="Normal 7 4 7 3 3 6" xfId="13317" xr:uid="{79771691-01FB-4CD5-A8C5-73D033E20F8D}"/>
    <cellStyle name="Normal 7 4 7 3 4" xfId="4224" xr:uid="{868E8642-FD9A-4C16-A2A9-CB4C8F6EC4D8}"/>
    <cellStyle name="Normal 7 4 7 3 4 2" xfId="8996" xr:uid="{4A114C44-F849-4837-A218-8C4BFC20DB6C}"/>
    <cellStyle name="Normal 7 4 7 3 4 2 2" xfId="29073" xr:uid="{D37E2849-96A6-402D-BF6D-51D76082C881}"/>
    <cellStyle name="Normal 7 4 7 3 4 2 3" xfId="19376" xr:uid="{04B4192F-13C7-40A9-B41F-D9FDD757D52F}"/>
    <cellStyle name="Normal 7 4 7 3 4 3" xfId="11829" xr:uid="{3E2A0BF3-04EF-4A8F-A8FE-C3832F6D8A17}"/>
    <cellStyle name="Normal 7 4 7 3 4 3 2" xfId="22209" xr:uid="{D5CE6415-826C-4C7E-B729-9BC35B831ED8}"/>
    <cellStyle name="Normal 7 4 7 3 4 4" xfId="23217" xr:uid="{15E37647-CD6C-4DA4-BBA4-28A47CCC4BEB}"/>
    <cellStyle name="Normal 7 4 7 3 4 5" xfId="16543" xr:uid="{AD8FF9A8-C77A-44FB-9887-9087FCBC4094}"/>
    <cellStyle name="Normal 7 4 7 3 5" xfId="5468" xr:uid="{8D25D220-2FF2-43BE-BC8F-56B4161337FE}"/>
    <cellStyle name="Normal 7 4 7 3 5 2" xfId="27926" xr:uid="{2BBADF59-D9E5-42CB-B28C-CEA4A398C5D1}"/>
    <cellStyle name="Normal 7 4 7 3 5 3" xfId="14765" xr:uid="{D8A35B42-5228-4B3B-9E71-60B74908A532}"/>
    <cellStyle name="Normal 7 4 7 3 6" xfId="7218" xr:uid="{126128AB-A05E-4E92-A97F-5888BB8AD877}"/>
    <cellStyle name="Normal 7 4 7 3 6 2" xfId="17598" xr:uid="{436869C4-895A-4BA2-967B-234A76F89593}"/>
    <cellStyle name="Normal 7 4 7 3 7" xfId="10051" xr:uid="{2CCB0FF7-08CC-42D7-90B9-D3F0BB1A6436}"/>
    <cellStyle name="Normal 7 4 7 3 7 2" xfId="20431" xr:uid="{CD933EEC-61EC-456A-8E02-A24EDE00DC1D}"/>
    <cellStyle name="Normal 7 4 7 3 8" xfId="24365" xr:uid="{BD47C77D-257C-4527-977A-0E9C6C74B7D7}"/>
    <cellStyle name="Normal 7 4 7 3 9" xfId="12798" xr:uid="{9A8FCB18-907D-4ABD-B53A-8AE5A6F7F03E}"/>
    <cellStyle name="Normal 7 4 7 4" xfId="1451" xr:uid="{00000000-0005-0000-0000-000082070000}"/>
    <cellStyle name="Normal 7 4 7 4 2" xfId="4597" xr:uid="{FB99FE3F-BCFD-4770-AC9D-0E013FACC6CA}"/>
    <cellStyle name="Normal 7 4 7 4 2 2" xfId="9369" xr:uid="{0289CCA7-D936-43D2-BC28-CC7ED5349085}"/>
    <cellStyle name="Normal 7 4 7 4 2 2 2" xfId="29339" xr:uid="{D4D4E986-8887-481B-82EF-15450503BCC6}"/>
    <cellStyle name="Normal 7 4 7 4 2 2 3" xfId="19749" xr:uid="{13D5F93D-EBD5-4BFA-8470-D17F42C52125}"/>
    <cellStyle name="Normal 7 4 7 4 2 3" xfId="12202" xr:uid="{02996C38-3969-42E9-BBB1-7FF44A0DEB9F}"/>
    <cellStyle name="Normal 7 4 7 4 2 3 2" xfId="22582" xr:uid="{E90656C2-4548-4684-A2EA-CCE35561E46B}"/>
    <cellStyle name="Normal 7 4 7 4 2 4" xfId="25707" xr:uid="{A431ED13-DEE9-4D05-BFBD-82AE9B4033C6}"/>
    <cellStyle name="Normal 7 4 7 4 2 5" xfId="16916" xr:uid="{DDF9C28C-4DC4-4803-85E5-CD40F5201F86}"/>
    <cellStyle name="Normal 7 4 7 4 3" xfId="5469" xr:uid="{FCC12BAB-EB74-49EA-92F5-4DD47FAEF40D}"/>
    <cellStyle name="Normal 7 4 7 4 3 2" xfId="27196" xr:uid="{005C267B-13B8-4241-9E1F-9D6D0C8A2373}"/>
    <cellStyle name="Normal 7 4 7 4 3 3" xfId="14766" xr:uid="{F961C8CD-6951-4227-9997-B8ED73975A66}"/>
    <cellStyle name="Normal 7 4 7 4 4" xfId="7219" xr:uid="{78F1A636-2A49-46B5-B168-6DA0297DA514}"/>
    <cellStyle name="Normal 7 4 7 4 4 2" xfId="17599" xr:uid="{A0C1DAC9-3967-4DE6-A4E0-BC2933ECC7B0}"/>
    <cellStyle name="Normal 7 4 7 4 5" xfId="10052" xr:uid="{247CB7BF-F3AB-4FAB-8849-615BBF88BFE3}"/>
    <cellStyle name="Normal 7 4 7 4 5 2" xfId="20432" xr:uid="{433360EF-24F2-44FE-B491-00832D4F3C4C}"/>
    <cellStyle name="Normal 7 4 7 4 6" xfId="23942" xr:uid="{4B8E3C43-E3F8-45A4-B209-D344009322F9}"/>
    <cellStyle name="Normal 7 4 7 4 7" xfId="14069" xr:uid="{D6F7031A-BBD4-41CE-8452-F3D01734CF83}"/>
    <cellStyle name="Normal 7 4 7 5" xfId="2997" xr:uid="{00000000-0005-0000-0000-0000C8080000}"/>
    <cellStyle name="Normal 7 4 7 5 2" xfId="6147" xr:uid="{6BCE8B4A-9675-40C0-A2D5-6294386B68E9}"/>
    <cellStyle name="Normal 7 4 7 5 2 2" xfId="25621" xr:uid="{00D2962E-FF70-4896-8991-B69B1A34BC5D}"/>
    <cellStyle name="Normal 7 4 7 5 2 3" xfId="28713" xr:uid="{1A2B71F5-5B9A-42F3-9242-0C02BE2F4E8E}"/>
    <cellStyle name="Normal 7 4 7 5 2 4" xfId="15625" xr:uid="{2979D8AD-8A6A-430C-8D78-829E0661FEAF}"/>
    <cellStyle name="Normal 7 4 7 5 3" xfId="8078" xr:uid="{C3649476-9B69-458C-A42E-9F7BADBA0F44}"/>
    <cellStyle name="Normal 7 4 7 5 3 2" xfId="28771" xr:uid="{1FA1714F-F91C-4808-A63D-01DAD61C1825}"/>
    <cellStyle name="Normal 7 4 7 5 3 3" xfId="18458" xr:uid="{150810D6-BA47-481C-BE74-1A7170BE9834}"/>
    <cellStyle name="Normal 7 4 7 5 4" xfId="10911" xr:uid="{76AF9BC8-791B-41D3-8DDC-70BADCC74451}"/>
    <cellStyle name="Normal 7 4 7 5 4 2" xfId="21291" xr:uid="{464574B5-8425-4615-97A5-7E829E354DC4}"/>
    <cellStyle name="Normal 7 4 7 5 5" xfId="23237" xr:uid="{E90100EE-4289-4EA3-A0A4-25E461D2A1AE}"/>
    <cellStyle name="Normal 7 4 7 5 6" xfId="13496" xr:uid="{369EE70D-046F-4304-922A-298A8F178DE4}"/>
    <cellStyle name="Normal 7 4 7 6" xfId="2509" xr:uid="{00000000-0005-0000-0000-0000C9080000}"/>
    <cellStyle name="Normal 7 4 7 6 2" xfId="5789" xr:uid="{3282F4A4-00CD-4F19-9E65-F7B74C6C665F}"/>
    <cellStyle name="Normal 7 4 7 6 2 2" xfId="26983" xr:uid="{66B53AA0-BEFE-4749-A86C-02568B55DDB5}"/>
    <cellStyle name="Normal 7 4 7 6 2 3" xfId="15181" xr:uid="{55CD1FC0-6CF1-4FB1-83EE-30066C9FC681}"/>
    <cellStyle name="Normal 7 4 7 6 3" xfId="7634" xr:uid="{5D6AE3A2-45AE-49DD-BB38-14E2B4134932}"/>
    <cellStyle name="Normal 7 4 7 6 3 2" xfId="18014" xr:uid="{88E4946E-65D9-4531-AB80-D4140E7F23CD}"/>
    <cellStyle name="Normal 7 4 7 6 4" xfId="10467" xr:uid="{24758081-1C61-4D2A-94E1-4C6478F91DAC}"/>
    <cellStyle name="Normal 7 4 7 6 4 2" xfId="20847" xr:uid="{B09CA23A-6034-47FF-992D-9130CACE3CFB}"/>
    <cellStyle name="Normal 7 4 7 6 5" xfId="22837" xr:uid="{F640ABDA-F9FF-4991-9312-581AA991DA9E}"/>
    <cellStyle name="Normal 7 4 7 6 6" xfId="12897" xr:uid="{5B8820CC-2D2B-48FD-9836-B40397742CA8}"/>
    <cellStyle name="Normal 7 4 7 7" xfId="2264" xr:uid="{00000000-0005-0000-0000-0000BD080000}"/>
    <cellStyle name="Normal 7 4 7 7 2" xfId="7391" xr:uid="{E74BE3B4-261E-444B-A27C-4F00352E7831}"/>
    <cellStyle name="Normal 7 4 7 7 2 2" xfId="17771" xr:uid="{6CEFC5A1-6090-4C2C-B75A-8C0909309771}"/>
    <cellStyle name="Normal 7 4 7 7 3" xfId="10224" xr:uid="{65CE8179-84B8-4688-8184-4749C187FB18}"/>
    <cellStyle name="Normal 7 4 7 7 3 2" xfId="20604" xr:uid="{DF899853-DDB0-4671-B968-05FF263CF7A4}"/>
    <cellStyle name="Normal 7 4 7 7 4" xfId="24889" xr:uid="{47D07235-046B-4F6B-81B0-576B8D303214}"/>
    <cellStyle name="Normal 7 4 7 7 5" xfId="14938" xr:uid="{87694CAD-8FC6-450E-952E-6ED1E3EC09BD}"/>
    <cellStyle name="Normal 7 4 7 8" xfId="4074" xr:uid="{70E150A0-3A47-4E60-B8FA-194FFB563C3E}"/>
    <cellStyle name="Normal 7 4 7 8 2" xfId="8854" xr:uid="{5DF1E159-61F3-4D49-AA29-426995D42922}"/>
    <cellStyle name="Normal 7 4 7 8 2 2" xfId="19234" xr:uid="{5A6D3A2F-AFA5-4626-99E0-6FE492875E7B}"/>
    <cellStyle name="Normal 7 4 7 8 3" xfId="11687" xr:uid="{DBB786BC-AF1E-4169-916E-BD0BE84ED065}"/>
    <cellStyle name="Normal 7 4 7 8 3 2" xfId="22067" xr:uid="{9A3746EF-A789-4423-AE61-8B8F3818B0B2}"/>
    <cellStyle name="Normal 7 4 7 8 4" xfId="16401" xr:uid="{085B9D30-FF63-40A6-AD5F-27858B14E95D}"/>
    <cellStyle name="Normal 7 4 7 9" xfId="5465" xr:uid="{9299171B-9C8B-4B60-AB4A-96F4C3795E5F}"/>
    <cellStyle name="Normal 7 4 7 9 2" xfId="14762" xr:uid="{A42887CF-1C94-4F1E-9F18-7545BC723F24}"/>
    <cellStyle name="Normal 7 4 8" xfId="1452" xr:uid="{00000000-0005-0000-0000-000083070000}"/>
    <cellStyle name="Normal 7 4 8 10" xfId="10053" xr:uid="{EF1712B9-C7CB-4AE8-AF0F-EEFD4CA74A28}"/>
    <cellStyle name="Normal 7 4 8 10 2" xfId="20433" xr:uid="{3C6DBDF1-9C3E-4E2D-8524-E76C6490384E}"/>
    <cellStyle name="Normal 7 4 8 11" xfId="23573" xr:uid="{43D06133-5809-4FC6-8DC4-450E476CEC4E}"/>
    <cellStyle name="Normal 7 4 8 12" xfId="12641" xr:uid="{6961CC9C-F0C5-4FCB-B4DB-A0EB2B36D790}"/>
    <cellStyle name="Normal 7 4 8 2" xfId="1453" xr:uid="{00000000-0005-0000-0000-000084070000}"/>
    <cellStyle name="Normal 7 4 8 2 2" xfId="1454" xr:uid="{00000000-0005-0000-0000-000085070000}"/>
    <cellStyle name="Normal 7 4 8 2 2 2" xfId="5472" xr:uid="{3636D283-D47D-4334-9F84-556F35350CD4}"/>
    <cellStyle name="Normal 7 4 8 2 2 2 2" xfId="22857" xr:uid="{001F5703-3C79-4AFC-97A0-E655D62F5145}"/>
    <cellStyle name="Normal 7 4 8 2 2 2 3" xfId="26531" xr:uid="{7B3488E1-EC29-470F-8BCA-EE71F9B0E4F4}"/>
    <cellStyle name="Normal 7 4 8 2 2 2 4" xfId="14769" xr:uid="{0E4F747D-C5F0-4A33-9086-928DFCEC4AE7}"/>
    <cellStyle name="Normal 7 4 8 2 2 3" xfId="7222" xr:uid="{114E8657-7A27-4839-9190-62CF8DE676B8}"/>
    <cellStyle name="Normal 7 4 8 2 2 3 2" xfId="27673" xr:uid="{CDF11442-3C64-4690-8B34-D1E2879987F5}"/>
    <cellStyle name="Normal 7 4 8 2 2 3 3" xfId="27224" xr:uid="{00A3FBD5-8822-4EE3-BB33-4BB4B90B7BFE}"/>
    <cellStyle name="Normal 7 4 8 2 2 3 4" xfId="17602" xr:uid="{64BCE88B-475D-4F81-BBBF-81734BD592D1}"/>
    <cellStyle name="Normal 7 4 8 2 2 4" xfId="10055" xr:uid="{F90B0E8E-6484-4357-8D7A-CF9A58E95B54}"/>
    <cellStyle name="Normal 7 4 8 2 2 4 2" xfId="29462" xr:uid="{1DD9C4E6-F108-4FE3-B158-0F11A48A747D}"/>
    <cellStyle name="Normal 7 4 8 2 2 4 3" xfId="20435" xr:uid="{B151CD92-979C-4289-BA81-31E625EE1FB0}"/>
    <cellStyle name="Normal 7 4 8 2 2 5" xfId="22983" xr:uid="{DC1D515C-8D40-4010-B201-28E36CD742B8}"/>
    <cellStyle name="Normal 7 4 8 2 2 6" xfId="14070" xr:uid="{6269B15C-ED57-4E8D-9118-1C43CE8D3032}"/>
    <cellStyle name="Normal 7 4 8 2 3" xfId="2839" xr:uid="{00000000-0005-0000-0000-0000CD080000}"/>
    <cellStyle name="Normal 7 4 8 2 3 2" xfId="6055" xr:uid="{533E40A1-DF87-4FA6-AE2C-A2B63E3428C2}"/>
    <cellStyle name="Normal 7 4 8 2 3 2 2" xfId="27976" xr:uid="{B6DBF4DC-96B9-4B03-8C95-8AEF8EB0838E}"/>
    <cellStyle name="Normal 7 4 8 2 3 2 3" xfId="15509" xr:uid="{43E36D2B-2CE5-46AC-A934-BEF148DDBB44}"/>
    <cellStyle name="Normal 7 4 8 2 3 3" xfId="7962" xr:uid="{04A2E131-B306-4793-8B45-EB3B6D12F2D2}"/>
    <cellStyle name="Normal 7 4 8 2 3 3 2" xfId="18342" xr:uid="{0291A93E-8044-4E13-8231-4795AD85073F}"/>
    <cellStyle name="Normal 7 4 8 2 3 4" xfId="10795" xr:uid="{CCBF599F-2B4A-4F20-82CB-CACDF3B1F18F}"/>
    <cellStyle name="Normal 7 4 8 2 3 4 2" xfId="21175" xr:uid="{9E42111E-D727-414C-BB03-DCEC354A0271}"/>
    <cellStyle name="Normal 7 4 8 2 3 5" xfId="25545" xr:uid="{5B2D9023-73DA-4C07-93E9-9A05B412FA11}"/>
    <cellStyle name="Normal 7 4 8 2 3 6" xfId="13319" xr:uid="{372EB46D-FBCB-4920-A543-58B0CE78C24C}"/>
    <cellStyle name="Normal 7 4 8 2 4" xfId="4225" xr:uid="{8E084ECD-D9A3-44A4-A982-75C1FF528684}"/>
    <cellStyle name="Normal 7 4 8 2 4 2" xfId="8997" xr:uid="{079480DA-C2A6-4B8B-BD2D-0CE02AB0AE0C}"/>
    <cellStyle name="Normal 7 4 8 2 4 2 2" xfId="29074" xr:uid="{6DB4ED39-4019-42DC-B1AD-57FF195097E3}"/>
    <cellStyle name="Normal 7 4 8 2 4 2 3" xfId="19377" xr:uid="{C6F3931D-3785-40C9-9691-4E0B7196FB77}"/>
    <cellStyle name="Normal 7 4 8 2 4 3" xfId="11830" xr:uid="{CDA35758-37F4-4F93-AA7D-79E55E812167}"/>
    <cellStyle name="Normal 7 4 8 2 4 3 2" xfId="22210" xr:uid="{11D3B409-E9D6-41C2-A7CE-B4EEEF93B14D}"/>
    <cellStyle name="Normal 7 4 8 2 4 4" xfId="24112" xr:uid="{0B9D6056-DDE6-48B5-BA68-07BA3D8C25C7}"/>
    <cellStyle name="Normal 7 4 8 2 4 5" xfId="16544" xr:uid="{93347217-0AD9-43A3-A432-8A0B4AB0976F}"/>
    <cellStyle name="Normal 7 4 8 2 5" xfId="5471" xr:uid="{D16A82EB-F898-4D42-B341-781736254535}"/>
    <cellStyle name="Normal 7 4 8 2 5 2" xfId="28591" xr:uid="{07B1A7FE-5DA6-4522-B8AB-1D6656A4C352}"/>
    <cellStyle name="Normal 7 4 8 2 5 3" xfId="14768" xr:uid="{EF28EBA3-8C92-4F02-A28C-B91C1791E825}"/>
    <cellStyle name="Normal 7 4 8 2 6" xfId="7221" xr:uid="{F82626F9-B023-4DD5-99F4-C3233264730A}"/>
    <cellStyle name="Normal 7 4 8 2 6 2" xfId="17601" xr:uid="{65417845-AEB1-42BC-9F5C-EC07F3813DF3}"/>
    <cellStyle name="Normal 7 4 8 2 7" xfId="10054" xr:uid="{E3A0AD72-330F-4E16-9251-6FF44E174797}"/>
    <cellStyle name="Normal 7 4 8 2 7 2" xfId="20434" xr:uid="{92058508-752E-41BD-A1E3-6A7ECF2FF9AE}"/>
    <cellStyle name="Normal 7 4 8 2 8" xfId="23182" xr:uid="{D1A9F8F7-5B3D-47D5-9AB4-485129EF5884}"/>
    <cellStyle name="Normal 7 4 8 2 9" xfId="12799" xr:uid="{E5314721-3A8C-4084-92F5-27E37DA35265}"/>
    <cellStyle name="Normal 7 4 8 3" xfId="1455" xr:uid="{00000000-0005-0000-0000-000086070000}"/>
    <cellStyle name="Normal 7 4 8 3 2" xfId="4598" xr:uid="{0552F609-7B1B-4E64-BC29-4822327C096B}"/>
    <cellStyle name="Normal 7 4 8 3 2 2" xfId="9370" xr:uid="{EFB8727F-0BF3-4E35-A6CA-126317C3646D}"/>
    <cellStyle name="Normal 7 4 8 3 2 2 2" xfId="29340" xr:uid="{4FD2DF76-9645-465E-9B70-515351FB064B}"/>
    <cellStyle name="Normal 7 4 8 3 2 2 3" xfId="19750" xr:uid="{D0EAD18A-C677-44DB-BB26-6E71FE56911A}"/>
    <cellStyle name="Normal 7 4 8 3 2 3" xfId="12203" xr:uid="{41AA11EC-67D3-42D5-857C-D96D3CF6C217}"/>
    <cellStyle name="Normal 7 4 8 3 2 3 2" xfId="22583" xr:uid="{B914BBE6-A71D-4D37-848C-FD9C5600B136}"/>
    <cellStyle name="Normal 7 4 8 3 2 4" xfId="24049" xr:uid="{BC81B891-0337-4B68-A938-824B9F85EF89}"/>
    <cellStyle name="Normal 7 4 8 3 2 5" xfId="16917" xr:uid="{45508FF6-ADAC-476C-999C-574F428865E5}"/>
    <cellStyle name="Normal 7 4 8 3 3" xfId="5473" xr:uid="{9EB788E9-C458-4241-97E0-0A5708A4F013}"/>
    <cellStyle name="Normal 7 4 8 3 3 2" xfId="26873" xr:uid="{5864A27F-D222-4694-889D-07BC791B4827}"/>
    <cellStyle name="Normal 7 4 8 3 3 3" xfId="27753" xr:uid="{970D654A-3A39-468E-9FF8-6EEF5B872978}"/>
    <cellStyle name="Normal 7 4 8 3 3 4" xfId="14770" xr:uid="{D6471D8E-B8AD-4F07-A492-B59D7BA115C2}"/>
    <cellStyle name="Normal 7 4 8 3 4" xfId="7223" xr:uid="{CFB8BE2B-B057-4463-9007-F5A746AEEFA8}"/>
    <cellStyle name="Normal 7 4 8 3 4 2" xfId="27448" xr:uid="{2C111934-A6EB-4C1C-9E28-2B305E91DA34}"/>
    <cellStyle name="Normal 7 4 8 3 4 3" xfId="26542" xr:uid="{BA28009A-4CCE-42DC-847A-665A79744884}"/>
    <cellStyle name="Normal 7 4 8 3 4 4" xfId="17603" xr:uid="{7553F6F9-5D53-48F7-AEB8-ECD0645E5423}"/>
    <cellStyle name="Normal 7 4 8 3 5" xfId="10056" xr:uid="{53D5B659-CC9A-4282-AFB6-6FC4A325B9AF}"/>
    <cellStyle name="Normal 7 4 8 3 5 2" xfId="29463" xr:uid="{ED9AC750-B820-45ED-9DBD-C803097122AA}"/>
    <cellStyle name="Normal 7 4 8 3 5 3" xfId="20436" xr:uid="{199DA9D9-5D95-4BAD-B915-2F7DEE3B0A69}"/>
    <cellStyle name="Normal 7 4 8 3 6" xfId="24086" xr:uid="{C42B40C5-0926-44A6-864E-A770011B03A1}"/>
    <cellStyle name="Normal 7 4 8 3 7" xfId="14071" xr:uid="{2387A4F3-8807-408B-8776-012E16C10264}"/>
    <cellStyle name="Normal 7 4 8 4" xfId="1456" xr:uid="{00000000-0005-0000-0000-000087070000}"/>
    <cellStyle name="Normal 7 4 8 4 2" xfId="5474" xr:uid="{958CCFC7-A3AA-4E91-A046-F3DE252E7A43}"/>
    <cellStyle name="Normal 7 4 8 4 2 2" xfId="22869" xr:uid="{26AC1B0C-17C8-4C3C-9674-A1DBA9D4E53F}"/>
    <cellStyle name="Normal 7 4 8 4 2 3" xfId="28395" xr:uid="{4B196243-582F-478C-AA12-1B90DF8A5532}"/>
    <cellStyle name="Normal 7 4 8 4 2 4" xfId="14771" xr:uid="{078F1B5B-9148-46E4-A2CF-592D9DA8B159}"/>
    <cellStyle name="Normal 7 4 8 4 3" xfId="7224" xr:uid="{DFEAD6C0-7EC2-498F-B1CF-0095E0E59A1D}"/>
    <cellStyle name="Normal 7 4 8 4 3 2" xfId="27716" xr:uid="{DD897E5F-461E-405A-A6B7-D6F62706497F}"/>
    <cellStyle name="Normal 7 4 8 4 3 3" xfId="17604" xr:uid="{73799A35-854B-47AA-BF6B-D745F5F9AE43}"/>
    <cellStyle name="Normal 7 4 8 4 4" xfId="10057" xr:uid="{274713DF-9C4F-4F39-B0C6-CC78A3E62918}"/>
    <cellStyle name="Normal 7 4 8 4 4 2" xfId="20437" xr:uid="{3C396B5E-E960-4686-A80A-8B1A6FA7ECDA}"/>
    <cellStyle name="Normal 7 4 8 4 5" xfId="25226" xr:uid="{CA4E3F5D-FCCF-4226-B39A-0FBDEB279BA7}"/>
    <cellStyle name="Normal 7 4 8 4 6" xfId="13497" xr:uid="{4E555D96-9475-4A85-A500-2A06EECEF281}"/>
    <cellStyle name="Normal 7 4 8 5" xfId="2569" xr:uid="{00000000-0005-0000-0000-0000D0080000}"/>
    <cellStyle name="Normal 7 4 8 5 2" xfId="5838" xr:uid="{0B4A4FB7-E628-4771-9D78-2BE2F5A0CC9A}"/>
    <cellStyle name="Normal 7 4 8 5 2 2" xfId="27445" xr:uid="{1CBA59C3-48A6-4C5B-9198-9C49E59DEBC6}"/>
    <cellStyle name="Normal 7 4 8 5 2 3" xfId="15241" xr:uid="{84425239-7B88-447E-A96A-BA3BA78301FC}"/>
    <cellStyle name="Normal 7 4 8 5 3" xfId="7694" xr:uid="{FF7E3AB0-9D5B-4C6B-AAA9-013CDB84EC1F}"/>
    <cellStyle name="Normal 7 4 8 5 3 2" xfId="18074" xr:uid="{AAB89A67-DE61-47AA-A2A6-73C10586305C}"/>
    <cellStyle name="Normal 7 4 8 5 4" xfId="10527" xr:uid="{F7532814-E583-40F2-A2FF-CBD1218C2FF6}"/>
    <cellStyle name="Normal 7 4 8 5 4 2" xfId="20907" xr:uid="{84ADA1D1-FA62-44CA-B030-636B308291F0}"/>
    <cellStyle name="Normal 7 4 8 5 5" xfId="23703" xr:uid="{4027B57F-1CD2-4D4D-A090-33B6A7F2C613}"/>
    <cellStyle name="Normal 7 4 8 5 6" xfId="12957" xr:uid="{268865C0-322C-4EE8-BE9D-00E2CBABDD0C}"/>
    <cellStyle name="Normal 7 4 8 6" xfId="2407" xr:uid="{00000000-0005-0000-0000-0000CA080000}"/>
    <cellStyle name="Normal 7 4 8 6 2" xfId="7534" xr:uid="{A7B3FD74-6C53-412E-86D9-EF8903CBBE17}"/>
    <cellStyle name="Normal 7 4 8 6 2 2" xfId="26368" xr:uid="{39E3F7FF-2F09-4F7F-A9AD-B4DB0A684011}"/>
    <cellStyle name="Normal 7 4 8 6 2 3" xfId="17914" xr:uid="{B1256805-C7C5-4C0B-BA11-9A8F4E51285D}"/>
    <cellStyle name="Normal 7 4 8 6 3" xfId="10367" xr:uid="{357387AB-895E-4C97-BA1B-D5593175AC1E}"/>
    <cellStyle name="Normal 7 4 8 6 3 2" xfId="20747" xr:uid="{7921721A-A43F-41A0-8E28-79734A2F6035}"/>
    <cellStyle name="Normal 7 4 8 6 4" xfId="23366" xr:uid="{6FA3567B-2144-49ED-90E4-FC728EDA7B23}"/>
    <cellStyle name="Normal 7 4 8 6 5" xfId="15081" xr:uid="{5E7F0B08-7B2C-46AF-B59F-7D7551AA5123}"/>
    <cellStyle name="Normal 7 4 8 7" xfId="4075" xr:uid="{0960D526-1A98-4C15-8071-4F9A5745CC87}"/>
    <cellStyle name="Normal 7 4 8 7 2" xfId="8855" xr:uid="{DE5A15D0-8DC0-4101-8A38-F8E39D609947}"/>
    <cellStyle name="Normal 7 4 8 7 2 2" xfId="19235" xr:uid="{A8B73B77-4E88-4475-9F15-A36B45F1D723}"/>
    <cellStyle name="Normal 7 4 8 7 3" xfId="11688" xr:uid="{638EF884-A8AF-4064-ABC9-C467478312EA}"/>
    <cellStyle name="Normal 7 4 8 7 3 2" xfId="22068" xr:uid="{0B07804D-300E-47CC-89C7-F11AD7EAE2D8}"/>
    <cellStyle name="Normal 7 4 8 7 4" xfId="26796" xr:uid="{D442B26F-BA01-4D34-AAF2-C52342F27401}"/>
    <cellStyle name="Normal 7 4 8 7 5" xfId="16402" xr:uid="{2E4142AA-993D-483A-8966-B1CE97751566}"/>
    <cellStyle name="Normal 7 4 8 8" xfId="5470" xr:uid="{684AF55B-A0B4-4691-A806-7BC4B2CAB0C4}"/>
    <cellStyle name="Normal 7 4 8 8 2" xfId="14767" xr:uid="{56AB07C7-698B-401C-BD1B-D480F5B5CC29}"/>
    <cellStyle name="Normal 7 4 8 9" xfId="7220" xr:uid="{0F50CFEF-AF0B-45D4-9190-0FE1F1CDA087}"/>
    <cellStyle name="Normal 7 4 8 9 2" xfId="17600" xr:uid="{4BA2EB9D-922F-4E67-9D93-6F9A42F6CA96}"/>
    <cellStyle name="Normal 7 4 9" xfId="1457" xr:uid="{00000000-0005-0000-0000-000088070000}"/>
    <cellStyle name="Normal 7 4 9 10" xfId="25206" xr:uid="{7241CE05-D77C-43DB-A46C-C1B42A29B8E7}"/>
    <cellStyle name="Normal 7 4 9 11" xfId="12642" xr:uid="{3348A1C7-23FF-4553-B2D0-CAA7C2FEE860}"/>
    <cellStyle name="Normal 7 4 9 2" xfId="1458" xr:uid="{00000000-0005-0000-0000-000089070000}"/>
    <cellStyle name="Normal 7 4 9 2 2" xfId="3481" xr:uid="{00000000-0005-0000-0000-0000D3080000}"/>
    <cellStyle name="Normal 7 4 9 2 2 2" xfId="6536" xr:uid="{BA36B20E-5840-4A1D-B488-DFCC8F41A966}"/>
    <cellStyle name="Normal 7 4 9 2 2 2 2" xfId="28441" xr:uid="{D6EC271F-1033-42EC-BCC4-C111AA9739D7}"/>
    <cellStyle name="Normal 7 4 9 2 2 2 3" xfId="26053" xr:uid="{D6AEC97E-0F0C-4673-98BE-D6D52C7F62A4}"/>
    <cellStyle name="Normal 7 4 9 2 2 2 4" xfId="16107" xr:uid="{8BF22692-E9F8-494C-9A6B-4241FC5D6979}"/>
    <cellStyle name="Normal 7 4 9 2 2 3" xfId="8560" xr:uid="{059B61F9-92CF-4CE2-8726-6E51F0F784E1}"/>
    <cellStyle name="Normal 7 4 9 2 2 3 2" xfId="28948" xr:uid="{0A996F82-AA77-4746-9D04-6C2DA4C2F325}"/>
    <cellStyle name="Normal 7 4 9 2 2 3 3" xfId="18940" xr:uid="{F05DFFB1-DF31-43BE-A1DE-0DD45D4E96CB}"/>
    <cellStyle name="Normal 7 4 9 2 2 4" xfId="11393" xr:uid="{9F19B492-0FA2-48FF-A20C-B3E232687F08}"/>
    <cellStyle name="Normal 7 4 9 2 2 4 2" xfId="21773" xr:uid="{C34E92A8-B2C0-4916-ACDC-E064A3D90D7D}"/>
    <cellStyle name="Normal 7 4 9 2 2 5" xfId="24233" xr:uid="{409C5A68-292E-455E-8879-B09DBDC74F9A}"/>
    <cellStyle name="Normal 7 4 9 2 2 6" xfId="14072" xr:uid="{2C07340D-D89B-493A-AD4B-3B07D3EB92A4}"/>
    <cellStyle name="Normal 7 4 9 2 3" xfId="4226" xr:uid="{596C2C39-C518-4720-A6D0-F9BE8BDE57CA}"/>
    <cellStyle name="Normal 7 4 9 2 3 2" xfId="8998" xr:uid="{D3CFC366-2233-4F6C-B642-ED89E0F0C967}"/>
    <cellStyle name="Normal 7 4 9 2 3 2 2" xfId="29075" xr:uid="{FD2DA22B-237A-45D1-842A-050C7C47708B}"/>
    <cellStyle name="Normal 7 4 9 2 3 2 3" xfId="19378" xr:uid="{281CFFE6-2F57-4FCE-9539-7A33A062615C}"/>
    <cellStyle name="Normal 7 4 9 2 3 3" xfId="11831" xr:uid="{8EEFBD95-578D-419A-8ED8-F67E64F7B848}"/>
    <cellStyle name="Normal 7 4 9 2 3 3 2" xfId="22211" xr:uid="{81B9662E-3C24-4D48-AE45-898BC0B0A91D}"/>
    <cellStyle name="Normal 7 4 9 2 3 4" xfId="24769" xr:uid="{9204D11A-797E-4CDB-96F3-EFA40F92FDCE}"/>
    <cellStyle name="Normal 7 4 9 2 3 5" xfId="16545" xr:uid="{92792AC9-0339-4CFE-B08D-FC8D8DA12481}"/>
    <cellStyle name="Normal 7 4 9 2 4" xfId="5476" xr:uid="{F7D4DD52-F08A-491D-81DB-28C7127D001F}"/>
    <cellStyle name="Normal 7 4 9 2 4 2" xfId="27602" xr:uid="{1EC68115-1AF4-449C-A038-4F9044C92822}"/>
    <cellStyle name="Normal 7 4 9 2 4 3" xfId="27806" xr:uid="{F0339573-60E5-4002-918F-93569A80834E}"/>
    <cellStyle name="Normal 7 4 9 2 4 4" xfId="14773" xr:uid="{F5BBF738-CA06-4029-8192-1C40D3FEF50A}"/>
    <cellStyle name="Normal 7 4 9 2 5" xfId="7226" xr:uid="{AAC930F3-8E13-4B24-B773-D88136900BCE}"/>
    <cellStyle name="Normal 7 4 9 2 5 2" xfId="27800" xr:uid="{7161DC4A-CA9F-45BF-965B-4BAAF68A711F}"/>
    <cellStyle name="Normal 7 4 9 2 5 3" xfId="17606" xr:uid="{050BF83E-08D8-4B51-A14B-822887668489}"/>
    <cellStyle name="Normal 7 4 9 2 6" xfId="10059" xr:uid="{A1AB6BF3-ACFE-4CA6-8113-69FA37E93CDF}"/>
    <cellStyle name="Normal 7 4 9 2 6 2" xfId="20439" xr:uid="{6C7DEB65-E8D2-485F-988E-80A6D5DAE483}"/>
    <cellStyle name="Normal 7 4 9 2 7" xfId="23449" xr:uid="{ECB327FF-942C-49BB-B733-2341E1DAA505}"/>
    <cellStyle name="Normal 7 4 9 2 8" xfId="12800" xr:uid="{25890BCF-C627-49BF-A851-B35582533F92}"/>
    <cellStyle name="Normal 7 4 9 3" xfId="1459" xr:uid="{00000000-0005-0000-0000-00008A070000}"/>
    <cellStyle name="Normal 7 4 9 3 2" xfId="5477" xr:uid="{34FC27ED-9267-4FE6-804B-4B6B659DACF4}"/>
    <cellStyle name="Normal 7 4 9 3 2 2" xfId="25514" xr:uid="{ECBF6AE4-3B42-442A-B397-A47093BAA862}"/>
    <cellStyle name="Normal 7 4 9 3 2 3" xfId="28639" xr:uid="{FBE8799A-8110-4913-BBAD-AC016AF95620}"/>
    <cellStyle name="Normal 7 4 9 3 2 4" xfId="14774" xr:uid="{93071C95-B1DC-490F-994E-C804B09ED584}"/>
    <cellStyle name="Normal 7 4 9 3 3" xfId="7227" xr:uid="{CD11F4D1-4581-4F93-A457-798636273C9F}"/>
    <cellStyle name="Normal 7 4 9 3 3 2" xfId="27158" xr:uid="{3E22AF7B-8B3D-4F56-8ADD-62DB11A0E0EF}"/>
    <cellStyle name="Normal 7 4 9 3 3 3" xfId="25831" xr:uid="{951EB23D-D78B-46E0-8017-A74A3458DCA0}"/>
    <cellStyle name="Normal 7 4 9 3 3 4" xfId="17607" xr:uid="{50F913BF-F798-4DD0-AEBA-A8B491D17827}"/>
    <cellStyle name="Normal 7 4 9 3 4" xfId="10060" xr:uid="{AFDD6B66-0556-4939-B25D-3B996FBB9A2C}"/>
    <cellStyle name="Normal 7 4 9 3 4 2" xfId="26574" xr:uid="{4027B8DC-26EC-4C8C-A66F-E12FF5141C14}"/>
    <cellStyle name="Normal 7 4 9 3 4 3" xfId="29464" xr:uid="{CEAFC507-E9CD-4663-AF1E-05BEE35F8A93}"/>
    <cellStyle name="Normal 7 4 9 3 4 4" xfId="20440" xr:uid="{2EE181E1-A004-444C-9B6F-F734AC31831E}"/>
    <cellStyle name="Normal 7 4 9 3 5" xfId="23140" xr:uid="{2AF327B9-2D1D-40BF-9B1A-2480DE36D783}"/>
    <cellStyle name="Normal 7 4 9 3 6" xfId="27908" xr:uid="{2B94D36C-826D-4C6A-8ACC-DD1229001485}"/>
    <cellStyle name="Normal 7 4 9 3 7" xfId="13498" xr:uid="{AA8FEBD0-D55B-46DB-9349-45F5D78FB400}"/>
    <cellStyle name="Normal 7 4 9 4" xfId="2840" xr:uid="{00000000-0005-0000-0000-0000D5080000}"/>
    <cellStyle name="Normal 7 4 9 4 2" xfId="6056" xr:uid="{CA35AE32-8A49-4A1D-91F3-DB3B40F122BB}"/>
    <cellStyle name="Normal 7 4 9 4 2 2" xfId="27956" xr:uid="{F560F6A6-140A-400F-87EB-1F4947E73B88}"/>
    <cellStyle name="Normal 7 4 9 4 2 3" xfId="15510" xr:uid="{5CFD9CBC-FC1E-42AA-ABBE-8CCFCE4DE975}"/>
    <cellStyle name="Normal 7 4 9 4 3" xfId="7963" xr:uid="{44734FEC-A5EC-4868-8F46-984BBB606219}"/>
    <cellStyle name="Normal 7 4 9 4 3 2" xfId="18343" xr:uid="{600C4E21-9490-4C71-A5AF-A2F76E03C564}"/>
    <cellStyle name="Normal 7 4 9 4 4" xfId="10796" xr:uid="{3EB39DCA-A7D2-4A88-A314-E1390084789F}"/>
    <cellStyle name="Normal 7 4 9 4 4 2" xfId="21176" xr:uid="{C7E13083-4768-4A29-8D0F-7F432AD845A7}"/>
    <cellStyle name="Normal 7 4 9 4 5" xfId="25358" xr:uid="{0CB459D8-1683-498E-B309-B7437B03D01D}"/>
    <cellStyle name="Normal 7 4 9 4 6" xfId="13320" xr:uid="{0C7D5F92-015A-40C3-8658-AEFA983A7BB8}"/>
    <cellStyle name="Normal 7 4 9 5" xfId="2408" xr:uid="{00000000-0005-0000-0000-0000D1080000}"/>
    <cellStyle name="Normal 7 4 9 5 2" xfId="7535" xr:uid="{EA42B910-957F-406C-BBBC-C6DAF86D86FE}"/>
    <cellStyle name="Normal 7 4 9 5 2 2" xfId="27247" xr:uid="{9FBA0F6A-3E29-4A8F-B6CC-742C60529986}"/>
    <cellStyle name="Normal 7 4 9 5 2 3" xfId="17915" xr:uid="{78DC0D4E-C4F6-49C6-BEB9-F2A5C3EE8159}"/>
    <cellStyle name="Normal 7 4 9 5 3" xfId="10368" xr:uid="{86718D3C-0642-4DCF-BDE5-480BBF1B24B2}"/>
    <cellStyle name="Normal 7 4 9 5 3 2" xfId="20748" xr:uid="{7A76C505-1F7A-4AF0-992A-613760DD97E2}"/>
    <cellStyle name="Normal 7 4 9 5 4" xfId="24928" xr:uid="{A3747C55-5DBC-47EF-BFDD-BB8F9424984E}"/>
    <cellStyle name="Normal 7 4 9 5 5" xfId="15082" xr:uid="{2A282EA6-6DD9-4676-BA80-36F3388B61BC}"/>
    <cellStyle name="Normal 7 4 9 6" xfId="4076" xr:uid="{ECFEC964-18E2-4A55-9DDE-17A187421C86}"/>
    <cellStyle name="Normal 7 4 9 6 2" xfId="8856" xr:uid="{05369801-56D3-4D72-A3C4-13544C799199}"/>
    <cellStyle name="Normal 7 4 9 6 2 2" xfId="28998" xr:uid="{985A2476-8016-48C6-B19B-8E5A095831BA}"/>
    <cellStyle name="Normal 7 4 9 6 2 3" xfId="19236" xr:uid="{64AA5B8D-8160-4A3E-ADD4-0FA6DAA3D899}"/>
    <cellStyle name="Normal 7 4 9 6 3" xfId="11689" xr:uid="{5A407977-0356-48BB-B948-B9E2BF6E857D}"/>
    <cellStyle name="Normal 7 4 9 6 3 2" xfId="22069" xr:uid="{003FE15E-2013-4C8D-86ED-88B751E3DD2C}"/>
    <cellStyle name="Normal 7 4 9 6 4" xfId="28172" xr:uid="{1CCE1AE5-BE80-4AA7-85BF-C9A73A3EA59B}"/>
    <cellStyle name="Normal 7 4 9 6 5" xfId="16403" xr:uid="{1F7BD514-47B8-46FD-A352-A22BFCFA7682}"/>
    <cellStyle name="Normal 7 4 9 7" xfId="5475" xr:uid="{CCEF96D4-FC6A-423C-B1B0-072A0C3E5B8F}"/>
    <cellStyle name="Normal 7 4 9 7 2" xfId="28305" xr:uid="{D50CC486-3BAB-43DF-A9AF-FF380362D7CD}"/>
    <cellStyle name="Normal 7 4 9 7 3" xfId="14772" xr:uid="{2F958CE7-9EE8-42DA-8FA1-7E82351CCECD}"/>
    <cellStyle name="Normal 7 4 9 8" xfId="7225" xr:uid="{C11C0213-DE70-4B4C-910B-94E9A71F0D83}"/>
    <cellStyle name="Normal 7 4 9 8 2" xfId="17605" xr:uid="{EA06E039-073F-4D18-BECB-3A1FE3F10177}"/>
    <cellStyle name="Normal 7 4 9 9" xfId="10058" xr:uid="{BEF1D5CA-EBE5-46A7-A649-AEC3EEFC11C3}"/>
    <cellStyle name="Normal 7 4 9 9 2" xfId="20438"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7" xr:uid="{203ECEE9-28AC-4CA7-BFCE-356C379A39D2}"/>
    <cellStyle name="Normal 7 6 10 2 2 3" xfId="25006" xr:uid="{6823BFC9-1FCE-4FD7-B367-57FB0194A201}"/>
    <cellStyle name="Normal 7 6 10 2 3" xfId="1465" xr:uid="{00000000-0005-0000-0000-000090070000}"/>
    <cellStyle name="Normal 7 6 10 2 3 2" xfId="2031" xr:uid="{00000000-0005-0000-0000-000091070000}"/>
    <cellStyle name="Normal 7 6 10 2 3 3" xfId="3766" xr:uid="{00000000-0005-0000-0000-0000F0060000}"/>
    <cellStyle name="Normal 7 6 10 2 3 3 2" xfId="4757" xr:uid="{BE653DD7-1A95-4D05-ACBC-B4D6D2120D32}"/>
    <cellStyle name="Normal 7 6 10 2 3 3 3" xfId="29780" xr:uid="{3AB9F824-0488-4405-8A20-8AC03008BE24}"/>
    <cellStyle name="Normal 7 6 10 2 4" xfId="25604" xr:uid="{1F88F4F4-8E7E-4A10-9831-AB18C3F05F2C}"/>
    <cellStyle name="Normal 7 6 10 2 4 2" xfId="29893" xr:uid="{12A8B31A-674D-4175-9F73-07B949E20BC5}"/>
    <cellStyle name="Normal 7 6 10 3" xfId="1466" xr:uid="{00000000-0005-0000-0000-000092070000}"/>
    <cellStyle name="Normal 7 6 10 4" xfId="2998" xr:uid="{00000000-0005-0000-0000-0000DB080000}"/>
    <cellStyle name="Normal 7 6 10 5" xfId="2151" xr:uid="{00000000-0005-0000-0000-000024030000}"/>
    <cellStyle name="Normal 7 6 10 5 2" xfId="4681" xr:uid="{64225ED7-B81F-4829-937E-4C8F86992647}"/>
    <cellStyle name="Normal 7 6 10 5 3" xfId="29721" xr:uid="{7FE3F4EC-43BB-42DF-B914-3B58EF8FF8DB}"/>
    <cellStyle name="Normal 7 6 10 6" xfId="4079" xr:uid="{5A04D94C-6FA8-4354-90B5-CFB60835C8E6}"/>
    <cellStyle name="Normal 7 6 10 6 2" xfId="4824" xr:uid="{0FEEC669-8F27-4B5E-8A98-CFDB8125CE32}"/>
    <cellStyle name="Normal 7 6 10 6 3" xfId="29835" xr:uid="{E71631C5-8E81-4292-8232-C38904791D53}"/>
    <cellStyle name="Normal 7 6 11" xfId="1467" xr:uid="{00000000-0005-0000-0000-000093070000}"/>
    <cellStyle name="Normal 7 6 11 10" xfId="12643" xr:uid="{4994F450-78F0-4D7A-AAC7-62621D59190D}"/>
    <cellStyle name="Normal 7 6 11 2" xfId="2424" xr:uid="{00000000-0005-0000-0000-0000DD080000}"/>
    <cellStyle name="Normal 7 6 11 2 2" xfId="2999" xr:uid="{00000000-0005-0000-0000-0000DE080000}"/>
    <cellStyle name="Normal 7 6 11 2 2 2" xfId="6148" xr:uid="{3AC7CF31-3B91-4166-A372-BC7763FFCF1D}"/>
    <cellStyle name="Normal 7 6 11 2 2 2 2" xfId="28149" xr:uid="{03FA1087-3B6E-4E72-8978-31D40D60E86C}"/>
    <cellStyle name="Normal 7 6 11 2 2 2 3" xfId="15626" xr:uid="{20161C1B-6017-4CDA-A29A-0102EDBEA5C3}"/>
    <cellStyle name="Normal 7 6 11 2 2 3" xfId="8079" xr:uid="{5E8D8961-5478-4CBE-BBDE-7EFC17FF8191}"/>
    <cellStyle name="Normal 7 6 11 2 2 3 2" xfId="18459" xr:uid="{BBB956AF-DFF1-4A67-B026-B9E16F6B9CC2}"/>
    <cellStyle name="Normal 7 6 11 2 2 4" xfId="10912" xr:uid="{3D74FEE2-D5B9-47DE-B190-ADE5D9E806EA}"/>
    <cellStyle name="Normal 7 6 11 2 2 4 2" xfId="21292" xr:uid="{7553158E-4646-4A2E-8950-DD4335E18336}"/>
    <cellStyle name="Normal 7 6 11 2 2 5" xfId="24372" xr:uid="{1CBCCA99-94AC-4230-979D-F81491E7E872}"/>
    <cellStyle name="Normal 7 6 11 2 2 6" xfId="13499" xr:uid="{92BCA6AD-5261-4290-88CB-25848BB8B0C3}"/>
    <cellStyle name="Normal 7 6 11 2 3" xfId="5724" xr:uid="{0C1D1DA6-3D1F-4E81-8A71-AC06F1C7C3AE}"/>
    <cellStyle name="Normal 7 6 11 2 3 2" xfId="26861" xr:uid="{86813863-7573-450B-8DAE-522DAD0AA597}"/>
    <cellStyle name="Normal 7 6 11 2 3 3" xfId="28088" xr:uid="{D75F17B0-65BB-480E-A52F-70B24F227861}"/>
    <cellStyle name="Normal 7 6 11 2 3 4" xfId="15098" xr:uid="{6A8E30D2-0E52-446B-B141-6C3E947D31E1}"/>
    <cellStyle name="Normal 7 6 11 2 4" xfId="7551" xr:uid="{19757AE8-A20E-4D43-B592-50A4FA82CE74}"/>
    <cellStyle name="Normal 7 6 11 2 4 2" xfId="27922" xr:uid="{BBE86201-DC1F-4FF6-9EBC-D8E968F51AF4}"/>
    <cellStyle name="Normal 7 6 11 2 4 3" xfId="17931" xr:uid="{DFA0D98A-67C2-4EEA-8877-4E00D8A21C99}"/>
    <cellStyle name="Normal 7 6 11 2 5" xfId="10384" xr:uid="{0BF49B14-911C-4DCA-B35A-7A442AC926C8}"/>
    <cellStyle name="Normal 7 6 11 2 5 2" xfId="20764" xr:uid="{5EBBEF21-D2B7-458D-A837-3D936316FF8C}"/>
    <cellStyle name="Normal 7 6 11 2 6" xfId="23441" xr:uid="{A3FF67C1-A1FC-4029-9CBD-98AE9B8E0075}"/>
    <cellStyle name="Normal 7 6 11 2 7" xfId="12801" xr:uid="{707CB870-238C-4E67-9DCB-86E13B5BF97A}"/>
    <cellStyle name="Normal 7 6 11 3" xfId="2841" xr:uid="{00000000-0005-0000-0000-0000DF080000}"/>
    <cellStyle name="Normal 7 6 11 3 2" xfId="6057" xr:uid="{0E66994F-AB92-4AE2-96D3-9E1476833E76}"/>
    <cellStyle name="Normal 7 6 11 3 2 2" xfId="28230" xr:uid="{90FBAF69-CCF2-42A5-BF1C-3A6F5F067F8F}"/>
    <cellStyle name="Normal 7 6 11 3 2 3" xfId="15511" xr:uid="{B5BE4AC8-6972-486A-9ECA-9CE45E91FADA}"/>
    <cellStyle name="Normal 7 6 11 3 3" xfId="7964" xr:uid="{A6137628-7F20-44C7-A345-B77B06069AB7}"/>
    <cellStyle name="Normal 7 6 11 3 3 2" xfId="18344" xr:uid="{5DD65BE9-E751-4A83-8338-FC6103F31FD9}"/>
    <cellStyle name="Normal 7 6 11 3 4" xfId="10797" xr:uid="{C820DEBB-9274-4C0C-93FC-B21E42B69993}"/>
    <cellStyle name="Normal 7 6 11 3 4 2" xfId="21177" xr:uid="{9DC86F1B-0AD8-41F1-9FEB-2C201D73B9DF}"/>
    <cellStyle name="Normal 7 6 11 3 5" xfId="24608" xr:uid="{001A71B5-1DBB-40D1-875D-925F704F1CD1}"/>
    <cellStyle name="Normal 7 6 11 3 6" xfId="13321" xr:uid="{96A8BCE1-FD6F-4D3C-B983-1D7D1555A729}"/>
    <cellStyle name="Normal 7 6 11 4" xfId="2409" xr:uid="{00000000-0005-0000-0000-0000DC080000}"/>
    <cellStyle name="Normal 7 6 11 4 2" xfId="7536" xr:uid="{AD2413B8-EBE9-49A2-BF62-6FA8BA92C6BA}"/>
    <cellStyle name="Normal 7 6 11 4 2 2" xfId="28150" xr:uid="{763A2114-8416-4167-99CE-F128ECACC10F}"/>
    <cellStyle name="Normal 7 6 11 4 2 3" xfId="17916" xr:uid="{7C3F0325-3EF4-4C37-B104-D0635FEB5EBF}"/>
    <cellStyle name="Normal 7 6 11 4 3" xfId="10369" xr:uid="{9023DCF8-60CC-48E8-99B6-35D3BD4D656C}"/>
    <cellStyle name="Normal 7 6 11 4 3 2" xfId="20749" xr:uid="{1BB90C20-7D78-4E49-9A7F-692C99895E0F}"/>
    <cellStyle name="Normal 7 6 11 4 4" xfId="23053" xr:uid="{1FB59AC9-B6FC-455D-9F5B-3D4148D5424E}"/>
    <cellStyle name="Normal 7 6 11 4 5" xfId="15083" xr:uid="{49648981-1940-424A-AF31-125BD8D9AD04}"/>
    <cellStyle name="Normal 7 6 11 5" xfId="4080" xr:uid="{29A54018-86C1-4A02-A68F-6FE599A9096C}"/>
    <cellStyle name="Normal 7 6 11 5 2" xfId="8858" xr:uid="{65C6C44F-2DCC-4DF3-8E09-472C2819728F}"/>
    <cellStyle name="Normal 7 6 11 5 2 2" xfId="19238" xr:uid="{375611D9-874F-4022-B426-FEDC446BD18B}"/>
    <cellStyle name="Normal 7 6 11 5 3" xfId="11691" xr:uid="{EE0497FB-2F90-477E-9FD1-5F91B9FE8910}"/>
    <cellStyle name="Normal 7 6 11 5 3 2" xfId="22071" xr:uid="{8FE4A299-C19E-40AF-839F-006BFA2FC9C8}"/>
    <cellStyle name="Normal 7 6 11 5 4" xfId="28366" xr:uid="{4AF83121-8555-436F-B8E0-9382F2D155A1}"/>
    <cellStyle name="Normal 7 6 11 5 5" xfId="16405" xr:uid="{362022DB-A9EF-45F7-9B15-4DD83BF95245}"/>
    <cellStyle name="Normal 7 6 11 6" xfId="5478" xr:uid="{5D97CF1F-2749-4B34-998A-6C1D9A483679}"/>
    <cellStyle name="Normal 7 6 11 6 2" xfId="14775" xr:uid="{ADCFD7A9-F5D7-4A62-ADD7-ECA794330AA8}"/>
    <cellStyle name="Normal 7 6 11 7" xfId="7228" xr:uid="{B44B0FFA-7DF7-42E6-BF6C-909BD4DBFEF0}"/>
    <cellStyle name="Normal 7 6 11 7 2" xfId="17608" xr:uid="{FAFFFF1C-D94B-4D7D-BAC2-5D4812C6F508}"/>
    <cellStyle name="Normal 7 6 11 8" xfId="10061" xr:uid="{19AC1174-BF6A-442B-ACEE-30994F3F1F93}"/>
    <cellStyle name="Normal 7 6 11 8 2" xfId="20441" xr:uid="{244D7068-1150-4E32-9D14-FCEF0CE33CC3}"/>
    <cellStyle name="Normal 7 6 11 9" xfId="24344"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9" xr:uid="{827BC4BE-2AD5-432F-B7C7-325F08217BCC}"/>
    <cellStyle name="Normal 7 6 12 2 2 2 2" xfId="26110" xr:uid="{9418F1EA-2734-413D-8500-BB6C4AB45D6E}"/>
    <cellStyle name="Normal 7 6 12 2 2 2 3" xfId="17609" xr:uid="{A2391066-30A0-43F6-88D2-5FA6F36424A2}"/>
    <cellStyle name="Normal 7 6 12 2 2 3" xfId="10062" xr:uid="{595E208F-F756-4A10-8055-19FC6787F55B}"/>
    <cellStyle name="Normal 7 6 12 2 2 3 2" xfId="20442" xr:uid="{63C8C390-FE77-4EEF-B461-6CAF46B2A5A7}"/>
    <cellStyle name="Normal 7 6 12 2 2 4" xfId="24993" xr:uid="{6AF005A0-6095-4522-898B-BB64A806890B}"/>
    <cellStyle name="Normal 7 6 12 2 2 5" xfId="14776" xr:uid="{CA0D64A7-87C4-40FB-8E31-79D53531E706}"/>
    <cellStyle name="Normal 7 6 12 2 3" xfId="26127" xr:uid="{DE1761FF-B39A-4DEF-BB17-1AF5EDCE2CAB}"/>
    <cellStyle name="Normal 7 6 12 3" xfId="1471" xr:uid="{00000000-0005-0000-0000-000097070000}"/>
    <cellStyle name="Normal 7 6 12 3 2" xfId="4658" xr:uid="{97AB34FA-8022-4EDD-B4EE-6D0A8751C733}"/>
    <cellStyle name="Normal 7 6 12 3 2 2" xfId="4781" xr:uid="{1283EBFF-7AA6-4AF6-9F77-7BA3E62CC93D}"/>
    <cellStyle name="Normal 7 6 12 3 2 3" xfId="29840" xr:uid="{9F537A74-233B-4BDA-BCED-4FE936EF1EB1}"/>
    <cellStyle name="Normal 7 6 12 3 3" xfId="22886" xr:uid="{EEFDE06D-FAD0-4B2C-B4EC-7A08AE158797}"/>
    <cellStyle name="Normal 7 6 12 4" xfId="2032" xr:uid="{00000000-0005-0000-0000-000098070000}"/>
    <cellStyle name="Normal 7 6 12 4 2" xfId="23741" xr:uid="{79817153-0D54-48A8-826F-2B970D536EE6}"/>
    <cellStyle name="Normal 7 6 12 4 2 2" xfId="26431" xr:uid="{C49203E7-1566-434F-BAE6-BF94EB7F9C20}"/>
    <cellStyle name="Normal 7 6 12 4 2 3" xfId="30088" xr:uid="{9254CDB0-BB2C-48ED-913B-AA489A073394}"/>
    <cellStyle name="Normal 7 6 12 4 3" xfId="25192" xr:uid="{F061C7BC-0996-4741-82A0-31A69AC23C4A}"/>
    <cellStyle name="Normal 7 6 12 4 3 2" xfId="26655" xr:uid="{F87E6003-60F4-45AF-8490-D1CC2D385632}"/>
    <cellStyle name="Normal 7 6 12 4 4" xfId="26354" xr:uid="{FB10D5FA-D50A-43CE-A72A-FAB2CDEE87C7}"/>
    <cellStyle name="Normal 7 6 12 5" xfId="2154" xr:uid="{00000000-0005-0000-0000-000027030000}"/>
    <cellStyle name="Normal 7 6 12 5 2" xfId="4790" xr:uid="{41EDDE25-589E-426C-B333-2F90E7438841}"/>
    <cellStyle name="Normal 7 6 12 5 2 2" xfId="28351" xr:uid="{3EB7436E-C897-4D37-A74A-339AD61DBDE8}"/>
    <cellStyle name="Normal 7 6 12 5 3" xfId="29724" xr:uid="{0ADD8B10-0B22-41A4-80CB-53B59F59B92A}"/>
    <cellStyle name="Normal 7 6 12 6" xfId="4107" xr:uid="{30A2C7AC-688D-49BA-80A4-9263C9BFA06B}"/>
    <cellStyle name="Normal 7 6 12 6 2" xfId="4760" xr:uid="{A9321574-1AD7-4B70-B5D3-A6DF307B9A1E}"/>
    <cellStyle name="Normal 7 6 12 6 3" xfId="29838" xr:uid="{910B23C3-3A37-46A5-81A3-274ACB4F2EE1}"/>
    <cellStyle name="Normal 7 6 12 7" xfId="25333" xr:uid="{F7D8B81A-047F-48C6-A186-A40F67FBBC1A}"/>
    <cellStyle name="Normal 7 6 12 7 2" xfId="26410" xr:uid="{92E5298E-5151-4BC5-8530-0F8A55FB4F6C}"/>
    <cellStyle name="Normal 7 6 13" xfId="1472" xr:uid="{00000000-0005-0000-0000-000099070000}"/>
    <cellStyle name="Normal 7 6 13 2" xfId="4599" xr:uid="{3B4DDB37-5983-43FF-ACEF-860659222593}"/>
    <cellStyle name="Normal 7 6 13 2 2" xfId="9371" xr:uid="{CDEC0402-8630-454A-8E5A-5AC7B33D7A9D}"/>
    <cellStyle name="Normal 7 6 13 2 2 2" xfId="29341" xr:uid="{1398F320-3620-46AB-8D56-93072B29C3C1}"/>
    <cellStyle name="Normal 7 6 13 2 2 3" xfId="19751" xr:uid="{C0A6EE25-B01C-4B52-BECC-E276B0C87655}"/>
    <cellStyle name="Normal 7 6 13 2 3" xfId="12204" xr:uid="{43D41024-C8FE-4C65-B95F-208F8619F646}"/>
    <cellStyle name="Normal 7 6 13 2 3 2" xfId="22584" xr:uid="{3DF9474A-F397-4E1D-8623-AA6FF160C46C}"/>
    <cellStyle name="Normal 7 6 13 2 4" xfId="25323" xr:uid="{98ECA508-CF63-41EA-B13E-B59CBA420D04}"/>
    <cellStyle name="Normal 7 6 13 2 5" xfId="16918" xr:uid="{0CB1D580-E7FB-4A27-9476-70C921428E95}"/>
    <cellStyle name="Normal 7 6 13 3" xfId="5479" xr:uid="{CE46A238-16DD-4E36-BA20-268E23F60FCA}"/>
    <cellStyle name="Normal 7 6 13 3 2" xfId="23513" xr:uid="{1BC609B7-6C52-437C-A2E9-194250405883}"/>
    <cellStyle name="Normal 7 6 13 3 3" xfId="27939" xr:uid="{F9065EAC-74DE-4D0F-8B98-36D70B44BF47}"/>
    <cellStyle name="Normal 7 6 13 3 4" xfId="14777" xr:uid="{73B0D313-E46F-4BB7-9250-4D30D966D483}"/>
    <cellStyle name="Normal 7 6 13 4" xfId="7230" xr:uid="{A57384AF-2504-4427-ACE1-93DE4EDA52C9}"/>
    <cellStyle name="Normal 7 6 13 4 2" xfId="24385" xr:uid="{B1C46D47-275D-425D-ADBB-E99F9000C558}"/>
    <cellStyle name="Normal 7 6 13 4 3" xfId="28697" xr:uid="{A229D5F5-BE03-4E55-8618-2F91B811C9DB}"/>
    <cellStyle name="Normal 7 6 13 4 4" xfId="17610" xr:uid="{EEBC38E0-0F65-4135-BD17-F4E424EC63C7}"/>
    <cellStyle name="Normal 7 6 13 5" xfId="10063" xr:uid="{AAACA06A-32C1-487F-8989-1B393794C0E5}"/>
    <cellStyle name="Normal 7 6 13 5 2" xfId="29465" xr:uid="{18463E07-0ECC-4E05-84C7-B841D4A96E41}"/>
    <cellStyle name="Normal 7 6 13 5 3" xfId="20443" xr:uid="{C83BDC38-E3E2-47CA-BF4C-1C4B25CD76BF}"/>
    <cellStyle name="Normal 7 6 13 6" xfId="25178" xr:uid="{23CC18F1-B5FD-43D3-ACE6-4D68C924481A}"/>
    <cellStyle name="Normal 7 6 13 7" xfId="14073" xr:uid="{EA591954-F772-48CC-8DF0-65618EB3BC16}"/>
    <cellStyle name="Normal 7 6 14" xfId="1473" xr:uid="{00000000-0005-0000-0000-00009A070000}"/>
    <cellStyle name="Normal 7 6 14 2" xfId="1474" xr:uid="{00000000-0005-0000-0000-00009B070000}"/>
    <cellStyle name="Normal 7 6 14 3" xfId="3767" xr:uid="{00000000-0005-0000-0000-0000F9060000}"/>
    <cellStyle name="Normal 7 6 14 3 2" xfId="4765" xr:uid="{54A32A04-56ED-4AB1-B7BA-D2EE0846373E}"/>
    <cellStyle name="Normal 7 6 14 3 2 2" xfId="27604" xr:uid="{5CE32205-96EA-49E5-8C23-87FB17C255E3}"/>
    <cellStyle name="Normal 7 6 14 3 3" xfId="28622" xr:uid="{50B7BDC0-20CD-4F0E-861C-3C44806BB4F1}"/>
    <cellStyle name="Normal 7 6 14 3 4" xfId="29781" xr:uid="{A353C808-4631-46F7-87B4-238E65172A26}"/>
    <cellStyle name="Normal 7 6 14 4" xfId="28272" xr:uid="{76CFB33E-5912-4B74-BBBF-6DD865E37708}"/>
    <cellStyle name="Normal 7 6 15" xfId="2441" xr:uid="{00000000-0005-0000-0000-0000E4080000}"/>
    <cellStyle name="Normal 7 6 15 2" xfId="5736" xr:uid="{495C43A3-3574-42FB-866D-BB7B70A3AE84}"/>
    <cellStyle name="Normal 7 6 15 2 2" xfId="28257" xr:uid="{A7F5FD02-FE5F-4F52-9BDE-3CDFDEDF93F6}"/>
    <cellStyle name="Normal 7 6 15 2 3" xfId="15113" xr:uid="{A605DAC2-51E2-4793-85BE-FDF33844A779}"/>
    <cellStyle name="Normal 7 6 15 3" xfId="7566" xr:uid="{B1FBA154-3591-4765-849C-DC8A096E34E7}"/>
    <cellStyle name="Normal 7 6 15 3 2" xfId="17946" xr:uid="{95A63BD3-3AA5-4531-9C1F-2173606782E4}"/>
    <cellStyle name="Normal 7 6 15 4" xfId="10399" xr:uid="{F98C58F5-E2A2-46E9-A62C-89E1E7F78CB6}"/>
    <cellStyle name="Normal 7 6 15 4 2" xfId="20779" xr:uid="{6FF81C5F-5DE3-4A3F-B5BA-3A215ECF90ED}"/>
    <cellStyle name="Normal 7 6 15 5" xfId="23163" xr:uid="{10624513-C597-4EC4-8C9B-6ABB485F5B22}"/>
    <cellStyle name="Normal 7 6 15 6" xfId="12828" xr:uid="{D57B35CA-7752-4FA8-BF85-3846C00B7CF1}"/>
    <cellStyle name="Normal 7 6 16" xfId="2171" xr:uid="{00000000-0005-0000-0000-0000D7080000}"/>
    <cellStyle name="Normal 7 6 16 2" xfId="7298" xr:uid="{B69C3657-7ADD-440C-989D-222D5F260A6C}"/>
    <cellStyle name="Normal 7 6 16 2 2" xfId="28356" xr:uid="{D6C497BB-3960-49BA-854A-2D36942534BD}"/>
    <cellStyle name="Normal 7 6 16 2 3" xfId="17678" xr:uid="{3F943B67-BF68-46FE-8EDA-A84648BC5EE8}"/>
    <cellStyle name="Normal 7 6 16 3" xfId="10131" xr:uid="{255D5F4D-71A3-4CA9-A87C-1319BF01B770}"/>
    <cellStyle name="Normal 7 6 16 3 2" xfId="20511" xr:uid="{093DA020-9795-4CA2-889A-A189C62135C3}"/>
    <cellStyle name="Normal 7 6 16 4" xfId="24530" xr:uid="{EB3C2B4A-5266-490D-9B9B-69216121C96F}"/>
    <cellStyle name="Normal 7 6 16 5" xfId="14845" xr:uid="{889E0779-BA30-46AE-A624-D2769B733098}"/>
    <cellStyle name="Normal 7 6 17" xfId="2150" xr:uid="{00000000-0005-0000-0000-000023030000}"/>
    <cellStyle name="Normal 7 6 17 2" xfId="4752" xr:uid="{96FA94DC-ED9F-4AD7-A7E8-D4EAB8FFA409}"/>
    <cellStyle name="Normal 7 6 17 2 2" xfId="27349" xr:uid="{AA61CBCD-A41A-4F57-8D53-D196359313E1}"/>
    <cellStyle name="Normal 7 6 17 3" xfId="27002" xr:uid="{CF3F67CA-7171-40A7-8B27-2E3B488C6464}"/>
    <cellStyle name="Normal 7 6 17 4" xfId="29720" xr:uid="{0CF0266A-2C55-4049-9351-61712FD8E32D}"/>
    <cellStyle name="Normal 7 6 18" xfId="4078" xr:uid="{0FEC4EED-31A4-4E9D-A539-4F81C2FE41D8}"/>
    <cellStyle name="Normal 7 6 18 2" xfId="4693" xr:uid="{BF19DB26-08D9-499A-A4F6-1D49D2A37102}"/>
    <cellStyle name="Normal 7 6 18 3" xfId="29834" xr:uid="{99D6C4C0-EA08-45F3-9AB9-614C5D74B5F2}"/>
    <cellStyle name="Normal 7 6 19" xfId="24158" xr:uid="{0B50E127-6DDF-46B3-9CFD-D81FF9105BDA}"/>
    <cellStyle name="Normal 7 6 2" xfId="1475" xr:uid="{00000000-0005-0000-0000-00009C070000}"/>
    <cellStyle name="Normal 7 6 2 10" xfId="28662" xr:uid="{0B934B43-1FFE-4900-9038-D4630AE52971}"/>
    <cellStyle name="Normal 7 6 2 11" xfId="12426" xr:uid="{2CBCC447-7587-426D-ACC9-4DB969F5CB85}"/>
    <cellStyle name="Normal 7 6 2 2" xfId="1476" xr:uid="{00000000-0005-0000-0000-00009D070000}"/>
    <cellStyle name="Normal 7 6 2 2 2" xfId="1477" xr:uid="{00000000-0005-0000-0000-00009E070000}"/>
    <cellStyle name="Normal 7 6 2 2 2 10" xfId="30215" xr:uid="{D31808BA-8103-403A-8D3C-9D1514C72F8C}"/>
    <cellStyle name="Normal 7 6 2 2 2 2" xfId="1478" xr:uid="{00000000-0005-0000-0000-00009F070000}"/>
    <cellStyle name="Normal 7 6 2 2 2 2 2" xfId="3483" xr:uid="{00000000-0005-0000-0000-0000E9080000}"/>
    <cellStyle name="Normal 7 6 2 2 2 2 2 2" xfId="6538" xr:uid="{3C43956B-92BD-42AF-94BE-7873034E45CC}"/>
    <cellStyle name="Normal 7 6 2 2 2 2 2 2 2" xfId="27971" xr:uid="{2C749FF5-9938-4C6E-8B13-46B6B9A118DE}"/>
    <cellStyle name="Normal 7 6 2 2 2 2 2 2 3" xfId="16109" xr:uid="{2E6F8660-BB0A-44BB-8411-930BB6C75FE5}"/>
    <cellStyle name="Normal 7 6 2 2 2 2 2 3" xfId="8562" xr:uid="{2D4F33BD-E1F5-48A7-B377-7ECD0C2B92E7}"/>
    <cellStyle name="Normal 7 6 2 2 2 2 2 3 2" xfId="18942" xr:uid="{F5908889-B071-4103-B187-EB026C3E9830}"/>
    <cellStyle name="Normal 7 6 2 2 2 2 2 4" xfId="11395" xr:uid="{198D3C54-6DB1-4A1B-9407-0DF7C2AEC7A3}"/>
    <cellStyle name="Normal 7 6 2 2 2 2 2 4 2" xfId="21775" xr:uid="{633C6899-E9CE-4394-8B2D-E18E351F1D3E}"/>
    <cellStyle name="Normal 7 6 2 2 2 2 2 5" xfId="23961" xr:uid="{4E1EA9D4-EA7B-4C15-8C17-E4CCEA800507}"/>
    <cellStyle name="Normal 7 6 2 2 2 2 2 6" xfId="14075" xr:uid="{917D2B9E-EF24-48CE-8383-273F4C0A52F4}"/>
    <cellStyle name="Normal 7 6 2 2 2 2 3" xfId="4377" xr:uid="{D4997153-9B6F-4C01-BE23-261C435D3A09}"/>
    <cellStyle name="Normal 7 6 2 2 2 2 3 2" xfId="9149" xr:uid="{73921F97-1065-4407-9809-495CBAD68613}"/>
    <cellStyle name="Normal 7 6 2 2 2 2 3 2 2" xfId="29192" xr:uid="{91EB5C62-EBF0-4364-A59B-31E9A108C41D}"/>
    <cellStyle name="Normal 7 6 2 2 2 2 3 2 3" xfId="19529" xr:uid="{82AB5975-74DF-48AA-A235-1243C30AF6E3}"/>
    <cellStyle name="Normal 7 6 2 2 2 2 3 3" xfId="11982" xr:uid="{0973E22F-3FBD-4A8F-A200-C78C9B6F33BB}"/>
    <cellStyle name="Normal 7 6 2 2 2 2 3 3 2" xfId="22362" xr:uid="{AFD10173-F0B6-48A8-B1EE-63990D38F079}"/>
    <cellStyle name="Normal 7 6 2 2 2 2 3 4" xfId="24427" xr:uid="{E6D7019A-E718-45E4-AFE1-762534489854}"/>
    <cellStyle name="Normal 7 6 2 2 2 2 3 5" xfId="16696" xr:uid="{F733C953-EF2A-4647-8D0D-E83858C2CA8F}"/>
    <cellStyle name="Normal 7 6 2 2 2 2 4" xfId="5480" xr:uid="{8DE60161-2BB3-4693-B577-A20D4692DEE6}"/>
    <cellStyle name="Normal 7 6 2 2 2 2 4 2" xfId="27358" xr:uid="{ADA7C34E-C8D7-4230-BA87-C3C3B92F3FB3}"/>
    <cellStyle name="Normal 7 6 2 2 2 2 4 3" xfId="14778" xr:uid="{2DA40E8B-A8D0-4E42-830B-4975E2564D1D}"/>
    <cellStyle name="Normal 7 6 2 2 2 2 5" xfId="7231" xr:uid="{AD3D54A5-6FF3-41E4-9694-D1AF111A41E0}"/>
    <cellStyle name="Normal 7 6 2 2 2 2 5 2" xfId="17611" xr:uid="{5CED58A6-1C51-42F3-A14D-7733BB90C807}"/>
    <cellStyle name="Normal 7 6 2 2 2 2 6" xfId="10064" xr:uid="{30F6F61F-22B1-464B-B9AA-148D29C8E096}"/>
    <cellStyle name="Normal 7 6 2 2 2 2 6 2" xfId="20444" xr:uid="{B11F13BF-C2A2-4741-BD41-3B0CA0F60C47}"/>
    <cellStyle name="Normal 7 6 2 2 2 2 7" xfId="25239" xr:uid="{297D51F8-69E1-48CA-A6D4-16811EF48A4E}"/>
    <cellStyle name="Normal 7 6 2 2 2 2 8" xfId="13322" xr:uid="{7D0E37C6-3D86-4C1F-9001-C790F89B8C34}"/>
    <cellStyle name="Normal 7 6 2 2 2 3" xfId="3484" xr:uid="{00000000-0005-0000-0000-0000EA080000}"/>
    <cellStyle name="Normal 7 6 2 2 2 3 2" xfId="4600" xr:uid="{F7E77E51-AF70-477D-915D-5CFCE89872C9}"/>
    <cellStyle name="Normal 7 6 2 2 2 3 2 2" xfId="9372" xr:uid="{6B21FC2E-9F3C-4C23-A412-2B431DD3ECBF}"/>
    <cellStyle name="Normal 7 6 2 2 2 3 2 2 2" xfId="29342" xr:uid="{062C8278-7C0B-4592-AAF6-FAF7FD1824CF}"/>
    <cellStyle name="Normal 7 6 2 2 2 3 2 2 3" xfId="19752" xr:uid="{540803B5-EB63-4312-ABB0-07CDC1D1382B}"/>
    <cellStyle name="Normal 7 6 2 2 2 3 2 3" xfId="12205" xr:uid="{E1162E05-973F-43E3-A05B-36A698B81043}"/>
    <cellStyle name="Normal 7 6 2 2 2 3 2 3 2" xfId="22585" xr:uid="{DB5AFD22-FB56-4383-9283-BD1C5CCDAD02}"/>
    <cellStyle name="Normal 7 6 2 2 2 3 2 4" xfId="25645" xr:uid="{CD6A38B1-3877-49CE-9454-AA7495112144}"/>
    <cellStyle name="Normal 7 6 2 2 2 3 2 5" xfId="16919" xr:uid="{FB7A93D7-025A-431A-A577-50FB9725D6E0}"/>
    <cellStyle name="Normal 7 6 2 2 2 3 3" xfId="6539" xr:uid="{0E10CFB7-73A1-4A1D-A4DC-825547754653}"/>
    <cellStyle name="Normal 7 6 2 2 2 3 3 2" xfId="27719" xr:uid="{2E469244-C77B-4BD3-960A-CFAD5B5A5197}"/>
    <cellStyle name="Normal 7 6 2 2 2 3 3 3" xfId="16110" xr:uid="{20249134-12C7-42F4-AA3F-D689BFD52AC9}"/>
    <cellStyle name="Normal 7 6 2 2 2 3 4" xfId="8563" xr:uid="{19B320F8-C9DF-4C65-847F-6BD39620D6EA}"/>
    <cellStyle name="Normal 7 6 2 2 2 3 4 2" xfId="18943" xr:uid="{5CD72663-E027-4421-9CC7-289E793CFD77}"/>
    <cellStyle name="Normal 7 6 2 2 2 3 4 3" xfId="30089" xr:uid="{887E8070-FBA2-41A9-A638-09DC5418B8C1}"/>
    <cellStyle name="Normal 7 6 2 2 2 3 5" xfId="11396" xr:uid="{FAC59828-E1EB-4737-81CE-DE16F306EB80}"/>
    <cellStyle name="Normal 7 6 2 2 2 3 5 2" xfId="21776" xr:uid="{474D0F86-4834-490D-A723-2FBB179E9695}"/>
    <cellStyle name="Normal 7 6 2 2 2 3 6" xfId="25365" xr:uid="{0F583448-3F60-430D-9CCC-94406A5FEA53}"/>
    <cellStyle name="Normal 7 6 2 2 2 3 7" xfId="25683" xr:uid="{6BEFCE0B-27F9-42CB-B022-6CCAE86597D8}"/>
    <cellStyle name="Normal 7 6 2 2 2 3 8" xfId="14076" xr:uid="{9FD870AE-3489-4168-934F-1025B36A5561}"/>
    <cellStyle name="Normal 7 6 2 2 2 4" xfId="3482" xr:uid="{00000000-0005-0000-0000-0000EB080000}"/>
    <cellStyle name="Normal 7 6 2 2 2 4 2" xfId="6537" xr:uid="{2320380E-A1D5-49AB-8E4A-A47391D43B4B}"/>
    <cellStyle name="Normal 7 6 2 2 2 4 2 2" xfId="27320" xr:uid="{1A19FDD6-EB0B-4C8E-A246-77221CE44C0A}"/>
    <cellStyle name="Normal 7 6 2 2 2 4 2 3" xfId="16108" xr:uid="{45DEF5E9-4AF0-432D-8F89-6A7ADEDA0AF0}"/>
    <cellStyle name="Normal 7 6 2 2 2 4 3" xfId="8561" xr:uid="{0A133847-C4E7-43AD-8ACD-B4957DABDD78}"/>
    <cellStyle name="Normal 7 6 2 2 2 4 3 2" xfId="18941" xr:uid="{FCEC1B20-9B09-42E7-BD3A-2B8A7462B387}"/>
    <cellStyle name="Normal 7 6 2 2 2 4 4" xfId="11394" xr:uid="{AA87D188-B539-4C73-BD47-2E0C1D4213FB}"/>
    <cellStyle name="Normal 7 6 2 2 2 4 4 2" xfId="21774" xr:uid="{E374D47B-912C-4DA9-88B5-2B7D5300E3C8}"/>
    <cellStyle name="Normal 7 6 2 2 2 4 5" xfId="23671" xr:uid="{1761F923-A575-4080-9E2C-8E823506DC55}"/>
    <cellStyle name="Normal 7 6 2 2 2 4 6" xfId="14074" xr:uid="{22FCA1B1-9327-4628-9DC9-AFD8BE8D4685}"/>
    <cellStyle name="Normal 7 6 2 2 2 5" xfId="2651" xr:uid="{00000000-0005-0000-0000-0000EC080000}"/>
    <cellStyle name="Normal 7 6 2 2 2 5 2" xfId="5913" xr:uid="{04EDB135-DE1E-44A7-AFBC-FCA5C83F406B}"/>
    <cellStyle name="Normal 7 6 2 2 2 5 2 2" xfId="28281" xr:uid="{11CC99B3-A87C-4175-91A2-9C4672B38B5C}"/>
    <cellStyle name="Normal 7 6 2 2 2 5 2 3" xfId="15323" xr:uid="{86CBC41F-3252-4286-A051-4D6F9B4B9CC8}"/>
    <cellStyle name="Normal 7 6 2 2 2 5 3" xfId="7776" xr:uid="{628AE643-BC3E-4EEC-8727-E55DCDB2A884}"/>
    <cellStyle name="Normal 7 6 2 2 2 5 3 2" xfId="18156" xr:uid="{C4AEBD2D-8F2E-4C83-BE00-B39F03431BCC}"/>
    <cellStyle name="Normal 7 6 2 2 2 5 4" xfId="10609" xr:uid="{A9A8B79E-C40F-46BD-8F9E-67BE47AD219F}"/>
    <cellStyle name="Normal 7 6 2 2 2 5 4 2" xfId="20989" xr:uid="{BC6C5DBE-8C7C-47A5-8E02-7EEE113AAD58}"/>
    <cellStyle name="Normal 7 6 2 2 2 5 5" xfId="23781" xr:uid="{B69EE12D-5EBE-4254-9996-F147571C3F8A}"/>
    <cellStyle name="Normal 7 6 2 2 2 5 6" xfId="13051" xr:uid="{0F059C69-DC57-4447-848B-B885E4C1D202}"/>
    <cellStyle name="Normal 7 6 2 2 2 6" xfId="4108" xr:uid="{14AB8BEC-B9AC-4B4E-AB64-5487A5CF4C35}"/>
    <cellStyle name="Normal 7 6 2 2 2 7" xfId="25095" xr:uid="{2DD6EE98-696C-462E-BCC5-900432B06F90}"/>
    <cellStyle name="Normal 7 6 2 2 2 7 2" xfId="29914" xr:uid="{E177BAE6-34FA-4D12-BEC5-D1AB10B62B43}"/>
    <cellStyle name="Normal 7 6 2 2 2 8" xfId="29894" xr:uid="{FF80F929-30ED-464A-B7F2-24186E447568}"/>
    <cellStyle name="Normal 7 6 2 2 2 9" xfId="30068" xr:uid="{926310F3-1C87-4C9F-A03A-EEE2068EF3F3}"/>
    <cellStyle name="Normal 7 6 2 2 3" xfId="1479" xr:uid="{00000000-0005-0000-0000-0000A0070000}"/>
    <cellStyle name="Normal 7 6 2 2 3 2" xfId="3485" xr:uid="{00000000-0005-0000-0000-0000EE080000}"/>
    <cellStyle name="Normal 7 6 2 2 3 2 2" xfId="6540" xr:uid="{FF18CD6A-4F26-4260-80A0-2005F66843B1}"/>
    <cellStyle name="Normal 7 6 2 2 3 2 2 2" xfId="28384" xr:uid="{07ECBAA9-9252-4872-A60C-A39FAE87088B}"/>
    <cellStyle name="Normal 7 6 2 2 3 2 2 3" xfId="16111" xr:uid="{6D800536-7678-4839-A8DC-19931B69DAFF}"/>
    <cellStyle name="Normal 7 6 2 2 3 2 3" xfId="8564" xr:uid="{A1BAE006-68DD-4C66-A71D-005340E3CC91}"/>
    <cellStyle name="Normal 7 6 2 2 3 2 3 2" xfId="18944" xr:uid="{E4D20621-0EB1-4163-B085-EFFE44787647}"/>
    <cellStyle name="Normal 7 6 2 2 3 2 4" xfId="11397" xr:uid="{EF40E55E-F2FD-46FF-A2A3-F2C8962B2EC8}"/>
    <cellStyle name="Normal 7 6 2 2 3 2 4 2" xfId="21777" xr:uid="{ADA49CD4-49EE-469A-AD60-21774BDCB933}"/>
    <cellStyle name="Normal 7 6 2 2 3 2 5" xfId="23482" xr:uid="{4DF0783F-7C7F-4C4C-82E0-206F0EAEE840}"/>
    <cellStyle name="Normal 7 6 2 2 3 2 6" xfId="14077" xr:uid="{16A9736A-144E-4928-9AF6-4EFDD1065295}"/>
    <cellStyle name="Normal 7 6 2 2 3 3" xfId="2843" xr:uid="{00000000-0005-0000-0000-0000ED080000}"/>
    <cellStyle name="Normal 7 6 2 2 3 3 2" xfId="7965" xr:uid="{7249D37C-1CE1-44C4-AB44-0C06094481CB}"/>
    <cellStyle name="Normal 7 6 2 2 3 3 2 2" xfId="26587" xr:uid="{4936CB13-CFAD-4C01-B8A0-C873FE6357D9}"/>
    <cellStyle name="Normal 7 6 2 2 3 3 2 3" xfId="18345" xr:uid="{767D9DE3-8BA8-4ECE-8DDF-A5DE470B5A45}"/>
    <cellStyle name="Normal 7 6 2 2 3 3 3" xfId="10798" xr:uid="{1384BC0E-AF6C-4966-8D47-C417BF01370D}"/>
    <cellStyle name="Normal 7 6 2 2 3 3 3 2" xfId="21178" xr:uid="{9ABF4405-E1F5-42AA-8EE4-047FB517FF60}"/>
    <cellStyle name="Normal 7 6 2 2 3 3 4" xfId="23158" xr:uid="{45CB43B7-725A-457E-BE64-9BA44477EA48}"/>
    <cellStyle name="Normal 7 6 2 2 3 3 5" xfId="15512" xr:uid="{B4B0CDB4-80E8-43B1-832A-7E27644129C5}"/>
    <cellStyle name="Normal 7 6 2 2 3 4" xfId="3804" xr:uid="{28B2792A-E4C2-42BA-AC1C-BAFBCE227706}"/>
    <cellStyle name="Normal 7 6 2 2 3 4 2" xfId="8640" xr:uid="{78F59A9D-589F-4C8B-9D37-7FAF077F9C38}"/>
    <cellStyle name="Normal 7 6 2 2 3 4 2 2" xfId="19020" xr:uid="{3A43083D-68EB-4073-BB41-542ACCDC4DD5}"/>
    <cellStyle name="Normal 7 6 2 2 3 4 3" xfId="11473" xr:uid="{77914C42-79A0-45E7-A6D5-C13A38D0FBFB}"/>
    <cellStyle name="Normal 7 6 2 2 3 4 3 2" xfId="21853" xr:uid="{6469B20A-8342-4E19-8943-E9F35BF15376}"/>
    <cellStyle name="Normal 7 6 2 2 3 4 4" xfId="27422" xr:uid="{F1090F80-B0C1-46E5-B080-330F0302A84D}"/>
    <cellStyle name="Normal 7 6 2 2 3 4 5" xfId="16187" xr:uid="{13904CB8-1769-410C-A745-D63646D406DF}"/>
    <cellStyle name="Normal 7 6 2 2 3 5" xfId="5481" xr:uid="{049B8662-1A99-4A8B-A424-009D4B14D026}"/>
    <cellStyle name="Normal 7 6 2 2 3 5 2" xfId="14779" xr:uid="{0AB0EF44-AADF-4F49-92B0-4065F856268C}"/>
    <cellStyle name="Normal 7 6 2 2 3 6" xfId="7232" xr:uid="{1FC6158B-B2CD-42C7-B621-C330C4EAC1A0}"/>
    <cellStyle name="Normal 7 6 2 2 3 6 2" xfId="17612" xr:uid="{68EE18A3-D37E-42DA-9C03-37DC158E6A58}"/>
    <cellStyle name="Normal 7 6 2 2 3 7" xfId="10065" xr:uid="{F7111006-E276-435A-93CD-33A3271CCB09}"/>
    <cellStyle name="Normal 7 6 2 2 3 7 2" xfId="20445" xr:uid="{0412B25D-50C0-4063-9B20-08869A45F482}"/>
    <cellStyle name="Normal 7 6 2 2 3 8" xfId="24088" xr:uid="{E2C51115-D68E-431A-8B6A-FB0455416D5A}"/>
    <cellStyle name="Normal 7 6 2 2 3 9" xfId="13323" xr:uid="{9E346B45-7006-4F4B-A3B6-4BDF7DD67189}"/>
    <cellStyle name="Normal 7 6 2 2 4" xfId="2842" xr:uid="{00000000-0005-0000-0000-0000EF080000}"/>
    <cellStyle name="Normal 7 6 2 2 5" xfId="3486" xr:uid="{00000000-0005-0000-0000-0000F0080000}"/>
    <cellStyle name="Normal 7 6 2 2 5 2" xfId="4601" xr:uid="{5382A3A7-0759-4813-94AB-A76BF14657A6}"/>
    <cellStyle name="Normal 7 6 2 2 5 2 2" xfId="9373" xr:uid="{4D3D6C70-B861-4573-814D-03A56D0F782A}"/>
    <cellStyle name="Normal 7 6 2 2 5 2 2 2" xfId="19753" xr:uid="{17D1EA00-D755-4FB7-89C1-504E5DBF8B1B}"/>
    <cellStyle name="Normal 7 6 2 2 5 2 3" xfId="12206" xr:uid="{97C9921C-C018-44E5-8721-8F39A9FF8C06}"/>
    <cellStyle name="Normal 7 6 2 2 5 2 3 2" xfId="22586" xr:uid="{69B2F764-A1F2-4BE8-AF28-B9F55204C887}"/>
    <cellStyle name="Normal 7 6 2 2 5 2 4" xfId="26736" xr:uid="{934F4AF8-BE69-4D83-8C74-1814C6B5140D}"/>
    <cellStyle name="Normal 7 6 2 2 5 2 5" xfId="16920" xr:uid="{040E12F0-1115-44F0-B8BF-02F016E01AB1}"/>
    <cellStyle name="Normal 7 6 2 2 5 3" xfId="6541" xr:uid="{61CB24AD-EF4B-4C70-8A05-E1ED25D7E49E}"/>
    <cellStyle name="Normal 7 6 2 2 5 3 2" xfId="16112" xr:uid="{D929F99D-2176-487F-9CC7-C2BD318A8A3C}"/>
    <cellStyle name="Normal 7 6 2 2 5 4" xfId="8565" xr:uid="{1B046643-6896-4EBD-A8BC-F4FE2D2C7ED5}"/>
    <cellStyle name="Normal 7 6 2 2 5 4 2" xfId="18945" xr:uid="{D8EEE973-8CA6-4140-90F5-0B6F16E7D485}"/>
    <cellStyle name="Normal 7 6 2 2 5 5" xfId="11398" xr:uid="{8A9DBD6E-90C5-4E9B-99D1-92A6BAC7FB19}"/>
    <cellStyle name="Normal 7 6 2 2 5 5 2" xfId="21778" xr:uid="{5BF316AA-94AB-4134-8F00-A333BEFF6EE0}"/>
    <cellStyle name="Normal 7 6 2 2 5 6" xfId="24562" xr:uid="{3E76B5FF-1B9A-4161-87A4-751D4B3E9752}"/>
    <cellStyle name="Normal 7 6 2 2 5 7" xfId="14078" xr:uid="{4DDD2D37-CA5D-497E-BC0D-7E552FC39117}"/>
    <cellStyle name="Normal 7 6 2 2 6" xfId="2560" xr:uid="{00000000-0005-0000-0000-0000F1080000}"/>
    <cellStyle name="Normal 7 6 2 2 6 2" xfId="5830" xr:uid="{B66FAA02-2061-4C28-94CA-12E640BE358B}"/>
    <cellStyle name="Normal 7 6 2 2 6 2 2" xfId="28672" xr:uid="{B0FFD673-EFD7-4AF0-A637-F37D84DBAEDF}"/>
    <cellStyle name="Normal 7 6 2 2 6 2 3" xfId="15232" xr:uid="{9DFBBEA0-13F0-460E-A223-45BA0E6D6AA1}"/>
    <cellStyle name="Normal 7 6 2 2 6 3" xfId="7685" xr:uid="{63FA4D9A-472C-4BCB-9C4D-EBF0C0779232}"/>
    <cellStyle name="Normal 7 6 2 2 6 3 2" xfId="18065" xr:uid="{AA1276C8-F94F-4E02-9918-E5158BBD146E}"/>
    <cellStyle name="Normal 7 6 2 2 6 4" xfId="10518" xr:uid="{39AA716C-C051-4882-8AB7-1A507ADBEE45}"/>
    <cellStyle name="Normal 7 6 2 2 6 4 2" xfId="20898" xr:uid="{6A7A902D-7399-4B15-ADA7-3A63D562E9E1}"/>
    <cellStyle name="Normal 7 6 2 2 6 5" xfId="23879" xr:uid="{B97EB2A7-DC6C-47FB-9D73-FFC054BBD131}"/>
    <cellStyle name="Normal 7 6 2 2 6 6" xfId="12948" xr:uid="{5C138EAE-DEA9-4AD5-A5FC-91C0DB1C2EFB}"/>
    <cellStyle name="Normal 7 6 2 2 7" xfId="2254" xr:uid="{00000000-0005-0000-0000-0000E6080000}"/>
    <cellStyle name="Normal 7 6 2 2 7 2" xfId="7381" xr:uid="{FF82BE85-CF7E-4D30-9509-E49B9532792C}"/>
    <cellStyle name="Normal 7 6 2 2 7 2 2" xfId="17761" xr:uid="{757A19E5-54D2-47FB-9AAD-B0C917D4B4BB}"/>
    <cellStyle name="Normal 7 6 2 2 7 3" xfId="10214" xr:uid="{9E5C0D3E-2C0D-4C99-8AC6-38661FC76CAE}"/>
    <cellStyle name="Normal 7 6 2 2 7 3 2" xfId="20594" xr:uid="{E32D5685-E2FB-49A1-A380-BF6348883FF4}"/>
    <cellStyle name="Normal 7 6 2 2 7 4" xfId="22862" xr:uid="{1D27C0B9-DB74-48FE-AB51-476EA2630360}"/>
    <cellStyle name="Normal 7 6 2 2 7 5" xfId="14928" xr:uid="{1AE6BEDE-C5EE-45E3-B1A0-392B2C209929}"/>
    <cellStyle name="Normal 7 6 2 2 8" xfId="23548" xr:uid="{C5CE898B-5079-473C-B569-1516EB8A0480}"/>
    <cellStyle name="Normal 7 6 2 2 9" xfId="12486" xr:uid="{39F8E732-094A-4460-B449-9D1468C045E8}"/>
    <cellStyle name="Normal 7 6 2 3" xfId="1480" xr:uid="{00000000-0005-0000-0000-0000A1070000}"/>
    <cellStyle name="Normal 7 6 2 3 10" xfId="10066" xr:uid="{1E1A3F6E-F969-4BAE-9F6F-3AA572EF8B3A}"/>
    <cellStyle name="Normal 7 6 2 3 10 2" xfId="20446" xr:uid="{256AC34C-FBD0-4F27-88CC-FEFDC0ABDECA}"/>
    <cellStyle name="Normal 7 6 2 3 11" xfId="25393" xr:uid="{167A9EED-2DEA-4CC9-B832-6DB0C5C99144}"/>
    <cellStyle name="Normal 7 6 2 3 12" xfId="12644" xr:uid="{E8BC95D7-541E-43E5-A0AF-7043290B7F2A}"/>
    <cellStyle name="Normal 7 6 2 3 2" xfId="2425" xr:uid="{00000000-0005-0000-0000-0000F3080000}"/>
    <cellStyle name="Normal 7 6 2 3 2 2" xfId="3487" xr:uid="{00000000-0005-0000-0000-0000F4080000}"/>
    <cellStyle name="Normal 7 6 2 3 2 2 2" xfId="6542" xr:uid="{2ED177E0-8D34-47F6-A550-BB54CD807983}"/>
    <cellStyle name="Normal 7 6 2 3 2 2 2 2" xfId="27736" xr:uid="{7B4B4AD0-D389-448D-9CF1-2C7A12CFAB15}"/>
    <cellStyle name="Normal 7 6 2 3 2 2 2 3" xfId="27486" xr:uid="{974FFAAC-0323-4FC9-A221-BF7EAC317557}"/>
    <cellStyle name="Normal 7 6 2 3 2 2 2 4" xfId="16113" xr:uid="{943B722A-1B6D-485C-BE3E-606506E530D2}"/>
    <cellStyle name="Normal 7 6 2 3 2 2 3" xfId="8566" xr:uid="{FA3BE7CA-8711-46A0-ACF0-5961A05AB851}"/>
    <cellStyle name="Normal 7 6 2 3 2 2 3 2" xfId="28949" xr:uid="{A37E3316-1CDF-4325-9EA6-9E73D2DB4680}"/>
    <cellStyle name="Normal 7 6 2 3 2 2 3 3" xfId="18946" xr:uid="{DF22B7A1-C024-4378-99DA-6E0A161155FE}"/>
    <cellStyle name="Normal 7 6 2 3 2 2 4" xfId="11399" xr:uid="{5880DDF9-8A56-4C4D-9CD8-7088981D7E9F}"/>
    <cellStyle name="Normal 7 6 2 3 2 2 4 2" xfId="21779" xr:uid="{4CB6013D-D85D-4607-B82A-4F2B066B2D34}"/>
    <cellStyle name="Normal 7 6 2 3 2 2 5" xfId="24797" xr:uid="{3EA3BD21-3DB5-4AE3-BB45-0A9CADD59DC2}"/>
    <cellStyle name="Normal 7 6 2 3 2 2 6" xfId="14079" xr:uid="{CC47A00B-1AB7-464B-A96F-1B0D14F90019}"/>
    <cellStyle name="Normal 7 6 2 3 2 3" xfId="2844" xr:uid="{00000000-0005-0000-0000-0000F5080000}"/>
    <cellStyle name="Normal 7 6 2 3 2 3 2" xfId="6058" xr:uid="{28B2E169-D7C2-4667-819D-0471C974F8D7}"/>
    <cellStyle name="Normal 7 6 2 3 2 3 2 2" xfId="26561" xr:uid="{74A0F5AF-D0CB-49BF-8753-E75A9FB067B3}"/>
    <cellStyle name="Normal 7 6 2 3 2 3 2 3" xfId="15513" xr:uid="{11978ACD-762B-44EB-A880-BC19191F914D}"/>
    <cellStyle name="Normal 7 6 2 3 2 3 3" xfId="7966" xr:uid="{B0545A4D-8699-4CA2-B39E-1B70F4A32311}"/>
    <cellStyle name="Normal 7 6 2 3 2 3 3 2" xfId="18346" xr:uid="{0DA7AE16-5A69-446A-A742-5D1BA50817CC}"/>
    <cellStyle name="Normal 7 6 2 3 2 3 4" xfId="10799" xr:uid="{A22CF988-77B7-483B-B476-BEAFAE84D019}"/>
    <cellStyle name="Normal 7 6 2 3 2 3 4 2" xfId="21179" xr:uid="{52400798-466A-47CC-86FE-E125E28CA297}"/>
    <cellStyle name="Normal 7 6 2 3 2 3 5" xfId="23176" xr:uid="{CF5192CA-0014-421A-99D0-F4FCC99E05C3}"/>
    <cellStyle name="Normal 7 6 2 3 2 3 6" xfId="13324" xr:uid="{613B7118-BE5A-48C6-B989-DE44F6BDA5DE}"/>
    <cellStyle name="Normal 7 6 2 3 2 4" xfId="4227" xr:uid="{4C5857AD-234B-4557-ADE5-B8289ADFA87B}"/>
    <cellStyle name="Normal 7 6 2 3 2 4 2" xfId="8999" xr:uid="{CB3B5041-B31D-497A-9D0B-64FC5C0E3A11}"/>
    <cellStyle name="Normal 7 6 2 3 2 4 2 2" xfId="19379" xr:uid="{60104DF8-912C-4105-A482-48B17DE8EA36}"/>
    <cellStyle name="Normal 7 6 2 3 2 4 3" xfId="11832" xr:uid="{2A4BF771-42B9-4F8D-B0E4-FB6E90789D39}"/>
    <cellStyle name="Normal 7 6 2 3 2 4 3 2" xfId="22212" xr:uid="{180518FC-28E0-4F1D-B9E9-975CB149259E}"/>
    <cellStyle name="Normal 7 6 2 3 2 4 4" xfId="23191" xr:uid="{DF7D4F32-EB8C-4BB1-AF49-8F4DEC3925B3}"/>
    <cellStyle name="Normal 7 6 2 3 2 4 5" xfId="16546" xr:uid="{16983FF2-37E5-4C2D-9694-40C4B52EDD4E}"/>
    <cellStyle name="Normal 7 6 2 3 2 5" xfId="5725" xr:uid="{CEE0CD0B-5F26-4751-88D7-0A0E532635CB}"/>
    <cellStyle name="Normal 7 6 2 3 2 5 2" xfId="15099" xr:uid="{C6DBCB33-7F20-48A6-9F48-D85BE71DD538}"/>
    <cellStyle name="Normal 7 6 2 3 2 6" xfId="7552" xr:uid="{189EF68A-E256-4796-89AE-AC0F3FAF7D8E}"/>
    <cellStyle name="Normal 7 6 2 3 2 6 2" xfId="17932" xr:uid="{43FB66C0-390C-4279-B678-C9FDF62130EE}"/>
    <cellStyle name="Normal 7 6 2 3 2 7" xfId="10385" xr:uid="{DBB79F94-F3C9-4812-B61F-AFDCD4D42AF7}"/>
    <cellStyle name="Normal 7 6 2 3 2 7 2" xfId="20765" xr:uid="{3C339B12-A6EB-4E4B-8738-0FBB837DE6F7}"/>
    <cellStyle name="Normal 7 6 2 3 2 8" xfId="23597" xr:uid="{46362229-43AB-4867-8795-752F1117C320}"/>
    <cellStyle name="Normal 7 6 2 3 2 9" xfId="12802" xr:uid="{00811522-1434-49F0-9892-C89467140CF9}"/>
    <cellStyle name="Normal 7 6 2 3 3" xfId="3488" xr:uid="{00000000-0005-0000-0000-0000F6080000}"/>
    <cellStyle name="Normal 7 6 2 3 3 2" xfId="4602" xr:uid="{4517D012-AB3F-4A50-A0AE-6DC9C9AABA35}"/>
    <cellStyle name="Normal 7 6 2 3 3 2 2" xfId="9374" xr:uid="{C788363A-D2D0-4902-9FC0-2B01B7C53F29}"/>
    <cellStyle name="Normal 7 6 2 3 3 2 2 2" xfId="29343" xr:uid="{F7D3D6A1-47D2-48DF-964B-7A00284DE874}"/>
    <cellStyle name="Normal 7 6 2 3 3 2 2 3" xfId="19754" xr:uid="{2595AF05-3149-411D-B2A3-9AB2965C3326}"/>
    <cellStyle name="Normal 7 6 2 3 3 2 3" xfId="12207" xr:uid="{8306838D-A175-48DF-9E22-7CCECC7A46AF}"/>
    <cellStyle name="Normal 7 6 2 3 3 2 3 2" xfId="22587" xr:uid="{666A7408-14DC-4E23-BF53-D70A7F51D1CC}"/>
    <cellStyle name="Normal 7 6 2 3 3 2 4" xfId="23845" xr:uid="{E19D32D2-28B6-4847-815D-8D68D928324E}"/>
    <cellStyle name="Normal 7 6 2 3 3 2 5" xfId="16921" xr:uid="{1F763406-0259-44E6-8D78-7596465B723C}"/>
    <cellStyle name="Normal 7 6 2 3 3 3" xfId="6543" xr:uid="{935A2752-8B7F-4C6A-BF5C-9EDD067E1A9A}"/>
    <cellStyle name="Normal 7 6 2 3 3 3 2" xfId="26797" xr:uid="{88148196-7D1B-4249-9D88-AFD134F9481F}"/>
    <cellStyle name="Normal 7 6 2 3 3 3 3" xfId="16114" xr:uid="{5C68F48B-039B-4724-A7FE-555E7C0A0FE3}"/>
    <cellStyle name="Normal 7 6 2 3 3 4" xfId="8567" xr:uid="{A34AC5BC-0734-4227-9483-F63AE9FA58A4}"/>
    <cellStyle name="Normal 7 6 2 3 3 4 2" xfId="18947" xr:uid="{DA7AF1A6-8AED-419E-8558-7AA2EF1EDAAE}"/>
    <cellStyle name="Normal 7 6 2 3 3 5" xfId="11400" xr:uid="{ADA725C3-BAC9-4DE8-B058-DE956EBE7BD5}"/>
    <cellStyle name="Normal 7 6 2 3 3 5 2" xfId="21780" xr:uid="{106E1BA2-A679-4A52-8A91-C8AD22D52F32}"/>
    <cellStyle name="Normal 7 6 2 3 3 6" xfId="23952" xr:uid="{3DF65DFE-68C1-4814-B5DB-D46D28CCC849}"/>
    <cellStyle name="Normal 7 6 2 3 3 7" xfId="14080" xr:uid="{2AAC3EB0-648E-4039-A54B-70CFFB60586E}"/>
    <cellStyle name="Normal 7 6 2 3 4" xfId="3000" xr:uid="{00000000-0005-0000-0000-0000F7080000}"/>
    <cellStyle name="Normal 7 6 2 3 4 2" xfId="6149" xr:uid="{8CE6BF8B-0E9F-4452-84EA-E1F3441688C5}"/>
    <cellStyle name="Normal 7 6 2 3 4 2 2" xfId="26411" xr:uid="{58070C94-302A-4FED-9388-BC7FD3B37CC0}"/>
    <cellStyle name="Normal 7 6 2 3 4 2 3" xfId="15627" xr:uid="{0C47AA3F-AB24-4930-9F11-72E8E2853579}"/>
    <cellStyle name="Normal 7 6 2 3 4 3" xfId="8080" xr:uid="{DE95BD2A-6FEC-43D3-99B0-B0875EAAA115}"/>
    <cellStyle name="Normal 7 6 2 3 4 3 2" xfId="18460" xr:uid="{ED7BAE7D-93BA-4869-9024-02B2F0BF21BA}"/>
    <cellStyle name="Normal 7 6 2 3 4 4" xfId="10913" xr:uid="{B17E3A17-CCA1-40F8-B55A-5C7F6649D437}"/>
    <cellStyle name="Normal 7 6 2 3 4 4 2" xfId="21293" xr:uid="{E8854CB8-4A7B-42B7-B6C5-59EAF2B0AF74}"/>
    <cellStyle name="Normal 7 6 2 3 4 5" xfId="24932" xr:uid="{CD25090A-1621-41C6-A210-0964DFF056A3}"/>
    <cellStyle name="Normal 7 6 2 3 4 6" xfId="13500" xr:uid="{FBD1A3F5-66E5-42B8-A13E-5BBCC43129D9}"/>
    <cellStyle name="Normal 7 6 2 3 5" xfId="2603" xr:uid="{00000000-0005-0000-0000-0000F8080000}"/>
    <cellStyle name="Normal 7 6 2 3 5 2" xfId="5868" xr:uid="{68540AEA-0E8E-4490-B917-D8E157903F73}"/>
    <cellStyle name="Normal 7 6 2 3 5 2 2" xfId="25873" xr:uid="{99D1D200-427F-4337-BF8F-46411779011E}"/>
    <cellStyle name="Normal 7 6 2 3 5 2 3" xfId="15275" xr:uid="{7B3CE3F2-FBE3-4F86-B53B-87E78ECF1E4D}"/>
    <cellStyle name="Normal 7 6 2 3 5 3" xfId="7728" xr:uid="{46B538C4-698E-407A-A73A-E6508947368F}"/>
    <cellStyle name="Normal 7 6 2 3 5 3 2" xfId="18108" xr:uid="{8C020935-67DA-4919-8F95-EE48A1028C02}"/>
    <cellStyle name="Normal 7 6 2 3 5 4" xfId="10561" xr:uid="{A7DF25E5-D097-4AB6-8A00-5C02D02AC826}"/>
    <cellStyle name="Normal 7 6 2 3 5 4 2" xfId="20941" xr:uid="{31A32AC7-551F-4906-BAB2-3B442B016CFC}"/>
    <cellStyle name="Normal 7 6 2 3 5 5" xfId="22926" xr:uid="{DCFA66F2-A4CC-4D03-88FA-4D2DEDA2B454}"/>
    <cellStyle name="Normal 7 6 2 3 5 6" xfId="12991" xr:uid="{F0E67ACF-9FBC-40E0-A18F-2E957BAD3AC0}"/>
    <cellStyle name="Normal 7 6 2 3 6" xfId="2410" xr:uid="{00000000-0005-0000-0000-0000F2080000}"/>
    <cellStyle name="Normal 7 6 2 3 6 2" xfId="7537" xr:uid="{78E3D2FD-30E3-475C-A30E-3B2F53C80C2E}"/>
    <cellStyle name="Normal 7 6 2 3 6 2 2" xfId="17917" xr:uid="{81BE1BC3-C79A-4BCB-A37E-0F1B6A11141F}"/>
    <cellStyle name="Normal 7 6 2 3 6 3" xfId="10370" xr:uid="{BC48B4BF-DD1D-4F5D-8422-249DC6A0F923}"/>
    <cellStyle name="Normal 7 6 2 3 6 3 2" xfId="20750" xr:uid="{186FE3F9-E38C-4563-937D-AF0E6A552712}"/>
    <cellStyle name="Normal 7 6 2 3 6 4" xfId="25440" xr:uid="{FEDB20F1-CD1B-4AB9-9D41-85153BDA663B}"/>
    <cellStyle name="Normal 7 6 2 3 6 5" xfId="15084" xr:uid="{94E2F247-9332-4E0E-A9F1-EE55A5533C72}"/>
    <cellStyle name="Normal 7 6 2 3 7" xfId="4081" xr:uid="{A6B066F1-DD96-4C23-A370-41D05A534855}"/>
    <cellStyle name="Normal 7 6 2 3 7 2" xfId="8859" xr:uid="{667C695F-D196-43B0-9454-E2BEAC50E32B}"/>
    <cellStyle name="Normal 7 6 2 3 7 2 2" xfId="19239" xr:uid="{58A1C407-A8BF-4947-968E-83CFCDF6891D}"/>
    <cellStyle name="Normal 7 6 2 3 7 3" xfId="11692" xr:uid="{D348FA38-632B-4CDE-8A66-F8DC1E6E7289}"/>
    <cellStyle name="Normal 7 6 2 3 7 3 2" xfId="22072" xr:uid="{860FD70A-BDAB-4B4D-84BD-620614E8FCD7}"/>
    <cellStyle name="Normal 7 6 2 3 7 4" xfId="16406" xr:uid="{95D5832A-9277-429F-AC12-EB7E130781B2}"/>
    <cellStyle name="Normal 7 6 2 3 8" xfId="5482" xr:uid="{7A635B9E-6B33-46CF-BC6A-D7E5668F196F}"/>
    <cellStyle name="Normal 7 6 2 3 8 2" xfId="14780" xr:uid="{A9FE8C30-9E0C-4D99-BCA5-24D0BB0B4012}"/>
    <cellStyle name="Normal 7 6 2 3 9" xfId="7233" xr:uid="{69B6C9D1-4B47-4FD4-9E52-B740DF431ACF}"/>
    <cellStyle name="Normal 7 6 2 3 9 2" xfId="17613" xr:uid="{B773A3F7-250A-44AB-B434-737FFFE34FD5}"/>
    <cellStyle name="Normal 7 6 2 4" xfId="1481" xr:uid="{00000000-0005-0000-0000-0000A2070000}"/>
    <cellStyle name="Normal 7 6 2 4 2" xfId="1482" xr:uid="{00000000-0005-0000-0000-0000A3070000}"/>
    <cellStyle name="Normal 7 6 2 4 2 2" xfId="7234" xr:uid="{6E122A99-0A2B-481E-941E-1A629EFDA561}"/>
    <cellStyle name="Normal 7 6 2 4 2 2 2" xfId="28573" xr:uid="{83729F6A-F6F6-4A57-98C1-F05D08D6747E}"/>
    <cellStyle name="Normal 7 6 2 4 2 2 3" xfId="28472" xr:uid="{B2F2DA54-1103-42A2-9A7C-76FB970A49FC}"/>
    <cellStyle name="Normal 7 6 2 4 2 2 4" xfId="17614" xr:uid="{D3ADCC34-AB49-487F-8203-E8A8E112658B}"/>
    <cellStyle name="Normal 7 6 2 4 2 3" xfId="10067" xr:uid="{CEDBC37A-7193-45AF-A6B6-FCA2810ED39C}"/>
    <cellStyle name="Normal 7 6 2 4 2 3 2" xfId="29466" xr:uid="{2956D692-3D13-45A4-A872-ED62089834FD}"/>
    <cellStyle name="Normal 7 6 2 4 2 3 3" xfId="20447" xr:uid="{6A1C4D72-F17D-4E46-9A7F-286D12EE63B6}"/>
    <cellStyle name="Normal 7 6 2 4 2 4" xfId="22635" xr:uid="{4D6831AF-81DC-4B28-8CFE-4A01A6C21AFC}"/>
    <cellStyle name="Normal 7 6 2 4 2 5" xfId="14781" xr:uid="{724AB0AE-DCBD-447A-9A5F-559E64BBAC60}"/>
    <cellStyle name="Normal 7 6 2 4 3" xfId="27384" xr:uid="{FA1FF1D9-E270-4A7D-A943-E427F0729186}"/>
    <cellStyle name="Normal 7 6 2 4 4" xfId="27362" xr:uid="{5E3A2284-2B4C-4BE2-948C-47C09382975B}"/>
    <cellStyle name="Normal 7 6 2 5" xfId="1483" xr:uid="{00000000-0005-0000-0000-0000A4070000}"/>
    <cellStyle name="Normal 7 6 2 5 2" xfId="4603" xr:uid="{12B5E42F-D790-45DA-9D1D-5C233CD01BAE}"/>
    <cellStyle name="Normal 7 6 2 5 2 2" xfId="9375" xr:uid="{2F3F45FC-EC56-4E7D-93DD-DA14367C6125}"/>
    <cellStyle name="Normal 7 6 2 5 2 2 2" xfId="29344" xr:uid="{19A9BD2C-7CD5-4F36-819D-FCF0DCCAC26D}"/>
    <cellStyle name="Normal 7 6 2 5 2 2 3" xfId="19755" xr:uid="{6D73268A-E381-41BB-9B34-46954B025484}"/>
    <cellStyle name="Normal 7 6 2 5 2 3" xfId="12208" xr:uid="{B541EE0C-4218-421C-9358-C9821E1A6070}"/>
    <cellStyle name="Normal 7 6 2 5 2 3 2" xfId="22588" xr:uid="{012FB8A7-B699-401A-B4CF-B396529CC047}"/>
    <cellStyle name="Normal 7 6 2 5 2 4" xfId="22819" xr:uid="{5A2CA262-985D-488C-8315-7CA4E45DF330}"/>
    <cellStyle name="Normal 7 6 2 5 2 5" xfId="16922" xr:uid="{3BAEB2FB-CA7F-4AFE-9FED-04598FABBA68}"/>
    <cellStyle name="Normal 7 6 2 5 3" xfId="5483" xr:uid="{9BFE6913-B7FD-46C9-B7DA-1CA04FBD48E1}"/>
    <cellStyle name="Normal 7 6 2 5 3 2" xfId="23480" xr:uid="{FB55B3A7-7CC4-4B33-81ED-58C90816DEA3}"/>
    <cellStyle name="Normal 7 6 2 5 3 3" xfId="26130" xr:uid="{E82DA417-FF46-4F52-9655-06161D003715}"/>
    <cellStyle name="Normal 7 6 2 5 3 4" xfId="14782" xr:uid="{35CE0722-3881-4B50-B822-855499230C93}"/>
    <cellStyle name="Normal 7 6 2 5 4" xfId="7235" xr:uid="{61D9F8CE-C3A3-4C75-975A-5683861D81A8}"/>
    <cellStyle name="Normal 7 6 2 5 4 2" xfId="24405" xr:uid="{FF928902-5FAB-491E-94A9-CC6410DAF7CB}"/>
    <cellStyle name="Normal 7 6 2 5 4 3" xfId="26436" xr:uid="{92080964-D7FF-4FC2-9B39-69DF9E261DF5}"/>
    <cellStyle name="Normal 7 6 2 5 4 4" xfId="17615" xr:uid="{A1508B5E-4B42-4C5E-8E1E-D427EE683154}"/>
    <cellStyle name="Normal 7 6 2 5 5" xfId="10068" xr:uid="{5E8CB66E-C768-459E-B683-3A13F096FB12}"/>
    <cellStyle name="Normal 7 6 2 5 5 2" xfId="29467" xr:uid="{A01A7646-22A0-41C3-B691-FACD4DA56448}"/>
    <cellStyle name="Normal 7 6 2 5 5 3" xfId="20448" xr:uid="{E4F574C7-E9B7-468D-9451-085997566E7D}"/>
    <cellStyle name="Normal 7 6 2 5 6" xfId="25144" xr:uid="{1CD5A22A-E0C0-40E0-BF04-96020AA18368}"/>
    <cellStyle name="Normal 7 6 2 5 7" xfId="14081" xr:uid="{6F77A334-7E8D-454F-9079-979D25F26416}"/>
    <cellStyle name="Normal 7 6 2 6" xfId="1484" xr:uid="{00000000-0005-0000-0000-0000A5070000}"/>
    <cellStyle name="Normal 7 6 2 6 2" xfId="2500" xr:uid="{00000000-0005-0000-0000-0000FB080000}"/>
    <cellStyle name="Normal 7 6 2 6 2 2" xfId="7625" xr:uid="{6DA91824-4395-46A4-B38A-CA6BA7737022}"/>
    <cellStyle name="Normal 7 6 2 6 2 2 2" xfId="18005" xr:uid="{B286C0FC-B35F-4A65-8F1E-46A4D3D798C7}"/>
    <cellStyle name="Normal 7 6 2 6 2 3" xfId="10458" xr:uid="{F0F27D90-69BA-4FBF-9D6A-63517C68C43B}"/>
    <cellStyle name="Normal 7 6 2 6 2 3 2" xfId="20838" xr:uid="{5D964759-6C67-4757-A5AD-5C7EDC1A05BE}"/>
    <cellStyle name="Normal 7 6 2 6 2 4" xfId="28457" xr:uid="{14B8BD50-F673-4976-A063-187232F799C6}"/>
    <cellStyle name="Normal 7 6 2 6 2 5" xfId="15172" xr:uid="{B518ABFA-065B-423C-BD0E-6902CAC24386}"/>
    <cellStyle name="Normal 7 6 2 6 3" xfId="2047" xr:uid="{00000000-0005-0000-0000-0000A5070000}"/>
    <cellStyle name="Normal 7 6 2 6 4" xfId="5484" xr:uid="{A67FD77B-8C42-46EF-8626-0391DF1149CC}"/>
    <cellStyle name="Normal 7 6 2 6 4 2" xfId="29978" xr:uid="{8A3ED3F0-DDCA-4B7D-8C69-DE31AFAB4803}"/>
    <cellStyle name="Normal 7 6 2 6 5" xfId="22767" xr:uid="{55D9A16F-D7A4-4684-8925-24433A61B1FE}"/>
    <cellStyle name="Normal 7 6 2 6 6" xfId="12888" xr:uid="{23CC4D2E-FB2B-433A-8457-8D4F882A536F}"/>
    <cellStyle name="Normal 7 6 2 7" xfId="2194" xr:uid="{00000000-0005-0000-0000-0000E5080000}"/>
    <cellStyle name="Normal 7 6 2 7 2" xfId="7321" xr:uid="{BF72EEEC-0363-42E3-BC13-D45899A28E16}"/>
    <cellStyle name="Normal 7 6 2 7 2 2" xfId="25934" xr:uid="{B86B97D5-6C7E-4598-A23A-995132FA8F68}"/>
    <cellStyle name="Normal 7 6 2 7 2 3" xfId="17701" xr:uid="{4BEFBD65-26C5-4811-A175-AF2DB6BCCA56}"/>
    <cellStyle name="Normal 7 6 2 7 3" xfId="10154" xr:uid="{21A3D271-F3A0-4463-94E9-EDCAD5111008}"/>
    <cellStyle name="Normal 7 6 2 7 3 2" xfId="20534" xr:uid="{E0479714-0684-4F81-93CE-59DB467146FA}"/>
    <cellStyle name="Normal 7 6 2 7 4" xfId="24913" xr:uid="{8956E53A-E2B5-4656-A712-A63BE9BA9A20}"/>
    <cellStyle name="Normal 7 6 2 7 5" xfId="14868" xr:uid="{53DC5CB4-8DC4-4461-95A0-784F72F2BAF7}"/>
    <cellStyle name="Normal 7 6 2 8" xfId="24378" xr:uid="{ED4EC8EF-5843-457B-AF88-4D7D2FF16CC9}"/>
    <cellStyle name="Normal 7 6 2 8 2" xfId="26104" xr:uid="{1718AF5F-58E8-4B0F-AB17-E916184D4514}"/>
    <cellStyle name="Normal 7 6 2 9" xfId="26699" xr:uid="{6293BA1F-4F0E-4845-A691-991D33328C21}"/>
    <cellStyle name="Normal 7 6 20" xfId="12403" xr:uid="{4D736B5C-A5E8-4CE8-A84B-CC95F0450F18}"/>
    <cellStyle name="Normal 7 6 21" xfId="30067" xr:uid="{A479DC3E-3AF4-487C-A75A-5C09A95D8673}"/>
    <cellStyle name="Normal 7 6 22" xfId="30214" xr:uid="{CC87BDA4-2215-49B4-82CC-76876C2C937B}"/>
    <cellStyle name="Normal 7 6 3" xfId="1485" xr:uid="{00000000-0005-0000-0000-0000A6070000}"/>
    <cellStyle name="Normal 7 6 3 10" xfId="5485" xr:uid="{0FF0B9C9-C1B6-4F32-B56F-A6E9F15C0064}"/>
    <cellStyle name="Normal 7 6 3 10 2" xfId="14783" xr:uid="{11F63485-85EE-419C-92E1-1121CED9FCEE}"/>
    <cellStyle name="Normal 7 6 3 11" xfId="7236" xr:uid="{C03B5CF4-3859-4FAB-B0F8-AD00D31F5CD5}"/>
    <cellStyle name="Normal 7 6 3 11 2" xfId="17616" xr:uid="{3965AFF5-D500-4564-8608-7B8F9F639B94}"/>
    <cellStyle name="Normal 7 6 3 12" xfId="10069" xr:uid="{FB397A62-BE51-4249-8822-47E85F69ACF6}"/>
    <cellStyle name="Normal 7 6 3 12 2" xfId="20449" xr:uid="{2017A004-559C-4D69-BB7E-AF23B9128025}"/>
    <cellStyle name="Normal 7 6 3 13" xfId="24060" xr:uid="{00283BD8-6DFE-4D42-A8C9-DE55BB8542D4}"/>
    <cellStyle name="Normal 7 6 3 14" xfId="12463" xr:uid="{330A2FA6-1B02-4750-856C-3013779CABB4}"/>
    <cellStyle name="Normal 7 6 3 2" xfId="1486" xr:uid="{00000000-0005-0000-0000-0000A7070000}"/>
    <cellStyle name="Normal 7 6 3 2 10" xfId="10070" xr:uid="{C384459C-EE0B-4E33-B24B-329E5047D295}"/>
    <cellStyle name="Normal 7 6 3 2 10 2" xfId="20450" xr:uid="{36061472-8AC3-4274-8073-CEF844A71F48}"/>
    <cellStyle name="Normal 7 6 3 2 11" xfId="24505" xr:uid="{4204AB79-5DC5-4919-B457-C0C5904DDC3B}"/>
    <cellStyle name="Normal 7 6 3 2 12" xfId="12645" xr:uid="{22329E4F-DB2C-4C3F-9CF0-92AE194A115C}"/>
    <cellStyle name="Normal 7 6 3 2 2" xfId="1487" xr:uid="{00000000-0005-0000-0000-0000A8070000}"/>
    <cellStyle name="Normal 7 6 3 2 2 2" xfId="3490" xr:uid="{00000000-0005-0000-0000-0000FF080000}"/>
    <cellStyle name="Normal 7 6 3 2 2 2 2" xfId="6545" xr:uid="{A75AD212-DE64-4528-9504-E8C40F6BFFD9}"/>
    <cellStyle name="Normal 7 6 3 2 2 2 2 2" xfId="24605" xr:uid="{A8C4C092-3BDF-4E13-8A90-AF197A9ED4D0}"/>
    <cellStyle name="Normal 7 6 3 2 2 2 2 3" xfId="27048" xr:uid="{2ED1A404-9ADC-44F3-A047-EBCF7D564F86}"/>
    <cellStyle name="Normal 7 6 3 2 2 2 2 4" xfId="16116" xr:uid="{EF263C13-2736-4C6F-8F51-B5CEE61F346C}"/>
    <cellStyle name="Normal 7 6 3 2 2 2 3" xfId="8569" xr:uid="{32111021-159F-4647-B700-FE0DBF32DC34}"/>
    <cellStyle name="Normal 7 6 3 2 2 2 3 2" xfId="28950" xr:uid="{EAA0EE0C-4FE5-4161-BCED-F3045E4F6B01}"/>
    <cellStyle name="Normal 7 6 3 2 2 2 3 3" xfId="18949" xr:uid="{BFC8A839-9433-4509-8CDC-EE5B8F75A796}"/>
    <cellStyle name="Normal 7 6 3 2 2 2 4" xfId="11402" xr:uid="{3903FC95-6D88-43D5-B48C-BF1168E91186}"/>
    <cellStyle name="Normal 7 6 3 2 2 2 4 2" xfId="21782" xr:uid="{85F0D391-5129-4115-8BDB-5E45211D7ADD}"/>
    <cellStyle name="Normal 7 6 3 2 2 2 5" xfId="24106" xr:uid="{53B646B6-BDEF-47EF-BC18-89C8554F3A50}"/>
    <cellStyle name="Normal 7 6 3 2 2 2 6" xfId="14083" xr:uid="{BAE7D445-FB7C-42D7-AD8B-B9AC3626DEDA}"/>
    <cellStyle name="Normal 7 6 3 2 2 3" xfId="4378" xr:uid="{C162742C-DE66-4955-A711-6E4484B11279}"/>
    <cellStyle name="Normal 7 6 3 2 2 3 2" xfId="9150" xr:uid="{0918B151-3C2B-4B85-A6EE-AA68960CB029}"/>
    <cellStyle name="Normal 7 6 3 2 2 3 2 2" xfId="29193" xr:uid="{88587D24-EEEF-4814-86EC-5BC5CAA19DD2}"/>
    <cellStyle name="Normal 7 6 3 2 2 3 2 3" xfId="19530" xr:uid="{8B3E029C-4D34-4CE9-B3C5-4B123FC6AEC1}"/>
    <cellStyle name="Normal 7 6 3 2 2 3 3" xfId="11983" xr:uid="{266513DF-7348-434C-8067-A7FDC9FC347D}"/>
    <cellStyle name="Normal 7 6 3 2 2 3 3 2" xfId="22363" xr:uid="{F34BC78C-C166-4889-B870-241F722142EB}"/>
    <cellStyle name="Normal 7 6 3 2 2 3 4" xfId="24116" xr:uid="{9C2A6350-DC11-4F7E-A855-98DE6405744B}"/>
    <cellStyle name="Normal 7 6 3 2 2 3 5" xfId="16697" xr:uid="{EA3FD3EA-104B-4372-8508-1829A0B44B5A}"/>
    <cellStyle name="Normal 7 6 3 2 2 4" xfId="5487" xr:uid="{F6EB880C-ED38-43AD-9751-1348F342E406}"/>
    <cellStyle name="Normal 7 6 3 2 2 4 2" xfId="26682" xr:uid="{174D04E0-A481-4349-AFBB-03F3FEE58C33}"/>
    <cellStyle name="Normal 7 6 3 2 2 4 3" xfId="14785" xr:uid="{1351964C-5036-4720-AC2B-4923681CF4AE}"/>
    <cellStyle name="Normal 7 6 3 2 2 5" xfId="7238" xr:uid="{B202CF5B-A6DC-4139-A90D-747D11398E52}"/>
    <cellStyle name="Normal 7 6 3 2 2 5 2" xfId="17618" xr:uid="{B893D070-4A71-4F7A-9322-7BF783E4AD36}"/>
    <cellStyle name="Normal 7 6 3 2 2 6" xfId="10071" xr:uid="{4F20E983-D5B4-4F3B-9774-CCF5C3CD4021}"/>
    <cellStyle name="Normal 7 6 3 2 2 6 2" xfId="20451" xr:uid="{EF6D2DA0-8AC6-416D-AB1F-40B3D31A6C2B}"/>
    <cellStyle name="Normal 7 6 3 2 2 7" xfId="25106" xr:uid="{89018BB3-8938-462E-AEA3-006F14FFFBAD}"/>
    <cellStyle name="Normal 7 6 3 2 2 8" xfId="13326" xr:uid="{61F590E0-3462-4D35-AD10-130D37A535D8}"/>
    <cellStyle name="Normal 7 6 3 2 3" xfId="3491" xr:uid="{00000000-0005-0000-0000-000000090000}"/>
    <cellStyle name="Normal 7 6 3 2 3 2" xfId="4604" xr:uid="{39ECBFA1-EFA7-434E-B5B7-F7621C6DED91}"/>
    <cellStyle name="Normal 7 6 3 2 3 2 2" xfId="9376" xr:uid="{6A24BE19-D00A-402A-BF36-29A11EF1785A}"/>
    <cellStyle name="Normal 7 6 3 2 3 2 2 2" xfId="29345" xr:uid="{1EFC031E-8BC5-41C9-B3F7-ADEFFFCEF88E}"/>
    <cellStyle name="Normal 7 6 3 2 3 2 2 3" xfId="19756" xr:uid="{F8C1338B-9D46-4335-A532-D1A8DCD6CDB1}"/>
    <cellStyle name="Normal 7 6 3 2 3 2 3" xfId="12209" xr:uid="{E79DF795-2412-48C3-839B-400AC4100CB6}"/>
    <cellStyle name="Normal 7 6 3 2 3 2 3 2" xfId="22589" xr:uid="{90C6B6F4-9B46-4D95-BA39-EA67B5D745C0}"/>
    <cellStyle name="Normal 7 6 3 2 3 2 4" xfId="25653" xr:uid="{2CE1781A-5E26-4029-AEFA-75D6D87258A2}"/>
    <cellStyle name="Normal 7 6 3 2 3 2 5" xfId="16923" xr:uid="{9B51D3E1-8B40-45FB-B22D-E8E0CBC33D80}"/>
    <cellStyle name="Normal 7 6 3 2 3 3" xfId="6546" xr:uid="{E4F7623D-6662-4A7F-8469-B85FD6B2A69A}"/>
    <cellStyle name="Normal 7 6 3 2 3 3 2" xfId="26834" xr:uid="{EBEE138B-E2C0-41E6-96F2-23A53F2328CC}"/>
    <cellStyle name="Normal 7 6 3 2 3 3 3" xfId="16117" xr:uid="{94112684-D143-469E-B73F-BA75177662C5}"/>
    <cellStyle name="Normal 7 6 3 2 3 4" xfId="8570" xr:uid="{204587C1-477C-4F02-AC2C-FB776FA0CC80}"/>
    <cellStyle name="Normal 7 6 3 2 3 4 2" xfId="18950" xr:uid="{5C79DCA2-4A5F-46C4-AAFF-A42ADB2FB554}"/>
    <cellStyle name="Normal 7 6 3 2 3 5" xfId="11403" xr:uid="{AEB043DD-3436-4ACC-B81C-0B3407855D19}"/>
    <cellStyle name="Normal 7 6 3 2 3 5 2" xfId="21783" xr:uid="{BAC586FA-8088-469D-8538-E78A0BE57809}"/>
    <cellStyle name="Normal 7 6 3 2 3 6" xfId="24227" xr:uid="{8EED4C54-AB70-4569-8CE6-1053658155E5}"/>
    <cellStyle name="Normal 7 6 3 2 3 7" xfId="14084" xr:uid="{30054B3B-B915-405B-ADE7-584368C336C6}"/>
    <cellStyle name="Normal 7 6 3 2 4" xfId="3489" xr:uid="{00000000-0005-0000-0000-000001090000}"/>
    <cellStyle name="Normal 7 6 3 2 4 2" xfId="6544" xr:uid="{7B6E7000-0441-4622-945D-CE45B7D4AB6B}"/>
    <cellStyle name="Normal 7 6 3 2 4 2 2" xfId="26593" xr:uid="{4BCE06FB-C81E-4322-B29F-BBE14600E106}"/>
    <cellStyle name="Normal 7 6 3 2 4 2 3" xfId="16115" xr:uid="{3A1732FA-27B6-45A2-AF77-63EB64C97D89}"/>
    <cellStyle name="Normal 7 6 3 2 4 3" xfId="8568" xr:uid="{9DD597EA-EC23-4792-894C-E9B1C33E94AE}"/>
    <cellStyle name="Normal 7 6 3 2 4 3 2" xfId="18948" xr:uid="{362CFB7D-F2B8-4926-B044-983395B01BA1}"/>
    <cellStyle name="Normal 7 6 3 2 4 4" xfId="11401" xr:uid="{D92811AC-761B-403F-B3BF-E85A22387678}"/>
    <cellStyle name="Normal 7 6 3 2 4 4 2" xfId="21781" xr:uid="{FB91684D-B12B-42F6-90A5-428E33A98090}"/>
    <cellStyle name="Normal 7 6 3 2 4 5" xfId="23524" xr:uid="{8A11F309-5766-481E-9FEA-7954DA7B47B4}"/>
    <cellStyle name="Normal 7 6 3 2 4 6" xfId="14082" xr:uid="{CE988D99-B1B8-4C92-985D-D11FA4B9C379}"/>
    <cellStyle name="Normal 7 6 3 2 5" xfId="2537" xr:uid="{00000000-0005-0000-0000-000002090000}"/>
    <cellStyle name="Normal 7 6 3 2 5 2" xfId="5811" xr:uid="{F4DFDF64-7DF7-4B91-90EE-A93EAE6980E3}"/>
    <cellStyle name="Normal 7 6 3 2 5 2 2" xfId="27623" xr:uid="{63BA84BA-A60E-4664-B663-17E1FEC0AD59}"/>
    <cellStyle name="Normal 7 6 3 2 5 2 3" xfId="15209" xr:uid="{BBE616B4-4FED-4FAD-9B28-D5068FF531DD}"/>
    <cellStyle name="Normal 7 6 3 2 5 3" xfId="7662" xr:uid="{61134F25-A1A6-4156-9344-85714967A00C}"/>
    <cellStyle name="Normal 7 6 3 2 5 3 2" xfId="18042" xr:uid="{05AE6B0B-E90F-496D-9F41-02F654425368}"/>
    <cellStyle name="Normal 7 6 3 2 5 4" xfId="10495" xr:uid="{5797FCFC-89AF-49F9-9975-DF75035D6631}"/>
    <cellStyle name="Normal 7 6 3 2 5 4 2" xfId="20875" xr:uid="{D1EF8E00-47DB-4AF1-89E3-031429467C7E}"/>
    <cellStyle name="Normal 7 6 3 2 5 5" xfId="24103" xr:uid="{037A8E6B-0580-4D89-A363-ABD4DA75EE1C}"/>
    <cellStyle name="Normal 7 6 3 2 5 6" xfId="12925" xr:uid="{F05D9D0A-05DF-4E0B-BA3C-4F5C0046ED46}"/>
    <cellStyle name="Normal 7 6 3 2 6" xfId="2411" xr:uid="{00000000-0005-0000-0000-0000FD080000}"/>
    <cellStyle name="Normal 7 6 3 2 6 2" xfId="7538" xr:uid="{0AF1B255-9782-4AA0-85B9-E2F027122566}"/>
    <cellStyle name="Normal 7 6 3 2 6 2 2" xfId="17918" xr:uid="{A8F0BB78-33FF-4A33-9C14-85171F59F9D7}"/>
    <cellStyle name="Normal 7 6 3 2 6 3" xfId="10371" xr:uid="{748D5359-7EA2-4C9F-A25C-AC466CAA6C64}"/>
    <cellStyle name="Normal 7 6 3 2 6 3 2" xfId="20751" xr:uid="{21BAC3C7-CA48-4471-B2F8-D6F7724DCB22}"/>
    <cellStyle name="Normal 7 6 3 2 6 4" xfId="24579" xr:uid="{7DA92AAD-0C30-4D70-8EF8-F92F27EDCF5E}"/>
    <cellStyle name="Normal 7 6 3 2 6 5" xfId="15085" xr:uid="{3F5B5856-726F-4C40-B48C-00F81E228475}"/>
    <cellStyle name="Normal 7 6 3 2 7" xfId="4083" xr:uid="{8905C58B-3AA2-4522-9658-D1A4F26EBCA6}"/>
    <cellStyle name="Normal 7 6 3 2 7 2" xfId="8861" xr:uid="{AE4A32B9-46AF-4B7A-9737-F3E5908BFA7F}"/>
    <cellStyle name="Normal 7 6 3 2 7 2 2" xfId="19241" xr:uid="{9A3E086B-6CD9-4D34-9AB3-3AECDBA64CA3}"/>
    <cellStyle name="Normal 7 6 3 2 7 3" xfId="11694" xr:uid="{6653D4D5-6BF4-413E-A5D3-BE0A02CE4719}"/>
    <cellStyle name="Normal 7 6 3 2 7 3 2" xfId="22074" xr:uid="{0D8C75DD-86CE-40BD-B9F8-D0241E611C28}"/>
    <cellStyle name="Normal 7 6 3 2 7 4" xfId="16408" xr:uid="{24095FED-6EE3-4AC6-9E67-DA564407F3A5}"/>
    <cellStyle name="Normal 7 6 3 2 8" xfId="5486" xr:uid="{1C04D63F-2527-4922-B84E-C8532F610DB5}"/>
    <cellStyle name="Normal 7 6 3 2 8 2" xfId="14784" xr:uid="{FE9598D6-D404-4D12-A2A9-953F6914CC16}"/>
    <cellStyle name="Normal 7 6 3 2 9" xfId="7237" xr:uid="{EF280821-8194-4C2F-9C83-1E7EDD85217C}"/>
    <cellStyle name="Normal 7 6 3 2 9 2" xfId="17617"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4" xr:uid="{00000000-0005-0000-0000-000005090000}"/>
    <cellStyle name="Normal 7 6 3 3 2 2 2 2" xfId="8572" xr:uid="{8B74FCD3-3004-4FF9-A207-3B34207350F0}"/>
    <cellStyle name="Normal 7 6 3 3 2 2 2 2 2" xfId="28952" xr:uid="{7332878A-36D6-4C54-9958-DC49BDBA1940}"/>
    <cellStyle name="Normal 7 6 3 3 2 2 2 2 3" xfId="18952" xr:uid="{5421953C-2644-4634-A08A-92CAB110B78D}"/>
    <cellStyle name="Normal 7 6 3 3 2 2 2 3" xfId="11405" xr:uid="{595A7502-EE64-4239-A595-0E27D4A90B57}"/>
    <cellStyle name="Normal 7 6 3 3 2 2 2 3 2" xfId="21785" xr:uid="{AD091209-4EC8-4E66-94C2-820E502DE9F6}"/>
    <cellStyle name="Normal 7 6 3 3 2 2 2 4" xfId="23834" xr:uid="{1CC13E34-5A25-404A-9A23-D6B30847F204}"/>
    <cellStyle name="Normal 7 6 3 3 2 2 2 5" xfId="16119" xr:uid="{2C6D172E-98DF-4EBB-AA83-BFF35D6113D1}"/>
    <cellStyle name="Normal 7 6 3 3 2 2 3" xfId="3624" xr:uid="{00000000-0005-0000-0000-0000AB070000}"/>
    <cellStyle name="Normal 7 6 3 3 2 2 3 2" xfId="28144" xr:uid="{8EEB4BA7-6823-4210-B5A8-6255A1ED9AD1}"/>
    <cellStyle name="Normal 7 6 3 3 2 2 3 3" xfId="26091" xr:uid="{EB27B8F3-FCF2-43E1-9E0B-18AE21233D3B}"/>
    <cellStyle name="Normal 7 6 3 3 2 2 4" xfId="5488" xr:uid="{3D8DF5C9-2CCE-4182-AF0F-F0C5756989A7}"/>
    <cellStyle name="Normal 7 6 3 3 2 2 4 2" xfId="30017" xr:uid="{09541E98-A624-486C-BB15-C0F94D98E9F5}"/>
    <cellStyle name="Normal 7 6 3 3 2 2 5" xfId="24559" xr:uid="{B922943A-682E-4BDA-97D1-4B15684C58BE}"/>
    <cellStyle name="Normal 7 6 3 3 2 2 6" xfId="14086" xr:uid="{962D000C-A1AC-4453-ACAB-73642BEFA1C9}"/>
    <cellStyle name="Normal 7 6 3 3 2 3" xfId="3493" xr:uid="{00000000-0005-0000-0000-000006090000}"/>
    <cellStyle name="Normal 7 6 3 3 2 4" xfId="2846" xr:uid="{00000000-0005-0000-0000-000004090000}"/>
    <cellStyle name="Normal 7 6 3 3 2 4 2" xfId="7968" xr:uid="{7FEAC7C5-8702-4A4A-B139-616752534E0F}"/>
    <cellStyle name="Normal 7 6 3 3 2 4 2 2" xfId="26705" xr:uid="{CB561070-5FA2-49DC-A8AE-EB062A357746}"/>
    <cellStyle name="Normal 7 6 3 3 2 4 2 3" xfId="18348" xr:uid="{B7D03DF5-BD0B-495C-8930-FF0F2A8CD2C0}"/>
    <cellStyle name="Normal 7 6 3 3 2 4 3" xfId="10801" xr:uid="{F0E2E89E-372C-4389-8A1A-DBA4DCC2754E}"/>
    <cellStyle name="Normal 7 6 3 3 2 4 3 2" xfId="21181" xr:uid="{10594F66-5859-4BA2-8F95-ABD9FCBFBF80}"/>
    <cellStyle name="Normal 7 6 3 3 2 4 4" xfId="22794" xr:uid="{19E007BA-7098-4A3F-9530-9818CE4A424A}"/>
    <cellStyle name="Normal 7 6 3 3 2 4 5" xfId="15515" xr:uid="{08EB1DFA-FFE2-4B40-9F7A-2B80C57D678F}"/>
    <cellStyle name="Normal 7 6 3 3 2 5" xfId="3768" xr:uid="{00000000-0005-0000-0000-000009070000}"/>
    <cellStyle name="Normal 7 6 3 3 2 5 2" xfId="4095" xr:uid="{9ECDFCFE-9E25-458F-A3CA-22ABFB47DDE6}"/>
    <cellStyle name="Normal 7 6 3 3 2 5 2 2" xfId="30037" xr:uid="{96D1D09A-1E6F-4865-9C07-9BEF000B5856}"/>
    <cellStyle name="Normal 7 6 3 3 2 5 3" xfId="23112" xr:uid="{8B9C337C-9F1F-4B71-B33C-4BBF8768F2B4}"/>
    <cellStyle name="Normal 7 6 3 3 2 5 4" xfId="25624" xr:uid="{08F19465-FA20-4EFC-BDBA-F333EA0FE99C}"/>
    <cellStyle name="Normal 7 6 3 3 2 5 5" xfId="29782" xr:uid="{02EAE297-A530-4B4C-976B-09C1DA35C444}"/>
    <cellStyle name="Normal 7 6 3 3 2 6" xfId="23049" xr:uid="{6A1329E9-4F61-4AE7-A038-DC47D92FCBA5}"/>
    <cellStyle name="Normal 7 6 3 3 2 7" xfId="13327" xr:uid="{F64208F4-0E3F-4CEE-8256-88031B63933C}"/>
    <cellStyle name="Normal 7 6 3 3 3" xfId="1491" xr:uid="{00000000-0005-0000-0000-0000AC070000}"/>
    <cellStyle name="Normal 7 6 3 3 3 2" xfId="3495" xr:uid="{00000000-0005-0000-0000-000007090000}"/>
    <cellStyle name="Normal 7 6 3 3 3 2 2" xfId="8573" xr:uid="{EF5855A4-E2C1-49DF-9504-E2EA90CE0347}"/>
    <cellStyle name="Normal 7 6 3 3 3 2 2 2" xfId="28953" xr:uid="{025541B1-DBD4-4EEF-9100-08DB729F7508}"/>
    <cellStyle name="Normal 7 6 3 3 3 2 2 3" xfId="18953" xr:uid="{63D9C151-495E-40D9-AF42-DAF5A7960CFA}"/>
    <cellStyle name="Normal 7 6 3 3 3 2 2 4" xfId="30047" xr:uid="{0A0A88DC-BAFC-4547-9665-79A169E8068B}"/>
    <cellStyle name="Normal 7 6 3 3 3 2 3" xfId="11406" xr:uid="{36AF5DE9-B923-43DA-853A-9DA9024BB51D}"/>
    <cellStyle name="Normal 7 6 3 3 3 2 3 2" xfId="21786" xr:uid="{1F465D1C-26CD-4943-9251-547D0E3620B2}"/>
    <cellStyle name="Normal 7 6 3 3 3 2 4" xfId="25234" xr:uid="{ACDE281D-914C-4269-A204-0BEA3AA49052}"/>
    <cellStyle name="Normal 7 6 3 3 3 2 5" xfId="24790" xr:uid="{E7424FEE-A287-4278-8785-A45E7B369859}"/>
    <cellStyle name="Normal 7 6 3 3 3 2 6" xfId="16120" xr:uid="{36AD8D00-0916-4C96-8A04-308D4955D853}"/>
    <cellStyle name="Normal 7 6 3 3 3 3" xfId="3582" xr:uid="{00000000-0005-0000-0000-0000AC070000}"/>
    <cellStyle name="Normal 7 6 3 3 3 3 2" xfId="22702" xr:uid="{AA2F5C75-DC2C-4230-A5D8-101807C85474}"/>
    <cellStyle name="Normal 7 6 3 3 3 3 2 2" xfId="30050" xr:uid="{EB735CBE-C35F-4FD0-98A5-ED4535BBCECB}"/>
    <cellStyle name="Normal 7 6 3 3 3 3 3" xfId="23939" xr:uid="{BF96C682-830A-4B3C-86E6-BED0BFAFAB1E}"/>
    <cellStyle name="Normal 7 6 3 3 3 4" xfId="4605" xr:uid="{B2D18F5D-868F-400D-8613-513DEF26BB5F}"/>
    <cellStyle name="Normal 7 6 3 3 3 4 2" xfId="9377" xr:uid="{0425B6A6-629F-4611-80FC-EDBECEF46DCF}"/>
    <cellStyle name="Normal 7 6 3 3 3 4 2 2" xfId="19757" xr:uid="{F252610E-686D-4982-B396-9C861E514B40}"/>
    <cellStyle name="Normal 7 6 3 3 3 4 3" xfId="12210" xr:uid="{380CCD94-C053-4C53-BD94-FFD08E872D30}"/>
    <cellStyle name="Normal 7 6 3 3 3 4 3 2" xfId="22590" xr:uid="{6FDC5E10-66D4-454D-ADAD-CEBBF6359800}"/>
    <cellStyle name="Normal 7 6 3 3 3 4 4" xfId="16924" xr:uid="{F6ECB581-5B9B-47AF-9F76-84B6EC88C8E6}"/>
    <cellStyle name="Normal 7 6 3 3 3 5" xfId="5489" xr:uid="{E526189A-FBBF-4CD8-BD80-1D49B21A9FC2}"/>
    <cellStyle name="Normal 7 6 3 3 3 5 2" xfId="29941" xr:uid="{EB9C2059-4866-4F4E-9B80-FA062496D2DB}"/>
    <cellStyle name="Normal 7 6 3 3 3 6" xfId="22964" xr:uid="{A39247FC-957C-4179-8B1D-E102D3CFAC6C}"/>
    <cellStyle name="Normal 7 6 3 3 3 6 2" xfId="29905" xr:uid="{5190A28B-C1CE-43A0-8853-13C4FEE39D8E}"/>
    <cellStyle name="Normal 7 6 3 3 3 7" xfId="25779" xr:uid="{E22A0136-BAAB-4D71-B4B6-C80D15B87F53}"/>
    <cellStyle name="Normal 7 6 3 3 3 8" xfId="14087" xr:uid="{574FAC05-942C-4FEA-9B51-28FD901D0829}"/>
    <cellStyle name="Normal 7 6 3 3 4" xfId="3492" xr:uid="{00000000-0005-0000-0000-000008090000}"/>
    <cellStyle name="Normal 7 6 3 3 4 2" xfId="6547" xr:uid="{F5FEA776-40B7-467D-A373-0714A130124A}"/>
    <cellStyle name="Normal 7 6 3 3 4 2 2" xfId="23242" xr:uid="{51F7082C-2196-41C7-B373-69BB56C93B1A}"/>
    <cellStyle name="Normal 7 6 3 3 4 2 3" xfId="28160" xr:uid="{DC6147DF-82B5-4E3B-916F-0BCF6F0F8E91}"/>
    <cellStyle name="Normal 7 6 3 3 4 2 4" xfId="16118" xr:uid="{30F026B2-B805-4647-990F-CDDA94500353}"/>
    <cellStyle name="Normal 7 6 3 3 4 3" xfId="8571" xr:uid="{1B8B625A-97E3-41E8-AF27-40244788585F}"/>
    <cellStyle name="Normal 7 6 3 3 4 3 2" xfId="28951" xr:uid="{3B3AD2CA-9486-42DA-8189-C299B1046117}"/>
    <cellStyle name="Normal 7 6 3 3 4 3 3" xfId="18951" xr:uid="{82189C2D-B2BE-4B80-88E4-6F1F020896B9}"/>
    <cellStyle name="Normal 7 6 3 3 4 4" xfId="11404" xr:uid="{303873E4-CF73-49B2-B038-F358E018E3BA}"/>
    <cellStyle name="Normal 7 6 3 3 4 4 2" xfId="21784" xr:uid="{5ED4D9AD-9B8A-4975-ACB2-0C70ABBDF531}"/>
    <cellStyle name="Normal 7 6 3 3 4 5" xfId="23498" xr:uid="{32B2BFD8-525E-4378-91D5-DDA650781DB0}"/>
    <cellStyle name="Normal 7 6 3 3 4 6" xfId="26302" xr:uid="{7E74C817-56EC-4084-A037-5AED7963C962}"/>
    <cellStyle name="Normal 7 6 3 3 4 7" xfId="14085" xr:uid="{470675C5-9F8B-41C5-B2C5-F6046364DB90}"/>
    <cellStyle name="Normal 7 6 3 3 5" xfId="2639" xr:uid="{00000000-0005-0000-0000-000009090000}"/>
    <cellStyle name="Normal 7 6 3 3 5 2" xfId="5901" xr:uid="{48132DCA-E8C2-4B60-8DE5-7EB3B66FFC2A}"/>
    <cellStyle name="Normal 7 6 3 3 5 2 2" xfId="15311" xr:uid="{0F63A216-69B1-45FD-AB2D-0A9A1A2FF379}"/>
    <cellStyle name="Normal 7 6 3 3 5 3" xfId="7764" xr:uid="{DBB43D33-4A0F-4C79-9AD8-720A439FBA15}"/>
    <cellStyle name="Normal 7 6 3 3 5 3 2" xfId="18144" xr:uid="{8030CBFF-0684-4121-AA6D-DB623D42B6E4}"/>
    <cellStyle name="Normal 7 6 3 3 5 4" xfId="10597" xr:uid="{389C6673-130F-44DE-BAD7-639E6FAAE7BC}"/>
    <cellStyle name="Normal 7 6 3 3 5 4 2" xfId="20977" xr:uid="{132AC504-2503-4B3D-AFD5-9A34968FC33D}"/>
    <cellStyle name="Normal 7 6 3 3 5 5" xfId="22690" xr:uid="{3688B1EF-53C5-488A-ACE0-5EA188193F00}"/>
    <cellStyle name="Normal 7 6 3 3 5 6" xfId="27189" xr:uid="{C5DA87B6-E3B5-4F70-81FF-F04A3C4CD07F}"/>
    <cellStyle name="Normal 7 6 3 3 5 7" xfId="13028" xr:uid="{CEBC3EB5-DFC0-40A5-A11A-60194FAE245D}"/>
    <cellStyle name="Normal 7 6 3 3 6" xfId="2152" xr:uid="{00000000-0005-0000-0000-000031030000}"/>
    <cellStyle name="Normal 7 6 3 3 6 2" xfId="4639" xr:uid="{DDD6DC4B-9466-4B61-9B06-D6792D4BBF9B}"/>
    <cellStyle name="Normal 7 6 3 3 6 3" xfId="29722" xr:uid="{82086234-A0A0-4EC0-9981-FEE16F4135C4}"/>
    <cellStyle name="Normal 7 6 3 3 7" xfId="4084" xr:uid="{FF6F513F-DDB9-462A-B13C-92776B7D2349}"/>
    <cellStyle name="Normal 7 6 3 3 7 2" xfId="4736" xr:uid="{CF2CB097-34DC-4247-8F0E-ABB43BA53B2B}"/>
    <cellStyle name="Normal 7 6 3 3 7 2 2" xfId="27718" xr:uid="{1EDD18A6-6835-40A8-88E3-C4F11ED69DE5}"/>
    <cellStyle name="Normal 7 6 3 3 7 3" xfId="26788" xr:uid="{96671C3B-A1B1-44DF-9104-304A20AEB2C0}"/>
    <cellStyle name="Normal 7 6 3 3 7 4" xfId="27627" xr:uid="{D690042B-48A8-4B37-88B6-2BF49BC9445A}"/>
    <cellStyle name="Normal 7 6 3 3 7 5" xfId="29836" xr:uid="{3E10B931-10B5-4510-9EE8-162567FF0002}"/>
    <cellStyle name="Normal 7 6 3 3 8" xfId="29913" xr:uid="{30EFA92C-8EB1-4A08-AE63-9293B6BBF031}"/>
    <cellStyle name="Normal 7 6 3 3 9" xfId="29865" xr:uid="{F97D92BD-F85E-4A2C-91D4-C5CC147897D4}"/>
    <cellStyle name="Normal 7 6 3 4" xfId="1492" xr:uid="{00000000-0005-0000-0000-0000AD070000}"/>
    <cellStyle name="Normal 7 6 3 4 2" xfId="3496" xr:uid="{00000000-0005-0000-0000-00000B090000}"/>
    <cellStyle name="Normal 7 6 3 4 2 2" xfId="6548" xr:uid="{BDCE6B7E-62BD-4044-B894-D9E0A2E850C9}"/>
    <cellStyle name="Normal 7 6 3 4 2 2 2" xfId="25817" xr:uid="{7B4532F0-478E-4AB7-9ED1-5AA482BF542A}"/>
    <cellStyle name="Normal 7 6 3 4 2 2 3" xfId="16121" xr:uid="{35E135D1-54BB-4081-99BA-AEF677987A76}"/>
    <cellStyle name="Normal 7 6 3 4 2 3" xfId="8574" xr:uid="{90BA02D6-CC03-4693-9CC9-BCB83579C29B}"/>
    <cellStyle name="Normal 7 6 3 4 2 3 2" xfId="18954" xr:uid="{65545394-FAE5-44BB-B2F1-507185147897}"/>
    <cellStyle name="Normal 7 6 3 4 2 4" xfId="11407" xr:uid="{CFF84FD6-9744-4EFE-86F3-8F7164451CEF}"/>
    <cellStyle name="Normal 7 6 3 4 2 4 2" xfId="21787" xr:uid="{1D951B25-C0C3-4BD6-96F5-5A17B8028CF0}"/>
    <cellStyle name="Normal 7 6 3 4 2 5" xfId="23155" xr:uid="{2B59EF41-2E53-450E-A5F1-810ABB2CF3ED}"/>
    <cellStyle name="Normal 7 6 3 4 2 6" xfId="14088" xr:uid="{9879ECFA-35C0-46D6-8663-23859D7AC2AF}"/>
    <cellStyle name="Normal 7 6 3 4 3" xfId="2845" xr:uid="{00000000-0005-0000-0000-00000C090000}"/>
    <cellStyle name="Normal 7 6 3 4 3 2" xfId="6059" xr:uid="{7FB49BD6-6F31-4B45-B557-17E3453C031E}"/>
    <cellStyle name="Normal 7 6 3 4 3 2 2" xfId="27111" xr:uid="{55A0543A-1117-4D83-A7B8-F9A9D7E41E40}"/>
    <cellStyle name="Normal 7 6 3 4 3 2 3" xfId="15514" xr:uid="{D16F7FB5-F41D-421D-A9B9-779147882517}"/>
    <cellStyle name="Normal 7 6 3 4 3 3" xfId="7967" xr:uid="{15655578-63B4-41BF-A5B3-024B7D70EB39}"/>
    <cellStyle name="Normal 7 6 3 4 3 3 2" xfId="18347" xr:uid="{630A5C95-8882-492D-8B3C-D91C8593B88B}"/>
    <cellStyle name="Normal 7 6 3 4 3 4" xfId="10800" xr:uid="{3EEDB382-2C2E-4827-8256-DD31D1484B28}"/>
    <cellStyle name="Normal 7 6 3 4 3 4 2" xfId="21180" xr:uid="{9D54FC28-AC6C-48D7-AEFC-121BF1CB48EB}"/>
    <cellStyle name="Normal 7 6 3 4 3 5" xfId="25338" xr:uid="{16C01234-1BA7-4D1A-9A8A-A36392ED2FF9}"/>
    <cellStyle name="Normal 7 6 3 4 3 6" xfId="13325" xr:uid="{DE1E783A-8BA0-4C3B-8CCC-83EDD34DE2B3}"/>
    <cellStyle name="Normal 7 6 3 4 4" xfId="4228" xr:uid="{32C5111D-E894-401D-8BA7-B9AF0DE3D009}"/>
    <cellStyle name="Normal 7 6 3 4 4 2" xfId="9000" xr:uid="{75079CD1-BECF-4205-B52C-BD9B59C4C153}"/>
    <cellStyle name="Normal 7 6 3 4 4 2 2" xfId="19380" xr:uid="{F7166BD3-B39C-465F-B5F9-DDCE8F8F3F52}"/>
    <cellStyle name="Normal 7 6 3 4 4 3" xfId="11833" xr:uid="{1463F024-B423-4C98-815A-F12B8C80C849}"/>
    <cellStyle name="Normal 7 6 3 4 4 3 2" xfId="22213" xr:uid="{13DD88AD-FF73-4A21-BE70-28E43FA1F7E0}"/>
    <cellStyle name="Normal 7 6 3 4 4 4" xfId="23208" xr:uid="{BBA65995-B27D-45A9-BD56-3555EE9DE275}"/>
    <cellStyle name="Normal 7 6 3 4 4 5" xfId="16547" xr:uid="{23563D06-ACFA-4D53-8FAB-2687F20D5518}"/>
    <cellStyle name="Normal 7 6 3 4 5" xfId="5490" xr:uid="{B1CB6DCF-31E2-43F8-A244-6C39885D46AF}"/>
    <cellStyle name="Normal 7 6 3 4 5 2" xfId="14786" xr:uid="{95E64EF2-3171-4025-9C61-DD362010BBE1}"/>
    <cellStyle name="Normal 7 6 3 4 6" xfId="7239" xr:uid="{108BD58C-916F-48C3-9672-7A310AE010EF}"/>
    <cellStyle name="Normal 7 6 3 4 6 2" xfId="17619" xr:uid="{C5E76D88-3368-4496-BCBD-A49B920BB512}"/>
    <cellStyle name="Normal 7 6 3 4 7" xfId="10072" xr:uid="{1CFE59E8-5846-4B0B-A048-57B198C01098}"/>
    <cellStyle name="Normal 7 6 3 4 7 2" xfId="20452" xr:uid="{2EC0ED5F-C82F-46A2-8D96-111897ACAF92}"/>
    <cellStyle name="Normal 7 6 3 4 8" xfId="25111" xr:uid="{1645CE95-CC52-4795-AA28-D0ACA599BC28}"/>
    <cellStyle name="Normal 7 6 3 4 9" xfId="12803" xr:uid="{861CFB80-084F-49F2-BC7A-8CE1FD2B9E70}"/>
    <cellStyle name="Normal 7 6 3 5" xfId="1493" xr:uid="{00000000-0005-0000-0000-0000AE070000}"/>
    <cellStyle name="Normal 7 6 3 5 2" xfId="4606" xr:uid="{334770A4-F9AD-44B1-9E35-20123E2610C4}"/>
    <cellStyle name="Normal 7 6 3 5 2 2" xfId="9378" xr:uid="{0A3E0FEE-8653-4C0D-A345-B0A5A370D5F5}"/>
    <cellStyle name="Normal 7 6 3 5 2 2 2" xfId="29346" xr:uid="{BA7A14BD-8546-4157-B552-4D65E2B154EF}"/>
    <cellStyle name="Normal 7 6 3 5 2 2 3" xfId="19758" xr:uid="{55B73C30-5F3E-4A07-AAD1-7978DB1C75D8}"/>
    <cellStyle name="Normal 7 6 3 5 2 3" xfId="12211" xr:uid="{00F0E0D4-CA95-4E8F-A0C3-023838EADDCF}"/>
    <cellStyle name="Normal 7 6 3 5 2 3 2" xfId="22591" xr:uid="{2DBB6977-B16C-4C03-9F51-82159352EC90}"/>
    <cellStyle name="Normal 7 6 3 5 2 4" xfId="25453" xr:uid="{F2EF33B9-DD57-4843-BF51-CF9E8EF3466B}"/>
    <cellStyle name="Normal 7 6 3 5 2 5" xfId="16925" xr:uid="{8A2C4A4E-12AD-476D-B7FD-3F9AE25A9C30}"/>
    <cellStyle name="Normal 7 6 3 5 3" xfId="5491" xr:uid="{78A76860-74B0-42D7-8CAB-5F737FE07FBE}"/>
    <cellStyle name="Normal 7 6 3 5 3 2" xfId="27481" xr:uid="{7F98AA3E-87F5-46D2-8F9F-22BC5432271A}"/>
    <cellStyle name="Normal 7 6 3 5 3 3" xfId="14787" xr:uid="{4591BEF2-F23B-4A12-B0A5-E1E40B0CBD23}"/>
    <cellStyle name="Normal 7 6 3 5 4" xfId="7240" xr:uid="{C134C1AF-352F-41CC-A63F-8160F9B16606}"/>
    <cellStyle name="Normal 7 6 3 5 4 2" xfId="17620" xr:uid="{908330EF-5FDB-4180-9CAA-5D7CAC7F7E2B}"/>
    <cellStyle name="Normal 7 6 3 5 5" xfId="10073" xr:uid="{8374ABE6-97A6-401D-8078-3437C41512B6}"/>
    <cellStyle name="Normal 7 6 3 5 5 2" xfId="20453" xr:uid="{A09BCBE1-F36A-4F23-8013-7B3682F03646}"/>
    <cellStyle name="Normal 7 6 3 5 6" xfId="24065" xr:uid="{F27258FD-AF9D-4FDF-AFF2-21ACF01FCDB7}"/>
    <cellStyle name="Normal 7 6 3 5 7" xfId="14089" xr:uid="{6FE82AB9-A0E6-4E41-AB83-B9B16AA87F12}"/>
    <cellStyle name="Normal 7 6 3 6" xfId="3001" xr:uid="{00000000-0005-0000-0000-00000E090000}"/>
    <cellStyle name="Normal 7 6 3 6 2" xfId="6150" xr:uid="{D2225D40-537E-4931-856D-C80A52FF4BFA}"/>
    <cellStyle name="Normal 7 6 3 6 2 2" xfId="24293" xr:uid="{26C16EB9-858D-4BD4-9CFC-A8959CDF03BA}"/>
    <cellStyle name="Normal 7 6 3 6 2 3" xfId="15628" xr:uid="{27642C92-841C-4AFF-A755-FBC6D1CD5A2F}"/>
    <cellStyle name="Normal 7 6 3 6 3" xfId="8081" xr:uid="{CAC6634D-B02E-46B0-97B1-64A92891BB5A}"/>
    <cellStyle name="Normal 7 6 3 6 3 2" xfId="18461" xr:uid="{011E2817-E21F-42F8-8972-6FD23128CA95}"/>
    <cellStyle name="Normal 7 6 3 6 4" xfId="10914" xr:uid="{A9C75B3C-8F6C-49E9-9579-D72106984BF7}"/>
    <cellStyle name="Normal 7 6 3 6 4 2" xfId="21294" xr:uid="{2DDB2999-8856-41A9-BB9E-8E60C308C139}"/>
    <cellStyle name="Normal 7 6 3 6 5" xfId="23062" xr:uid="{E42710B7-7567-4CFC-8C13-A58F2CF6B02A}"/>
    <cellStyle name="Normal 7 6 3 6 6" xfId="13501" xr:uid="{262120CC-206C-4228-98C6-2FE900E4E433}"/>
    <cellStyle name="Normal 7 6 3 7" xfId="2477" xr:uid="{00000000-0005-0000-0000-00000F090000}"/>
    <cellStyle name="Normal 7 6 3 7 2" xfId="5765" xr:uid="{D54B627D-F2BB-47A4-8AAC-8C90500B1422}"/>
    <cellStyle name="Normal 7 6 3 7 2 2" xfId="27190" xr:uid="{5AE2C8CB-5B95-4C16-9ED1-D003474EDB5F}"/>
    <cellStyle name="Normal 7 6 3 7 2 3" xfId="15149" xr:uid="{228B54B7-1555-4C16-BE58-ACEEF3A67042}"/>
    <cellStyle name="Normal 7 6 3 7 3" xfId="7602" xr:uid="{4BD16946-689F-47B3-8C7A-0D7BA2F18EA5}"/>
    <cellStyle name="Normal 7 6 3 7 3 2" xfId="17982" xr:uid="{8F73512D-077C-4320-8FF6-BC40E720BEE9}"/>
    <cellStyle name="Normal 7 6 3 7 4" xfId="10435" xr:uid="{2CFE7D18-FF92-4123-B761-3B4491F2CFA2}"/>
    <cellStyle name="Normal 7 6 3 7 4 2" xfId="20815" xr:uid="{2707D9FB-9E67-43DB-962B-7B7F5F705B63}"/>
    <cellStyle name="Normal 7 6 3 7 5" xfId="23768" xr:uid="{936336D0-0778-4AE6-9464-D33BF9F6A356}"/>
    <cellStyle name="Normal 7 6 3 7 6" xfId="12865" xr:uid="{082891E5-27E3-4D78-A5F1-3147C37C3EE4}"/>
    <cellStyle name="Normal 7 6 3 8" xfId="2231" xr:uid="{00000000-0005-0000-0000-0000FC080000}"/>
    <cellStyle name="Normal 7 6 3 8 2" xfId="7358" xr:uid="{B0DD7F28-8B64-421D-811E-519E770901DA}"/>
    <cellStyle name="Normal 7 6 3 8 2 2" xfId="17738" xr:uid="{BB0AB26C-8DA6-4783-AA0E-4EAA007CB7EF}"/>
    <cellStyle name="Normal 7 6 3 8 3" xfId="10191" xr:uid="{BEBBE2B1-8816-4318-AE32-5D46A10282F2}"/>
    <cellStyle name="Normal 7 6 3 8 3 2" xfId="20571" xr:uid="{B88BB2F0-AE3C-4FF5-95A4-01B02DFB5404}"/>
    <cellStyle name="Normal 7 6 3 8 4" xfId="23684" xr:uid="{CED53B9C-BA16-4491-B6F8-6BD65392DCD9}"/>
    <cellStyle name="Normal 7 6 3 8 5" xfId="14905" xr:uid="{7AF9EC48-2BFE-41A4-97B8-C7DC6094307C}"/>
    <cellStyle name="Normal 7 6 3 9" xfId="4082" xr:uid="{EF2773C0-75F8-4338-8D49-6A223B83D823}"/>
    <cellStyle name="Normal 7 6 3 9 2" xfId="8860" xr:uid="{C24C100F-3C93-4C78-BABE-8D3DA12C1E19}"/>
    <cellStyle name="Normal 7 6 3 9 2 2" xfId="19240" xr:uid="{B526C73A-CE7A-462A-BBCE-70A06B044FE8}"/>
    <cellStyle name="Normal 7 6 3 9 3" xfId="11693" xr:uid="{A39B2275-139E-43AE-9E93-1C45495EAD8D}"/>
    <cellStyle name="Normal 7 6 3 9 3 2" xfId="22073" xr:uid="{24D02D32-3058-49EF-824F-F7408B5EB3A0}"/>
    <cellStyle name="Normal 7 6 3 9 4" xfId="16407" xr:uid="{F289F06D-4061-4F56-A06D-D8BCDAA2EEB2}"/>
    <cellStyle name="Normal 7 6 4" xfId="1494" xr:uid="{00000000-0005-0000-0000-0000AF070000}"/>
    <cellStyle name="Normal 7 6 4 10" xfId="7241" xr:uid="{035EE198-4A52-4876-87A0-070F5F7708CF}"/>
    <cellStyle name="Normal 7 6 4 10 2" xfId="17621" xr:uid="{D89DF4CC-0987-4DE1-8B85-5A0C99566751}"/>
    <cellStyle name="Normal 7 6 4 11" xfId="10074" xr:uid="{F5343F40-5D9A-4340-8BBF-07E79251F3C3}"/>
    <cellStyle name="Normal 7 6 4 11 2" xfId="20454" xr:uid="{B702B95F-96D1-4434-9D40-676A330F5478}"/>
    <cellStyle name="Normal 7 6 4 12" xfId="24699" xr:uid="{0F9783B3-1B61-4494-BDB0-5321A3955761}"/>
    <cellStyle name="Normal 7 6 4 13" xfId="12443" xr:uid="{E596B25F-4216-4C7F-AFEA-51C74067E89C}"/>
    <cellStyle name="Normal 7 6 4 2" xfId="1495" xr:uid="{00000000-0005-0000-0000-0000B0070000}"/>
    <cellStyle name="Normal 7 6 4 2 10" xfId="10075" xr:uid="{49AB007F-0B85-4E9B-9297-7FAB9EDD1A13}"/>
    <cellStyle name="Normal 7 6 4 2 10 2" xfId="20455" xr:uid="{07B8A567-6003-482F-A8D1-6F8D08720156}"/>
    <cellStyle name="Normal 7 6 4 2 11" xfId="24834" xr:uid="{84097491-E54A-4F8D-89AD-642D736C2ECF}"/>
    <cellStyle name="Normal 7 6 4 2 12" xfId="12646" xr:uid="{D133F7A5-CB7E-41D0-B1D2-C6384AA4A48A}"/>
    <cellStyle name="Normal 7 6 4 2 2" xfId="1496" xr:uid="{00000000-0005-0000-0000-0000B1070000}"/>
    <cellStyle name="Normal 7 6 4 2 2 2" xfId="3498" xr:uid="{00000000-0005-0000-0000-000013090000}"/>
    <cellStyle name="Normal 7 6 4 2 2 2 2" xfId="6550" xr:uid="{214EEB64-1D93-45D2-8CEE-24CCB5F09020}"/>
    <cellStyle name="Normal 7 6 4 2 2 2 2 2" xfId="26710" xr:uid="{2A3AD107-4414-477B-8FB4-A88673D3BC25}"/>
    <cellStyle name="Normal 7 6 4 2 2 2 2 3" xfId="27005" xr:uid="{39EEA1F4-25C0-4828-9CB9-0A7767AB67EE}"/>
    <cellStyle name="Normal 7 6 4 2 2 2 2 4" xfId="16123" xr:uid="{C223E3D0-527D-4D4A-AC2A-7D30010B4321}"/>
    <cellStyle name="Normal 7 6 4 2 2 2 3" xfId="8576" xr:uid="{CA2E8B40-3298-401D-9DF9-9D47F9083327}"/>
    <cellStyle name="Normal 7 6 4 2 2 2 3 2" xfId="28954" xr:uid="{285D4BB7-57D0-491B-8105-EBF2388F0C4C}"/>
    <cellStyle name="Normal 7 6 4 2 2 2 3 3" xfId="18956" xr:uid="{A56A4225-07CA-4D6C-95D3-ED802EA7B0A3}"/>
    <cellStyle name="Normal 7 6 4 2 2 2 4" xfId="11409" xr:uid="{DA0BBD34-69D9-440E-BD34-6F0EE9C954A7}"/>
    <cellStyle name="Normal 7 6 4 2 2 2 4 2" xfId="21789" xr:uid="{674CA4BB-0812-40C8-A408-5A3CF9E6C347}"/>
    <cellStyle name="Normal 7 6 4 2 2 2 5" xfId="25576" xr:uid="{2A25585F-AAD2-4C72-8326-06640CEA80EE}"/>
    <cellStyle name="Normal 7 6 4 2 2 2 6" xfId="14091" xr:uid="{62891AED-D085-4513-83D0-0FDF749C6787}"/>
    <cellStyle name="Normal 7 6 4 2 2 3" xfId="4379" xr:uid="{6B0C6F2C-F1EA-4317-B151-4A0E02E17B31}"/>
    <cellStyle name="Normal 7 6 4 2 2 3 2" xfId="9151" xr:uid="{5E25D483-94C1-4C6C-8F93-262F279AE31D}"/>
    <cellStyle name="Normal 7 6 4 2 2 3 2 2" xfId="29194" xr:uid="{1C357637-EB2A-4B49-B8E1-5CFCFBEF3DA0}"/>
    <cellStyle name="Normal 7 6 4 2 2 3 2 3" xfId="19531" xr:uid="{008419AC-12D3-4030-8471-7A11685807FB}"/>
    <cellStyle name="Normal 7 6 4 2 2 3 3" xfId="11984" xr:uid="{CE59ADFC-3D0E-4D8E-A1E0-67BF151C7A21}"/>
    <cellStyle name="Normal 7 6 4 2 2 3 3 2" xfId="22364" xr:uid="{D470C0D9-346B-4FF2-AE3C-7631F48FE8B6}"/>
    <cellStyle name="Normal 7 6 4 2 2 3 4" xfId="24133" xr:uid="{01CA1647-475F-4DAE-A951-51BAB4AE9EB2}"/>
    <cellStyle name="Normal 7 6 4 2 2 3 5" xfId="16698" xr:uid="{ADD8F09B-422D-4159-884D-963C9A8967E0}"/>
    <cellStyle name="Normal 7 6 4 2 2 4" xfId="5494" xr:uid="{C30A7CF7-8099-4867-879B-2A15BF15C23D}"/>
    <cellStyle name="Normal 7 6 4 2 2 4 2" xfId="26927" xr:uid="{51714018-8DA3-4B95-8778-06DDBC6938DC}"/>
    <cellStyle name="Normal 7 6 4 2 2 4 3" xfId="14790" xr:uid="{76D31EED-C37C-4B0B-9F52-FB4C8E514434}"/>
    <cellStyle name="Normal 7 6 4 2 2 5" xfId="7243" xr:uid="{80EAA8DB-BAA0-4ABA-8A4D-573BCCD6D179}"/>
    <cellStyle name="Normal 7 6 4 2 2 5 2" xfId="17623" xr:uid="{96D2DF67-A618-41C9-9E6F-6575B034B959}"/>
    <cellStyle name="Normal 7 6 4 2 2 6" xfId="10076" xr:uid="{5C6DCC4E-28BF-4E27-8114-ADE19AE0B452}"/>
    <cellStyle name="Normal 7 6 4 2 2 6 2" xfId="20456" xr:uid="{8A009F11-04D3-497F-9B78-CB0EFDD8CB6B}"/>
    <cellStyle name="Normal 7 6 4 2 2 7" xfId="24578" xr:uid="{1A61F48B-7205-49C2-AA4D-4F3208C1919B}"/>
    <cellStyle name="Normal 7 6 4 2 2 8" xfId="13329" xr:uid="{6FA52218-8A77-4EF4-94F5-80A5FB768C2E}"/>
    <cellStyle name="Normal 7 6 4 2 3" xfId="3499" xr:uid="{00000000-0005-0000-0000-000014090000}"/>
    <cellStyle name="Normal 7 6 4 2 3 2" xfId="4607" xr:uid="{66F6D489-D49B-45AF-ADD0-5A63CD6F86D1}"/>
    <cellStyle name="Normal 7 6 4 2 3 2 2" xfId="9379" xr:uid="{13F6ED99-B520-4F0F-962D-7C6496C77841}"/>
    <cellStyle name="Normal 7 6 4 2 3 2 2 2" xfId="29347" xr:uid="{111B7E26-43CD-4734-AC48-BDB1414D34B9}"/>
    <cellStyle name="Normal 7 6 4 2 3 2 2 3" xfId="19759" xr:uid="{0AAD0977-7135-4C42-8D21-D2C61851AABF}"/>
    <cellStyle name="Normal 7 6 4 2 3 2 3" xfId="12212" xr:uid="{0428E7B4-13B1-4215-8937-D2289B0A14E5}"/>
    <cellStyle name="Normal 7 6 4 2 3 2 3 2" xfId="22592" xr:uid="{A0B6B42E-F3D2-408A-BC8A-BADCC9B082A8}"/>
    <cellStyle name="Normal 7 6 4 2 3 2 4" xfId="23245" xr:uid="{09DA1CB3-B645-49A8-8DCF-D310CFCEAA5B}"/>
    <cellStyle name="Normal 7 6 4 2 3 2 5" xfId="16926" xr:uid="{C7D63BF1-7F62-45F4-BCC1-DEFBD46C845A}"/>
    <cellStyle name="Normal 7 6 4 2 3 3" xfId="6551" xr:uid="{F5922A6E-BDD9-4825-BAF7-237878C34A8D}"/>
    <cellStyle name="Normal 7 6 4 2 3 3 2" xfId="27769" xr:uid="{D3CFDD13-73FD-4080-8D31-72CE817E5517}"/>
    <cellStyle name="Normal 7 6 4 2 3 3 3" xfId="16124" xr:uid="{569ACA0E-6D2C-41EF-9BF3-A6E20F299AFA}"/>
    <cellStyle name="Normal 7 6 4 2 3 4" xfId="8577" xr:uid="{0B4CADA8-46D5-435B-AE28-90CAFED1AF89}"/>
    <cellStyle name="Normal 7 6 4 2 3 4 2" xfId="18957" xr:uid="{34F622B0-3350-4944-8D8B-BC2F93F58DE3}"/>
    <cellStyle name="Normal 7 6 4 2 3 5" xfId="11410" xr:uid="{31F6793A-534E-42E2-AD39-BA9DD8743DB4}"/>
    <cellStyle name="Normal 7 6 4 2 3 5 2" xfId="21790" xr:uid="{5673C078-898F-4C9D-B37B-B7F3C28FF66A}"/>
    <cellStyle name="Normal 7 6 4 2 3 6" xfId="23960" xr:uid="{D783E5CE-2E14-4883-88B2-8675FBE6978F}"/>
    <cellStyle name="Normal 7 6 4 2 3 7" xfId="14092" xr:uid="{E2CF11E8-08A7-456F-ABF1-92CDC18F2C5C}"/>
    <cellStyle name="Normal 7 6 4 2 4" xfId="3497" xr:uid="{00000000-0005-0000-0000-000015090000}"/>
    <cellStyle name="Normal 7 6 4 2 4 2" xfId="6549" xr:uid="{CD82B9AD-1120-4375-8BF3-85B1EB5A0DFC}"/>
    <cellStyle name="Normal 7 6 4 2 4 2 2" xfId="26287" xr:uid="{8525F22A-04E3-4DB9-A4BB-91F8DD646266}"/>
    <cellStyle name="Normal 7 6 4 2 4 2 3" xfId="16122" xr:uid="{623069F8-A423-469D-A071-FE11F0374414}"/>
    <cellStyle name="Normal 7 6 4 2 4 3" xfId="8575" xr:uid="{49DD5175-9EA0-48AC-BDD5-DEB9FB6E8565}"/>
    <cellStyle name="Normal 7 6 4 2 4 3 2" xfId="18955" xr:uid="{337F8F82-4C28-41F2-B7E5-F877F277B9EE}"/>
    <cellStyle name="Normal 7 6 4 2 4 4" xfId="11408" xr:uid="{2368853A-E8C0-46E9-A1A2-939D1BB14FD5}"/>
    <cellStyle name="Normal 7 6 4 2 4 4 2" xfId="21788" xr:uid="{69D7CCEF-F97D-42F4-94BB-EB13570F5694}"/>
    <cellStyle name="Normal 7 6 4 2 4 5" xfId="22703" xr:uid="{297823CD-807C-4D59-BFA8-2B0411ACC5E4}"/>
    <cellStyle name="Normal 7 6 4 2 4 6" xfId="14090" xr:uid="{03F4B3A2-BAFC-45D5-9F9A-E46A98E9A94B}"/>
    <cellStyle name="Normal 7 6 4 2 5" xfId="2620" xr:uid="{00000000-0005-0000-0000-000016090000}"/>
    <cellStyle name="Normal 7 6 4 2 5 2" xfId="5882" xr:uid="{CA82C9FA-ECBB-4830-AAC9-1A35263FD096}"/>
    <cellStyle name="Normal 7 6 4 2 5 2 2" xfId="27735" xr:uid="{B4311067-D804-4D03-B5B7-74D45B43874D}"/>
    <cellStyle name="Normal 7 6 4 2 5 2 3" xfId="15292" xr:uid="{062D6E6D-9851-4F2C-B5D5-BD6F47412466}"/>
    <cellStyle name="Normal 7 6 4 2 5 3" xfId="7745" xr:uid="{D11D1D9F-CBC8-439E-9280-87A8061AD43A}"/>
    <cellStyle name="Normal 7 6 4 2 5 3 2" xfId="18125" xr:uid="{C2F39C00-C66C-4C15-BBDB-2798A8E8031C}"/>
    <cellStyle name="Normal 7 6 4 2 5 4" xfId="10578" xr:uid="{03D8FC28-5C5B-4C0F-95C5-F44C702848F1}"/>
    <cellStyle name="Normal 7 6 4 2 5 4 2" xfId="20958" xr:uid="{BA2958BA-73A3-40F8-BDF5-31AD53E6180E}"/>
    <cellStyle name="Normal 7 6 4 2 5 5" xfId="23642" xr:uid="{89F6BECF-0EC9-478F-B1DE-95553FB28B0C}"/>
    <cellStyle name="Normal 7 6 4 2 5 6" xfId="13008" xr:uid="{B1E7B27F-1398-479E-9BD9-CC4DE1E4F93F}"/>
    <cellStyle name="Normal 7 6 4 2 6" xfId="2412" xr:uid="{00000000-0005-0000-0000-000011090000}"/>
    <cellStyle name="Normal 7 6 4 2 6 2" xfId="7539" xr:uid="{909C80D6-F97A-4A5F-9535-F2822C42DD2D}"/>
    <cellStyle name="Normal 7 6 4 2 6 2 2" xfId="17919" xr:uid="{2E747C5F-4256-4B90-9FCC-72116FC8D146}"/>
    <cellStyle name="Normal 7 6 4 2 6 3" xfId="10372" xr:uid="{DA9631A7-2BA3-48D2-B158-0A801C9D75EF}"/>
    <cellStyle name="Normal 7 6 4 2 6 3 2" xfId="20752" xr:uid="{218BD272-9FA9-449E-989D-FAA0659443DC}"/>
    <cellStyle name="Normal 7 6 4 2 6 4" xfId="22963" xr:uid="{DB140B91-8617-458B-A1D6-A52A595FFBAA}"/>
    <cellStyle name="Normal 7 6 4 2 6 5" xfId="15086" xr:uid="{9D2CFA7D-55B1-4DF9-9125-26CBC1EC63D4}"/>
    <cellStyle name="Normal 7 6 4 2 7" xfId="4109" xr:uid="{77E46761-4AE2-4ED7-BEE7-7728377FC1FB}"/>
    <cellStyle name="Normal 7 6 4 2 7 2" xfId="8881" xr:uid="{6C0F0865-8587-43DB-AB1E-FC6EE651C3FE}"/>
    <cellStyle name="Normal 7 6 4 2 7 2 2" xfId="19261" xr:uid="{79693B14-F256-438F-80F3-2E9EAE2685D3}"/>
    <cellStyle name="Normal 7 6 4 2 7 3" xfId="11714" xr:uid="{BD46F7F7-AF10-44E4-A8E7-4A239FB3CAE8}"/>
    <cellStyle name="Normal 7 6 4 2 7 3 2" xfId="22094" xr:uid="{4BC53BCB-BF34-4BCB-87E8-584A463F96BE}"/>
    <cellStyle name="Normal 7 6 4 2 7 4" xfId="16428" xr:uid="{161D2999-90BA-4C98-82B4-AAA544CB94F7}"/>
    <cellStyle name="Normal 7 6 4 2 8" xfId="5493" xr:uid="{ED208182-AB4A-43E2-B8D4-3D0E4CE3FC3D}"/>
    <cellStyle name="Normal 7 6 4 2 8 2" xfId="14789" xr:uid="{827BB9A6-6F22-42F9-97F6-75D452236B82}"/>
    <cellStyle name="Normal 7 6 4 2 9" xfId="7242" xr:uid="{5FCE118D-9011-46AC-97E4-C1A923D60652}"/>
    <cellStyle name="Normal 7 6 4 2 9 2" xfId="17622" xr:uid="{F5FC5549-0709-4391-A1B4-7DFCAB1765FB}"/>
    <cellStyle name="Normal 7 6 4 3" xfId="1497" xr:uid="{00000000-0005-0000-0000-0000B2070000}"/>
    <cellStyle name="Normal 7 6 4 3 2" xfId="3500" xr:uid="{00000000-0005-0000-0000-000018090000}"/>
    <cellStyle name="Normal 7 6 4 3 2 2" xfId="6552" xr:uid="{D5D721FD-4294-41E9-9E53-B39918ABA39F}"/>
    <cellStyle name="Normal 7 6 4 3 2 2 2" xfId="23055" xr:uid="{3BE78620-1BC4-4DF3-A5DE-DB2C98BC7C91}"/>
    <cellStyle name="Normal 7 6 4 3 2 2 3" xfId="26088" xr:uid="{F8B224D6-DEB0-48B7-8C9E-E1D80A12A2C2}"/>
    <cellStyle name="Normal 7 6 4 3 2 2 4" xfId="16125" xr:uid="{A36195B5-1EBC-40F4-A100-AC26DF93E762}"/>
    <cellStyle name="Normal 7 6 4 3 2 3" xfId="8578" xr:uid="{937966F0-4210-4544-AC52-3D1795A1E072}"/>
    <cellStyle name="Normal 7 6 4 3 2 3 2" xfId="28955" xr:uid="{A459C81F-790B-4A1C-B115-EB72415FCA89}"/>
    <cellStyle name="Normal 7 6 4 3 2 3 3" xfId="18958" xr:uid="{C9A2FCA2-BCF3-40D5-9E91-1625D7C4269A}"/>
    <cellStyle name="Normal 7 6 4 3 2 4" xfId="11411" xr:uid="{781009EA-ACEE-4181-95A0-1AD5234FF42C}"/>
    <cellStyle name="Normal 7 6 4 3 2 4 2" xfId="21791" xr:uid="{DF504D84-6586-4591-BEFB-5063037976D2}"/>
    <cellStyle name="Normal 7 6 4 3 2 5" xfId="24723" xr:uid="{E9ECF8B6-8C80-4E7D-A69B-84FDD893AE7D}"/>
    <cellStyle name="Normal 7 6 4 3 2 6" xfId="14093" xr:uid="{82571571-29DA-43BB-B6F9-C12F49F1DAAC}"/>
    <cellStyle name="Normal 7 6 4 3 3" xfId="2847" xr:uid="{00000000-0005-0000-0000-000019090000}"/>
    <cellStyle name="Normal 7 6 4 3 3 2" xfId="6060" xr:uid="{0DA2B59D-B791-46D6-8532-4C10B6B91FBA}"/>
    <cellStyle name="Normal 7 6 4 3 3 2 2" xfId="28357" xr:uid="{5D105145-8517-4BE2-A09D-ECFB5DEA7455}"/>
    <cellStyle name="Normal 7 6 4 3 3 2 3" xfId="15516" xr:uid="{096319CA-E769-4DE6-BECA-93CE94F800F8}"/>
    <cellStyle name="Normal 7 6 4 3 3 3" xfId="7969" xr:uid="{2F5CE179-3A0F-4A9D-B401-53D318BCBD18}"/>
    <cellStyle name="Normal 7 6 4 3 3 3 2" xfId="18349" xr:uid="{FBFA4E50-9252-468E-8F29-60E2C05BE592}"/>
    <cellStyle name="Normal 7 6 4 3 3 4" xfId="10802" xr:uid="{3E22AB5A-4335-420E-80AD-C0134BE393BF}"/>
    <cellStyle name="Normal 7 6 4 3 3 4 2" xfId="21182" xr:uid="{8CE11DFB-2E08-48D4-ABB7-4E2446763A20}"/>
    <cellStyle name="Normal 7 6 4 3 3 5" xfId="24987" xr:uid="{2B1A971E-F5B0-47FF-8658-F8F56EDA747D}"/>
    <cellStyle name="Normal 7 6 4 3 3 6" xfId="13328" xr:uid="{4E9911BA-E1F1-432A-85FE-474B10F1C98E}"/>
    <cellStyle name="Normal 7 6 4 3 4" xfId="4229" xr:uid="{5644E9A4-EBAE-4A30-A3A7-814AEB5E2BBD}"/>
    <cellStyle name="Normal 7 6 4 3 4 2" xfId="9001" xr:uid="{1F1E9345-0D5F-4EB5-BC77-66AA88AF8084}"/>
    <cellStyle name="Normal 7 6 4 3 4 2 2" xfId="29076" xr:uid="{04EF2121-8F9D-47E1-95D6-2A96462046A0}"/>
    <cellStyle name="Normal 7 6 4 3 4 2 3" xfId="19381" xr:uid="{00120F8E-2E91-487F-AC3F-BD77EFA709C8}"/>
    <cellStyle name="Normal 7 6 4 3 4 3" xfId="11834" xr:uid="{3133CD66-DEC5-48F4-9AAD-E488D033F91C}"/>
    <cellStyle name="Normal 7 6 4 3 4 3 2" xfId="22214" xr:uid="{AB3E41C7-A31C-482C-8829-CDF220706801}"/>
    <cellStyle name="Normal 7 6 4 3 4 4" xfId="22916" xr:uid="{117F10E1-0F2A-436E-ACBF-F6C29F47C5A9}"/>
    <cellStyle name="Normal 7 6 4 3 4 5" xfId="16548" xr:uid="{A5BEF6C1-15E3-4E49-8272-A8C2C967417A}"/>
    <cellStyle name="Normal 7 6 4 3 5" xfId="5495" xr:uid="{B08F0AA9-0A61-4228-BEC0-06332A122D18}"/>
    <cellStyle name="Normal 7 6 4 3 5 2" xfId="28396" xr:uid="{761A86C3-ED31-49F1-93DC-0C7D04858817}"/>
    <cellStyle name="Normal 7 6 4 3 5 3" xfId="14791" xr:uid="{49F51432-65E2-4899-8358-EACE04E00462}"/>
    <cellStyle name="Normal 7 6 4 3 6" xfId="7244" xr:uid="{F646D13A-AED6-4D8D-A845-E6F81DC4ECAA}"/>
    <cellStyle name="Normal 7 6 4 3 6 2" xfId="17624" xr:uid="{F4ED4057-A56C-40B8-B84C-F083BD5C8E7D}"/>
    <cellStyle name="Normal 7 6 4 3 7" xfId="10077" xr:uid="{DF3E602C-AE99-4F19-BF5D-BA08004E781C}"/>
    <cellStyle name="Normal 7 6 4 3 7 2" xfId="20457" xr:uid="{6D5DAEA5-68AE-4405-8C12-ECE841313B1E}"/>
    <cellStyle name="Normal 7 6 4 3 8" xfId="23341" xr:uid="{635B3F8E-57FD-4427-A73F-46D378261E0D}"/>
    <cellStyle name="Normal 7 6 4 3 9" xfId="12804" xr:uid="{6E0D6631-0B8D-43E8-9700-2101A92FE9BC}"/>
    <cellStyle name="Normal 7 6 4 4" xfId="1498" xr:uid="{00000000-0005-0000-0000-0000B3070000}"/>
    <cellStyle name="Normal 7 6 4 4 2" xfId="4608" xr:uid="{B16931EB-7DAE-4907-8E70-D8B738510EE6}"/>
    <cellStyle name="Normal 7 6 4 4 2 2" xfId="9380" xr:uid="{D3C7172B-6501-44FC-BC19-3FAAE562FBFB}"/>
    <cellStyle name="Normal 7 6 4 4 2 2 2" xfId="29348" xr:uid="{5028358C-192B-4348-BDD4-2BD130CC8A4F}"/>
    <cellStyle name="Normal 7 6 4 4 2 2 3" xfId="19760" xr:uid="{13D538F3-9528-4969-A811-47504BBADF1D}"/>
    <cellStyle name="Normal 7 6 4 4 2 3" xfId="12213" xr:uid="{74B0E405-8302-4CE7-8775-ECA51A499A38}"/>
    <cellStyle name="Normal 7 6 4 4 2 3 2" xfId="22593" xr:uid="{A8AB96D9-7258-42D5-99A1-55B661C2972D}"/>
    <cellStyle name="Normal 7 6 4 4 2 4" xfId="23737" xr:uid="{9C5B22E1-2BF8-44D0-8F15-C795EA035DF6}"/>
    <cellStyle name="Normal 7 6 4 4 2 5" xfId="16927" xr:uid="{7512255A-B8C1-4313-98A9-B8AAA554676D}"/>
    <cellStyle name="Normal 7 6 4 4 3" xfId="5496" xr:uid="{0773F734-9059-4CFF-8EC5-101FF109C416}"/>
    <cellStyle name="Normal 7 6 4 4 3 2" xfId="27784" xr:uid="{1A12C115-CC31-43A4-9197-A7CD1F6F391C}"/>
    <cellStyle name="Normal 7 6 4 4 3 3" xfId="14792" xr:uid="{C18CF4CC-B277-44AB-828B-A04FF0926824}"/>
    <cellStyle name="Normal 7 6 4 4 4" xfId="7245" xr:uid="{6240168D-E640-496A-96A9-F337D8E4203C}"/>
    <cellStyle name="Normal 7 6 4 4 4 2" xfId="17625" xr:uid="{525548CA-F646-40DD-BC6F-23687FEDF6FD}"/>
    <cellStyle name="Normal 7 6 4 4 5" xfId="10078" xr:uid="{CE001266-510D-4FC6-B297-6ECD56E12BDC}"/>
    <cellStyle name="Normal 7 6 4 4 5 2" xfId="20458" xr:uid="{B242D98E-EABD-4686-955D-F8E4E40B0A18}"/>
    <cellStyle name="Normal 7 6 4 4 6" xfId="23474" xr:uid="{D2D71813-8875-4C5D-B3D6-044D13BE8A19}"/>
    <cellStyle name="Normal 7 6 4 4 7" xfId="14094" xr:uid="{AD175A59-4B0F-44EC-9EE9-E862184E4AF4}"/>
    <cellStyle name="Normal 7 6 4 5" xfId="3002" xr:uid="{00000000-0005-0000-0000-00001B090000}"/>
    <cellStyle name="Normal 7 6 4 5 2" xfId="6151" xr:uid="{90578136-11C7-49EF-81BA-156BF174B318}"/>
    <cellStyle name="Normal 7 6 4 5 2 2" xfId="25647" xr:uid="{50B6CDAF-0D17-4CD8-90BD-95FF3A06F049}"/>
    <cellStyle name="Normal 7 6 4 5 2 3" xfId="27508" xr:uid="{E3DABAFF-4279-48AD-9175-C601B5BFAC61}"/>
    <cellStyle name="Normal 7 6 4 5 2 4" xfId="15629" xr:uid="{59D28FE0-3EBB-4B33-8B51-3592740E3B8E}"/>
    <cellStyle name="Normal 7 6 4 5 3" xfId="8082" xr:uid="{1593290C-B0DA-4379-A3E0-534ACFF6909F}"/>
    <cellStyle name="Normal 7 6 4 5 3 2" xfId="28772" xr:uid="{03946E0B-3269-497D-B1B4-77B97149BEDE}"/>
    <cellStyle name="Normal 7 6 4 5 3 3" xfId="18462" xr:uid="{BF16C1A0-9822-4D47-A742-0B5348BF515D}"/>
    <cellStyle name="Normal 7 6 4 5 4" xfId="10915" xr:uid="{15D1B895-427B-42C9-8218-BC101DA53385}"/>
    <cellStyle name="Normal 7 6 4 5 4 2" xfId="21295" xr:uid="{07E05386-D6B5-4F0F-9541-E2ADBF877C18}"/>
    <cellStyle name="Normal 7 6 4 5 5" xfId="22988" xr:uid="{AA691454-5113-4FB4-87D2-11739E7C604C}"/>
    <cellStyle name="Normal 7 6 4 5 6" xfId="13502" xr:uid="{80EDD499-EB67-449A-A662-417C08D2759D}"/>
    <cellStyle name="Normal 7 6 4 6" xfId="2457" xr:uid="{00000000-0005-0000-0000-00001C090000}"/>
    <cellStyle name="Normal 7 6 4 6 2" xfId="5749" xr:uid="{5C7ECC11-5A5E-4742-93C1-93ABCAF451DD}"/>
    <cellStyle name="Normal 7 6 4 6 2 2" xfId="27519" xr:uid="{0B431D5C-5A9F-40C1-A469-B3FB46C54045}"/>
    <cellStyle name="Normal 7 6 4 6 2 3" xfId="15129" xr:uid="{7786E342-5940-4005-A46E-4386156685AA}"/>
    <cellStyle name="Normal 7 6 4 6 3" xfId="7582" xr:uid="{6614F47F-3B61-438F-A015-54D8ED0B784D}"/>
    <cellStyle name="Normal 7 6 4 6 3 2" xfId="17962" xr:uid="{582818AA-C3A4-4DAA-8F13-7948F36C02D0}"/>
    <cellStyle name="Normal 7 6 4 6 4" xfId="10415" xr:uid="{0840C9DB-4E69-40F0-BEE7-88E70FFD731F}"/>
    <cellStyle name="Normal 7 6 4 6 4 2" xfId="20795" xr:uid="{12344003-0DAF-491F-972E-91BB6DFF52CC}"/>
    <cellStyle name="Normal 7 6 4 6 5" xfId="23396" xr:uid="{9FA5B035-2601-4F75-8A83-5A87EB96104D}"/>
    <cellStyle name="Normal 7 6 4 6 6" xfId="12845" xr:uid="{9ED57ABB-C750-4436-896D-DA1DBDFB3F0B}"/>
    <cellStyle name="Normal 7 6 4 7" xfId="2211" xr:uid="{00000000-0005-0000-0000-000010090000}"/>
    <cellStyle name="Normal 7 6 4 7 2" xfId="7338" xr:uid="{C6DD2CEB-8E2E-467D-BAE0-3FBCF447319B}"/>
    <cellStyle name="Normal 7 6 4 7 2 2" xfId="17718" xr:uid="{29EE4852-5465-45F1-8671-6D1F0111BE9B}"/>
    <cellStyle name="Normal 7 6 4 7 3" xfId="10171" xr:uid="{41AD4F93-CE63-4CAF-8287-65AE5F09F554}"/>
    <cellStyle name="Normal 7 6 4 7 3 2" xfId="20551" xr:uid="{438D9016-FB78-4B8E-BF5E-6395939B03E9}"/>
    <cellStyle name="Normal 7 6 4 7 4" xfId="23895" xr:uid="{0CADA542-F7D4-4031-8302-CBD27A5EA11C}"/>
    <cellStyle name="Normal 7 6 4 7 5" xfId="14885" xr:uid="{2FCCF03A-40FB-4A4C-BEB3-A1933E008AB1}"/>
    <cellStyle name="Normal 7 6 4 8" xfId="4085" xr:uid="{11850CE3-2A1F-47EF-B471-999DD0D6EC39}"/>
    <cellStyle name="Normal 7 6 4 8 2" xfId="8862" xr:uid="{FE95634D-8F33-41D2-9E6C-F65192F00752}"/>
    <cellStyle name="Normal 7 6 4 8 2 2" xfId="19242" xr:uid="{8BE33F30-94BC-4BBC-8383-2CB6173F8692}"/>
    <cellStyle name="Normal 7 6 4 8 3" xfId="11695" xr:uid="{CE13F861-80D1-45D9-B0C6-B1E764EFA1C2}"/>
    <cellStyle name="Normal 7 6 4 8 3 2" xfId="22075" xr:uid="{95A5F071-E116-4268-8948-93F70ECB1FF0}"/>
    <cellStyle name="Normal 7 6 4 8 4" xfId="16409" xr:uid="{C8F0C22F-C200-44E0-8CBD-0716BEC85CC9}"/>
    <cellStyle name="Normal 7 6 4 9" xfId="5492" xr:uid="{D292BAB4-4D87-46A6-BF4A-6386D5DA9302}"/>
    <cellStyle name="Normal 7 6 4 9 2" xfId="14788" xr:uid="{50E78859-CACB-4E35-B1CA-1A390D183C89}"/>
    <cellStyle name="Normal 7 6 5" xfId="1499" xr:uid="{00000000-0005-0000-0000-0000B4070000}"/>
    <cellStyle name="Normal 7 6 5 10" xfId="10079" xr:uid="{DF3FBC87-0B9B-40A1-AE4C-0EAC5DF663CA}"/>
    <cellStyle name="Normal 7 6 5 10 2" xfId="20459" xr:uid="{4EC8ADD7-9EF6-408B-969E-A98714B64BE2}"/>
    <cellStyle name="Normal 7 6 5 11" xfId="24069" xr:uid="{E61F5D74-F8CC-4F82-8A62-7F385A9996D1}"/>
    <cellStyle name="Normal 7 6 5 12" xfId="12647" xr:uid="{FB75F0C5-BC27-4FA1-8CDF-8AB2BD8454C9}"/>
    <cellStyle name="Normal 7 6 5 2" xfId="1500" xr:uid="{00000000-0005-0000-0000-0000B5070000}"/>
    <cellStyle name="Normal 7 6 5 2 2" xfId="1501" xr:uid="{00000000-0005-0000-0000-0000B6070000}"/>
    <cellStyle name="Normal 7 6 5 2 2 2" xfId="5499" xr:uid="{E7D01064-A9DA-43E2-BD7F-8BE99A6CBE46}"/>
    <cellStyle name="Normal 7 6 5 2 2 2 2" xfId="24804" xr:uid="{D74CCB81-EE89-40BD-A651-D2397EED77F1}"/>
    <cellStyle name="Normal 7 6 5 2 2 2 3" xfId="27836" xr:uid="{858DF70D-599C-44FE-BC8D-CCEEAE3631E2}"/>
    <cellStyle name="Normal 7 6 5 2 2 2 4" xfId="14795" xr:uid="{5AFCEABD-88CD-4BC1-A9F3-858BA1A0DB98}"/>
    <cellStyle name="Normal 7 6 5 2 2 3" xfId="7248" xr:uid="{205E6962-B9B9-4764-A254-6B36C81DAA70}"/>
    <cellStyle name="Normal 7 6 5 2 2 3 2" xfId="27680" xr:uid="{903D530F-9213-4378-A3E2-20DB1D6D8E2E}"/>
    <cellStyle name="Normal 7 6 5 2 2 3 3" xfId="27830" xr:uid="{B8EB2944-3F2D-4394-970A-437B5D6F330F}"/>
    <cellStyle name="Normal 7 6 5 2 2 3 4" xfId="17628" xr:uid="{51A2E2CE-64DE-40DE-A6A2-316D44780599}"/>
    <cellStyle name="Normal 7 6 5 2 2 4" xfId="10081" xr:uid="{1A92C8BC-D39C-4639-8D36-28691DFCA540}"/>
    <cellStyle name="Normal 7 6 5 2 2 4 2" xfId="29468" xr:uid="{9F20443E-21B9-494F-B24D-1211805F4477}"/>
    <cellStyle name="Normal 7 6 5 2 2 4 3" xfId="20461" xr:uid="{93EC5B0D-A3C5-4AFE-ADC9-40F688624D8C}"/>
    <cellStyle name="Normal 7 6 5 2 2 5" xfId="24687" xr:uid="{DE10F9B7-7379-4872-8B6A-23698B840900}"/>
    <cellStyle name="Normal 7 6 5 2 2 6" xfId="14095" xr:uid="{B0BE8522-4076-441B-96EA-40824BB98BCA}"/>
    <cellStyle name="Normal 7 6 5 2 3" xfId="2848" xr:uid="{00000000-0005-0000-0000-000020090000}"/>
    <cellStyle name="Normal 7 6 5 2 3 2" xfId="6061" xr:uid="{2D925E2C-A4E9-4D58-917A-11A3E56E570C}"/>
    <cellStyle name="Normal 7 6 5 2 3 2 2" xfId="27687" xr:uid="{08579B00-37A0-4D2D-B741-0D76075C24B8}"/>
    <cellStyle name="Normal 7 6 5 2 3 2 3" xfId="15517" xr:uid="{937FC035-2C2E-4A21-989C-416B995AE6D9}"/>
    <cellStyle name="Normal 7 6 5 2 3 3" xfId="7970" xr:uid="{564FBD73-78CC-4849-8011-285DF5FAEA1D}"/>
    <cellStyle name="Normal 7 6 5 2 3 3 2" xfId="18350" xr:uid="{4B9EECFA-4E80-40F4-8D21-9F0CD286499E}"/>
    <cellStyle name="Normal 7 6 5 2 3 4" xfId="10803" xr:uid="{643B0A30-BEED-4CC2-9056-F8CB97C651AA}"/>
    <cellStyle name="Normal 7 6 5 2 3 4 2" xfId="21183" xr:uid="{BC6BBA72-C174-4E41-B37A-38CFFE3AF547}"/>
    <cellStyle name="Normal 7 6 5 2 3 5" xfId="24230" xr:uid="{2DD603A8-BED6-4F04-BFF2-A5BDD9C3C6AE}"/>
    <cellStyle name="Normal 7 6 5 2 3 6" xfId="13330" xr:uid="{E11FFCF2-C722-4897-80E4-2E9BB38A8AAB}"/>
    <cellStyle name="Normal 7 6 5 2 4" xfId="4230" xr:uid="{BEFF7DA6-1B62-4455-981F-FF52525144C4}"/>
    <cellStyle name="Normal 7 6 5 2 4 2" xfId="9002" xr:uid="{052E31BB-E2DA-475B-AF01-E6B7DC9A4042}"/>
    <cellStyle name="Normal 7 6 5 2 4 2 2" xfId="29077" xr:uid="{F6532E92-B218-496F-A9A0-A9A7BD61A0F8}"/>
    <cellStyle name="Normal 7 6 5 2 4 2 3" xfId="19382" xr:uid="{7DD29C7B-D90B-4FBB-A9F7-7C6E62FCEBD4}"/>
    <cellStyle name="Normal 7 6 5 2 4 3" xfId="11835" xr:uid="{33D767A8-829E-46E3-896D-5754A6CF897C}"/>
    <cellStyle name="Normal 7 6 5 2 4 3 2" xfId="22215" xr:uid="{DD737A68-9990-408A-95BA-F9BE69979620}"/>
    <cellStyle name="Normal 7 6 5 2 4 4" xfId="23844" xr:uid="{D76A78E7-45C2-4F5D-8A2F-1A50B7832796}"/>
    <cellStyle name="Normal 7 6 5 2 4 5" xfId="16549" xr:uid="{2890542C-1270-4BDE-AF4B-E1326976F566}"/>
    <cellStyle name="Normal 7 6 5 2 5" xfId="5498" xr:uid="{57B78EE6-7841-42ED-A2A6-9BDAEA7C889A}"/>
    <cellStyle name="Normal 7 6 5 2 5 2" xfId="27139" xr:uid="{3CB9700E-5A5C-4819-AB08-22F6E62D5BE7}"/>
    <cellStyle name="Normal 7 6 5 2 5 3" xfId="14794" xr:uid="{A7FE7C76-E922-4743-B111-09BC9106E9CC}"/>
    <cellStyle name="Normal 7 6 5 2 6" xfId="7247" xr:uid="{4862564F-D428-4D96-A80C-2DCBD8993F2B}"/>
    <cellStyle name="Normal 7 6 5 2 6 2" xfId="17627" xr:uid="{562F2376-9098-419C-95D0-4E76847DFC1B}"/>
    <cellStyle name="Normal 7 6 5 2 7" xfId="10080" xr:uid="{DC63A437-50E5-491A-AD3F-C1CABC2759BE}"/>
    <cellStyle name="Normal 7 6 5 2 7 2" xfId="20460" xr:uid="{5124A459-17B2-48D3-91D4-BD503E8A9CF2}"/>
    <cellStyle name="Normal 7 6 5 2 8" xfId="23238" xr:uid="{9E3CA18B-B945-400C-9C14-33091210BAF6}"/>
    <cellStyle name="Normal 7 6 5 2 9" xfId="12805" xr:uid="{C37684F4-A37F-4EA8-AAA9-4B7A6619FBB3}"/>
    <cellStyle name="Normal 7 6 5 3" xfId="1502" xr:uid="{00000000-0005-0000-0000-0000B7070000}"/>
    <cellStyle name="Normal 7 6 5 3 2" xfId="4609" xr:uid="{A31E5E11-9452-49DF-82C6-7A872B65B43C}"/>
    <cellStyle name="Normal 7 6 5 3 2 2" xfId="9381" xr:uid="{5D7F5286-3528-42BB-8D71-FDB46231D195}"/>
    <cellStyle name="Normal 7 6 5 3 2 2 2" xfId="29349" xr:uid="{6FA31A69-84ED-4BEC-A0E2-88DDF5E61206}"/>
    <cellStyle name="Normal 7 6 5 3 2 2 3" xfId="19761" xr:uid="{9FBC37E3-2557-4260-A526-F7BB117EF95D}"/>
    <cellStyle name="Normal 7 6 5 3 2 3" xfId="12214" xr:uid="{3BB80120-C50E-4D9B-8D76-121F08A551F3}"/>
    <cellStyle name="Normal 7 6 5 3 2 3 2" xfId="22594" xr:uid="{6BF84990-48C2-4EC4-9B8F-77256D126BCB}"/>
    <cellStyle name="Normal 7 6 5 3 2 4" xfId="23875" xr:uid="{A4373488-25F7-4AE1-A30A-4A24639504D8}"/>
    <cellStyle name="Normal 7 6 5 3 2 5" xfId="16928" xr:uid="{EAA94611-9138-4B12-9179-5EA06D298EEA}"/>
    <cellStyle name="Normal 7 6 5 3 3" xfId="5500" xr:uid="{E7DAD043-6AE3-4AC1-B786-9BBFE7339374}"/>
    <cellStyle name="Normal 7 6 5 3 3 2" xfId="25801" xr:uid="{44967C79-7D0B-4E84-A99E-681F3E8F24C1}"/>
    <cellStyle name="Normal 7 6 5 3 3 3" xfId="28114" xr:uid="{B93C29BC-09E4-4A66-8E44-8F0A6CF78288}"/>
    <cellStyle name="Normal 7 6 5 3 3 4" xfId="14796" xr:uid="{D165794D-EA70-4A47-8B38-33BA446E4169}"/>
    <cellStyle name="Normal 7 6 5 3 4" xfId="7249" xr:uid="{81B50CBF-AC87-4D6C-8852-00497000B5CD}"/>
    <cellStyle name="Normal 7 6 5 3 4 2" xfId="24855" xr:uid="{FE06049C-30C1-43B9-B38C-3DFFB8716974}"/>
    <cellStyle name="Normal 7 6 5 3 4 3" xfId="27206" xr:uid="{63796442-6B39-4ABD-BFF2-28A58284432A}"/>
    <cellStyle name="Normal 7 6 5 3 4 4" xfId="17629" xr:uid="{A5F050B3-85E0-4682-A9DB-664CDC9A79EF}"/>
    <cellStyle name="Normal 7 6 5 3 5" xfId="10082" xr:uid="{D7DC216D-1E73-4623-8389-1E20B8153073}"/>
    <cellStyle name="Normal 7 6 5 3 5 2" xfId="29469" xr:uid="{200210D5-41D4-42EC-8CE0-4DC6FEF33C50}"/>
    <cellStyle name="Normal 7 6 5 3 5 3" xfId="20462" xr:uid="{A19966B2-E5BB-4CC7-A122-3C1E264E1887}"/>
    <cellStyle name="Normal 7 6 5 3 6" xfId="23590" xr:uid="{82992022-37F0-40A8-9867-021839D0216E}"/>
    <cellStyle name="Normal 7 6 5 3 7" xfId="14096" xr:uid="{B9886D02-1060-421F-98E1-3B9D47822D62}"/>
    <cellStyle name="Normal 7 6 5 4" xfId="1503" xr:uid="{00000000-0005-0000-0000-0000B8070000}"/>
    <cellStyle name="Normal 7 6 5 4 2" xfId="5501" xr:uid="{0448C5CA-400A-4F9A-9F2C-FFC0C2A5BC16}"/>
    <cellStyle name="Normal 7 6 5 4 2 2" xfId="25065" xr:uid="{6D85387C-BEE5-4EA8-8562-29F7FEAF8C54}"/>
    <cellStyle name="Normal 7 6 5 4 2 3" xfId="28317" xr:uid="{5BA3CC29-3443-4898-BCAE-1DE0AD6F8EB1}"/>
    <cellStyle name="Normal 7 6 5 4 2 4" xfId="14797" xr:uid="{F6A537C0-D38D-49E9-A143-B03E526A3625}"/>
    <cellStyle name="Normal 7 6 5 4 3" xfId="7250" xr:uid="{D3E2AE04-D1F3-4C38-A891-B9B7297207D2}"/>
    <cellStyle name="Normal 7 6 5 4 3 2" xfId="27311" xr:uid="{96C97A13-D7ED-428C-8971-01428BF5CD64}"/>
    <cellStyle name="Normal 7 6 5 4 3 3" xfId="17630" xr:uid="{137D9BBF-689C-40AD-98C7-64A77D725B87}"/>
    <cellStyle name="Normal 7 6 5 4 4" xfId="10083" xr:uid="{0A5C38E3-CD4B-488F-97E0-91E36EEDF728}"/>
    <cellStyle name="Normal 7 6 5 4 4 2" xfId="20463" xr:uid="{39388F70-C8A2-4962-AC8A-626FD65554AC}"/>
    <cellStyle name="Normal 7 6 5 4 5" xfId="23554" xr:uid="{98F9B7CA-BCF9-44B6-A03D-846CA1C21B07}"/>
    <cellStyle name="Normal 7 6 5 4 6" xfId="13503" xr:uid="{8D2DF42F-EFC1-44D8-9472-20F47BF14A7E}"/>
    <cellStyle name="Normal 7 6 5 5" xfId="2517" xr:uid="{00000000-0005-0000-0000-000023090000}"/>
    <cellStyle name="Normal 7 6 5 5 2" xfId="5795" xr:uid="{A9F19D54-6E6A-46E2-9C4C-8DF33B402472}"/>
    <cellStyle name="Normal 7 6 5 5 2 2" xfId="26308" xr:uid="{60489D58-1A9D-4CF3-9EED-BEEB248944F9}"/>
    <cellStyle name="Normal 7 6 5 5 2 3" xfId="15189" xr:uid="{59C38AAD-98DE-48FB-8D51-B5ED5DB69078}"/>
    <cellStyle name="Normal 7 6 5 5 3" xfId="7642" xr:uid="{114DA3DD-D026-404F-B1D3-2312EE0C354A}"/>
    <cellStyle name="Normal 7 6 5 5 3 2" xfId="18022" xr:uid="{0DD8FB3C-2F4B-4FDF-AF12-910BBC8759CD}"/>
    <cellStyle name="Normal 7 6 5 5 4" xfId="10475" xr:uid="{3E356359-D060-4D23-991E-B97B13F06CB5}"/>
    <cellStyle name="Normal 7 6 5 5 4 2" xfId="20855" xr:uid="{44EECC84-9E0F-4F15-B137-F654756F5474}"/>
    <cellStyle name="Normal 7 6 5 5 5" xfId="23906" xr:uid="{E3F90392-059D-469A-AC0E-0BDACDF09501}"/>
    <cellStyle name="Normal 7 6 5 5 6" xfId="12905" xr:uid="{C1D38FF7-5C92-4681-BF21-05503F8663E1}"/>
    <cellStyle name="Normal 7 6 5 6" xfId="2413" xr:uid="{00000000-0005-0000-0000-00001D090000}"/>
    <cellStyle name="Normal 7 6 5 6 2" xfId="7540" xr:uid="{3508834D-B89E-46C8-B299-CDA7B4274BBE}"/>
    <cellStyle name="Normal 7 6 5 6 2 2" xfId="28431" xr:uid="{4C9CF324-6BA4-4F60-B99D-0370AA4F4A93}"/>
    <cellStyle name="Normal 7 6 5 6 2 3" xfId="17920" xr:uid="{99EA2127-49D3-4607-95F1-053C6827513B}"/>
    <cellStyle name="Normal 7 6 5 6 3" xfId="10373" xr:uid="{B72334EA-2842-42B8-AE23-5F70208D013F}"/>
    <cellStyle name="Normal 7 6 5 6 3 2" xfId="20753" xr:uid="{FA60AE56-242F-41F8-94D0-21A1BEDA3DB4}"/>
    <cellStyle name="Normal 7 6 5 6 4" xfId="24940" xr:uid="{CFE09879-813F-4BF0-BF6F-92F31AC8B8AC}"/>
    <cellStyle name="Normal 7 6 5 6 5" xfId="15087" xr:uid="{5E843A23-20EA-4DBC-8888-73032B54F864}"/>
    <cellStyle name="Normal 7 6 5 7" xfId="4086" xr:uid="{B50348EB-0804-4161-A015-D162F110C8BD}"/>
    <cellStyle name="Normal 7 6 5 7 2" xfId="8863" xr:uid="{24B99DFC-2ACB-4ED6-90AC-1BBEFE0B71C7}"/>
    <cellStyle name="Normal 7 6 5 7 2 2" xfId="19243" xr:uid="{4C2B3425-55F2-43B2-9249-D780CDF9D891}"/>
    <cellStyle name="Normal 7 6 5 7 3" xfId="11696" xr:uid="{2357267F-3C24-4CB3-8332-CAA36D5BC0A7}"/>
    <cellStyle name="Normal 7 6 5 7 3 2" xfId="22076" xr:uid="{2DD6BFAA-42BC-4F91-A4AF-9EC1FA3D0BA3}"/>
    <cellStyle name="Normal 7 6 5 7 4" xfId="27365" xr:uid="{DBD02698-3E7A-4D39-940A-E12FE30B168E}"/>
    <cellStyle name="Normal 7 6 5 7 5" xfId="16410" xr:uid="{A55057EA-B0DE-44A3-86F5-D09B84CC644A}"/>
    <cellStyle name="Normal 7 6 5 8" xfId="5497" xr:uid="{C4B4A565-1729-4507-AEF3-F0F3746693D0}"/>
    <cellStyle name="Normal 7 6 5 8 2" xfId="14793" xr:uid="{39D3E485-0063-4AE3-A647-329FAC49358D}"/>
    <cellStyle name="Normal 7 6 5 9" xfId="7246" xr:uid="{FDBB60B6-CCCA-4215-9EBD-417F9A818965}"/>
    <cellStyle name="Normal 7 6 5 9 2" xfId="17626" xr:uid="{4C1C3760-73F1-4520-AA0E-3E8190282C36}"/>
    <cellStyle name="Normal 7 6 6" xfId="1504" xr:uid="{00000000-0005-0000-0000-0000B9070000}"/>
    <cellStyle name="Normal 7 6 6 10" xfId="10084" xr:uid="{9B121F16-A290-4197-B44F-6E69836089B0}"/>
    <cellStyle name="Normal 7 6 6 10 2" xfId="20464" xr:uid="{30DC266A-56CA-4C6B-A34D-80F0098443A0}"/>
    <cellStyle name="Normal 7 6 6 11" xfId="24361" xr:uid="{6410A27D-6B69-46D0-8F51-0ED5BF83BC57}"/>
    <cellStyle name="Normal 7 6 6 12" xfId="12648" xr:uid="{E9519333-2B6F-4A8D-856E-C824E5F393D6}"/>
    <cellStyle name="Normal 7 6 6 2" xfId="1505" xr:uid="{00000000-0005-0000-0000-0000BA070000}"/>
    <cellStyle name="Normal 7 6 6 2 2" xfId="1506" xr:uid="{00000000-0005-0000-0000-0000BB070000}"/>
    <cellStyle name="Normal 7 6 6 2 2 2" xfId="5504" xr:uid="{66B9D532-A4E6-42C2-84FA-23C65AFFCF31}"/>
    <cellStyle name="Normal 7 6 6 2 2 2 2" xfId="25084" xr:uid="{6B52F8F8-4313-4B80-9398-0AA11670A4A1}"/>
    <cellStyle name="Normal 7 6 6 2 2 2 3" xfId="26242" xr:uid="{84E34A4D-CE0E-4BF4-81D8-3BF44BBD6CCA}"/>
    <cellStyle name="Normal 7 6 6 2 2 2 4" xfId="14800" xr:uid="{E26BC03C-90D7-4629-8D61-133D401B09F6}"/>
    <cellStyle name="Normal 7 6 6 2 2 3" xfId="7253" xr:uid="{E8C4E03D-37ED-4BEB-8E4B-2F11686E682B}"/>
    <cellStyle name="Normal 7 6 6 2 2 3 2" xfId="27682" xr:uid="{65B0E04E-FBEA-48B1-9F0A-4B5EAF851E1F}"/>
    <cellStyle name="Normal 7 6 6 2 2 3 3" xfId="27640" xr:uid="{D0868920-65DE-48FA-BE3C-429C1847C4D3}"/>
    <cellStyle name="Normal 7 6 6 2 2 3 4" xfId="17633" xr:uid="{1605AD8E-97AD-4CF4-BDFA-4E6722E783FB}"/>
    <cellStyle name="Normal 7 6 6 2 2 4" xfId="10086" xr:uid="{D4EFA8F4-58C7-4071-B63C-6B349D4907A1}"/>
    <cellStyle name="Normal 7 6 6 2 2 4 2" xfId="29470" xr:uid="{9D218204-F3AE-4304-ACCF-308F57A75CDE}"/>
    <cellStyle name="Normal 7 6 6 2 2 4 3" xfId="20466" xr:uid="{D9DB5CF1-0839-47D2-9A8B-2EB8139606C1}"/>
    <cellStyle name="Normal 7 6 6 2 2 5" xfId="23187" xr:uid="{8F807369-CD25-4CCE-A376-550BCE61BF84}"/>
    <cellStyle name="Normal 7 6 6 2 2 6" xfId="14097" xr:uid="{A23A3A3E-B6FB-4F24-99A8-FF3721C11DFB}"/>
    <cellStyle name="Normal 7 6 6 2 3" xfId="2849" xr:uid="{00000000-0005-0000-0000-000027090000}"/>
    <cellStyle name="Normal 7 6 6 2 3 2" xfId="6062" xr:uid="{EC8937D3-ACD6-45B5-BB65-2C456B8FDA71}"/>
    <cellStyle name="Normal 7 6 6 2 3 2 2" xfId="26790" xr:uid="{3C319A9D-AB1A-4A43-AF91-B55E12066FFB}"/>
    <cellStyle name="Normal 7 6 6 2 3 2 3" xfId="15518" xr:uid="{54B92E17-B78D-4634-8730-CE48B4B24AAB}"/>
    <cellStyle name="Normal 7 6 6 2 3 3" xfId="7971" xr:uid="{AD8F4644-535B-4915-883A-88DC203AB579}"/>
    <cellStyle name="Normal 7 6 6 2 3 3 2" xfId="18351" xr:uid="{87FB52A6-6CE3-4283-BEB4-B7E4BFC29F79}"/>
    <cellStyle name="Normal 7 6 6 2 3 4" xfId="10804" xr:uid="{C3DD5877-10AA-4D2E-9371-104F91F5B5C6}"/>
    <cellStyle name="Normal 7 6 6 2 3 4 2" xfId="21184" xr:uid="{884396C8-AED6-46D9-A577-228829186CC5}"/>
    <cellStyle name="Normal 7 6 6 2 3 5" xfId="24224" xr:uid="{C9354425-C819-4EC8-8BD8-F1436EE5B4A5}"/>
    <cellStyle name="Normal 7 6 6 2 3 6" xfId="13331" xr:uid="{48A48117-C8D3-4B37-9DDF-316FB5CE0346}"/>
    <cellStyle name="Normal 7 6 6 2 4" xfId="4231" xr:uid="{96586672-87B1-4913-984A-17E53571DCBA}"/>
    <cellStyle name="Normal 7 6 6 2 4 2" xfId="9003" xr:uid="{7AE56A67-32F7-4039-AA29-2DF78912FDB0}"/>
    <cellStyle name="Normal 7 6 6 2 4 2 2" xfId="29078" xr:uid="{85A50398-B79F-4714-9769-7B93ABC37BED}"/>
    <cellStyle name="Normal 7 6 6 2 4 2 3" xfId="19383" xr:uid="{74EAF74C-BCFA-4DE5-8BD8-45CE8CE70AEB}"/>
    <cellStyle name="Normal 7 6 6 2 4 3" xfId="11836" xr:uid="{CCE31F3E-1130-444E-ACBD-CC971A255CB3}"/>
    <cellStyle name="Normal 7 6 6 2 4 3 2" xfId="22216" xr:uid="{7676A053-1EDB-4EE4-ADD5-287BA4D75F4C}"/>
    <cellStyle name="Normal 7 6 6 2 4 4" xfId="23141" xr:uid="{7DACF0CB-2FDB-41C4-AE40-507DD9740409}"/>
    <cellStyle name="Normal 7 6 6 2 4 5" xfId="16550" xr:uid="{72D1934E-2114-4BE2-80BA-195B8E688A8F}"/>
    <cellStyle name="Normal 7 6 6 2 5" xfId="5503" xr:uid="{60C0B025-1DC6-42ED-8C10-81AF1593DD4B}"/>
    <cellStyle name="Normal 7 6 6 2 5 2" xfId="28110" xr:uid="{BEA1BF45-6A94-4922-B8F9-A7D08A4CAD92}"/>
    <cellStyle name="Normal 7 6 6 2 5 3" xfId="14799" xr:uid="{8011D1AE-A096-49B3-A833-5A3211D0A05D}"/>
    <cellStyle name="Normal 7 6 6 2 6" xfId="7252" xr:uid="{7CF328A4-4908-44FA-B972-75D59A28DDA1}"/>
    <cellStyle name="Normal 7 6 6 2 6 2" xfId="17632" xr:uid="{2938AFDE-3D6F-4AFC-A431-0AFC23B4817B}"/>
    <cellStyle name="Normal 7 6 6 2 7" xfId="10085" xr:uid="{B600220D-9330-452C-85B4-091C21D3E5D2}"/>
    <cellStyle name="Normal 7 6 6 2 7 2" xfId="20465" xr:uid="{1CF45A2F-4BDD-463E-8AE8-125CAD9CE958}"/>
    <cellStyle name="Normal 7 6 6 2 8" xfId="25387" xr:uid="{5569986E-846C-48E9-B343-C5A293E1820F}"/>
    <cellStyle name="Normal 7 6 6 2 9" xfId="12806" xr:uid="{C145EB29-7EE7-41FA-8EEE-0623BCB2FF8B}"/>
    <cellStyle name="Normal 7 6 6 3" xfId="1507" xr:uid="{00000000-0005-0000-0000-0000BC070000}"/>
    <cellStyle name="Normal 7 6 6 3 2" xfId="4610" xr:uid="{F14CE967-CAE8-4480-8105-4FCB90A37042}"/>
    <cellStyle name="Normal 7 6 6 3 2 2" xfId="9382" xr:uid="{C99E997D-08CD-4908-985C-5EC8E1428681}"/>
    <cellStyle name="Normal 7 6 6 3 2 2 2" xfId="29350" xr:uid="{8727CD08-8DE0-4178-8FAB-9EEDB235D22A}"/>
    <cellStyle name="Normal 7 6 6 3 2 2 3" xfId="19762" xr:uid="{06F669DE-4B87-41B7-8C2F-116D16D00B6F}"/>
    <cellStyle name="Normal 7 6 6 3 2 3" xfId="12215" xr:uid="{D7CCF65F-3506-4683-96F9-F5E823D11A84}"/>
    <cellStyle name="Normal 7 6 6 3 2 3 2" xfId="22595" xr:uid="{AAFEA359-EC7A-4C13-808A-D5B42C63E00B}"/>
    <cellStyle name="Normal 7 6 6 3 2 4" xfId="22979" xr:uid="{C7FDCBBD-6BCC-405C-A3A9-76D67F1E25D8}"/>
    <cellStyle name="Normal 7 6 6 3 2 5" xfId="16929" xr:uid="{4DC315E7-0311-4131-B8D5-1E08462052FA}"/>
    <cellStyle name="Normal 7 6 6 3 3" xfId="5505" xr:uid="{8522F306-649E-4170-97FC-7493F82F02D9}"/>
    <cellStyle name="Normal 7 6 6 3 3 2" xfId="26885" xr:uid="{01DA18E4-630B-407C-90D8-A91D7245FB40}"/>
    <cellStyle name="Normal 7 6 6 3 3 3" xfId="28169" xr:uid="{7C2D3BB2-4CDA-4B63-808A-80FBE4F1B9CF}"/>
    <cellStyle name="Normal 7 6 6 3 3 4" xfId="14801" xr:uid="{D8150843-5B72-4389-80BE-739888821749}"/>
    <cellStyle name="Normal 7 6 6 3 4" xfId="7254" xr:uid="{F509454B-227C-426F-970A-B489BD7153BC}"/>
    <cellStyle name="Normal 7 6 6 3 4 2" xfId="25901" xr:uid="{03B433BB-282D-4668-99EA-A3DFFEF34C56}"/>
    <cellStyle name="Normal 7 6 6 3 4 3" xfId="28640" xr:uid="{2FC4DC22-583C-4AE0-B574-3F4737361CF8}"/>
    <cellStyle name="Normal 7 6 6 3 4 4" xfId="17634" xr:uid="{632C8BC2-1B4E-4244-AC82-F2BB44834442}"/>
    <cellStyle name="Normal 7 6 6 3 5" xfId="10087" xr:uid="{33884DD8-7790-4C34-9D44-87B0B9071B03}"/>
    <cellStyle name="Normal 7 6 6 3 5 2" xfId="29471" xr:uid="{D657E74B-A85A-4BE1-B0EF-D68ABA591894}"/>
    <cellStyle name="Normal 7 6 6 3 5 3" xfId="20467" xr:uid="{17476645-C583-4B81-BAB9-3D431711E7D8}"/>
    <cellStyle name="Normal 7 6 6 3 6" xfId="24551" xr:uid="{7F04EA5A-7CA8-4E0F-A5D3-9DBD12856DA2}"/>
    <cellStyle name="Normal 7 6 6 3 7" xfId="14098" xr:uid="{2083B337-D404-4396-BEBD-396F3F4FB296}"/>
    <cellStyle name="Normal 7 6 6 4" xfId="1508" xr:uid="{00000000-0005-0000-0000-0000BD070000}"/>
    <cellStyle name="Normal 7 6 6 4 2" xfId="5506" xr:uid="{B1732BA7-F99E-4741-8EAB-B210D7C053B9}"/>
    <cellStyle name="Normal 7 6 6 4 2 2" xfId="24096" xr:uid="{FA1B13A7-D167-4EA2-A350-A98617B2D303}"/>
    <cellStyle name="Normal 7 6 6 4 2 3" xfId="28267" xr:uid="{56DBB3E1-308A-4947-82A4-B10BE50C8A1B}"/>
    <cellStyle name="Normal 7 6 6 4 2 4" xfId="14802" xr:uid="{7E7F5B2D-6716-44CD-94E9-DC067523BD92}"/>
    <cellStyle name="Normal 7 6 6 4 3" xfId="7255" xr:uid="{F8A11A8C-8BFF-48F3-A1FD-EF29614361A6}"/>
    <cellStyle name="Normal 7 6 6 4 3 2" xfId="28370" xr:uid="{FEF2D7E9-A34A-4940-8224-435FEFF01F1D}"/>
    <cellStyle name="Normal 7 6 6 4 3 3" xfId="17635" xr:uid="{4ED87E50-93AE-4538-9786-4F9D0E2789A3}"/>
    <cellStyle name="Normal 7 6 6 4 4" xfId="10088" xr:uid="{FEB4022C-F1E3-4EEA-BC90-D9D14035388A}"/>
    <cellStyle name="Normal 7 6 6 4 4 2" xfId="20468" xr:uid="{FF1819DC-C74B-4760-AC62-38CC67072738}"/>
    <cellStyle name="Normal 7 6 6 4 5" xfId="25459" xr:uid="{884E5F05-DE08-4D40-BA10-0149E35848F9}"/>
    <cellStyle name="Normal 7 6 6 4 6" xfId="13504" xr:uid="{FB128930-BA0C-4BB7-850E-07204CFDD584}"/>
    <cellStyle name="Normal 7 6 6 5" xfId="2580" xr:uid="{00000000-0005-0000-0000-00002A090000}"/>
    <cellStyle name="Normal 7 6 6 5 2" xfId="5845" xr:uid="{FC07E65B-AECC-4723-8B85-42B93FFCFF2A}"/>
    <cellStyle name="Normal 7 6 6 5 2 2" xfId="27772" xr:uid="{9518A7A9-2E88-4A12-8133-4CDBCE5423B9}"/>
    <cellStyle name="Normal 7 6 6 5 2 3" xfId="15252" xr:uid="{08C635A3-EA47-4E40-9C92-EBF23F30B52F}"/>
    <cellStyle name="Normal 7 6 6 5 3" xfId="7705" xr:uid="{0318551E-54D7-4162-BC80-5B7FEAC080D4}"/>
    <cellStyle name="Normal 7 6 6 5 3 2" xfId="18085" xr:uid="{AB883187-AEFB-401B-98C3-A91990143091}"/>
    <cellStyle name="Normal 7 6 6 5 4" xfId="10538" xr:uid="{623578DD-EDBB-4CB0-B8A4-201B6942FEDD}"/>
    <cellStyle name="Normal 7 6 6 5 4 2" xfId="20918" xr:uid="{30F4F925-14E5-44E2-A19C-94BA78423C76}"/>
    <cellStyle name="Normal 7 6 6 5 5" xfId="25131" xr:uid="{0B389366-22C8-49F9-AF34-069A9E312800}"/>
    <cellStyle name="Normal 7 6 6 5 6" xfId="12968" xr:uid="{797A1FFD-B612-440A-BE6B-1FFE202CD8F2}"/>
    <cellStyle name="Normal 7 6 6 6" xfId="2414" xr:uid="{00000000-0005-0000-0000-000024090000}"/>
    <cellStyle name="Normal 7 6 6 6 2" xfId="7541" xr:uid="{4FDC4E51-6D31-4A25-8512-CBBA185C9F63}"/>
    <cellStyle name="Normal 7 6 6 6 2 2" xfId="26820" xr:uid="{A4D45A25-76E5-4F37-89C4-1606FF657ECD}"/>
    <cellStyle name="Normal 7 6 6 6 2 3" xfId="17921" xr:uid="{D7558F3D-D4B8-467E-8F01-332C6031EECD}"/>
    <cellStyle name="Normal 7 6 6 6 3" xfId="10374" xr:uid="{EFA65DA9-A015-4BE6-BEA2-4A7A7C5A90AA}"/>
    <cellStyle name="Normal 7 6 6 6 3 2" xfId="20754" xr:uid="{48359B26-D60F-4260-833C-0AC33A063146}"/>
    <cellStyle name="Normal 7 6 6 6 4" xfId="24882" xr:uid="{817D6BB7-50E5-497B-B0F2-3248DEC74781}"/>
    <cellStyle name="Normal 7 6 6 6 5" xfId="15088" xr:uid="{BA3BE017-311B-43EA-8080-8C40EA3F788B}"/>
    <cellStyle name="Normal 7 6 6 7" xfId="4087" xr:uid="{AD82AA17-F863-4080-AE76-D5694A4D0A0D}"/>
    <cellStyle name="Normal 7 6 6 7 2" xfId="8864" xr:uid="{736F0F43-2BD4-47E7-955C-8BE517273D03}"/>
    <cellStyle name="Normal 7 6 6 7 2 2" xfId="19244" xr:uid="{C64B38B8-5287-4B1A-BE40-405A749A9673}"/>
    <cellStyle name="Normal 7 6 6 7 3" xfId="11697" xr:uid="{59C47437-3B8A-4A7D-8C7C-B854A9B0C1D9}"/>
    <cellStyle name="Normal 7 6 6 7 3 2" xfId="22077" xr:uid="{BBA0E55D-6FC3-47E8-A22A-86BC5E1155B7}"/>
    <cellStyle name="Normal 7 6 6 7 4" xfId="28090" xr:uid="{64006040-061F-4846-90B0-61C074CBA756}"/>
    <cellStyle name="Normal 7 6 6 7 5" xfId="16411" xr:uid="{89E87FA3-C5C8-4FE7-9FD5-82141A46A5F7}"/>
    <cellStyle name="Normal 7 6 6 8" xfId="5502" xr:uid="{8C2001EF-CE6E-4312-9B27-D4ED056D7F73}"/>
    <cellStyle name="Normal 7 6 6 8 2" xfId="14798" xr:uid="{AC29F6D8-C066-4EB8-8AAF-790769E45F74}"/>
    <cellStyle name="Normal 7 6 6 9" xfId="7251" xr:uid="{BCFA341F-BBF9-4B76-8716-B250CFC70BA2}"/>
    <cellStyle name="Normal 7 6 6 9 2" xfId="17631" xr:uid="{4A490468-A8E8-4FE8-9B9B-7E76C4A83845}"/>
    <cellStyle name="Normal 7 6 7" xfId="1509" xr:uid="{00000000-0005-0000-0000-0000BE070000}"/>
    <cellStyle name="Normal 7 6 7 10" xfId="12649" xr:uid="{6613BBB2-E1A1-4A0A-B1C4-F1A50DD76820}"/>
    <cellStyle name="Normal 7 6 7 2" xfId="1510" xr:uid="{00000000-0005-0000-0000-0000BF070000}"/>
    <cellStyle name="Normal 7 6 7 2 2" xfId="3003" xr:uid="{00000000-0005-0000-0000-00002D090000}"/>
    <cellStyle name="Normal 7 6 7 2 2 2" xfId="6152" xr:uid="{080ABE97-B2E2-4E61-8652-1A37699BBBF3}"/>
    <cellStyle name="Normal 7 6 7 2 2 2 2" xfId="27714" xr:uid="{27DD2297-39A5-4C35-A642-8D66ED12C58C}"/>
    <cellStyle name="Normal 7 6 7 2 2 2 3" xfId="28216" xr:uid="{6F8031B1-E034-4FD5-9844-F89DC6F10E87}"/>
    <cellStyle name="Normal 7 6 7 2 2 2 4" xfId="15630" xr:uid="{EFBAB4C5-27F5-4952-8540-ABD00479F2B5}"/>
    <cellStyle name="Normal 7 6 7 2 2 3" xfId="8083" xr:uid="{F1B62941-20EB-4DE6-8854-23C934EA88B7}"/>
    <cellStyle name="Normal 7 6 7 2 2 3 2" xfId="28773" xr:uid="{C802CC61-F50C-4C41-8073-E79A2A6DE01B}"/>
    <cellStyle name="Normal 7 6 7 2 2 3 3" xfId="18463" xr:uid="{192526C5-1B6C-409F-B402-201E9EAE43F4}"/>
    <cellStyle name="Normal 7 6 7 2 2 4" xfId="10916" xr:uid="{A810FF71-D6A1-4B30-B447-46D407037906}"/>
    <cellStyle name="Normal 7 6 7 2 2 4 2" xfId="21296" xr:uid="{EF98612A-D2AC-459E-AB5E-66F8C3EB41D6}"/>
    <cellStyle name="Normal 7 6 7 2 2 5" xfId="22732" xr:uid="{BDD1352B-9AF1-4EB1-839C-479DBC5D6CF0}"/>
    <cellStyle name="Normal 7 6 7 2 2 6" xfId="13505" xr:uid="{B40B867E-575C-48C2-96E2-8087B463203C}"/>
    <cellStyle name="Normal 7 6 7 2 3" xfId="5508" xr:uid="{0D1C3F98-7444-4796-9719-7935A150882F}"/>
    <cellStyle name="Normal 7 6 7 2 3 2" xfId="23507" xr:uid="{4B0EDB46-F5A1-417D-AA76-5E18DB7A653B}"/>
    <cellStyle name="Normal 7 6 7 2 3 3" xfId="26811" xr:uid="{A7DBD1A4-A307-40D4-A554-9B49C072DE4B}"/>
    <cellStyle name="Normal 7 6 7 2 3 4" xfId="14804" xr:uid="{6D8CDFE8-C924-40F1-BF4F-87F16F5C7BAF}"/>
    <cellStyle name="Normal 7 6 7 2 4" xfId="7257" xr:uid="{7B4AD736-9165-47FF-8869-95C08FC07855}"/>
    <cellStyle name="Normal 7 6 7 2 4 2" xfId="28089" xr:uid="{272CA894-78E3-437B-854F-B62209FDCA6A}"/>
    <cellStyle name="Normal 7 6 7 2 4 3" xfId="27580" xr:uid="{9381158D-9526-44F0-A16B-A01CC9FE2035}"/>
    <cellStyle name="Normal 7 6 7 2 4 4" xfId="17637" xr:uid="{4AB6D8D8-6B86-4136-BCAD-100867AD5B06}"/>
    <cellStyle name="Normal 7 6 7 2 5" xfId="10090" xr:uid="{5D942458-53FB-4B9E-9596-47BAB7BE0CC8}"/>
    <cellStyle name="Normal 7 6 7 2 5 2" xfId="29472" xr:uid="{E10E9DCB-37C1-4BED-B673-516D0B36DA47}"/>
    <cellStyle name="Normal 7 6 7 2 5 3" xfId="20470" xr:uid="{8CF82372-2F7F-460E-8D13-DE3A3C7EE63E}"/>
    <cellStyle name="Normal 7 6 7 2 6" xfId="24366" xr:uid="{F7B5B9B8-0479-469B-B68B-99E0D8F6747A}"/>
    <cellStyle name="Normal 7 6 7 2 7" xfId="12807" xr:uid="{8E4EE383-B604-480E-BBF7-9D69D7A8B6A6}"/>
    <cellStyle name="Normal 7 6 7 3" xfId="1511" xr:uid="{00000000-0005-0000-0000-0000C0070000}"/>
    <cellStyle name="Normal 7 6 7 3 2" xfId="5509" xr:uid="{34F986F0-B558-46D8-92F7-4FB60422883D}"/>
    <cellStyle name="Normal 7 6 7 3 2 2" xfId="28509" xr:uid="{409834E1-969F-4E1F-9261-1088BCA14ED7}"/>
    <cellStyle name="Normal 7 6 7 3 2 3" xfId="26982" xr:uid="{5045E64F-960D-4A8E-BC82-D7ABA7EF7E8E}"/>
    <cellStyle name="Normal 7 6 7 3 2 4" xfId="14805" xr:uid="{739C2D90-EC90-404C-BA85-EC612F0D9090}"/>
    <cellStyle name="Normal 7 6 7 3 3" xfId="7258" xr:uid="{14C9598E-269D-4F8B-8BB0-669E07821B82}"/>
    <cellStyle name="Normal 7 6 7 3 3 2" xfId="26877" xr:uid="{4BB77D7B-DE4F-4C44-A3AE-A9B7983EA802}"/>
    <cellStyle name="Normal 7 6 7 3 3 3" xfId="27975" xr:uid="{F7BB6B8E-073F-4937-85E9-F14842BDE935}"/>
    <cellStyle name="Normal 7 6 7 3 3 4" xfId="17638" xr:uid="{9D70DA91-48F7-4CD0-9518-4D629D7B8D35}"/>
    <cellStyle name="Normal 7 6 7 3 4" xfId="10091" xr:uid="{136BE510-F66E-4D9E-AF0B-D21EEA11AD1F}"/>
    <cellStyle name="Normal 7 6 7 3 4 2" xfId="29473" xr:uid="{C620F071-D9C4-44CC-8F65-4810C8762C5A}"/>
    <cellStyle name="Normal 7 6 7 3 4 3" xfId="20471" xr:uid="{2E6C462F-8B17-467B-992A-2AFF6727BFD9}"/>
    <cellStyle name="Normal 7 6 7 3 5" xfId="22721" xr:uid="{9EADBDAF-129B-48A4-B542-9DBCA21F384E}"/>
    <cellStyle name="Normal 7 6 7 3 6" xfId="13332" xr:uid="{4C52449C-8F2A-4028-A5A3-3704AF93FD5B}"/>
    <cellStyle name="Normal 7 6 7 4" xfId="2415" xr:uid="{00000000-0005-0000-0000-00002B090000}"/>
    <cellStyle name="Normal 7 6 7 4 2" xfId="7542" xr:uid="{08EB01D6-AB8E-4775-A28B-1EAF80F723E8}"/>
    <cellStyle name="Normal 7 6 7 4 2 2" xfId="28436" xr:uid="{96CDC6F0-1E1B-4294-95F6-6B4B18CFCCA2}"/>
    <cellStyle name="Normal 7 6 7 4 2 3" xfId="17922" xr:uid="{B996FC26-B713-4B53-919A-06E3B34AA916}"/>
    <cellStyle name="Normal 7 6 7 4 3" xfId="10375" xr:uid="{C82718F1-4981-4C5B-8D4B-47DEC2D44FA2}"/>
    <cellStyle name="Normal 7 6 7 4 3 2" xfId="20755" xr:uid="{33A6C9FE-E2BB-4FE8-A69E-B999139845C0}"/>
    <cellStyle name="Normal 7 6 7 4 4" xfId="23925" xr:uid="{8962E17B-97F8-422A-A065-8D564CAC16D7}"/>
    <cellStyle name="Normal 7 6 7 4 5" xfId="15089" xr:uid="{801BA0D2-29DD-457B-A574-172CF5D56217}"/>
    <cellStyle name="Normal 7 6 7 5" xfId="4088" xr:uid="{5447E32B-0A0F-40AE-B370-2B5373924D12}"/>
    <cellStyle name="Normal 7 6 7 5 2" xfId="8865" xr:uid="{4DD92BC6-9875-4460-9CFF-95B3697BAE4B}"/>
    <cellStyle name="Normal 7 6 7 5 2 2" xfId="28999" xr:uid="{2B955F8C-32A2-49D6-BD12-923BA7BE86AD}"/>
    <cellStyle name="Normal 7 6 7 5 2 3" xfId="19245" xr:uid="{339F6D67-D6EB-4190-A170-28821FB76135}"/>
    <cellStyle name="Normal 7 6 7 5 3" xfId="11698" xr:uid="{F50B4B69-54DE-4CA3-8803-277F5240FACE}"/>
    <cellStyle name="Normal 7 6 7 5 3 2" xfId="22078" xr:uid="{4AEA814F-AA9D-4EBF-BD8A-3ADC1E179C3F}"/>
    <cellStyle name="Normal 7 6 7 5 4" xfId="24985" xr:uid="{651AFEB9-E3F7-485D-9E17-42CBD082B1A7}"/>
    <cellStyle name="Normal 7 6 7 5 5" xfId="16412" xr:uid="{5240F479-5ADC-4124-99F2-2DF6F521B8DC}"/>
    <cellStyle name="Normal 7 6 7 6" xfId="5507" xr:uid="{7D013370-A388-4364-BB0A-927C952754BD}"/>
    <cellStyle name="Normal 7 6 7 6 2" xfId="28187" xr:uid="{27220882-AE72-42F7-9892-2AA2D872B6D2}"/>
    <cellStyle name="Normal 7 6 7 6 3" xfId="26097" xr:uid="{B8C32442-4CEC-40FB-826C-CAF41DCA68B8}"/>
    <cellStyle name="Normal 7 6 7 6 4" xfId="14803" xr:uid="{F3ACB335-189C-4282-8A6E-887CA1DA89CE}"/>
    <cellStyle name="Normal 7 6 7 7" xfId="7256" xr:uid="{9A0C3AF1-1982-425A-A7D2-2271FF6BE6FC}"/>
    <cellStyle name="Normal 7 6 7 7 2" xfId="25968" xr:uid="{DB732E0C-CE5D-46CF-8221-5040249B02DE}"/>
    <cellStyle name="Normal 7 6 7 7 3" xfId="17636" xr:uid="{8BA47303-40CB-4C40-85AD-3D9AF7C28189}"/>
    <cellStyle name="Normal 7 6 7 8" xfId="10089" xr:uid="{761919A9-7EFF-4657-BDAA-1C96AFE884F4}"/>
    <cellStyle name="Normal 7 6 7 8 2" xfId="20469" xr:uid="{11FFC442-1C67-45F5-A45D-85E4A1F393F1}"/>
    <cellStyle name="Normal 7 6 7 9" xfId="23150" xr:uid="{5BF4DAFD-94AD-489C-A856-6462CEAE81AE}"/>
    <cellStyle name="Normal 7 6 8" xfId="1512" xr:uid="{00000000-0005-0000-0000-0000C1070000}"/>
    <cellStyle name="Normal 7 6 8 10" xfId="12650" xr:uid="{554EF0C8-2CAF-4171-8C8E-D3D4A4494C79}"/>
    <cellStyle name="Normal 7 6 8 2" xfId="1513" xr:uid="{00000000-0005-0000-0000-0000C2070000}"/>
    <cellStyle name="Normal 7 6 8 2 2" xfId="3004" xr:uid="{00000000-0005-0000-0000-000031090000}"/>
    <cellStyle name="Normal 7 6 8 2 2 2" xfId="6153" xr:uid="{CC140979-0A8B-4FC7-A6E0-1DA3F65E100B}"/>
    <cellStyle name="Normal 7 6 8 2 2 2 2" xfId="27239" xr:uid="{1F315FCD-6B19-4D94-8E5D-3756A45B62F6}"/>
    <cellStyle name="Normal 7 6 8 2 2 2 3" xfId="27516" xr:uid="{2DEB4296-D487-454C-93AA-17F127C0E66A}"/>
    <cellStyle name="Normal 7 6 8 2 2 2 4" xfId="15631" xr:uid="{205D61BA-E6B1-40F9-B3D7-75B50B0AAF82}"/>
    <cellStyle name="Normal 7 6 8 2 2 3" xfId="8084" xr:uid="{826BCC74-F38F-4FEC-A952-AC965578CD6B}"/>
    <cellStyle name="Normal 7 6 8 2 2 3 2" xfId="28774" xr:uid="{656A6E39-2F70-452E-9E11-6A870201D508}"/>
    <cellStyle name="Normal 7 6 8 2 2 3 3" xfId="18464" xr:uid="{17E9700F-9E8B-40A8-BDD6-D59C4AFEF4C9}"/>
    <cellStyle name="Normal 7 6 8 2 2 4" xfId="10917" xr:uid="{5784923F-C5DA-4ED9-96C9-C9E735129722}"/>
    <cellStyle name="Normal 7 6 8 2 2 4 2" xfId="21297" xr:uid="{E094762C-B45A-4663-BAA3-BF7302EC2FD6}"/>
    <cellStyle name="Normal 7 6 8 2 2 5" xfId="24590" xr:uid="{B7D3F56C-7CBC-40E0-8725-AD3257430DA5}"/>
    <cellStyle name="Normal 7 6 8 2 2 6" xfId="13506" xr:uid="{817E433A-E7F3-491F-83E8-97ED8CB429A3}"/>
    <cellStyle name="Normal 7 6 8 2 3" xfId="5511" xr:uid="{52CF00B2-7171-4170-A4FE-F6A5EE947A9D}"/>
    <cellStyle name="Normal 7 6 8 2 3 2" xfId="25044" xr:uid="{DC7F0F18-D9DC-47CB-BA79-F5EB7F822477}"/>
    <cellStyle name="Normal 7 6 8 2 3 3" xfId="27052" xr:uid="{A7714589-F090-46F3-9ABF-D91F8E2BAFD3}"/>
    <cellStyle name="Normal 7 6 8 2 3 4" xfId="14807" xr:uid="{62FC836F-55EE-49EC-A952-822D62A01DDC}"/>
    <cellStyle name="Normal 7 6 8 2 4" xfId="7260" xr:uid="{CD7CFFB2-EE8E-4FEC-B5F5-93CCF6AC1410}"/>
    <cellStyle name="Normal 7 6 8 2 4 2" xfId="27802" xr:uid="{72607EB8-5B14-491F-90F5-7C9C14E39708}"/>
    <cellStyle name="Normal 7 6 8 2 4 3" xfId="26951" xr:uid="{33E49809-0D74-482A-B4ED-F288A9708BA5}"/>
    <cellStyle name="Normal 7 6 8 2 4 4" xfId="17640" xr:uid="{9FC55906-7CB2-4561-8C40-99CC00785CB7}"/>
    <cellStyle name="Normal 7 6 8 2 5" xfId="10093" xr:uid="{789D05B8-2E3D-4ECC-A80D-2993A33489FB}"/>
    <cellStyle name="Normal 7 6 8 2 5 2" xfId="29474" xr:uid="{667EB77B-1A80-4318-AD74-42920ADC3936}"/>
    <cellStyle name="Normal 7 6 8 2 5 3" xfId="20473" xr:uid="{F5E30A7E-E2DF-4D4B-B6B6-CB117F302806}"/>
    <cellStyle name="Normal 7 6 8 2 6" xfId="25133" xr:uid="{9A77F4ED-6C9E-4E29-BFBB-3F66EA865EB2}"/>
    <cellStyle name="Normal 7 6 8 2 7" xfId="12808" xr:uid="{B7D3FC20-7E19-4C7C-84AB-95CECF16A3AC}"/>
    <cellStyle name="Normal 7 6 8 3" xfId="1514" xr:uid="{00000000-0005-0000-0000-0000C3070000}"/>
    <cellStyle name="Normal 7 6 8 3 2" xfId="5512" xr:uid="{B72048B6-0134-4663-BD71-836DDABD42ED}"/>
    <cellStyle name="Normal 7 6 8 3 2 2" xfId="26432" xr:uid="{D360AD84-AB31-47D4-9B09-6CC34916B15E}"/>
    <cellStyle name="Normal 7 6 8 3 2 3" xfId="27465" xr:uid="{966EDC14-457F-4731-9E9E-9A7D295841F5}"/>
    <cellStyle name="Normal 7 6 8 3 2 4" xfId="14808" xr:uid="{4A3FC10F-15B4-4416-90A8-97C0218A902C}"/>
    <cellStyle name="Normal 7 6 8 3 3" xfId="7261" xr:uid="{DD2F54F9-01EF-41D5-8D71-BAEA5EB97AB2}"/>
    <cellStyle name="Normal 7 6 8 3 3 2" xfId="28732" xr:uid="{61D759C3-F0AF-4F79-8D32-4CD39E251A9F}"/>
    <cellStyle name="Normal 7 6 8 3 3 3" xfId="27144" xr:uid="{6079D208-AA83-4A3C-9F0C-DA77242C1108}"/>
    <cellStyle name="Normal 7 6 8 3 3 4" xfId="17641" xr:uid="{12C583DD-6D8F-43DD-81FA-89F597737CEB}"/>
    <cellStyle name="Normal 7 6 8 3 4" xfId="10094" xr:uid="{C6049051-5F2D-4558-9F0E-33787B49DD90}"/>
    <cellStyle name="Normal 7 6 8 3 4 2" xfId="29475" xr:uid="{C3490728-ADAD-44F7-9697-9906C012B277}"/>
    <cellStyle name="Normal 7 6 8 3 4 3" xfId="20474" xr:uid="{A75AB428-9466-42F3-B9BB-2CC6E5C59975}"/>
    <cellStyle name="Normal 7 6 8 3 5" xfId="22980" xr:uid="{F6DBF923-C9F4-4D49-9494-65B04710DE73}"/>
    <cellStyle name="Normal 7 6 8 3 6" xfId="13333" xr:uid="{1369D01F-A10E-49C7-82AB-9D1E5C89697F}"/>
    <cellStyle name="Normal 7 6 8 4" xfId="2416" xr:uid="{00000000-0005-0000-0000-00002F090000}"/>
    <cellStyle name="Normal 7 6 8 4 2" xfId="7543" xr:uid="{C11B5D9B-82E1-4B2F-A1E0-57C0FAA092D5}"/>
    <cellStyle name="Normal 7 6 8 4 2 2" xfId="26462" xr:uid="{99F765B3-02EF-448A-A5DE-D643F9456262}"/>
    <cellStyle name="Normal 7 6 8 4 2 3" xfId="17923" xr:uid="{5D816BAD-016A-4946-9938-937901AC8CE7}"/>
    <cellStyle name="Normal 7 6 8 4 3" xfId="10376" xr:uid="{2F18354F-5E69-4AA1-9CAE-C436E194D724}"/>
    <cellStyle name="Normal 7 6 8 4 3 2" xfId="20756" xr:uid="{69FD87EF-4DC7-4390-B4C4-2BFBBEBCC2CF}"/>
    <cellStyle name="Normal 7 6 8 4 4" xfId="24814" xr:uid="{604949DB-AF2B-489E-ADD6-7C677EF3D0E1}"/>
    <cellStyle name="Normal 7 6 8 4 5" xfId="15090" xr:uid="{5DED99FE-B5E4-4BD5-99B2-F71871C767A3}"/>
    <cellStyle name="Normal 7 6 8 5" xfId="4089" xr:uid="{D9041D1F-885D-434D-AAE9-9E4554E7130B}"/>
    <cellStyle name="Normal 7 6 8 5 2" xfId="8866" xr:uid="{227165F0-0C24-47CF-B5D0-CBC412E44D02}"/>
    <cellStyle name="Normal 7 6 8 5 2 2" xfId="29000" xr:uid="{E80C4487-2BB7-4CB7-86BD-0A5C32B56ADA}"/>
    <cellStyle name="Normal 7 6 8 5 2 3" xfId="19246" xr:uid="{0DACE2F1-CE37-44B0-A659-77EB73846BBE}"/>
    <cellStyle name="Normal 7 6 8 5 3" xfId="11699" xr:uid="{D90B6D2A-7125-4880-909F-BEC13BECF37D}"/>
    <cellStyle name="Normal 7 6 8 5 3 2" xfId="22079" xr:uid="{B07C2314-2E84-479C-95B7-AD9FAFB85B34}"/>
    <cellStyle name="Normal 7 6 8 5 4" xfId="22813" xr:uid="{62FF5670-8968-49EF-B138-03D58E0DC197}"/>
    <cellStyle name="Normal 7 6 8 5 5" xfId="16413" xr:uid="{D25DEB90-37FF-49D3-91CF-BEBF5CF42DB4}"/>
    <cellStyle name="Normal 7 6 8 6" xfId="5510" xr:uid="{158CAD52-D7BF-4F02-8F11-03D9841D0936}"/>
    <cellStyle name="Normal 7 6 8 6 2" xfId="27231" xr:uid="{C56D41CB-4D33-4319-B9D1-37B83C6813E8}"/>
    <cellStyle name="Normal 7 6 8 6 3" xfId="28506" xr:uid="{9A3C800A-03FC-41E2-9A02-1689263DA470}"/>
    <cellStyle name="Normal 7 6 8 6 4" xfId="14806" xr:uid="{7DE166AB-36BD-4CEF-B846-4F5428411E67}"/>
    <cellStyle name="Normal 7 6 8 7" xfId="7259" xr:uid="{6D67B509-3936-48F8-B3E7-C1597928E3DF}"/>
    <cellStyle name="Normal 7 6 8 7 2" xfId="26353" xr:uid="{14C69467-F8F7-4C34-9E1B-82A31847E70A}"/>
    <cellStyle name="Normal 7 6 8 7 3" xfId="17639" xr:uid="{E57FAD4F-7EDC-4D4A-85AE-C8312005B7E4}"/>
    <cellStyle name="Normal 7 6 8 8" xfId="10092" xr:uid="{81DB28D6-C3A6-426F-97FC-0A0E81209779}"/>
    <cellStyle name="Normal 7 6 8 8 2" xfId="20472" xr:uid="{5D1CE01E-DF35-4B11-8062-5C3761B2B427}"/>
    <cellStyle name="Normal 7 6 8 9" xfId="25388" xr:uid="{B3F5AD1B-E2A5-4545-A3E7-526CFA7A2F0B}"/>
    <cellStyle name="Normal 7 6 9" xfId="1515" xr:uid="{00000000-0005-0000-0000-0000C4070000}"/>
    <cellStyle name="Normal 7 7" xfId="1516" xr:uid="{00000000-0005-0000-0000-0000C5070000}"/>
    <cellStyle name="Normal 7 7 10" xfId="5513" xr:uid="{B65931B3-EFA4-461D-A169-E0EDDDD36F2D}"/>
    <cellStyle name="Normal 7 7 10 2" xfId="14809" xr:uid="{0644F959-A9B9-428F-B781-384083067488}"/>
    <cellStyle name="Normal 7 7 11" xfId="7262" xr:uid="{F781D481-6E98-44FC-931A-7A16F23FEF0F}"/>
    <cellStyle name="Normal 7 7 11 2" xfId="17642" xr:uid="{882EE3F5-913E-4D35-BF8A-106AC651D1DB}"/>
    <cellStyle name="Normal 7 7 12" xfId="10095" xr:uid="{0A216596-F8DE-459F-BF6E-75A6C3E8BDD6}"/>
    <cellStyle name="Normal 7 7 12 2" xfId="20475" xr:uid="{8091C60B-559A-4150-8F18-7605712FBE1A}"/>
    <cellStyle name="Normal 7 7 13" xfId="24127" xr:uid="{76ABBC37-BB4A-4EAE-8FEE-A63D322C2D72}"/>
    <cellStyle name="Normal 7 7 14" xfId="12417" xr:uid="{A1FE8148-2A66-4DAD-8241-526212D23733}"/>
    <cellStyle name="Normal 7 7 2" xfId="1517" xr:uid="{00000000-0005-0000-0000-0000C6070000}"/>
    <cellStyle name="Normal 7 7 2 10" xfId="7263" xr:uid="{5725BABE-2C86-4433-A52E-0A0E203CEAA2}"/>
    <cellStyle name="Normal 7 7 2 10 2" xfId="17643" xr:uid="{2CF5C8C6-EF94-41E7-AE84-942A241CE748}"/>
    <cellStyle name="Normal 7 7 2 11" xfId="10096" xr:uid="{503BA08A-61CD-4257-80A0-F8CED33380E4}"/>
    <cellStyle name="Normal 7 7 2 11 2" xfId="20476" xr:uid="{1CE5763B-B8A7-4049-AAB9-D0EFD31794BE}"/>
    <cellStyle name="Normal 7 7 2 12" xfId="23662" xr:uid="{203F4F39-A45F-4E4A-BC0F-0D7F44832D20}"/>
    <cellStyle name="Normal 7 7 2 13" xfId="12477" xr:uid="{FE7C9CD0-B5EC-4C63-98D6-58344E375680}"/>
    <cellStyle name="Normal 7 7 2 2" xfId="1518" xr:uid="{00000000-0005-0000-0000-0000C7070000}"/>
    <cellStyle name="Normal 7 7 2 2 10" xfId="13042" xr:uid="{68D862B1-D3A2-4966-8087-882C6E650677}"/>
    <cellStyle name="Normal 7 7 2 2 2" xfId="2852" xr:uid="{00000000-0005-0000-0000-000037090000}"/>
    <cellStyle name="Normal 7 7 2 2 2 2" xfId="3503" xr:uid="{00000000-0005-0000-0000-000038090000}"/>
    <cellStyle name="Normal 7 7 2 2 2 2 2" xfId="6555" xr:uid="{8A7F56BB-97F8-43CC-8A61-6B07154BC05C}"/>
    <cellStyle name="Normal 7 7 2 2 2 2 2 2" xfId="28595" xr:uid="{97BDA337-4F9D-4FD6-A3AC-7B1075FE8142}"/>
    <cellStyle name="Normal 7 7 2 2 2 2 2 3" xfId="16128" xr:uid="{749F2506-1275-4FE1-9B3C-CDBBA18209C4}"/>
    <cellStyle name="Normal 7 7 2 2 2 2 3" xfId="8581" xr:uid="{A27FDD61-B51F-4FF3-A34D-50C81E058EA0}"/>
    <cellStyle name="Normal 7 7 2 2 2 2 3 2" xfId="18961" xr:uid="{070E0826-5C0A-4EAC-A5D5-B9B8AE0D3F26}"/>
    <cellStyle name="Normal 7 7 2 2 2 2 4" xfId="11414" xr:uid="{AD85F889-70BF-4B6F-86E2-4CAF020A8D65}"/>
    <cellStyle name="Normal 7 7 2 2 2 2 4 2" xfId="21794" xr:uid="{666F27A8-083A-41CF-B434-33B854BF45B3}"/>
    <cellStyle name="Normal 7 7 2 2 2 2 5" xfId="23129" xr:uid="{1544CB35-C14E-4597-954C-49812D8BC5E9}"/>
    <cellStyle name="Normal 7 7 2 2 2 2 6" xfId="14101" xr:uid="{39E9F013-8260-4ABF-8905-3CF26F0B8C49}"/>
    <cellStyle name="Normal 7 7 2 2 2 3" xfId="4381" xr:uid="{85F90BBB-79EA-478E-BDB4-7E8FEF344D4D}"/>
    <cellStyle name="Normal 7 7 2 2 2 3 2" xfId="9153" xr:uid="{38B64029-21D7-4897-BA77-1B347FF4F390}"/>
    <cellStyle name="Normal 7 7 2 2 2 3 2 2" xfId="29196" xr:uid="{06DD33A1-CE5A-4EB3-BCBC-B5C0CA49173F}"/>
    <cellStyle name="Normal 7 7 2 2 2 3 2 3" xfId="19533" xr:uid="{A598D3CF-E9CF-409E-8B97-CC87BF0FF12F}"/>
    <cellStyle name="Normal 7 7 2 2 2 3 3" xfId="11986" xr:uid="{D373C97D-45CF-4BEF-A073-82DDB7413D83}"/>
    <cellStyle name="Normal 7 7 2 2 2 3 3 2" xfId="22366" xr:uid="{BEC795A3-CE18-4BE7-BBEC-62059D814D08}"/>
    <cellStyle name="Normal 7 7 2 2 2 3 4" xfId="25311" xr:uid="{1D2493A3-FDCA-495A-A00D-9054AC1C4C25}"/>
    <cellStyle name="Normal 7 7 2 2 2 3 5" xfId="16700" xr:uid="{BA564E98-3E95-425F-9FA4-5844E35C1F0A}"/>
    <cellStyle name="Normal 7 7 2 2 2 4" xfId="6065" xr:uid="{4913AD3F-20F7-4BDA-9BB3-4CE0BCC21811}"/>
    <cellStyle name="Normal 7 7 2 2 2 4 2" xfId="27103" xr:uid="{8A02BD49-AC21-4A59-ABA4-8342BADB1107}"/>
    <cellStyle name="Normal 7 7 2 2 2 4 3" xfId="15521" xr:uid="{EDB941BA-97FF-4D0B-8BF8-E415CA77F7C7}"/>
    <cellStyle name="Normal 7 7 2 2 2 5" xfId="7974" xr:uid="{83DC090E-6FEF-4203-A51F-15D01AE05D3E}"/>
    <cellStyle name="Normal 7 7 2 2 2 5 2" xfId="18354" xr:uid="{2B273C8A-00DB-48EA-81A1-692E752B9199}"/>
    <cellStyle name="Normal 7 7 2 2 2 6" xfId="10807" xr:uid="{ECE1C341-1B68-4022-8AEA-999CFBB31D2C}"/>
    <cellStyle name="Normal 7 7 2 2 2 6 2" xfId="21187" xr:uid="{2C6C8BF7-8425-4C9F-9CE3-1FD679234A8B}"/>
    <cellStyle name="Normal 7 7 2 2 2 7" xfId="22809" xr:uid="{9745E6A6-F7C5-449A-A002-2EFF8514DA9F}"/>
    <cellStyle name="Normal 7 7 2 2 2 8" xfId="13336" xr:uid="{F701AE6D-CFB1-425D-8A6E-47148B9CE4F5}"/>
    <cellStyle name="Normal 7 7 2 2 3" xfId="3504" xr:uid="{00000000-0005-0000-0000-000039090000}"/>
    <cellStyle name="Normal 7 7 2 2 3 2" xfId="4611" xr:uid="{CE2BAE83-4160-4C93-BE4F-5776AB29D064}"/>
    <cellStyle name="Normal 7 7 2 2 3 2 2" xfId="9383" xr:uid="{611FFDF8-3421-4D2D-8B18-059E921A591E}"/>
    <cellStyle name="Normal 7 7 2 2 3 2 2 2" xfId="19763" xr:uid="{60986F51-A049-4B2D-98B9-635DA865E423}"/>
    <cellStyle name="Normal 7 7 2 2 3 2 3" xfId="12216" xr:uid="{B849224E-1C69-47F9-A9C3-81F3BDC81132}"/>
    <cellStyle name="Normal 7 7 2 2 3 2 3 2" xfId="22596" xr:uid="{9A475CEB-EAD1-42D7-A212-781A1D748227}"/>
    <cellStyle name="Normal 7 7 2 2 3 2 4" xfId="27484" xr:uid="{2695481F-4E16-4567-94BC-F425171C3220}"/>
    <cellStyle name="Normal 7 7 2 2 3 2 5" xfId="16930" xr:uid="{CFFD335A-CFC9-483B-9AA9-8A636E873DAD}"/>
    <cellStyle name="Normal 7 7 2 2 3 3" xfId="6556" xr:uid="{6A997E21-21D9-4D28-BB9F-EFF44D1DEC54}"/>
    <cellStyle name="Normal 7 7 2 2 3 3 2" xfId="16129" xr:uid="{98EA32EC-176A-4F2A-A1E5-AB0855E7FDF9}"/>
    <cellStyle name="Normal 7 7 2 2 3 4" xfId="8582" xr:uid="{A94759A3-7CAD-458E-AFD5-E11467111F6E}"/>
    <cellStyle name="Normal 7 7 2 2 3 4 2" xfId="18962" xr:uid="{F67D37A4-7FAD-4B31-817F-AD4EC7DD8553}"/>
    <cellStyle name="Normal 7 7 2 2 3 5" xfId="11415" xr:uid="{4FDF9CA4-E128-44DD-9D8E-A74EA72AE15C}"/>
    <cellStyle name="Normal 7 7 2 2 3 5 2" xfId="21795" xr:uid="{2124FE84-72A1-4CA6-9CBA-212E6C07F703}"/>
    <cellStyle name="Normal 7 7 2 2 3 6" xfId="25125" xr:uid="{CA259301-9E2C-45FF-8833-2E2A107B0C1C}"/>
    <cellStyle name="Normal 7 7 2 2 3 7" xfId="14102" xr:uid="{05C014A3-96AE-4AB2-AC0C-ECF1386EEE7D}"/>
    <cellStyle name="Normal 7 7 2 2 4" xfId="3502" xr:uid="{00000000-0005-0000-0000-00003A090000}"/>
    <cellStyle name="Normal 7 7 2 2 4 2" xfId="6554" xr:uid="{B95E6696-FDC6-4E21-8239-05764AEE9548}"/>
    <cellStyle name="Normal 7 7 2 2 4 2 2" xfId="28430" xr:uid="{06B56C5B-3707-41FB-BA0C-C9CA506A321E}"/>
    <cellStyle name="Normal 7 7 2 2 4 2 3" xfId="16127" xr:uid="{EC1CB896-F84C-4D63-9AA4-FA793E838C91}"/>
    <cellStyle name="Normal 7 7 2 2 4 3" xfId="8580" xr:uid="{195E87B3-5AA1-4A48-A601-AD26DCC7C1F0}"/>
    <cellStyle name="Normal 7 7 2 2 4 3 2" xfId="18960" xr:uid="{F962E145-9005-4470-9F8D-C8C2B973C01D}"/>
    <cellStyle name="Normal 7 7 2 2 4 4" xfId="11413" xr:uid="{DA19A551-FC06-42D2-8792-781DC09997D7}"/>
    <cellStyle name="Normal 7 7 2 2 4 4 2" xfId="21793" xr:uid="{8174A278-1E41-4832-A302-CBBAE22B57A2}"/>
    <cellStyle name="Normal 7 7 2 2 4 5" xfId="22770" xr:uid="{A0C9C968-AA72-45F4-9E8F-B6D3CF0D4FC2}"/>
    <cellStyle name="Normal 7 7 2 2 4 6" xfId="14100" xr:uid="{353CAE13-8D4C-46D6-9905-B586747E12DF}"/>
    <cellStyle name="Normal 7 7 2 2 5" xfId="4243" xr:uid="{02C7555F-C4FD-492B-8F94-B1D216A041FD}"/>
    <cellStyle name="Normal 7 7 2 2 5 2" xfId="9015" xr:uid="{7DF9B4B5-E7FA-41F8-B2DB-8E3BC72C2903}"/>
    <cellStyle name="Normal 7 7 2 2 5 2 2" xfId="29086" xr:uid="{BBB082D7-D16D-4803-ABDB-876E5E068720}"/>
    <cellStyle name="Normal 7 7 2 2 5 2 3" xfId="19395" xr:uid="{F570B7DD-221F-47C6-9633-EBAF1981BB43}"/>
    <cellStyle name="Normal 7 7 2 2 5 3" xfId="11848" xr:uid="{76711169-FECD-4892-B761-A9AFAFC415D1}"/>
    <cellStyle name="Normal 7 7 2 2 5 3 2" xfId="22228" xr:uid="{4BB2516E-AEFA-4EA7-A252-4C1E062D57F0}"/>
    <cellStyle name="Normal 7 7 2 2 5 4" xfId="24416" xr:uid="{170A7A7D-C5AD-4006-AFF0-83ABD7F0A9D6}"/>
    <cellStyle name="Normal 7 7 2 2 5 5" xfId="16562" xr:uid="{25434C06-C725-4848-8B23-7CB867832F3D}"/>
    <cellStyle name="Normal 7 7 2 2 6" xfId="5515" xr:uid="{EA6BF84F-EF85-44FD-B505-0BD2CD2D6439}"/>
    <cellStyle name="Normal 7 7 2 2 6 2" xfId="26752" xr:uid="{535669B0-D7BE-4815-953A-A0E07F2ECAA3}"/>
    <cellStyle name="Normal 7 7 2 2 6 3" xfId="14811" xr:uid="{4A8885DF-14D8-480D-ABE4-644DA944A0A4}"/>
    <cellStyle name="Normal 7 7 2 2 7" xfId="7264" xr:uid="{AA3516CF-9252-4C9E-9A3F-AAC0CBFA7F80}"/>
    <cellStyle name="Normal 7 7 2 2 7 2" xfId="17644" xr:uid="{7FFE5E33-05BA-4D50-A39E-539BBC0007B4}"/>
    <cellStyle name="Normal 7 7 2 2 8" xfId="10097" xr:uid="{334158FD-A5F5-4E42-A86B-BA8B0A40062D}"/>
    <cellStyle name="Normal 7 7 2 2 8 2" xfId="20477" xr:uid="{9DE1F241-217F-4C6A-9172-1BFCA0E5912A}"/>
    <cellStyle name="Normal 7 7 2 2 9" xfId="22729" xr:uid="{BB04A600-8A16-4C3E-9E6F-DC38BB302AC7}"/>
    <cellStyle name="Normal 7 7 2 3" xfId="2851" xr:uid="{00000000-0005-0000-0000-00003B090000}"/>
    <cellStyle name="Normal 7 7 2 3 2" xfId="3505" xr:uid="{00000000-0005-0000-0000-00003C090000}"/>
    <cellStyle name="Normal 7 7 2 3 2 2" xfId="6557" xr:uid="{74C32873-4400-4FDE-BE43-EBFF4EB983DA}"/>
    <cellStyle name="Normal 7 7 2 3 2 2 2" xfId="28233" xr:uid="{CC7EF20A-BAF7-4373-81C4-99490C3B13DD}"/>
    <cellStyle name="Normal 7 7 2 3 2 2 3" xfId="16130" xr:uid="{C8D02C5F-17F1-4725-9205-7E487E442A5B}"/>
    <cellStyle name="Normal 7 7 2 3 2 3" xfId="8583" xr:uid="{75B88EDC-E732-4C87-8875-B89974FECFEF}"/>
    <cellStyle name="Normal 7 7 2 3 2 3 2" xfId="18963" xr:uid="{47FD6994-A31C-4DA0-826F-BB8704FBEB0B}"/>
    <cellStyle name="Normal 7 7 2 3 2 4" xfId="11416" xr:uid="{360655D1-6344-4F6B-BF55-EE289793D602}"/>
    <cellStyle name="Normal 7 7 2 3 2 4 2" xfId="21796" xr:uid="{2C9FEAA2-CA1A-4DDB-B8E3-59DB57CAF968}"/>
    <cellStyle name="Normal 7 7 2 3 2 5" xfId="24328" xr:uid="{E303D694-140B-447F-A192-9E37FB506793}"/>
    <cellStyle name="Normal 7 7 2 3 2 6" xfId="14103" xr:uid="{D99ABD0F-A978-4142-958A-BDD5E38D9E01}"/>
    <cellStyle name="Normal 7 7 2 3 3" xfId="4380" xr:uid="{11705BEB-5E02-4E11-AB5F-7A28B705A6EB}"/>
    <cellStyle name="Normal 7 7 2 3 3 2" xfId="9152" xr:uid="{DC88A757-CBE9-4871-98FB-470EF2AF4483}"/>
    <cellStyle name="Normal 7 7 2 3 3 2 2" xfId="29195" xr:uid="{CE364987-8BB2-408D-A423-FE4299C75767}"/>
    <cellStyle name="Normal 7 7 2 3 3 2 3" xfId="19532" xr:uid="{D6DF9143-5493-4087-869E-2B14BCB446BF}"/>
    <cellStyle name="Normal 7 7 2 3 3 3" xfId="11985" xr:uid="{441CD3BF-032E-462C-8A92-46A68399F7E4}"/>
    <cellStyle name="Normal 7 7 2 3 3 3 2" xfId="22365" xr:uid="{767C7C25-FFA2-4DD6-B662-D9ECA62A27F9}"/>
    <cellStyle name="Normal 7 7 2 3 3 4" xfId="23600" xr:uid="{6C98C5C0-C0B6-48E1-9DC3-5C7AFA9B2A2C}"/>
    <cellStyle name="Normal 7 7 2 3 3 5" xfId="16699" xr:uid="{26064FA9-A3CF-49E6-A2AE-E6CFDEF805AB}"/>
    <cellStyle name="Normal 7 7 2 3 4" xfId="6064" xr:uid="{910300EE-64A3-4AA8-9876-D5905525DDE7}"/>
    <cellStyle name="Normal 7 7 2 3 4 2" xfId="27193" xr:uid="{D6837CDE-3448-4E7A-8B46-01FF125A9F72}"/>
    <cellStyle name="Normal 7 7 2 3 4 3" xfId="15520" xr:uid="{ECF19E94-8C03-4482-B0B9-EDF99F2F95F9}"/>
    <cellStyle name="Normal 7 7 2 3 5" xfId="7973" xr:uid="{8D198D18-1126-4592-9441-15F49CA4550B}"/>
    <cellStyle name="Normal 7 7 2 3 5 2" xfId="18353" xr:uid="{4BB0996E-FB10-4A95-A636-B4C9250FCC36}"/>
    <cellStyle name="Normal 7 7 2 3 6" xfId="10806" xr:uid="{8AE028EE-40DB-4E3F-B2AC-45A6795FA071}"/>
    <cellStyle name="Normal 7 7 2 3 6 2" xfId="21186" xr:uid="{442527F8-D175-426B-8BCF-89A0BDD12D2A}"/>
    <cellStyle name="Normal 7 7 2 3 7" xfId="23250" xr:uid="{FE9FFA83-38C0-434F-9212-EDB55AC66800}"/>
    <cellStyle name="Normal 7 7 2 3 8" xfId="13335" xr:uid="{2AB79A17-E891-4166-B5A1-3B7735F0A94E}"/>
    <cellStyle name="Normal 7 7 2 4" xfId="3506" xr:uid="{00000000-0005-0000-0000-00003D090000}"/>
    <cellStyle name="Normal 7 7 2 4 2" xfId="4612" xr:uid="{18CAA640-6556-42AE-8F98-37BA36952E4C}"/>
    <cellStyle name="Normal 7 7 2 4 2 2" xfId="9384" xr:uid="{F93D302A-ABD3-47F5-ABAC-118282B8BA8D}"/>
    <cellStyle name="Normal 7 7 2 4 2 2 2" xfId="19764" xr:uid="{3BAB0E7C-A9A2-4610-B07F-49103E3E2BFF}"/>
    <cellStyle name="Normal 7 7 2 4 2 3" xfId="12217" xr:uid="{0290D4EB-95E3-4800-B034-DE84BE33121E}"/>
    <cellStyle name="Normal 7 7 2 4 2 3 2" xfId="22597" xr:uid="{63B5A958-CD44-4AA4-8665-DFA2B6927A0F}"/>
    <cellStyle name="Normal 7 7 2 4 2 4" xfId="26735" xr:uid="{83471AB3-1BEA-47B6-A89A-DC88358E0FC5}"/>
    <cellStyle name="Normal 7 7 2 4 2 5" xfId="16931" xr:uid="{01CBAAEA-9B2E-4411-A2DF-09E44DB7863D}"/>
    <cellStyle name="Normal 7 7 2 4 3" xfId="6558" xr:uid="{2C4972A3-539A-4EEF-81DF-322B26E56178}"/>
    <cellStyle name="Normal 7 7 2 4 3 2" xfId="16131" xr:uid="{7F54276A-4DED-4EE8-B380-72562D86ADE1}"/>
    <cellStyle name="Normal 7 7 2 4 4" xfId="8584" xr:uid="{02F6784B-F759-42E7-B1D2-3BF47A98356E}"/>
    <cellStyle name="Normal 7 7 2 4 4 2" xfId="18964" xr:uid="{5394B1FA-B686-44C9-AB3D-FD4E8C76B3BF}"/>
    <cellStyle name="Normal 7 7 2 4 5" xfId="11417" xr:uid="{78A4CAEC-81D6-4084-A8BB-60CCFA5D6450}"/>
    <cellStyle name="Normal 7 7 2 4 5 2" xfId="21797" xr:uid="{FB44EFB1-93E2-4525-8CD0-5B3A0590DE40}"/>
    <cellStyle name="Normal 7 7 2 4 6" xfId="25477" xr:uid="{FC04CEE0-1EF2-49D9-B678-B5E49C2DCCC7}"/>
    <cellStyle name="Normal 7 7 2 4 7" xfId="14104" xr:uid="{2DF58188-7F74-40DC-81D6-0BE8F5911262}"/>
    <cellStyle name="Normal 7 7 2 5" xfId="3501" xr:uid="{00000000-0005-0000-0000-00003E090000}"/>
    <cellStyle name="Normal 7 7 2 5 2" xfId="6553" xr:uid="{744E8FEC-BB66-403F-9219-1A9096D30CA3}"/>
    <cellStyle name="Normal 7 7 2 5 2 2" xfId="27447" xr:uid="{4318EE14-9EA5-4287-A009-C15F27EE49EF}"/>
    <cellStyle name="Normal 7 7 2 5 2 3" xfId="16126" xr:uid="{7CDE6C64-659F-4DE3-BD73-7B8A01EE1139}"/>
    <cellStyle name="Normal 7 7 2 5 3" xfId="8579" xr:uid="{4F0CB3D6-4986-472E-916C-8026CE28F1AA}"/>
    <cellStyle name="Normal 7 7 2 5 3 2" xfId="18959" xr:uid="{4A82204B-4A83-43F6-A1E7-B1AC6F7EF695}"/>
    <cellStyle name="Normal 7 7 2 5 4" xfId="11412" xr:uid="{2A46D254-9B3E-4597-946D-E560017E6407}"/>
    <cellStyle name="Normal 7 7 2 5 4 2" xfId="21792" xr:uid="{A75CC807-F6BC-48DB-9BFC-9CBCF0E393EB}"/>
    <cellStyle name="Normal 7 7 2 5 5" xfId="23077" xr:uid="{38185F1E-9A85-4922-ACD6-988073C3BE36}"/>
    <cellStyle name="Normal 7 7 2 5 6" xfId="14099" xr:uid="{AD4F087C-6797-4F8B-BC18-D91177481C8F}"/>
    <cellStyle name="Normal 7 7 2 6" xfId="2551" xr:uid="{00000000-0005-0000-0000-00003F090000}"/>
    <cellStyle name="Normal 7 7 2 6 2" xfId="5823" xr:uid="{55FDA0E5-B7A5-4C7D-A6AE-4E27236F019B}"/>
    <cellStyle name="Normal 7 7 2 6 2 2" xfId="26760" xr:uid="{FF5A90EE-9ED1-4201-8BAA-0570895F5DFD}"/>
    <cellStyle name="Normal 7 7 2 6 2 3" xfId="15223" xr:uid="{A1833B6B-45CB-4E2E-A29F-F98B210BA2AC}"/>
    <cellStyle name="Normal 7 7 2 6 3" xfId="7676" xr:uid="{0C046EB4-3079-4CF8-9250-B840841387EF}"/>
    <cellStyle name="Normal 7 7 2 6 3 2" xfId="18056" xr:uid="{A1819B08-C3E9-4709-9A61-311CE1A80C26}"/>
    <cellStyle name="Normal 7 7 2 6 4" xfId="10509" xr:uid="{E135B376-9EE0-4910-850C-9FF8DEC2F005}"/>
    <cellStyle name="Normal 7 7 2 6 4 2" xfId="20889" xr:uid="{D478F345-D789-4531-974D-0DB27AF6DCEE}"/>
    <cellStyle name="Normal 7 7 2 6 5" xfId="22829" xr:uid="{F828551F-C002-41D8-91B3-2456343F7AB8}"/>
    <cellStyle name="Normal 7 7 2 6 6" xfId="12939" xr:uid="{6466CFE4-7C87-4F70-A313-C28E5FA435CD}"/>
    <cellStyle name="Normal 7 7 2 7" xfId="2245" xr:uid="{00000000-0005-0000-0000-000035090000}"/>
    <cellStyle name="Normal 7 7 2 7 2" xfId="7372" xr:uid="{C90A7C76-9FBA-4F49-B74D-620A284E05B2}"/>
    <cellStyle name="Normal 7 7 2 7 2 2" xfId="17752" xr:uid="{214AC6BA-9E2E-4049-869A-D296B8488A81}"/>
    <cellStyle name="Normal 7 7 2 7 3" xfId="10205" xr:uid="{222B8ACB-F360-48CC-9C41-5C5F6E216311}"/>
    <cellStyle name="Normal 7 7 2 7 3 2" xfId="20585" xr:uid="{8EBA7DCE-D183-4FAA-B2B3-C3CAC029ADDA}"/>
    <cellStyle name="Normal 7 7 2 7 4" xfId="25370" xr:uid="{A2861691-64ED-4C59-A9EB-142B63F50E5A}"/>
    <cellStyle name="Normal 7 7 2 7 5" xfId="14919" xr:uid="{933DB0ED-1D3B-4955-BC4C-3152E12FEF4D}"/>
    <cellStyle name="Normal 7 7 2 8" xfId="3798" xr:uid="{E5E400FB-C358-4E4D-B459-DD38D66E6E48}"/>
    <cellStyle name="Normal 7 7 2 8 2" xfId="8634" xr:uid="{9C5CA804-3A2C-4EA5-A190-E58CF3A306D5}"/>
    <cellStyle name="Normal 7 7 2 8 2 2" xfId="19014" xr:uid="{DE7F16E4-AA72-4DC9-8C67-2B6F6F4E7487}"/>
    <cellStyle name="Normal 7 7 2 8 3" xfId="11467" xr:uid="{5F8BF3F2-0546-426E-919A-D58EB0D5EC30}"/>
    <cellStyle name="Normal 7 7 2 8 3 2" xfId="21847" xr:uid="{18DD9CC4-9F3D-449B-974E-5EA1558F48CB}"/>
    <cellStyle name="Normal 7 7 2 8 4" xfId="16181" xr:uid="{1695695F-2464-41D6-AAB1-EFDD296FE4A2}"/>
    <cellStyle name="Normal 7 7 2 9" xfId="5514" xr:uid="{67402623-62A7-484C-BBBD-29B0747A30AE}"/>
    <cellStyle name="Normal 7 7 2 9 2" xfId="14810" xr:uid="{C623544B-77DF-432D-98B2-3EFA6A5FBC1B}"/>
    <cellStyle name="Normal 7 7 3" xfId="1519" xr:uid="{00000000-0005-0000-0000-0000C8070000}"/>
    <cellStyle name="Normal 7 7 3 10" xfId="10098" xr:uid="{E889C744-B608-43B5-BB3E-ACFE2A4C50EA}"/>
    <cellStyle name="Normal 7 7 3 10 2" xfId="20478" xr:uid="{8D285B90-6549-4EE6-AB9F-079A362A9800}"/>
    <cellStyle name="Normal 7 7 3 11" xfId="22641" xr:uid="{A5951408-860D-411A-BD5F-CA66E2B35D51}"/>
    <cellStyle name="Normal 7 7 3 12" xfId="12651" xr:uid="{03EE881B-1C63-4E95-9385-147D60493E94}"/>
    <cellStyle name="Normal 7 7 3 2" xfId="2853" xr:uid="{00000000-0005-0000-0000-000041090000}"/>
    <cellStyle name="Normal 7 7 3 2 2" xfId="3508" xr:uid="{00000000-0005-0000-0000-000042090000}"/>
    <cellStyle name="Normal 7 7 3 2 2 2" xfId="6560" xr:uid="{2C71E10F-77E2-480D-992A-F093AC9F1BCE}"/>
    <cellStyle name="Normal 7 7 3 2 2 2 2" xfId="25912" xr:uid="{98416AC1-7510-4ECC-8DB9-CA572F2882A9}"/>
    <cellStyle name="Normal 7 7 3 2 2 2 3" xfId="16133" xr:uid="{D062C442-F187-4EAD-91F9-D04044821CDA}"/>
    <cellStyle name="Normal 7 7 3 2 2 3" xfId="8586" xr:uid="{B7C43149-46D8-4831-A649-740A5B6F2BDD}"/>
    <cellStyle name="Normal 7 7 3 2 2 3 2" xfId="18966" xr:uid="{E547BB34-0BE3-4C17-8AF5-1E2A567BE5AB}"/>
    <cellStyle name="Normal 7 7 3 2 2 4" xfId="11419" xr:uid="{FF2A3025-8A1F-441D-ACE8-64BDE0D1135C}"/>
    <cellStyle name="Normal 7 7 3 2 2 4 2" xfId="21799" xr:uid="{EA46ECA1-2BDF-4F03-977D-5861686BFB7C}"/>
    <cellStyle name="Normal 7 7 3 2 2 5" xfId="24043" xr:uid="{DE9FD3CB-5AE4-43AC-BED0-8D042F99DAA2}"/>
    <cellStyle name="Normal 7 7 3 2 2 6" xfId="14106" xr:uid="{759737F0-C4A8-4FBA-82DF-065AEDEA5EAA}"/>
    <cellStyle name="Normal 7 7 3 2 3" xfId="4382" xr:uid="{3C28BC18-1B7B-43C7-8BF0-93A4A445BB24}"/>
    <cellStyle name="Normal 7 7 3 2 3 2" xfId="9154" xr:uid="{2D561BC2-362F-450B-825F-BA789CCF5760}"/>
    <cellStyle name="Normal 7 7 3 2 3 2 2" xfId="29197" xr:uid="{A0E574BF-9E24-48E1-A271-0DFCAA34FABA}"/>
    <cellStyle name="Normal 7 7 3 2 3 2 3" xfId="19534" xr:uid="{ED971030-3520-4518-A462-0354BF77764C}"/>
    <cellStyle name="Normal 7 7 3 2 3 3" xfId="11987" xr:uid="{89053BC3-BE6D-4BA1-A02E-7C814AAD062A}"/>
    <cellStyle name="Normal 7 7 3 2 3 3 2" xfId="22367" xr:uid="{8FB6A495-6AAC-4A79-958E-26038FB2225B}"/>
    <cellStyle name="Normal 7 7 3 2 3 4" xfId="24519" xr:uid="{DABB4DE9-D7AF-438F-B64E-5FCAFC4C9344}"/>
    <cellStyle name="Normal 7 7 3 2 3 5" xfId="16701" xr:uid="{EC4484C3-4297-406D-8770-5C9C01B586CD}"/>
    <cellStyle name="Normal 7 7 3 2 4" xfId="6066" xr:uid="{6D51BC33-05C7-4AA0-91CE-E2E28C585877}"/>
    <cellStyle name="Normal 7 7 3 2 4 2" xfId="27251" xr:uid="{B1C0F13B-5457-42CF-BF0D-1810B67828FE}"/>
    <cellStyle name="Normal 7 7 3 2 4 3" xfId="15522" xr:uid="{3A80E960-9A1C-4E96-93ED-B76F8CFDB768}"/>
    <cellStyle name="Normal 7 7 3 2 5" xfId="7975" xr:uid="{DC3F4607-8FBF-4229-ABF0-992CE51C53E7}"/>
    <cellStyle name="Normal 7 7 3 2 5 2" xfId="18355" xr:uid="{FBCE5760-87AC-4838-A3E6-27D17E88049E}"/>
    <cellStyle name="Normal 7 7 3 2 6" xfId="10808" xr:uid="{33977F88-70FF-460E-B122-E4355F19D071}"/>
    <cellStyle name="Normal 7 7 3 2 6 2" xfId="21188" xr:uid="{CF81CA87-9367-4294-9F2C-D29238041B5A}"/>
    <cellStyle name="Normal 7 7 3 2 7" xfId="24268" xr:uid="{227AD105-8158-4CA4-8393-6C398F7799EA}"/>
    <cellStyle name="Normal 7 7 3 2 8" xfId="13337" xr:uid="{8548A3FC-6708-4D3D-8F1C-19F3CF3BD883}"/>
    <cellStyle name="Normal 7 7 3 3" xfId="3509" xr:uid="{00000000-0005-0000-0000-000043090000}"/>
    <cellStyle name="Normal 7 7 3 3 2" xfId="4613" xr:uid="{89F2C6BD-23ED-462B-BE28-A288060C0DFC}"/>
    <cellStyle name="Normal 7 7 3 3 2 2" xfId="9385" xr:uid="{6BD16B65-C7FD-4472-AF20-AED7BF8EB114}"/>
    <cellStyle name="Normal 7 7 3 3 2 2 2" xfId="29351" xr:uid="{CE945988-CE41-416F-9389-6C5A28DBEFB9}"/>
    <cellStyle name="Normal 7 7 3 3 2 2 3" xfId="19765" xr:uid="{4871CDDE-717F-4676-912F-B3C6676B08B2}"/>
    <cellStyle name="Normal 7 7 3 3 2 3" xfId="12218" xr:uid="{D5B51F42-3B77-4B7B-B20B-0F6862F78B2B}"/>
    <cellStyle name="Normal 7 7 3 3 2 3 2" xfId="22598" xr:uid="{DF955F6C-3FD3-4721-8986-CBB2F531CE8D}"/>
    <cellStyle name="Normal 7 7 3 3 2 4" xfId="22967" xr:uid="{B54F08A6-E4F0-4C15-9364-FFD55D32FD72}"/>
    <cellStyle name="Normal 7 7 3 3 2 5" xfId="16932" xr:uid="{7ED0E923-34C2-470F-8D78-EEDED3F9E55E}"/>
    <cellStyle name="Normal 7 7 3 3 3" xfId="6561" xr:uid="{C11160E3-667A-4FC9-A89C-BF99B699CA8C}"/>
    <cellStyle name="Normal 7 7 3 3 3 2" xfId="27298" xr:uid="{0C310A5A-8FD1-44F7-98A7-2D659CAC8830}"/>
    <cellStyle name="Normal 7 7 3 3 3 3" xfId="16134" xr:uid="{0AAD95AE-B8C3-43CD-AF1F-1564868FFB79}"/>
    <cellStyle name="Normal 7 7 3 3 4" xfId="8587" xr:uid="{E6D5297D-ED60-439D-AD45-2F6585040639}"/>
    <cellStyle name="Normal 7 7 3 3 4 2" xfId="18967" xr:uid="{88B25C48-3C6A-49D7-9A4F-506E5F76E153}"/>
    <cellStyle name="Normal 7 7 3 3 5" xfId="11420" xr:uid="{1429B78B-9DFC-4CD1-A4F4-38C8711203FD}"/>
    <cellStyle name="Normal 7 7 3 3 5 2" xfId="21800" xr:uid="{DD683835-E77C-4AFC-AD20-495BB7C4E235}"/>
    <cellStyle name="Normal 7 7 3 3 6" xfId="24142" xr:uid="{93DCECB9-975E-42C3-9907-5E74D5D2E8DB}"/>
    <cellStyle name="Normal 7 7 3 3 7" xfId="14107" xr:uid="{C4399ED8-7591-46FE-B310-02CB5B65204B}"/>
    <cellStyle name="Normal 7 7 3 4" xfId="3507" xr:uid="{00000000-0005-0000-0000-000044090000}"/>
    <cellStyle name="Normal 7 7 3 4 2" xfId="6559" xr:uid="{1984D6E0-282E-4076-8C31-6CB41BBB2BAF}"/>
    <cellStyle name="Normal 7 7 3 4 2 2" xfId="28593" xr:uid="{390798B3-EDAD-47F5-8E0D-7DF5B23894E0}"/>
    <cellStyle name="Normal 7 7 3 4 2 3" xfId="16132" xr:uid="{A16C6FA9-2BC2-409C-9085-BDEFC89B3A64}"/>
    <cellStyle name="Normal 7 7 3 4 3" xfId="8585" xr:uid="{F71AF641-77A0-4621-B5FD-59ADB04C380B}"/>
    <cellStyle name="Normal 7 7 3 4 3 2" xfId="18965" xr:uid="{20B68CA9-8F1E-4ABA-B033-087AE22CDEA6}"/>
    <cellStyle name="Normal 7 7 3 4 4" xfId="11418" xr:uid="{51AB0A02-1BA8-4DC5-968C-E30C5C243333}"/>
    <cellStyle name="Normal 7 7 3 4 4 2" xfId="21798" xr:uid="{C679DD6D-B400-4C98-A3D8-7480E708AAA5}"/>
    <cellStyle name="Normal 7 7 3 4 5" xfId="25215" xr:uid="{0D2936A6-6A59-4AD1-A31C-86CF60E30A99}"/>
    <cellStyle name="Normal 7 7 3 4 6" xfId="14105" xr:uid="{FB82D7A7-6D4D-4CCD-9DC5-6079FA52C303}"/>
    <cellStyle name="Normal 7 7 3 5" xfId="2594" xr:uid="{00000000-0005-0000-0000-000045090000}"/>
    <cellStyle name="Normal 7 7 3 5 2" xfId="5859" xr:uid="{65C0C5E9-B5FE-4B00-BB73-6D05B81BECA7}"/>
    <cellStyle name="Normal 7 7 3 5 2 2" xfId="27495" xr:uid="{8976DB23-6182-4E09-BB4E-85FDB6028B0E}"/>
    <cellStyle name="Normal 7 7 3 5 2 3" xfId="15266" xr:uid="{68F632A7-3E9A-4977-ACA3-0D0FB789A307}"/>
    <cellStyle name="Normal 7 7 3 5 3" xfId="7719" xr:uid="{9503F60A-FB99-424D-8528-B8769E72E29A}"/>
    <cellStyle name="Normal 7 7 3 5 3 2" xfId="18099" xr:uid="{A4130C95-0520-48FA-8FC7-9EB54D98CAC0}"/>
    <cellStyle name="Normal 7 7 3 5 4" xfId="10552" xr:uid="{CCC5433F-11C5-45BC-BBF3-AC5C8DDC16DB}"/>
    <cellStyle name="Normal 7 7 3 5 4 2" xfId="20932" xr:uid="{670411DC-1AAF-4A0F-9FCA-321B4DF9CB56}"/>
    <cellStyle name="Normal 7 7 3 5 5" xfId="23411" xr:uid="{12B9F687-3FC5-4F87-8D20-81FD6AA3783F}"/>
    <cellStyle name="Normal 7 7 3 5 6" xfId="12982" xr:uid="{1166DE3E-3C7B-42CF-B559-6D09ACE261F3}"/>
    <cellStyle name="Normal 7 7 3 6" xfId="2417" xr:uid="{00000000-0005-0000-0000-000040090000}"/>
    <cellStyle name="Normal 7 7 3 6 2" xfId="7544" xr:uid="{6B297C61-A426-42E2-BEFD-15D95033E98E}"/>
    <cellStyle name="Normal 7 7 3 6 2 2" xfId="17924" xr:uid="{2A0680CD-4EBA-46BD-9693-B834435C83CD}"/>
    <cellStyle name="Normal 7 7 3 6 3" xfId="10377" xr:uid="{AB717565-D3D4-4787-9882-274138B115C6}"/>
    <cellStyle name="Normal 7 7 3 6 3 2" xfId="20757" xr:uid="{62D5210C-DF24-409A-8CF5-423136382B68}"/>
    <cellStyle name="Normal 7 7 3 6 4" xfId="25473" xr:uid="{A8F125F6-B67B-425C-B4CD-736F07ADCDA6}"/>
    <cellStyle name="Normal 7 7 3 6 5" xfId="15091" xr:uid="{4EB859A2-46E3-428E-9E46-011564E713B6}"/>
    <cellStyle name="Normal 7 7 3 7" xfId="4110" xr:uid="{B189E86A-2154-44E9-9A33-0D9EF6B4E6B6}"/>
    <cellStyle name="Normal 7 7 3 7 2" xfId="8882" xr:uid="{43DA4BAD-E702-449B-8FA6-6CD0B1F3A39D}"/>
    <cellStyle name="Normal 7 7 3 7 2 2" xfId="19262" xr:uid="{2AEDCD54-9FC7-4366-9AB8-7514E84CF886}"/>
    <cellStyle name="Normal 7 7 3 7 3" xfId="11715" xr:uid="{C913724C-EE6F-4A03-9599-9950CD04EF4A}"/>
    <cellStyle name="Normal 7 7 3 7 3 2" xfId="22095" xr:uid="{261D23D1-D351-4F14-B881-34DEF734E131}"/>
    <cellStyle name="Normal 7 7 3 7 4" xfId="16429" xr:uid="{372E77CC-B278-4852-AA7D-CFAA1E13DB5F}"/>
    <cellStyle name="Normal 7 7 3 8" xfId="5516" xr:uid="{38CDE3D7-BD94-440F-BC4A-FFA35C9DF975}"/>
    <cellStyle name="Normal 7 7 3 8 2" xfId="14812" xr:uid="{2FD30E6F-6ED0-43C8-9631-418C3989C55B}"/>
    <cellStyle name="Normal 7 7 3 9" xfId="7265" xr:uid="{04B2EFA9-4445-41FD-8320-BF4E5323E45F}"/>
    <cellStyle name="Normal 7 7 3 9 2" xfId="17645" xr:uid="{6ACD7728-431E-47FD-8FFF-C9592A3F86FA}"/>
    <cellStyle name="Normal 7 7 4" xfId="1520" xr:uid="{00000000-0005-0000-0000-0000C9070000}"/>
    <cellStyle name="Normal 7 7 4 2" xfId="3510" xr:uid="{00000000-0005-0000-0000-000047090000}"/>
    <cellStyle name="Normal 7 7 4 2 2" xfId="6562" xr:uid="{5951E54E-719C-4037-AD11-C2C8F91FDB72}"/>
    <cellStyle name="Normal 7 7 4 2 2 2" xfId="27805" xr:uid="{DD56CBD4-AEC2-4087-8477-E394135DF909}"/>
    <cellStyle name="Normal 7 7 4 2 2 3" xfId="16135" xr:uid="{BD0338E6-F04C-4F98-B34C-AF7E98B7DEF8}"/>
    <cellStyle name="Normal 7 7 4 2 3" xfId="8588" xr:uid="{746314BD-1259-4FA7-9646-1C695E3C3E75}"/>
    <cellStyle name="Normal 7 7 4 2 3 2" xfId="18968" xr:uid="{B9FF924B-6B07-42E7-A558-E33F607CD720}"/>
    <cellStyle name="Normal 7 7 4 2 4" xfId="11421" xr:uid="{CDC3E7EF-FCED-47C5-9289-48FC29A3F926}"/>
    <cellStyle name="Normal 7 7 4 2 4 2" xfId="21801" xr:uid="{37B0ED64-278B-42A4-B264-31715841ADD8}"/>
    <cellStyle name="Normal 7 7 4 2 5" xfId="24849" xr:uid="{72FDC550-40FB-4880-A159-156CB101B6C4}"/>
    <cellStyle name="Normal 7 7 4 2 6" xfId="14108" xr:uid="{F3F1CB74-2384-47B2-9530-1C3EEAA9B51E}"/>
    <cellStyle name="Normal 7 7 4 3" xfId="2850" xr:uid="{00000000-0005-0000-0000-000048090000}"/>
    <cellStyle name="Normal 7 7 4 3 2" xfId="6063" xr:uid="{600D4439-761D-4C8F-B0E5-3E1CA5CB2EB5}"/>
    <cellStyle name="Normal 7 7 4 3 2 2" xfId="27962" xr:uid="{53570348-B679-4121-BCCE-C8F2FB6B97B7}"/>
    <cellStyle name="Normal 7 7 4 3 2 3" xfId="15519" xr:uid="{D2E905DC-110E-4CFC-A27D-AFBD9F6A5ACC}"/>
    <cellStyle name="Normal 7 7 4 3 3" xfId="7972" xr:uid="{6E0010E1-752C-4732-958B-C8C972E03978}"/>
    <cellStyle name="Normal 7 7 4 3 3 2" xfId="18352" xr:uid="{5C8CF515-945F-4F4F-A02D-D88D97E072F7}"/>
    <cellStyle name="Normal 7 7 4 3 4" xfId="10805" xr:uid="{2921DA33-5276-4965-97F6-DE9E839BA630}"/>
    <cellStyle name="Normal 7 7 4 3 4 2" xfId="21185" xr:uid="{7D8DC2DD-D5F1-4A0D-B41B-C5E71C854740}"/>
    <cellStyle name="Normal 7 7 4 3 5" xfId="24540" xr:uid="{C84E83C0-9320-4903-A72B-389578FC6790}"/>
    <cellStyle name="Normal 7 7 4 3 6" xfId="13334" xr:uid="{32DADDCA-2A3F-4968-9F75-3570127E37B7}"/>
    <cellStyle name="Normal 7 7 4 4" xfId="4232" xr:uid="{FED24733-1034-41B0-B4E3-3EAB52254506}"/>
    <cellStyle name="Normal 7 7 4 4 2" xfId="9004" xr:uid="{6DE852C9-6ECD-4166-B3D5-7D3FB8C76CB6}"/>
    <cellStyle name="Normal 7 7 4 4 2 2" xfId="19384" xr:uid="{AE2D6D5C-5F6E-4488-85D8-83AD15BFD4B8}"/>
    <cellStyle name="Normal 7 7 4 4 3" xfId="11837" xr:uid="{9D85BA2E-63D2-4AC6-9058-7570338D4AB8}"/>
    <cellStyle name="Normal 7 7 4 4 3 2" xfId="22217" xr:uid="{A11DE655-8593-432C-B1CE-9692FB6EBDE7}"/>
    <cellStyle name="Normal 7 7 4 4 4" xfId="22833" xr:uid="{3545043A-97C3-4BEB-9A86-224F9F340D6F}"/>
    <cellStyle name="Normal 7 7 4 4 5" xfId="16551" xr:uid="{A86AA6D0-CDE3-4675-9D71-9C1166E80231}"/>
    <cellStyle name="Normal 7 7 4 5" xfId="5517" xr:uid="{073EF0F5-9C31-416A-9755-CFE675F63728}"/>
    <cellStyle name="Normal 7 7 4 5 2" xfId="14813" xr:uid="{690DDAB2-3F10-4C76-8258-BAC99B58EFA9}"/>
    <cellStyle name="Normal 7 7 4 6" xfId="7266" xr:uid="{E72904BC-11DC-4089-A0A0-68665237A9C1}"/>
    <cellStyle name="Normal 7 7 4 6 2" xfId="17646" xr:uid="{5593957B-21CB-467A-A601-0DFB57B04A95}"/>
    <cellStyle name="Normal 7 7 4 7" xfId="10099" xr:uid="{6E160AC4-EE6C-4514-B4B6-94E8D49BF565}"/>
    <cellStyle name="Normal 7 7 4 7 2" xfId="20479" xr:uid="{7E63E60C-F133-4A48-A85B-351F15CEBEB1}"/>
    <cellStyle name="Normal 7 7 4 8" xfId="24255" xr:uid="{B4BBCC62-20CB-4D6D-9BA8-7EC9921C9202}"/>
    <cellStyle name="Normal 7 7 4 9" xfId="12809" xr:uid="{6248B075-03D7-4527-8BD0-355FE7F0EA73}"/>
    <cellStyle name="Normal 7 7 5" xfId="3511" xr:uid="{00000000-0005-0000-0000-000049090000}"/>
    <cellStyle name="Normal 7 7 5 2" xfId="4614" xr:uid="{AD7F6475-AC25-498F-97D9-95AEF50804B2}"/>
    <cellStyle name="Normal 7 7 5 2 2" xfId="9386" xr:uid="{8F7F0EAE-C9BE-4744-9F60-6386BF527B9E}"/>
    <cellStyle name="Normal 7 7 5 2 2 2" xfId="29352" xr:uid="{ECEBF970-57BF-4F36-B9D8-7772EBF484F1}"/>
    <cellStyle name="Normal 7 7 5 2 2 3" xfId="19766" xr:uid="{C0207E13-6EB3-430B-9E3B-7459000F30F7}"/>
    <cellStyle name="Normal 7 7 5 2 3" xfId="12219" xr:uid="{637C8A77-C2DA-41C7-B1C7-7452C0212BD0}"/>
    <cellStyle name="Normal 7 7 5 2 3 2" xfId="22599" xr:uid="{4642DD10-6988-4B16-8DC5-3B2E4EF5DFD9}"/>
    <cellStyle name="Normal 7 7 5 2 4" xfId="23409" xr:uid="{68B934D2-16B5-4574-930C-5F70319B41D6}"/>
    <cellStyle name="Normal 7 7 5 2 5" xfId="16933" xr:uid="{CD8851BF-4305-4276-A211-853AAEB2E18C}"/>
    <cellStyle name="Normal 7 7 5 3" xfId="6563" xr:uid="{D9F50B8A-EAE6-45D2-9757-96D41910DF33}"/>
    <cellStyle name="Normal 7 7 5 3 2" xfId="27705" xr:uid="{E24BC1D6-99A1-4DFF-A3D3-2E93013892F2}"/>
    <cellStyle name="Normal 7 7 5 3 3" xfId="16136" xr:uid="{982AD3F0-373E-4885-8FBF-EDF3A9C70E74}"/>
    <cellStyle name="Normal 7 7 5 4" xfId="8589" xr:uid="{1B986D95-9C6A-4E78-AC0F-DB0EAB511753}"/>
    <cellStyle name="Normal 7 7 5 4 2" xfId="18969" xr:uid="{054C9D3C-8909-4487-87C0-31393BA9DA6E}"/>
    <cellStyle name="Normal 7 7 5 5" xfId="11422" xr:uid="{37B2F39E-A31F-4EAB-87D8-22284A59451D}"/>
    <cellStyle name="Normal 7 7 5 5 2" xfId="21802" xr:uid="{90949D72-122E-4068-81F4-C737F6C36E51}"/>
    <cellStyle name="Normal 7 7 5 6" xfId="24024" xr:uid="{AC4AA60D-E46F-45B2-8D9C-0D4D1CE5B437}"/>
    <cellStyle name="Normal 7 7 5 7" xfId="14109" xr:uid="{5F579650-634B-44AB-A3C2-A2A1102691CD}"/>
    <cellStyle name="Normal 7 7 6" xfId="3005" xr:uid="{00000000-0005-0000-0000-00004A090000}"/>
    <cellStyle name="Normal 7 7 6 2" xfId="6154" xr:uid="{3F76595B-7A70-4313-AD98-64C64CE90066}"/>
    <cellStyle name="Normal 7 7 6 2 2" xfId="26632" xr:uid="{8EFD9527-C9BA-4589-9728-404461208850}"/>
    <cellStyle name="Normal 7 7 6 2 3" xfId="15632" xr:uid="{B92DC15A-9E26-41CE-9CF7-2BEEEA6C274F}"/>
    <cellStyle name="Normal 7 7 6 3" xfId="8085" xr:uid="{D3D83652-7AB7-46DC-88C3-874F8B321725}"/>
    <cellStyle name="Normal 7 7 6 3 2" xfId="18465" xr:uid="{9767A66B-EFCD-4145-A061-7C4934BCFCA5}"/>
    <cellStyle name="Normal 7 7 6 4" xfId="10918" xr:uid="{DB7ADFAE-CF2D-467F-807B-BA750E3358BE}"/>
    <cellStyle name="Normal 7 7 6 4 2" xfId="21298" xr:uid="{66578466-A08C-4AFA-B5BC-5E4E89791B6D}"/>
    <cellStyle name="Normal 7 7 6 5" xfId="22991" xr:uid="{816A3C82-EF97-4D9A-B226-C5314D42E218}"/>
    <cellStyle name="Normal 7 7 6 6" xfId="13507" xr:uid="{6E0DF169-7B30-43CB-8A82-A2C432D548E4}"/>
    <cellStyle name="Normal 7 7 7" xfId="2491" xr:uid="{00000000-0005-0000-0000-00004B090000}"/>
    <cellStyle name="Normal 7 7 7 2" xfId="5776" xr:uid="{615CF55C-5858-42D6-9029-1D0E586CDA6B}"/>
    <cellStyle name="Normal 7 7 7 2 2" xfId="28098" xr:uid="{769996D8-286A-491D-A186-0B38D0DFAC63}"/>
    <cellStyle name="Normal 7 7 7 2 3" xfId="15163" xr:uid="{C65C49A5-3E9C-4503-8446-C9AEC63DAC9E}"/>
    <cellStyle name="Normal 7 7 7 3" xfId="7616" xr:uid="{92F93284-4B3E-428B-B6C2-ED6E69337A90}"/>
    <cellStyle name="Normal 7 7 7 3 2" xfId="17996" xr:uid="{B72C03A7-4BE7-4FD8-9CD2-E00C8E50581D}"/>
    <cellStyle name="Normal 7 7 7 4" xfId="10449" xr:uid="{16A95490-056D-447E-A776-9D50F4B56E51}"/>
    <cellStyle name="Normal 7 7 7 4 2" xfId="20829" xr:uid="{885B6FAB-364E-4C48-8C9F-4A2E219AAB58}"/>
    <cellStyle name="Normal 7 7 7 5" xfId="23314" xr:uid="{D84AA36F-B8A6-41BB-B4EF-78ABA913D2CD}"/>
    <cellStyle name="Normal 7 7 7 6" xfId="12879" xr:uid="{51741595-A603-4C13-8BE4-D5040003A8A2}"/>
    <cellStyle name="Normal 7 7 8" xfId="2185" xr:uid="{00000000-0005-0000-0000-000034090000}"/>
    <cellStyle name="Normal 7 7 8 2" xfId="7312" xr:uid="{8A50AE7F-CCBF-4D2F-BFB9-C1DB2900D60F}"/>
    <cellStyle name="Normal 7 7 8 2 2" xfId="17692" xr:uid="{C0AD61CF-C327-4565-A0B7-69375C2AFFA1}"/>
    <cellStyle name="Normal 7 7 8 3" xfId="10145" xr:uid="{DA9A460A-D310-4A38-B03C-688489590AC9}"/>
    <cellStyle name="Normal 7 7 8 3 2" xfId="20525" xr:uid="{190AFA82-0FA9-45BA-8F06-D61F6BC89869}"/>
    <cellStyle name="Normal 7 7 8 4" xfId="25030" xr:uid="{92A3C3C0-6143-4185-B2A5-8EF3EAEDE877}"/>
    <cellStyle name="Normal 7 7 8 5" xfId="14859" xr:uid="{5BC75154-B7D6-411C-8490-0363E25D9F80}"/>
    <cellStyle name="Normal 7 7 9" xfId="4090" xr:uid="{E2D62470-0D7C-4BCF-8C41-AF626EEE8446}"/>
    <cellStyle name="Normal 7 7 9 2" xfId="8867" xr:uid="{CF944BA7-FF91-4800-BCE3-BDFB2D3CF169}"/>
    <cellStyle name="Normal 7 7 9 2 2" xfId="19247" xr:uid="{F6804887-5FD8-46C0-93BF-ABEB1F4B4B99}"/>
    <cellStyle name="Normal 7 7 9 3" xfId="11700" xr:uid="{DEF9A11B-AF1B-4FC1-8C44-FAF365916466}"/>
    <cellStyle name="Normal 7 7 9 3 2" xfId="22080" xr:uid="{6C9F6523-AC60-46B2-A5DC-FBC016E9FE01}"/>
    <cellStyle name="Normal 7 7 9 4" xfId="16414" xr:uid="{C660FAB7-D96F-4E6C-833A-6DA3D1214498}"/>
    <cellStyle name="Normal 7 8" xfId="1521" xr:uid="{00000000-0005-0000-0000-0000CA070000}"/>
    <cellStyle name="Normal 7 8 10" xfId="5518" xr:uid="{7981F872-048D-44EB-862C-1863490B0EF3}"/>
    <cellStyle name="Normal 7 8 10 2" xfId="14814" xr:uid="{B43B2494-97F5-4498-91B3-E36B565F3B59}"/>
    <cellStyle name="Normal 7 8 11" xfId="7267" xr:uid="{ED7C597E-FD30-4964-9838-BC946C5800E4}"/>
    <cellStyle name="Normal 7 8 11 2" xfId="17647" xr:uid="{CCE1DC93-0221-401E-AF5B-99672ED397DD}"/>
    <cellStyle name="Normal 7 8 12" xfId="10100" xr:uid="{AE0BFB9E-5501-4680-9948-5E84422DA893}"/>
    <cellStyle name="Normal 7 8 12 2" xfId="20480" xr:uid="{4A988483-51E0-412E-9E59-46CEE99C3B41}"/>
    <cellStyle name="Normal 7 8 13" xfId="23702" xr:uid="{BC4496E3-8A18-485B-A7D4-66FE424DFB75}"/>
    <cellStyle name="Normal 7 8 14" xfId="12451" xr:uid="{245E7DAD-1C66-4C24-A686-F0D68E215EC8}"/>
    <cellStyle name="Normal 7 8 2" xfId="1522" xr:uid="{00000000-0005-0000-0000-0000CB070000}"/>
    <cellStyle name="Normal 7 8 2 10" xfId="10101" xr:uid="{98E6AF7D-E713-489B-BFB7-2D85F6E3108B}"/>
    <cellStyle name="Normal 7 8 2 10 2" xfId="20481" xr:uid="{EB056CE6-575B-4DD8-9AFC-FBB7EE22E1AB}"/>
    <cellStyle name="Normal 7 8 2 11" xfId="22984" xr:uid="{45D0F1E6-4DB8-4B08-A92C-FB3701D67A71}"/>
    <cellStyle name="Normal 7 8 2 12" xfId="12652" xr:uid="{1E636B80-57F4-4836-93F8-5F92C02DB4FD}"/>
    <cellStyle name="Normal 7 8 2 2" xfId="1523" xr:uid="{00000000-0005-0000-0000-0000CC070000}"/>
    <cellStyle name="Normal 7 8 2 2 2" xfId="3513" xr:uid="{00000000-0005-0000-0000-00004F090000}"/>
    <cellStyle name="Normal 7 8 2 2 2 2" xfId="6565" xr:uid="{EB11A89A-2A16-486D-9877-94B0133CC7BB}"/>
    <cellStyle name="Normal 7 8 2 2 2 2 2" xfId="27807" xr:uid="{D4D9D707-88A0-4231-85BB-C83530677E72}"/>
    <cellStyle name="Normal 7 8 2 2 2 2 3" xfId="27972" xr:uid="{0E38C2FA-C142-40C2-AC01-E3CDFBC457DD}"/>
    <cellStyle name="Normal 7 8 2 2 2 2 4" xfId="16138" xr:uid="{775AB728-5859-44E1-B041-0F14552B37AC}"/>
    <cellStyle name="Normal 7 8 2 2 2 3" xfId="8591" xr:uid="{C295360B-1DD4-49F9-A210-3E30A3B4ADA7}"/>
    <cellStyle name="Normal 7 8 2 2 2 3 2" xfId="28956" xr:uid="{A96E8B5A-B5E3-4393-A017-1CF35E2FEC4F}"/>
    <cellStyle name="Normal 7 8 2 2 2 3 3" xfId="18971" xr:uid="{69662BF9-DE8D-4BE4-884F-6374471AD8D6}"/>
    <cellStyle name="Normal 7 8 2 2 2 4" xfId="11424" xr:uid="{A392603C-B2DC-4FBE-8CDC-44E8105A13FA}"/>
    <cellStyle name="Normal 7 8 2 2 2 4 2" xfId="21804" xr:uid="{5E996602-E6E7-481C-8178-70C4707EBA3B}"/>
    <cellStyle name="Normal 7 8 2 2 2 5" xfId="23015" xr:uid="{DCD7C034-9A83-4037-97BF-2FD1AA3ACAE2}"/>
    <cellStyle name="Normal 7 8 2 2 2 6" xfId="14111" xr:uid="{F9FEBBAB-0B1B-47DF-9D61-26E2BD920E60}"/>
    <cellStyle name="Normal 7 8 2 2 3" xfId="4384" xr:uid="{181487C5-ED9A-4A37-894D-630747EF6A82}"/>
    <cellStyle name="Normal 7 8 2 2 3 2" xfId="9156" xr:uid="{B92BA703-193B-443E-B6AF-1260F9C458B3}"/>
    <cellStyle name="Normal 7 8 2 2 3 2 2" xfId="29199" xr:uid="{FC43AD86-1E18-423C-B688-0218500738C7}"/>
    <cellStyle name="Normal 7 8 2 2 3 2 3" xfId="19536" xr:uid="{0FE7F98E-D0D4-4966-A9D9-4239B84E8749}"/>
    <cellStyle name="Normal 7 8 2 2 3 3" xfId="11989" xr:uid="{B856DF8E-EF2D-498F-84DC-D1432C8127B4}"/>
    <cellStyle name="Normal 7 8 2 2 3 3 2" xfId="22369" xr:uid="{2358B23F-1DEE-4F07-B59D-A3292C0A2663}"/>
    <cellStyle name="Normal 7 8 2 2 3 4" xfId="23074" xr:uid="{F1BD4026-BDBC-4F07-91C3-4E30BDC3DF85}"/>
    <cellStyle name="Normal 7 8 2 2 3 5" xfId="16703" xr:uid="{FD13EB93-12BC-4106-97A5-C49FF5588DA9}"/>
    <cellStyle name="Normal 7 8 2 2 4" xfId="5520" xr:uid="{EB844901-5740-434A-ABC2-996F0C577A1A}"/>
    <cellStyle name="Normal 7 8 2 2 4 2" xfId="26187" xr:uid="{7FA8E3E1-04EC-4115-A9E7-91413201C243}"/>
    <cellStyle name="Normal 7 8 2 2 4 3" xfId="14816" xr:uid="{DCF72E2C-A73D-4F52-94E9-921263AA7C3D}"/>
    <cellStyle name="Normal 7 8 2 2 5" xfId="7269" xr:uid="{1F8FFE9A-266A-4C02-A0C9-CB629DCE7BAD}"/>
    <cellStyle name="Normal 7 8 2 2 5 2" xfId="17649" xr:uid="{0801D49D-F350-43B3-85F7-61957A26FD37}"/>
    <cellStyle name="Normal 7 8 2 2 6" xfId="10102" xr:uid="{CF486B53-1EF7-4F7D-B81D-F3F7AA9623BB}"/>
    <cellStyle name="Normal 7 8 2 2 6 2" xfId="20482" xr:uid="{80E59977-4A31-44FE-85B3-9C47708D4A4C}"/>
    <cellStyle name="Normal 7 8 2 2 7" xfId="23683" xr:uid="{0F8BCB19-1DD6-48E6-9826-552942CAF682}"/>
    <cellStyle name="Normal 7 8 2 2 8" xfId="13339" xr:uid="{BE9509A6-58F3-4D8C-80F0-E71C155159CC}"/>
    <cellStyle name="Normal 7 8 2 3" xfId="3514" xr:uid="{00000000-0005-0000-0000-000050090000}"/>
    <cellStyle name="Normal 7 8 2 3 2" xfId="4615" xr:uid="{5A62E504-BFEF-479B-8457-B6A288D1F681}"/>
    <cellStyle name="Normal 7 8 2 3 2 2" xfId="9387" xr:uid="{DD36251F-A545-494E-9EB8-8B904ACA1F5C}"/>
    <cellStyle name="Normal 7 8 2 3 2 2 2" xfId="29353" xr:uid="{705B83BD-F576-4B59-AA3B-6007ABF9EC06}"/>
    <cellStyle name="Normal 7 8 2 3 2 2 3" xfId="19767" xr:uid="{A8D76510-D2B7-4243-943D-05D55F002E54}"/>
    <cellStyle name="Normal 7 8 2 3 2 3" xfId="12220" xr:uid="{DBCF99F1-5F0F-4C40-BA23-FA3AD5209E84}"/>
    <cellStyle name="Normal 7 8 2 3 2 3 2" xfId="22600" xr:uid="{FD9CC561-FB12-4D75-9BE3-1579F0A75E0E}"/>
    <cellStyle name="Normal 7 8 2 3 2 4" xfId="25439" xr:uid="{00CB64E5-E46F-41F4-BAA8-8E628BDE07F1}"/>
    <cellStyle name="Normal 7 8 2 3 2 5" xfId="16934" xr:uid="{62A17E90-746E-4F3A-8C7B-70DBF6036AF8}"/>
    <cellStyle name="Normal 7 8 2 3 3" xfId="6566" xr:uid="{27986DCB-B1DC-40F6-A174-53689B211438}"/>
    <cellStyle name="Normal 7 8 2 3 3 2" xfId="26977" xr:uid="{84F835E7-00DF-47D1-8CAE-1B42976D3EDF}"/>
    <cellStyle name="Normal 7 8 2 3 3 3" xfId="16139" xr:uid="{5206AF1D-AFCA-4ECA-BBF7-E6417F40CA01}"/>
    <cellStyle name="Normal 7 8 2 3 4" xfId="8592" xr:uid="{E3CDF305-8586-426D-9FF9-0AFA0D1F449F}"/>
    <cellStyle name="Normal 7 8 2 3 4 2" xfId="18972" xr:uid="{C0408242-D425-4401-968C-5AD5688825AE}"/>
    <cellStyle name="Normal 7 8 2 3 5" xfId="11425" xr:uid="{9E6A4A17-DB2E-4A2A-A3D6-F787EBD6A00B}"/>
    <cellStyle name="Normal 7 8 2 3 5 2" xfId="21805" xr:uid="{89D1F1E4-DBBB-482E-BFF2-27141B03EE8C}"/>
    <cellStyle name="Normal 7 8 2 3 6" xfId="23663" xr:uid="{4B1DE66C-64F1-41DA-91DC-73742ADDC37F}"/>
    <cellStyle name="Normal 7 8 2 3 7" xfId="14112" xr:uid="{17E11527-AF05-4F78-8691-C27919B2D701}"/>
    <cellStyle name="Normal 7 8 2 4" xfId="3512" xr:uid="{00000000-0005-0000-0000-000051090000}"/>
    <cellStyle name="Normal 7 8 2 4 2" xfId="6564" xr:uid="{A6D4913D-5879-467B-A280-0C48BB6872C3}"/>
    <cellStyle name="Normal 7 8 2 4 2 2" xfId="27381" xr:uid="{38B4BD07-92A6-42D7-AAD5-D9D8C7CF672E}"/>
    <cellStyle name="Normal 7 8 2 4 2 3" xfId="16137" xr:uid="{020DC34B-CADE-4C90-993B-F559A47C1798}"/>
    <cellStyle name="Normal 7 8 2 4 3" xfId="8590" xr:uid="{18B383CC-7CD2-4F2C-9F70-5A3D988943B0}"/>
    <cellStyle name="Normal 7 8 2 4 3 2" xfId="18970" xr:uid="{7949896A-5AB4-4936-8AF7-98E234A13FBA}"/>
    <cellStyle name="Normal 7 8 2 4 4" xfId="11423" xr:uid="{2760F4C4-2CCD-4E6E-ADEA-FDBBC7FFEAB8}"/>
    <cellStyle name="Normal 7 8 2 4 4 2" xfId="21803" xr:uid="{C91E5146-3111-48B7-AC29-114C970974AA}"/>
    <cellStyle name="Normal 7 8 2 4 5" xfId="24267" xr:uid="{05B3E0F6-BC97-4AC7-9F0E-E28B1BE63821}"/>
    <cellStyle name="Normal 7 8 2 4 6" xfId="14110" xr:uid="{AF3D29FE-8396-43E5-86B9-0CC7B8E94F3A}"/>
    <cellStyle name="Normal 7 8 2 5" xfId="2525" xr:uid="{00000000-0005-0000-0000-000052090000}"/>
    <cellStyle name="Normal 7 8 2 5 2" xfId="5802" xr:uid="{B5E01D43-3B65-45FA-A334-039D61490BF7}"/>
    <cellStyle name="Normal 7 8 2 5 2 2" xfId="27361" xr:uid="{860D3B7A-9709-4DE5-A844-0E7D2CDA4383}"/>
    <cellStyle name="Normal 7 8 2 5 2 3" xfId="15197" xr:uid="{92547474-EEB8-4256-AB79-31E1D271515A}"/>
    <cellStyle name="Normal 7 8 2 5 3" xfId="7650" xr:uid="{F5A21145-6AA2-46FC-B6FF-81E2D06AC58C}"/>
    <cellStyle name="Normal 7 8 2 5 3 2" xfId="18030" xr:uid="{C28AEDC6-7965-4FB7-B0D8-88E2ECAA28CF}"/>
    <cellStyle name="Normal 7 8 2 5 4" xfId="10483" xr:uid="{A3AF72E2-FBA7-47F0-B7EC-992385FAF200}"/>
    <cellStyle name="Normal 7 8 2 5 4 2" xfId="20863" xr:uid="{CAAB38BC-F8F5-4C05-A3B4-F1F3DAE5FC85}"/>
    <cellStyle name="Normal 7 8 2 5 5" xfId="23630" xr:uid="{91EAADE9-98CE-48E2-9C65-3474F363B367}"/>
    <cellStyle name="Normal 7 8 2 5 6" xfId="12913" xr:uid="{D53D1181-2B21-4600-962D-26238A4D91B1}"/>
    <cellStyle name="Normal 7 8 2 6" xfId="2418" xr:uid="{00000000-0005-0000-0000-00004D090000}"/>
    <cellStyle name="Normal 7 8 2 6 2" xfId="7545" xr:uid="{4BBDB844-567D-4F2C-918E-588DED154556}"/>
    <cellStyle name="Normal 7 8 2 6 2 2" xfId="17925" xr:uid="{1E5AD033-D5DB-41D3-AC15-3E4616AAABCD}"/>
    <cellStyle name="Normal 7 8 2 6 3" xfId="10378" xr:uid="{A80789FB-8635-4088-8FB8-1F154118F636}"/>
    <cellStyle name="Normal 7 8 2 6 3 2" xfId="20758" xr:uid="{F3D022AC-844C-4D9A-BCC4-9E246CB032AA}"/>
    <cellStyle name="Normal 7 8 2 6 4" xfId="22927" xr:uid="{72711CE9-B1EE-440C-B2C6-02F2ADAE74D3}"/>
    <cellStyle name="Normal 7 8 2 6 5" xfId="15092" xr:uid="{59E52D30-B7AF-4FE1-9D2D-00F8595557E6}"/>
    <cellStyle name="Normal 7 8 2 7" xfId="4111" xr:uid="{A481A10B-6E2C-4D73-8310-D857334E757C}"/>
    <cellStyle name="Normal 7 8 2 7 2" xfId="8883" xr:uid="{9F4FE084-34DE-42B7-880E-5C144E9AF5DE}"/>
    <cellStyle name="Normal 7 8 2 7 2 2" xfId="19263" xr:uid="{1594C506-60B3-4F43-BDCD-E05CFA137F95}"/>
    <cellStyle name="Normal 7 8 2 7 3" xfId="11716" xr:uid="{221CF922-AADE-46AC-8510-BF7EF408F268}"/>
    <cellStyle name="Normal 7 8 2 7 3 2" xfId="22096" xr:uid="{754F14C5-F2C0-4DC5-9C13-87EB84D1F0E1}"/>
    <cellStyle name="Normal 7 8 2 7 4" xfId="16430" xr:uid="{BBA87A2A-AE38-4409-81BF-80B51726EA15}"/>
    <cellStyle name="Normal 7 8 2 8" xfId="5519" xr:uid="{262D6E35-57B3-4303-BEF9-07EB06D78BCE}"/>
    <cellStyle name="Normal 7 8 2 8 2" xfId="14815" xr:uid="{BD40D288-C787-445D-8DD7-A64D12806929}"/>
    <cellStyle name="Normal 7 8 2 9" xfId="7268" xr:uid="{3AD3D8CB-D44E-45C6-BA13-F38440D6FD94}"/>
    <cellStyle name="Normal 7 8 2 9 2" xfId="17648" xr:uid="{5393AD59-4FE1-414E-AEA6-1176CD8E42A3}"/>
    <cellStyle name="Normal 7 8 3" xfId="1524" xr:uid="{00000000-0005-0000-0000-0000CD070000}"/>
    <cellStyle name="Normal 7 8 3 10" xfId="24306" xr:uid="{8C96402B-7A63-440D-9D79-E19639779125}"/>
    <cellStyle name="Normal 7 8 3 11" xfId="12810" xr:uid="{DB3E63EC-B741-4DAA-97A4-C7A717BB0536}"/>
    <cellStyle name="Normal 7 8 3 2" xfId="2854" xr:uid="{00000000-0005-0000-0000-000054090000}"/>
    <cellStyle name="Normal 7 8 3 2 2" xfId="3516" xr:uid="{00000000-0005-0000-0000-000055090000}"/>
    <cellStyle name="Normal 7 8 3 2 2 2" xfId="6568" xr:uid="{5F679275-388E-4DF5-A8C1-F368856D0BE9}"/>
    <cellStyle name="Normal 7 8 3 2 2 2 2" xfId="27418" xr:uid="{EA4A2A04-CA1C-4799-8E31-F36759F6D1EB}"/>
    <cellStyle name="Normal 7 8 3 2 2 2 3" xfId="16141" xr:uid="{AE97444A-3633-4376-9F42-1EF7704EE280}"/>
    <cellStyle name="Normal 7 8 3 2 2 3" xfId="8594" xr:uid="{D94C4494-9D51-476C-B06F-86FD219070DF}"/>
    <cellStyle name="Normal 7 8 3 2 2 3 2" xfId="18974" xr:uid="{86417FD9-8B80-42FD-8C16-BECDA3492506}"/>
    <cellStyle name="Normal 7 8 3 2 2 4" xfId="11427" xr:uid="{F321C522-BC0B-4F7F-9F94-B7DD28CE0DAA}"/>
    <cellStyle name="Normal 7 8 3 2 2 4 2" xfId="21807" xr:uid="{0491B24F-58A0-4377-91A8-0057DE8B8BA6}"/>
    <cellStyle name="Normal 7 8 3 2 2 5" xfId="23669" xr:uid="{4A3BB38C-4BD3-4D97-A6F2-6AF8C60051A1}"/>
    <cellStyle name="Normal 7 8 3 2 2 6" xfId="14114" xr:uid="{262A541D-2908-49D0-AE47-9CFEB11EA45E}"/>
    <cellStyle name="Normal 7 8 3 2 3" xfId="4385" xr:uid="{447CA688-1CB5-4488-9688-F0FC39F457E7}"/>
    <cellStyle name="Normal 7 8 3 2 3 2" xfId="9157" xr:uid="{9472ADC6-5FA7-43C5-8E8A-FC179E3C965A}"/>
    <cellStyle name="Normal 7 8 3 2 3 2 2" xfId="29200" xr:uid="{29046802-CC24-4D7A-97D1-C3E5B361E82A}"/>
    <cellStyle name="Normal 7 8 3 2 3 2 3" xfId="19537" xr:uid="{78C00EF1-E993-453F-A9DF-3151A693D284}"/>
    <cellStyle name="Normal 7 8 3 2 3 3" xfId="11990" xr:uid="{F27D3773-2AA8-43BA-B778-7D928EBDAE17}"/>
    <cellStyle name="Normal 7 8 3 2 3 3 2" xfId="22370" xr:uid="{39E55BE9-DC07-48E4-938A-830D20F99EC9}"/>
    <cellStyle name="Normal 7 8 3 2 3 4" xfId="25251" xr:uid="{72DB413B-53DF-4302-A428-E119E4495B88}"/>
    <cellStyle name="Normal 7 8 3 2 3 5" xfId="16704" xr:uid="{F6B356A3-9255-4D6C-9E61-6390C91C9D69}"/>
    <cellStyle name="Normal 7 8 3 2 4" xfId="6067" xr:uid="{F968D605-7D64-40BF-8CCB-FB2DAB6C391A}"/>
    <cellStyle name="Normal 7 8 3 2 4 2" xfId="26985" xr:uid="{01D9B581-A7A8-4BAB-A7E1-FCE3D2974942}"/>
    <cellStyle name="Normal 7 8 3 2 4 3" xfId="15523" xr:uid="{42C00365-0F2D-4BAB-842E-0E709346EBA4}"/>
    <cellStyle name="Normal 7 8 3 2 5" xfId="7976" xr:uid="{95BC407F-F74C-4E3D-9938-50C2F949768F}"/>
    <cellStyle name="Normal 7 8 3 2 5 2" xfId="18356" xr:uid="{DCE5B817-D74A-4CD3-8147-595558D089EF}"/>
    <cellStyle name="Normal 7 8 3 2 6" xfId="10809" xr:uid="{B8C225DB-6078-4482-AA5C-1C70A3895AF3}"/>
    <cellStyle name="Normal 7 8 3 2 6 2" xfId="21189" xr:uid="{7A6018B2-F374-4CED-9AAA-90AC3E99C4C4}"/>
    <cellStyle name="Normal 7 8 3 2 7" xfId="24730" xr:uid="{3DEB3E29-5202-498B-9D0F-C835644731F1}"/>
    <cellStyle name="Normal 7 8 3 2 8" xfId="13340" xr:uid="{45B8B451-7B5F-44E6-A86D-77E56F8D188B}"/>
    <cellStyle name="Normal 7 8 3 3" xfId="3517" xr:uid="{00000000-0005-0000-0000-000056090000}"/>
    <cellStyle name="Normal 7 8 3 3 2" xfId="4616" xr:uid="{545C96D4-53A4-49FE-9E61-2C15736C90CB}"/>
    <cellStyle name="Normal 7 8 3 3 2 2" xfId="9388" xr:uid="{79A5723C-07FD-4F6D-8631-A40327F1065A}"/>
    <cellStyle name="Normal 7 8 3 3 2 2 2" xfId="29354" xr:uid="{FA4ED228-F7FE-4F02-BF64-E3A775127185}"/>
    <cellStyle name="Normal 7 8 3 3 2 2 3" xfId="19768" xr:uid="{7A33493D-C470-49B0-B617-A56BDBDEA11A}"/>
    <cellStyle name="Normal 7 8 3 3 2 3" xfId="12221" xr:uid="{B4894758-74D8-4921-A4D7-B66873D171CA}"/>
    <cellStyle name="Normal 7 8 3 3 2 3 2" xfId="22601" xr:uid="{6B41FE89-1689-48EF-BE8F-8A3D18258DE4}"/>
    <cellStyle name="Normal 7 8 3 3 2 4" xfId="25784" xr:uid="{4A8C765C-CE60-4E05-BCBA-80F518920950}"/>
    <cellStyle name="Normal 7 8 3 3 2 5" xfId="16935" xr:uid="{EBEF5521-10CD-46EA-A47F-0CA96F92D68D}"/>
    <cellStyle name="Normal 7 8 3 3 3" xfId="6569" xr:uid="{8E31F363-C67B-425F-A763-46AC5E51AADC}"/>
    <cellStyle name="Normal 7 8 3 3 3 2" xfId="28445" xr:uid="{24FD860C-ACFE-4DA1-8D63-3D4E4A5ACE6D}"/>
    <cellStyle name="Normal 7 8 3 3 3 3" xfId="16142" xr:uid="{D01109C0-C637-4BA0-BF8C-67A36E087A4C}"/>
    <cellStyle name="Normal 7 8 3 3 4" xfId="8595" xr:uid="{21B59F37-7245-4146-91DC-8214B393B363}"/>
    <cellStyle name="Normal 7 8 3 3 4 2" xfId="18975" xr:uid="{D4EF6D4B-8CA2-4100-B044-8B08F70C3AA3}"/>
    <cellStyle name="Normal 7 8 3 3 5" xfId="11428" xr:uid="{6BA334D7-A339-4E1C-A101-90B4533033C5}"/>
    <cellStyle name="Normal 7 8 3 3 5 2" xfId="21808" xr:uid="{B14DC5FE-3B6E-4953-8326-7B0E87E8BE07}"/>
    <cellStyle name="Normal 7 8 3 3 6" xfId="25436" xr:uid="{F714C0B9-5AF8-4523-95D8-0AF3A974EF37}"/>
    <cellStyle name="Normal 7 8 3 3 7" xfId="14115" xr:uid="{571135B5-1290-4B03-B84F-33EE4686B6E3}"/>
    <cellStyle name="Normal 7 8 3 4" xfId="3515" xr:uid="{00000000-0005-0000-0000-000057090000}"/>
    <cellStyle name="Normal 7 8 3 4 2" xfId="6567" xr:uid="{0A120DE1-A606-42C0-B188-7FF0CEB52057}"/>
    <cellStyle name="Normal 7 8 3 4 2 2" xfId="27834" xr:uid="{CB827B41-6E34-4485-ADF1-2424F31EE4F3}"/>
    <cellStyle name="Normal 7 8 3 4 2 3" xfId="16140" xr:uid="{87A7B19C-47C8-4535-9ECA-16F61EDCFC87}"/>
    <cellStyle name="Normal 7 8 3 4 3" xfId="8593" xr:uid="{2AD1F471-9932-47D3-B35E-0B1E1456D63B}"/>
    <cellStyle name="Normal 7 8 3 4 3 2" xfId="18973" xr:uid="{17DBC5E4-D4A5-4CBF-9C48-6D8177A2F7FD}"/>
    <cellStyle name="Normal 7 8 3 4 4" xfId="11426" xr:uid="{A5A26F8D-83E1-4ED5-B907-64DBEFD8ECEC}"/>
    <cellStyle name="Normal 7 8 3 4 4 2" xfId="21806" xr:uid="{2B10B68B-EEA4-4EF7-9927-FB2122CB3644}"/>
    <cellStyle name="Normal 7 8 3 4 5" xfId="23154" xr:uid="{96A3161C-7C39-4EF4-9CBE-677777A6DA38}"/>
    <cellStyle name="Normal 7 8 3 4 6" xfId="14113" xr:uid="{F3F77F57-0BEA-4D8A-864B-0CCC9678FEBF}"/>
    <cellStyle name="Normal 7 8 3 5" xfId="2628" xr:uid="{00000000-0005-0000-0000-000058090000}"/>
    <cellStyle name="Normal 7 8 3 5 2" xfId="5890" xr:uid="{10DE449B-772F-403E-B53E-8F527E3E956C}"/>
    <cellStyle name="Normal 7 8 3 5 2 2" xfId="27199" xr:uid="{6AC8801F-B639-4F85-919C-F455858033E1}"/>
    <cellStyle name="Normal 7 8 3 5 2 3" xfId="15300" xr:uid="{6EB7D2AB-226F-4261-B766-566EE5A8D4DE}"/>
    <cellStyle name="Normal 7 8 3 5 3" xfId="7753" xr:uid="{B4427FDC-18D8-4BF0-9AA9-3DCBE6FB5CB6}"/>
    <cellStyle name="Normal 7 8 3 5 3 2" xfId="18133" xr:uid="{E05F336D-BAC6-4831-9BD5-5EF0C803FCAF}"/>
    <cellStyle name="Normal 7 8 3 5 4" xfId="10586" xr:uid="{E35B07AF-51EB-49EB-8D64-5176635FF471}"/>
    <cellStyle name="Normal 7 8 3 5 4 2" xfId="20966" xr:uid="{D9107844-D4B9-4D7C-BB1D-5797A487AD57}"/>
    <cellStyle name="Normal 7 8 3 5 5" xfId="23743" xr:uid="{9BF79791-BE4B-4383-B162-A69EE8B513CC}"/>
    <cellStyle name="Normal 7 8 3 5 6" xfId="13016" xr:uid="{ED86C5AD-79C9-48EC-B39F-81359DA56D05}"/>
    <cellStyle name="Normal 7 8 3 6" xfId="4233" xr:uid="{59BA6427-845F-4501-AB9A-91D75CDD42EA}"/>
    <cellStyle name="Normal 7 8 3 6 2" xfId="9005" xr:uid="{D698A893-5EAB-4217-B9C3-E2C0C41057C9}"/>
    <cellStyle name="Normal 7 8 3 6 2 2" xfId="19385" xr:uid="{0F0FA002-57F2-45EE-83D3-ECFD5AF5B1AF}"/>
    <cellStyle name="Normal 7 8 3 6 3" xfId="11838" xr:uid="{5F2CCC17-7C1C-4996-8E38-7FCD9236367C}"/>
    <cellStyle name="Normal 7 8 3 6 3 2" xfId="22218" xr:uid="{E03DF7B2-2269-4CD3-9101-3E3AA292BE16}"/>
    <cellStyle name="Normal 7 8 3 6 4" xfId="24182" xr:uid="{B644EC93-CDF4-401E-82A2-1272E92688F2}"/>
    <cellStyle name="Normal 7 8 3 6 5" xfId="16552" xr:uid="{26DEA9EB-1A5A-4FBB-9ADB-0ADCAAD6F035}"/>
    <cellStyle name="Normal 7 8 3 7" xfId="5521" xr:uid="{1255BA54-6F4F-4228-B965-919623B1C04F}"/>
    <cellStyle name="Normal 7 8 3 7 2" xfId="14817" xr:uid="{B74EE7AC-B2ED-4026-9452-F278D7571678}"/>
    <cellStyle name="Normal 7 8 3 8" xfId="7270" xr:uid="{9E615E01-71BB-4B3F-9E38-5297BC321302}"/>
    <cellStyle name="Normal 7 8 3 8 2" xfId="17650" xr:uid="{98EB6D51-3516-4C0D-AD2E-2AD1BC33568F}"/>
    <cellStyle name="Normal 7 8 3 9" xfId="10103" xr:uid="{A57FA0DA-9FD7-4CA6-9CB7-82C9D1601774}"/>
    <cellStyle name="Normal 7 8 3 9 2" xfId="20483" xr:uid="{0A58600F-6701-41B4-8111-EC37D917DB22}"/>
    <cellStyle name="Normal 7 8 4" xfId="1525" xr:uid="{00000000-0005-0000-0000-0000CE070000}"/>
    <cellStyle name="Normal 7 8 4 2" xfId="3518" xr:uid="{00000000-0005-0000-0000-00005A090000}"/>
    <cellStyle name="Normal 7 8 4 2 2" xfId="6570" xr:uid="{2D3B1732-C0C4-4184-9529-9D3397680CCF}"/>
    <cellStyle name="Normal 7 8 4 2 2 2" xfId="26341" xr:uid="{18BA798C-1CAB-4154-8A00-6F8B20C7677C}"/>
    <cellStyle name="Normal 7 8 4 2 2 3" xfId="16143" xr:uid="{2EC925BB-FC79-43F7-9189-F3E0AEB2AAC6}"/>
    <cellStyle name="Normal 7 8 4 2 3" xfId="8596" xr:uid="{E889EDAF-AC51-4E64-B90A-68E56389DFF1}"/>
    <cellStyle name="Normal 7 8 4 2 3 2" xfId="18976" xr:uid="{CF1ED609-EDFD-4B74-BCFC-93DB78C9BEE4}"/>
    <cellStyle name="Normal 7 8 4 2 4" xfId="11429" xr:uid="{C14DD82C-EB00-41EA-81C7-986D104E753A}"/>
    <cellStyle name="Normal 7 8 4 2 4 2" xfId="21809" xr:uid="{28EDE53E-4E23-4C8E-803B-8CF54ADE71C3}"/>
    <cellStyle name="Normal 7 8 4 2 5" xfId="23870" xr:uid="{DAF8F0C6-D633-4834-AF21-6EB4864E869F}"/>
    <cellStyle name="Normal 7 8 4 2 6" xfId="14116" xr:uid="{FC4B95CA-7630-4D5E-9F99-47E4DE000F79}"/>
    <cellStyle name="Normal 7 8 4 3" xfId="4383" xr:uid="{DDDC4B48-D8E9-4CFF-BC48-3733A2D9C0DB}"/>
    <cellStyle name="Normal 7 8 4 3 2" xfId="9155" xr:uid="{88E149B4-AEE7-4B2B-8FC2-3B3D63800B72}"/>
    <cellStyle name="Normal 7 8 4 3 2 2" xfId="29198" xr:uid="{13EE9B69-83F2-4861-9BB9-B19C3E5A5F7A}"/>
    <cellStyle name="Normal 7 8 4 3 2 3" xfId="19535" xr:uid="{146A8993-573F-4BA9-938B-F93667F4DF6B}"/>
    <cellStyle name="Normal 7 8 4 3 3" xfId="11988" xr:uid="{D8F0375E-D6EF-4256-9453-2256BA4E9CE2}"/>
    <cellStyle name="Normal 7 8 4 3 3 2" xfId="22368" xr:uid="{7BB54D95-9672-4655-A145-127DD140A5F0}"/>
    <cellStyle name="Normal 7 8 4 3 4" xfId="25004" xr:uid="{97038F17-365A-4DF1-A989-2DB0119DA142}"/>
    <cellStyle name="Normal 7 8 4 3 5" xfId="16702" xr:uid="{15D63064-F809-4432-A947-3CD3660D0709}"/>
    <cellStyle name="Normal 7 8 4 4" xfId="5522" xr:uid="{12700FF1-E859-4A50-834D-53FEE56265D2}"/>
    <cellStyle name="Normal 7 8 4 4 2" xfId="27927" xr:uid="{7C539E13-FE66-4E42-80B7-588329FD1E86}"/>
    <cellStyle name="Normal 7 8 4 4 3" xfId="14818" xr:uid="{3BC6BBA6-D823-4391-BFF5-F62FFCA43906}"/>
    <cellStyle name="Normal 7 8 4 5" xfId="7271" xr:uid="{09E4D0D4-DD47-4C28-BA61-BC050682ED6E}"/>
    <cellStyle name="Normal 7 8 4 5 2" xfId="17651" xr:uid="{3B1BE631-D436-4B36-A9FC-9578B0B4D703}"/>
    <cellStyle name="Normal 7 8 4 6" xfId="10104" xr:uid="{6EC9376E-3E00-4354-AE8C-26D2158FBB93}"/>
    <cellStyle name="Normal 7 8 4 6 2" xfId="20484" xr:uid="{4470BBFB-6868-457E-AF5E-D56EEAF443BE}"/>
    <cellStyle name="Normal 7 8 4 7" xfId="24922" xr:uid="{5C022206-BF20-4DB4-ACFA-19E9DD733230}"/>
    <cellStyle name="Normal 7 8 4 8" xfId="13338" xr:uid="{C03A58B5-F03B-40CC-8671-B10B50CF5463}"/>
    <cellStyle name="Normal 7 8 5" xfId="3519" xr:uid="{00000000-0005-0000-0000-00005B090000}"/>
    <cellStyle name="Normal 7 8 5 2" xfId="4617" xr:uid="{6FE2DECE-CF5D-4EA3-B482-2923A49B0CAE}"/>
    <cellStyle name="Normal 7 8 5 2 2" xfId="9389" xr:uid="{EB7FA5EB-7F5C-4DD4-ACB2-AEAB0F7C18F4}"/>
    <cellStyle name="Normal 7 8 5 2 2 2" xfId="29355" xr:uid="{7E7B8F39-C9D1-4B60-9B39-DF7E143DCFA4}"/>
    <cellStyle name="Normal 7 8 5 2 2 3" xfId="19769" xr:uid="{B159F4FE-C009-45E2-A5B6-8C6524487467}"/>
    <cellStyle name="Normal 7 8 5 2 3" xfId="12222" xr:uid="{C7BAC334-97E7-456D-B63A-44008174535C}"/>
    <cellStyle name="Normal 7 8 5 2 3 2" xfId="22602" xr:uid="{33603211-998B-4CBE-AD4A-461612197449}"/>
    <cellStyle name="Normal 7 8 5 2 4" xfId="24638" xr:uid="{16505472-9B54-4E8E-A907-73F926F8CEBC}"/>
    <cellStyle name="Normal 7 8 5 2 5" xfId="16936" xr:uid="{F45452EC-FE44-479B-9E32-60AB2B62D4E2}"/>
    <cellStyle name="Normal 7 8 5 3" xfId="6571" xr:uid="{5C36BBD4-913A-4277-A9D3-4A7F6C8E6197}"/>
    <cellStyle name="Normal 7 8 5 3 2" xfId="28510" xr:uid="{56C0E03D-EDAC-4478-B152-E33DFB8842C2}"/>
    <cellStyle name="Normal 7 8 5 3 3" xfId="16144" xr:uid="{7CA00030-135D-4E3B-9825-4467B971B465}"/>
    <cellStyle name="Normal 7 8 5 4" xfId="8597" xr:uid="{3EF1D7D6-C217-49AF-9C72-2054E589F6B3}"/>
    <cellStyle name="Normal 7 8 5 4 2" xfId="18977" xr:uid="{72959006-9EC3-463A-9313-2524A79B09CD}"/>
    <cellStyle name="Normal 7 8 5 5" xfId="11430" xr:uid="{685EB8FE-A462-4983-B49D-13FB883C5612}"/>
    <cellStyle name="Normal 7 8 5 5 2" xfId="21810" xr:uid="{80E81E97-8C0A-4EBE-BAF1-B83D64823B71}"/>
    <cellStyle name="Normal 7 8 5 6" xfId="24439" xr:uid="{560FF643-4B9B-4EF0-A996-EBF2BE331482}"/>
    <cellStyle name="Normal 7 8 5 7" xfId="14117" xr:uid="{889DBCD3-4D9D-4D56-AED3-0D3D13B08F28}"/>
    <cellStyle name="Normal 7 8 6" xfId="3006" xr:uid="{00000000-0005-0000-0000-00005C090000}"/>
    <cellStyle name="Normal 7 8 6 2" xfId="6155" xr:uid="{ECB7BE2F-F1BF-4158-969C-F9ECBA07135F}"/>
    <cellStyle name="Normal 7 8 6 2 2" xfId="28652" xr:uid="{80419F36-A086-4067-833D-EBD603F8F0E4}"/>
    <cellStyle name="Normal 7 8 6 2 3" xfId="15633" xr:uid="{CF2628DF-893E-4F73-A427-DA1C36416A14}"/>
    <cellStyle name="Normal 7 8 6 3" xfId="8086" xr:uid="{9B558696-2698-4280-A3BA-786C8B9EB28D}"/>
    <cellStyle name="Normal 7 8 6 3 2" xfId="18466" xr:uid="{539FCDB9-9685-4A12-88FB-F7D5E54DEA17}"/>
    <cellStyle name="Normal 7 8 6 4" xfId="10919" xr:uid="{BBA3631A-F5B5-4D2E-BC5C-476E2AEBE074}"/>
    <cellStyle name="Normal 7 8 6 4 2" xfId="21299" xr:uid="{8243ADB7-0152-45E1-BCEC-7B4C35B31788}"/>
    <cellStyle name="Normal 7 8 6 5" xfId="23926" xr:uid="{5248020E-73F8-4BD7-B357-541AFA29F228}"/>
    <cellStyle name="Normal 7 8 6 6" xfId="13508" xr:uid="{8526138E-9324-496C-AED5-8C55EE1A18A0}"/>
    <cellStyle name="Normal 7 8 7" xfId="2465" xr:uid="{00000000-0005-0000-0000-00005D090000}"/>
    <cellStyle name="Normal 7 8 7 2" xfId="5756" xr:uid="{C11A75DA-8194-440B-9B8C-0D34AA248DDB}"/>
    <cellStyle name="Normal 7 8 7 2 2" xfId="26766" xr:uid="{807FB85F-D401-4E4D-B3E3-50260B76AA88}"/>
    <cellStyle name="Normal 7 8 7 2 3" xfId="15137" xr:uid="{74DEED31-889A-4695-836C-C5D98706DCF3}"/>
    <cellStyle name="Normal 7 8 7 3" xfId="7590" xr:uid="{542CD4D7-15E3-43F7-8EAA-FCF5E44DFBDF}"/>
    <cellStyle name="Normal 7 8 7 3 2" xfId="17970" xr:uid="{F90E9161-0A68-425A-8227-C2EF28C4EE8A}"/>
    <cellStyle name="Normal 7 8 7 4" xfId="10423" xr:uid="{EC31E704-79D0-40EA-8D9C-CD2D93D13E36}"/>
    <cellStyle name="Normal 7 8 7 4 2" xfId="20803" xr:uid="{9C889ABF-4886-479A-BA81-31468C2AB18D}"/>
    <cellStyle name="Normal 7 8 7 5" xfId="23211" xr:uid="{E84ED942-BD3F-4A1B-980D-B708E4354395}"/>
    <cellStyle name="Normal 7 8 7 6" xfId="12853" xr:uid="{FA02A863-7404-4A05-B219-E910A08E343C}"/>
    <cellStyle name="Normal 7 8 8" xfId="2219" xr:uid="{00000000-0005-0000-0000-00004C090000}"/>
    <cellStyle name="Normal 7 8 8 2" xfId="7346" xr:uid="{61DDE688-2A70-4F2A-B6EE-DE4DE9B40FD2}"/>
    <cellStyle name="Normal 7 8 8 2 2" xfId="17726" xr:uid="{F547AF6E-3139-4C19-B29C-9F548C32EF0D}"/>
    <cellStyle name="Normal 7 8 8 3" xfId="10179" xr:uid="{CF8ECEF6-1BD3-423E-8735-1B48A9AC7EBF}"/>
    <cellStyle name="Normal 7 8 8 3 2" xfId="20559" xr:uid="{760FCA6F-6B42-44AB-B086-38F9E5CE5D2F}"/>
    <cellStyle name="Normal 7 8 8 4" xfId="24356" xr:uid="{59B7BEB4-E380-44D7-965B-F4AE71DC9ECA}"/>
    <cellStyle name="Normal 7 8 8 5" xfId="14893" xr:uid="{4FAD8375-0A0D-4BB1-BDA6-9363022E60FB}"/>
    <cellStyle name="Normal 7 8 9" xfId="4091" xr:uid="{FEACF0C8-3B18-49F1-89D3-9F76FFBE9C2B}"/>
    <cellStyle name="Normal 7 8 9 2" xfId="8868" xr:uid="{044108D4-921D-454F-BC77-7FEBD8D9F1BE}"/>
    <cellStyle name="Normal 7 8 9 2 2" xfId="19248" xr:uid="{3963D2D1-7D47-4D3F-8EEF-DFA1EBBFAD56}"/>
    <cellStyle name="Normal 7 8 9 3" xfId="11701" xr:uid="{7CC49168-E851-4172-8B55-2E2123A2E074}"/>
    <cellStyle name="Normal 7 8 9 3 2" xfId="22081" xr:uid="{1F00B042-48FB-473F-BBE8-03A7A9D3718B}"/>
    <cellStyle name="Normal 7 8 9 4" xfId="16415" xr:uid="{9ECAB39F-081A-4BCF-91F5-E4AF0193581E}"/>
    <cellStyle name="Normal 7 9" xfId="1526" xr:uid="{00000000-0005-0000-0000-0000CF070000}"/>
    <cellStyle name="Normal 7 9 10" xfId="7272" xr:uid="{76B76404-D632-40A0-BB9A-59637784038A}"/>
    <cellStyle name="Normal 7 9 10 2" xfId="17652" xr:uid="{9FC1061D-EC27-4D99-933D-B09A5D9C7F27}"/>
    <cellStyle name="Normal 7 9 11" xfId="10105" xr:uid="{D870EB85-AD4D-4FEB-92BD-E2F68463C43F}"/>
    <cellStyle name="Normal 7 9 11 2" xfId="20485" xr:uid="{B025CEB8-359C-41A1-95E0-E003A49FD9C1}"/>
    <cellStyle name="Normal 7 9 12" xfId="24207" xr:uid="{69CE26CE-3A4C-454E-8F2D-CB9244761167}"/>
    <cellStyle name="Normal 7 9 13" xfId="12434" xr:uid="{AC04919D-675B-4B08-8270-6BD19B73D1B5}"/>
    <cellStyle name="Normal 7 9 2" xfId="1527" xr:uid="{00000000-0005-0000-0000-0000D0070000}"/>
    <cellStyle name="Normal 7 9 2 10" xfId="10106" xr:uid="{E8C46142-E8B2-4D5F-8EE2-1212BE095953}"/>
    <cellStyle name="Normal 7 9 2 10 2" xfId="20486" xr:uid="{3961B3AA-27FD-4F2D-81A3-D6F4042000D3}"/>
    <cellStyle name="Normal 7 9 2 11" xfId="24031" xr:uid="{47681A00-42C3-4ED8-88C1-F08154E55A54}"/>
    <cellStyle name="Normal 7 9 2 12" xfId="12653" xr:uid="{8C56996B-E01D-467A-82C7-7D82C4130E86}"/>
    <cellStyle name="Normal 7 9 2 2" xfId="1528" xr:uid="{00000000-0005-0000-0000-0000D1070000}"/>
    <cellStyle name="Normal 7 9 2 2 2" xfId="3521" xr:uid="{00000000-0005-0000-0000-000061090000}"/>
    <cellStyle name="Normal 7 9 2 2 2 2" xfId="6573" xr:uid="{08851B5F-A0C6-4173-92C6-3E7000C8619F}"/>
    <cellStyle name="Normal 7 9 2 2 2 2 2" xfId="27105" xr:uid="{CEE07C7C-3E03-42D2-943B-38879DADD3F3}"/>
    <cellStyle name="Normal 7 9 2 2 2 2 3" xfId="26806" xr:uid="{D5E4D8DD-3FA5-4219-8507-710DA5DB159F}"/>
    <cellStyle name="Normal 7 9 2 2 2 2 4" xfId="16146" xr:uid="{F0204F73-FBE0-4809-A492-AAEF4FFB1D37}"/>
    <cellStyle name="Normal 7 9 2 2 2 3" xfId="8599" xr:uid="{89A1D3EC-64C2-4849-B353-0D2924A8D8FC}"/>
    <cellStyle name="Normal 7 9 2 2 2 3 2" xfId="28957" xr:uid="{5F917D48-4F1B-4B93-A25D-AD1D9110EBB6}"/>
    <cellStyle name="Normal 7 9 2 2 2 3 3" xfId="18979" xr:uid="{5F01B0CE-0AEF-40AE-8AF6-6394A42860FE}"/>
    <cellStyle name="Normal 7 9 2 2 2 4" xfId="11432" xr:uid="{5B92965B-4502-425D-8343-5002168817EF}"/>
    <cellStyle name="Normal 7 9 2 2 2 4 2" xfId="21812" xr:uid="{EC4382FD-FB15-4D27-8555-27EFDA1B470C}"/>
    <cellStyle name="Normal 7 9 2 2 2 5" xfId="25293" xr:uid="{99CC8E3D-D4B8-4B8A-BCE4-EDCA6176E377}"/>
    <cellStyle name="Normal 7 9 2 2 2 6" xfId="14119" xr:uid="{57595528-7EB4-4445-8F59-1E354DAFFCE0}"/>
    <cellStyle name="Normal 7 9 2 2 3" xfId="4386" xr:uid="{EB528A48-2B64-4BDC-8BAB-0FE57D1C1D8E}"/>
    <cellStyle name="Normal 7 9 2 2 3 2" xfId="9158" xr:uid="{E8D964A0-F164-4946-80DB-AB8D069D5C9F}"/>
    <cellStyle name="Normal 7 9 2 2 3 2 2" xfId="29201" xr:uid="{D58B8F9A-5BDF-468E-8C95-FE715D3C18B6}"/>
    <cellStyle name="Normal 7 9 2 2 3 2 3" xfId="19538" xr:uid="{C3ACBE5E-39B4-4333-B2B5-F5429CC797E6}"/>
    <cellStyle name="Normal 7 9 2 2 3 3" xfId="11991" xr:uid="{0D94B800-EF91-4226-824B-57DB58AA52C0}"/>
    <cellStyle name="Normal 7 9 2 2 3 3 2" xfId="22371" xr:uid="{A565410B-6B4B-47B2-A417-B3C674410799}"/>
    <cellStyle name="Normal 7 9 2 2 3 4" xfId="25317" xr:uid="{EA531831-9B22-4B41-ACD8-704165E0FA10}"/>
    <cellStyle name="Normal 7 9 2 2 3 5" xfId="16705" xr:uid="{9C4EFBA3-6C6E-49BD-AC85-870512FC7371}"/>
    <cellStyle name="Normal 7 9 2 2 4" xfId="5525" xr:uid="{18BC8DA5-668A-4E08-B837-D6E5D5825294}"/>
    <cellStyle name="Normal 7 9 2 2 4 2" xfId="28167" xr:uid="{389B0291-07E3-4E2E-9500-1F54470578F6}"/>
    <cellStyle name="Normal 7 9 2 2 4 3" xfId="14821" xr:uid="{4A15D896-DA51-48D9-8AAD-A328E02E30F3}"/>
    <cellStyle name="Normal 7 9 2 2 5" xfId="7274" xr:uid="{02FE9ED2-AE5C-4F82-AC53-CE84C785F709}"/>
    <cellStyle name="Normal 7 9 2 2 5 2" xfId="17654" xr:uid="{E1DCDE85-C82F-40FA-9E8E-32D8F09DF505}"/>
    <cellStyle name="Normal 7 9 2 2 6" xfId="10107" xr:uid="{9A763DA3-65C7-470B-B90A-0B57D73D284E}"/>
    <cellStyle name="Normal 7 9 2 2 6 2" xfId="20487" xr:uid="{491B9786-B64D-46A4-9AB6-CF8D6286570A}"/>
    <cellStyle name="Normal 7 9 2 2 7" xfId="25342" xr:uid="{E73C036E-A05A-4DA2-9D76-D70653EB3182}"/>
    <cellStyle name="Normal 7 9 2 2 8" xfId="13342" xr:uid="{E35BAE62-FA84-42DC-B6E0-509D12519BE2}"/>
    <cellStyle name="Normal 7 9 2 3" xfId="3522" xr:uid="{00000000-0005-0000-0000-000062090000}"/>
    <cellStyle name="Normal 7 9 2 3 2" xfId="4618" xr:uid="{3CBC5E3B-62D7-4DB8-815F-3B4712A8F13D}"/>
    <cellStyle name="Normal 7 9 2 3 2 2" xfId="9390" xr:uid="{7AABAB45-D7FE-46BE-9046-290BB631FB24}"/>
    <cellStyle name="Normal 7 9 2 3 2 2 2" xfId="29356" xr:uid="{324F7A9F-FE78-4615-8C4D-FF47E462CCC9}"/>
    <cellStyle name="Normal 7 9 2 3 2 2 3" xfId="19770" xr:uid="{F5587A6F-B2B0-4149-839D-414E408BA8D0}"/>
    <cellStyle name="Normal 7 9 2 3 2 3" xfId="12223" xr:uid="{B475D31E-70F6-438B-8C9E-ECB57843A29A}"/>
    <cellStyle name="Normal 7 9 2 3 2 3 2" xfId="22603" xr:uid="{BADAC9A4-43D9-4F92-BD81-0DADED5F81E3}"/>
    <cellStyle name="Normal 7 9 2 3 2 4" xfId="22801" xr:uid="{FCC204BA-D332-4134-B6DB-AEF25B42614C}"/>
    <cellStyle name="Normal 7 9 2 3 2 5" xfId="16937" xr:uid="{CCB1FEA2-2B68-4F1C-9FD9-C4B2B1D7B967}"/>
    <cellStyle name="Normal 7 9 2 3 3" xfId="6574" xr:uid="{71E69CFC-40E7-4104-BFBA-4DBE33C2F82D}"/>
    <cellStyle name="Normal 7 9 2 3 3 2" xfId="26624" xr:uid="{F58E0E78-8ECE-42E0-96CB-0D7D2E1A5464}"/>
    <cellStyle name="Normal 7 9 2 3 3 3" xfId="16147" xr:uid="{8D530DF0-F5EF-41BD-A2D4-B3FC36911876}"/>
    <cellStyle name="Normal 7 9 2 3 4" xfId="8600" xr:uid="{CDA5547D-2F80-4A49-B0B1-AB2FA1B1084B}"/>
    <cellStyle name="Normal 7 9 2 3 4 2" xfId="18980" xr:uid="{2236DDA7-9D03-4C60-B54C-5924CE083B3C}"/>
    <cellStyle name="Normal 7 9 2 3 5" xfId="11433" xr:uid="{9791950E-AE78-4758-9E42-C1AECEDCC64D}"/>
    <cellStyle name="Normal 7 9 2 3 5 2" xfId="21813" xr:uid="{83B9B04D-4243-406B-ABFC-78F92A017694}"/>
    <cellStyle name="Normal 7 9 2 3 6" xfId="23914" xr:uid="{E58699ED-2530-462B-88C0-F1DA833FB6D3}"/>
    <cellStyle name="Normal 7 9 2 3 7" xfId="14120" xr:uid="{2D4AAA1A-2B8B-40C1-9A1E-00B7BC6FC7D8}"/>
    <cellStyle name="Normal 7 9 2 4" xfId="3520" xr:uid="{00000000-0005-0000-0000-000063090000}"/>
    <cellStyle name="Normal 7 9 2 4 2" xfId="6572" xr:uid="{0678E052-A05D-47FC-9CF2-7856977E5B03}"/>
    <cellStyle name="Normal 7 9 2 4 2 2" xfId="27945" xr:uid="{3A9EC0DA-80EC-450F-9518-A60478D3153D}"/>
    <cellStyle name="Normal 7 9 2 4 2 3" xfId="16145" xr:uid="{35D206DD-1A1E-4F56-BB7A-53C0916F54B3}"/>
    <cellStyle name="Normal 7 9 2 4 3" xfId="8598" xr:uid="{CDC1C0DC-7ED4-43F3-A6D6-B09549999CB6}"/>
    <cellStyle name="Normal 7 9 2 4 3 2" xfId="18978" xr:uid="{CC7E147F-2D79-4243-B86F-0A56D99A4F7D}"/>
    <cellStyle name="Normal 7 9 2 4 4" xfId="11431" xr:uid="{780E7390-0FB8-4182-9798-6692B3F5C71A}"/>
    <cellStyle name="Normal 7 9 2 4 4 2" xfId="21811" xr:uid="{B7712B30-F3F0-4E71-95FB-C62553CC3BDF}"/>
    <cellStyle name="Normal 7 9 2 4 5" xfId="24357" xr:uid="{8A7F2BD6-0CA8-4A18-9356-1337DE2860AA}"/>
    <cellStyle name="Normal 7 9 2 4 6" xfId="14118" xr:uid="{0AE5AA18-0D24-4CE0-A9B1-8E4BFA177CD5}"/>
    <cellStyle name="Normal 7 9 2 5" xfId="2611" xr:uid="{00000000-0005-0000-0000-000064090000}"/>
    <cellStyle name="Normal 7 9 2 5 2" xfId="5875" xr:uid="{02EC3617-103E-479F-BD91-557718149D0F}"/>
    <cellStyle name="Normal 7 9 2 5 2 2" xfId="27174" xr:uid="{B13239FD-9AD8-4D87-BD9B-30459B012047}"/>
    <cellStyle name="Normal 7 9 2 5 2 3" xfId="15283" xr:uid="{525DCEDE-148E-4FA1-9F80-FA1DD04D1FD9}"/>
    <cellStyle name="Normal 7 9 2 5 3" xfId="7736" xr:uid="{205D57FB-2FDB-4E35-995D-6CAC7E85399C}"/>
    <cellStyle name="Normal 7 9 2 5 3 2" xfId="18116" xr:uid="{5EB5B4F1-ADC4-4B88-A39E-84C73F0E9D54}"/>
    <cellStyle name="Normal 7 9 2 5 4" xfId="10569" xr:uid="{4D04A9D9-B538-4A30-9770-CDF7E0117AE7}"/>
    <cellStyle name="Normal 7 9 2 5 4 2" xfId="20949" xr:uid="{18912B82-CF5D-4537-98C1-8DAAB5D0F50B}"/>
    <cellStyle name="Normal 7 9 2 5 5" xfId="24968" xr:uid="{2F0DDD04-8A76-43E6-BA13-A08E98458436}"/>
    <cellStyle name="Normal 7 9 2 5 6" xfId="12999" xr:uid="{C487D90F-46AF-4631-AB02-F6BE425059FA}"/>
    <cellStyle name="Normal 7 9 2 6" xfId="2419" xr:uid="{00000000-0005-0000-0000-00005F090000}"/>
    <cellStyle name="Normal 7 9 2 6 2" xfId="7546" xr:uid="{F30F222B-9441-437C-A6E0-AB2324CAF431}"/>
    <cellStyle name="Normal 7 9 2 6 2 2" xfId="17926" xr:uid="{D512FE79-C220-4CDE-BC43-6B9FBDDEB87F}"/>
    <cellStyle name="Normal 7 9 2 6 3" xfId="10379" xr:uid="{D89C89ED-B3E0-4384-BC77-325D7C4FD9B0}"/>
    <cellStyle name="Normal 7 9 2 6 3 2" xfId="20759" xr:uid="{2474CED3-A43B-4BE4-8430-346C113529AC}"/>
    <cellStyle name="Normal 7 9 2 6 4" xfId="24961" xr:uid="{550406FD-A150-47E6-9976-E76297CE33A1}"/>
    <cellStyle name="Normal 7 9 2 6 5" xfId="15093" xr:uid="{C83A44F1-13EB-40E5-8915-4667757BAC52}"/>
    <cellStyle name="Normal 7 9 2 7" xfId="4112" xr:uid="{36B8797F-B026-4C66-AFCC-B9C1561C0C3E}"/>
    <cellStyle name="Normal 7 9 2 7 2" xfId="8884" xr:uid="{43CDC3D9-BA1E-48A2-A621-662AA63CF995}"/>
    <cellStyle name="Normal 7 9 2 7 2 2" xfId="19264" xr:uid="{E3962313-9FA7-4DD6-996F-E16BB0636A3E}"/>
    <cellStyle name="Normal 7 9 2 7 3" xfId="11717" xr:uid="{4161F892-B5CC-433F-905F-6E4810BBB2DC}"/>
    <cellStyle name="Normal 7 9 2 7 3 2" xfId="22097" xr:uid="{90F7AEA4-E403-4901-A36D-A8A0F46E7D5C}"/>
    <cellStyle name="Normal 7 9 2 7 4" xfId="16431" xr:uid="{E259559B-E094-468A-B09B-CD3885E79875}"/>
    <cellStyle name="Normal 7 9 2 8" xfId="5524" xr:uid="{98E0A974-EB5B-4BF5-B155-2665B9E0977B}"/>
    <cellStyle name="Normal 7 9 2 8 2" xfId="14820" xr:uid="{6E89D7F4-0805-46B7-9E60-9A344E5140B1}"/>
    <cellStyle name="Normal 7 9 2 9" xfId="7273" xr:uid="{D2DBE619-47FE-4865-9554-1EE6952CBB47}"/>
    <cellStyle name="Normal 7 9 2 9 2" xfId="17653" xr:uid="{F78EBC94-14F7-4DF1-8ADE-C5E769662C9F}"/>
    <cellStyle name="Normal 7 9 3" xfId="1529" xr:uid="{00000000-0005-0000-0000-0000D2070000}"/>
    <cellStyle name="Normal 7 9 3 2" xfId="3523" xr:uid="{00000000-0005-0000-0000-000066090000}"/>
    <cellStyle name="Normal 7 9 3 2 2" xfId="6575" xr:uid="{9F0A2FA7-3928-4EB9-A863-E47676CD7690}"/>
    <cellStyle name="Normal 7 9 3 2 2 2" xfId="25687" xr:uid="{7C940A72-1C14-4D0A-B528-F3F82AED5172}"/>
    <cellStyle name="Normal 7 9 3 2 2 3" xfId="26416" xr:uid="{0CC7C559-802F-4B94-AA77-4C0A16656359}"/>
    <cellStyle name="Normal 7 9 3 2 2 4" xfId="16148" xr:uid="{49D0CC1E-D9B2-48D9-8085-08641E1A7354}"/>
    <cellStyle name="Normal 7 9 3 2 3" xfId="8601" xr:uid="{5D1E7105-FCF4-4747-80CD-AAF0B5E4D8EC}"/>
    <cellStyle name="Normal 7 9 3 2 3 2" xfId="28958" xr:uid="{32FBB707-5394-4C92-83F9-7C9EF9C45FD5}"/>
    <cellStyle name="Normal 7 9 3 2 3 3" xfId="18981" xr:uid="{E4638DAA-1718-4007-9964-207D65BA3D50}"/>
    <cellStyle name="Normal 7 9 3 2 4" xfId="11434" xr:uid="{8F06EF70-C52F-4EE6-A142-976E630723EC}"/>
    <cellStyle name="Normal 7 9 3 2 4 2" xfId="21814" xr:uid="{5E25D8AD-D880-4A1C-A626-6B9B0DB887FF}"/>
    <cellStyle name="Normal 7 9 3 2 5" xfId="24038" xr:uid="{B900FF44-0CD6-47EE-BE3E-92F621776826}"/>
    <cellStyle name="Normal 7 9 3 2 6" xfId="14121" xr:uid="{92C9E29A-A929-4803-9480-90B080FCCAA0}"/>
    <cellStyle name="Normal 7 9 3 3" xfId="2855" xr:uid="{00000000-0005-0000-0000-000067090000}"/>
    <cellStyle name="Normal 7 9 3 3 2" xfId="6068" xr:uid="{552C9DB8-F2FE-4DB7-87DD-2637543458B4}"/>
    <cellStyle name="Normal 7 9 3 3 2 2" xfId="27100" xr:uid="{C305AF17-1FC2-42EB-9385-6EB7FB692611}"/>
    <cellStyle name="Normal 7 9 3 3 2 3" xfId="15524" xr:uid="{00B05003-6DAD-46AB-8D7A-3081755121F7}"/>
    <cellStyle name="Normal 7 9 3 3 3" xfId="7977" xr:uid="{96CEEA5A-E54D-4FE3-8D32-B1F5FE07FF7E}"/>
    <cellStyle name="Normal 7 9 3 3 3 2" xfId="18357" xr:uid="{C2185AB7-E1D9-4136-A3D8-3FE27D6DAC9A}"/>
    <cellStyle name="Normal 7 9 3 3 4" xfId="10810" xr:uid="{56A3599A-7953-459B-A1A3-4A71B18D1E50}"/>
    <cellStyle name="Normal 7 9 3 3 4 2" xfId="21190" xr:uid="{04356900-E566-4A9B-AB64-9298087B8874}"/>
    <cellStyle name="Normal 7 9 3 3 5" xfId="22978" xr:uid="{80DE1E42-C673-47AD-B52E-CA9A21F5EB24}"/>
    <cellStyle name="Normal 7 9 3 3 6" xfId="13341" xr:uid="{2EBF2D73-5A9B-4896-A377-105375220801}"/>
    <cellStyle name="Normal 7 9 3 4" xfId="4234" xr:uid="{009F3A9E-D472-4C57-A8C3-6EC8071C48E8}"/>
    <cellStyle name="Normal 7 9 3 4 2" xfId="9006" xr:uid="{89A1C875-00DB-4A28-BCFE-966AC653E27C}"/>
    <cellStyle name="Normal 7 9 3 4 2 2" xfId="29079" xr:uid="{3407352C-E7D0-44FC-BE36-DC3434CC1F7E}"/>
    <cellStyle name="Normal 7 9 3 4 2 3" xfId="19386" xr:uid="{6A467CD1-AD66-4DE1-A7EC-FE546128C4B6}"/>
    <cellStyle name="Normal 7 9 3 4 3" xfId="11839" xr:uid="{94A68735-F083-4BB4-A6F2-891A9D3076A4}"/>
    <cellStyle name="Normal 7 9 3 4 3 2" xfId="22219" xr:uid="{DF5D69F8-067E-4B5B-9C60-25DFF1B221CF}"/>
    <cellStyle name="Normal 7 9 3 4 4" xfId="25302" xr:uid="{A333E4D4-8266-4CAC-9652-DF09A9050DE2}"/>
    <cellStyle name="Normal 7 9 3 4 5" xfId="16553" xr:uid="{BA17A702-172F-4B25-A816-765D2D3BF28F}"/>
    <cellStyle name="Normal 7 9 3 5" xfId="5526" xr:uid="{E23AF0C2-CA43-438E-8DB3-48A5553C1FFF}"/>
    <cellStyle name="Normal 7 9 3 5 2" xfId="26742" xr:uid="{9A010853-80A8-43CE-9504-53BB5BD6511A}"/>
    <cellStyle name="Normal 7 9 3 5 3" xfId="14822" xr:uid="{EBC047F0-F2C2-4A19-B843-85B9C3176CDD}"/>
    <cellStyle name="Normal 7 9 3 6" xfId="7275" xr:uid="{270FBFB5-488C-4813-B979-BE8050EF08E5}"/>
    <cellStyle name="Normal 7 9 3 6 2" xfId="17655" xr:uid="{380EE030-134D-4F2D-B8F3-937D0548DDD5}"/>
    <cellStyle name="Normal 7 9 3 7" xfId="10108" xr:uid="{AACECB7E-D3E8-45EC-9BA8-3B9034382EBF}"/>
    <cellStyle name="Normal 7 9 3 7 2" xfId="20488" xr:uid="{FF0948E6-3860-47FA-8C35-5FB7EBF99BE8}"/>
    <cellStyle name="Normal 7 9 3 8" xfId="25237" xr:uid="{2B26FE36-D5EB-49E0-8D5B-041DA3CE7730}"/>
    <cellStyle name="Normal 7 9 3 9" xfId="12811" xr:uid="{1E100D0D-8A53-490A-AD82-5F618450BFD0}"/>
    <cellStyle name="Normal 7 9 4" xfId="1530" xr:uid="{00000000-0005-0000-0000-0000D3070000}"/>
    <cellStyle name="Normal 7 9 4 2" xfId="4619" xr:uid="{D8ADD1F9-5E09-4A26-B899-6466160604EE}"/>
    <cellStyle name="Normal 7 9 4 2 2" xfId="9391" xr:uid="{AC745180-8B0D-4883-BD43-41C6A6499E9B}"/>
    <cellStyle name="Normal 7 9 4 2 2 2" xfId="29357" xr:uid="{BDA279B8-AB6C-4947-86E1-AE57EF99F92E}"/>
    <cellStyle name="Normal 7 9 4 2 2 3" xfId="19771" xr:uid="{7EB3FA25-948C-443D-B0D2-DD14CCA3A367}"/>
    <cellStyle name="Normal 7 9 4 2 3" xfId="12224" xr:uid="{538A9DFF-DB48-4A6F-A5FB-46A052E34D48}"/>
    <cellStyle name="Normal 7 9 4 2 3 2" xfId="22604" xr:uid="{47F9D50A-E47B-4A77-9DE0-3A0EF4481ACF}"/>
    <cellStyle name="Normal 7 9 4 2 4" xfId="23200" xr:uid="{93A2BE3E-37AB-4CCA-9D02-CC359A5B0EFC}"/>
    <cellStyle name="Normal 7 9 4 2 5" xfId="16938" xr:uid="{F6F170E3-636C-4A4C-B98C-D8444EF2B468}"/>
    <cellStyle name="Normal 7 9 4 3" xfId="5527" xr:uid="{A396F996-239A-445A-A6F4-F14DAC58772C}"/>
    <cellStyle name="Normal 7 9 4 3 2" xfId="26860" xr:uid="{5FCF35A9-5BF2-4855-B4E3-941F78CE0889}"/>
    <cellStyle name="Normal 7 9 4 3 3" xfId="14823" xr:uid="{E3A07064-7A3C-4C6B-9FE2-6C6913CA03C8}"/>
    <cellStyle name="Normal 7 9 4 4" xfId="7276" xr:uid="{99717AD7-F2BA-465A-A409-687E2EDF3698}"/>
    <cellStyle name="Normal 7 9 4 4 2" xfId="17656" xr:uid="{89BFB8D1-6EF1-45D4-AEBC-6E948CAC5C3F}"/>
    <cellStyle name="Normal 7 9 4 5" xfId="10109" xr:uid="{9C473F4B-F41A-4FED-8117-317196EB172E}"/>
    <cellStyle name="Normal 7 9 4 5 2" xfId="20489" xr:uid="{548150CA-1959-42AD-A8A0-4CD85AEC1CF9}"/>
    <cellStyle name="Normal 7 9 4 6" xfId="23318" xr:uid="{90438584-0BBD-4922-A6AD-5FA93D3E3B84}"/>
    <cellStyle name="Normal 7 9 4 7" xfId="14122" xr:uid="{8BCF2BE3-836B-4051-A553-2CD533FD4E0B}"/>
    <cellStyle name="Normal 7 9 5" xfId="3007" xr:uid="{00000000-0005-0000-0000-000069090000}"/>
    <cellStyle name="Normal 7 9 5 2" xfId="6156" xr:uid="{B6FA53FF-BD14-4883-9FCA-C451B43DC22F}"/>
    <cellStyle name="Normal 7 9 5 2 2" xfId="23782" xr:uid="{AB3A175D-8D8C-4590-9045-6040641ADC6E}"/>
    <cellStyle name="Normal 7 9 5 2 3" xfId="26294" xr:uid="{86D19EBE-A986-4E9E-846A-05B5E7E4364F}"/>
    <cellStyle name="Normal 7 9 5 2 4" xfId="15634" xr:uid="{C77432AA-AAAE-413F-A7F0-44CCC9BE276F}"/>
    <cellStyle name="Normal 7 9 5 3" xfId="8087" xr:uid="{E12B3A7A-1B5F-471C-BAD1-6D27964F06D5}"/>
    <cellStyle name="Normal 7 9 5 3 2" xfId="28775" xr:uid="{4F86F4A4-BA89-4E1F-88FD-EB8406010FEF}"/>
    <cellStyle name="Normal 7 9 5 3 3" xfId="18467" xr:uid="{BAD2C3DC-50E5-46F3-9397-9944D636B453}"/>
    <cellStyle name="Normal 7 9 5 4" xfId="10920" xr:uid="{03CEEDD0-8ED3-4A45-AB13-ECADDFE2B3DF}"/>
    <cellStyle name="Normal 7 9 5 4 2" xfId="21300" xr:uid="{72734BA9-5ED0-4982-AA4B-8F25F03ECF4B}"/>
    <cellStyle name="Normal 7 9 5 5" xfId="25231" xr:uid="{90B76BFE-3D6B-4351-9FA1-CED203962F0C}"/>
    <cellStyle name="Normal 7 9 5 6" xfId="13509" xr:uid="{DED0737A-E3B6-4662-88E6-FA3B4431B0EB}"/>
    <cellStyle name="Normal 7 9 6" xfId="2448" xr:uid="{00000000-0005-0000-0000-00006A090000}"/>
    <cellStyle name="Normal 7 9 6 2" xfId="5742" xr:uid="{A21802D7-3AEA-4613-B0DA-95F88FA7F82F}"/>
    <cellStyle name="Normal 7 9 6 2 2" xfId="27499" xr:uid="{5D6EAF00-91E5-4FB9-8357-3EC29A50CE84}"/>
    <cellStyle name="Normal 7 9 6 2 3" xfId="15120" xr:uid="{99DD2ACB-D84D-48D7-812C-0B64F51EBC04}"/>
    <cellStyle name="Normal 7 9 6 3" xfId="7573" xr:uid="{3B84B987-E9BD-47E8-8E0B-76567E116218}"/>
    <cellStyle name="Normal 7 9 6 3 2" xfId="17953" xr:uid="{6450F13B-32CA-46A3-876C-9C17F54CA193}"/>
    <cellStyle name="Normal 7 9 6 4" xfId="10406" xr:uid="{111254B1-4478-47D7-BFD6-1CC71E53BAB8}"/>
    <cellStyle name="Normal 7 9 6 4 2" xfId="20786" xr:uid="{BE947B0F-D3ED-4B4B-A0F9-7A3F338B9393}"/>
    <cellStyle name="Normal 7 9 6 5" xfId="25509" xr:uid="{EC12210C-C328-4352-AEFD-0D3884467429}"/>
    <cellStyle name="Normal 7 9 6 6" xfId="12836" xr:uid="{141FE04E-C5AC-4063-B82F-950C701F3659}"/>
    <cellStyle name="Normal 7 9 7" xfId="2202" xr:uid="{00000000-0005-0000-0000-00005E090000}"/>
    <cellStyle name="Normal 7 9 7 2" xfId="7329" xr:uid="{8B458AC3-BF4E-4537-BF0E-72146AA9668A}"/>
    <cellStyle name="Normal 7 9 7 2 2" xfId="17709" xr:uid="{43837D5F-C8CE-4C8C-86D5-A7E1C7E81EFA}"/>
    <cellStyle name="Normal 7 9 7 3" xfId="10162" xr:uid="{E2615F79-4C90-46EC-895F-F2469CD45BB7}"/>
    <cellStyle name="Normal 7 9 7 3 2" xfId="20542" xr:uid="{0B6BD076-43E3-4F2B-BF44-4B8152ACA325}"/>
    <cellStyle name="Normal 7 9 7 4" xfId="25162" xr:uid="{5C574672-E70C-4BCA-AD6E-EB39F0C3BE09}"/>
    <cellStyle name="Normal 7 9 7 5" xfId="14876" xr:uid="{E7A8736D-B587-49E7-8DDE-5C8B07073C9C}"/>
    <cellStyle name="Normal 7 9 8" xfId="4092" xr:uid="{48F81BFA-E56C-457E-B821-421005CE6B7E}"/>
    <cellStyle name="Normal 7 9 8 2" xfId="8869" xr:uid="{59624F85-188A-4DC5-A973-CF535F1C3006}"/>
    <cellStyle name="Normal 7 9 8 2 2" xfId="19249" xr:uid="{CDB4CDA9-5A88-4F7A-8E89-E6070286E791}"/>
    <cellStyle name="Normal 7 9 8 3" xfId="11702" xr:uid="{40C1D1E6-17D1-4C02-B55F-22DC85EC4E61}"/>
    <cellStyle name="Normal 7 9 8 3 2" xfId="22082" xr:uid="{3EE5F332-23BB-4E00-9F4E-A0451E045FBC}"/>
    <cellStyle name="Normal 7 9 8 4" xfId="16416" xr:uid="{EF23CB9C-EB5D-4D45-A085-DAB83BF58FDF}"/>
    <cellStyle name="Normal 7 9 9" xfId="5523" xr:uid="{F22B49DA-465D-43F1-B44D-B8C43A47CDDB}"/>
    <cellStyle name="Normal 7 9 9 2" xfId="14819" xr:uid="{91B81AB7-D6D7-4DD6-8F25-8A293600F6FB}"/>
    <cellStyle name="Normal 8" xfId="1531" xr:uid="{00000000-0005-0000-0000-0000D4070000}"/>
    <cellStyle name="Normal 8 2" xfId="29582" xr:uid="{642610B3-64E9-42AF-815C-4FE869EEE9E0}"/>
    <cellStyle name="Normal 8 3" xfId="29581"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8" xr:uid="{4AB69308-8C32-4387-B887-18F04195A9A2}"/>
    <cellStyle name="Normal 9 3 10 2" xfId="14824" xr:uid="{A568E98C-0400-4732-81B2-5DA889B4ECC9}"/>
    <cellStyle name="Normal 9 3 11" xfId="7277" xr:uid="{9C31A94E-E47B-4C4E-AA50-31C830FC9793}"/>
    <cellStyle name="Normal 9 3 11 2" xfId="17657" xr:uid="{67475792-A064-4C8D-8F2B-D3C95F0869EB}"/>
    <cellStyle name="Normal 9 3 12" xfId="10110" xr:uid="{DF1350DD-95C6-4B0B-A47F-46C905C02413}"/>
    <cellStyle name="Normal 9 3 12 2" xfId="20490" xr:uid="{9E81BCD6-4B82-4560-9838-C4DA59AE953D}"/>
    <cellStyle name="Normal 9 3 13" xfId="23746" xr:uid="{EFC3CC01-DF8D-4E46-A1DC-29C2FC1E6D88}"/>
    <cellStyle name="Normal 9 3 14" xfId="12453" xr:uid="{7C092815-7879-4DBB-9138-F2CA8A4D8BC0}"/>
    <cellStyle name="Normal 9 3 2" xfId="1535" xr:uid="{00000000-0005-0000-0000-0000D8070000}"/>
    <cellStyle name="Normal 9 3 2 10" xfId="10111" xr:uid="{1BC54D58-FAE8-4CA5-A215-072C3D163546}"/>
    <cellStyle name="Normal 9 3 2 10 2" xfId="20491" xr:uid="{500DC43B-85D7-41C4-B7B1-5C329AD74604}"/>
    <cellStyle name="Normal 9 3 2 11" xfId="24688" xr:uid="{5DEB5EAF-D9A4-4538-8400-0E86CE3B6390}"/>
    <cellStyle name="Normal 9 3 2 12" xfId="12654" xr:uid="{AF7FA52A-556F-406A-9630-C99BE17F1F57}"/>
    <cellStyle name="Normal 9 3 2 2" xfId="1536" xr:uid="{00000000-0005-0000-0000-0000D9070000}"/>
    <cellStyle name="Normal 9 3 2 2 2" xfId="3525" xr:uid="{00000000-0005-0000-0000-000071090000}"/>
    <cellStyle name="Normal 9 3 2 2 2 2" xfId="6577" xr:uid="{61E38F25-4671-45E7-BD26-CC1FC625D228}"/>
    <cellStyle name="Normal 9 3 2 2 2 2 2" xfId="26592" xr:uid="{F0803882-E7BA-4ACA-BBDF-86736E543627}"/>
    <cellStyle name="Normal 9 3 2 2 2 2 3" xfId="26570" xr:uid="{0351A92C-BD2E-4958-9C3A-F12228850566}"/>
    <cellStyle name="Normal 9 3 2 2 2 2 4" xfId="16150" xr:uid="{9C18D614-3BE3-4ED2-B560-BC5AE95B75E3}"/>
    <cellStyle name="Normal 9 3 2 2 2 3" xfId="8603" xr:uid="{BE65C509-C0C6-4A1F-A374-1EE3062AE055}"/>
    <cellStyle name="Normal 9 3 2 2 2 3 2" xfId="28959" xr:uid="{F5C6AB54-623F-423B-8FEB-05CC38DA7056}"/>
    <cellStyle name="Normal 9 3 2 2 2 3 3" xfId="18983" xr:uid="{58225118-F29B-45F9-AD0C-8AC1797B9542}"/>
    <cellStyle name="Normal 9 3 2 2 2 4" xfId="11436" xr:uid="{0754E3CA-D1D0-46A2-922E-A5798C8C4CDC}"/>
    <cellStyle name="Normal 9 3 2 2 2 4 2" xfId="21816" xr:uid="{8A7075DA-2E26-4DA4-AD72-161C96E19338}"/>
    <cellStyle name="Normal 9 3 2 2 2 5" xfId="22768" xr:uid="{473C9031-F318-43FC-8658-85A28AA83484}"/>
    <cellStyle name="Normal 9 3 2 2 2 6" xfId="14124" xr:uid="{36C99B2C-4255-4078-A427-390C0CBB97A7}"/>
    <cellStyle name="Normal 9 3 2 2 3" xfId="4388" xr:uid="{E27B2987-F417-471D-AC9A-5B85DC1F6FAF}"/>
    <cellStyle name="Normal 9 3 2 2 3 2" xfId="9160" xr:uid="{C9B63629-3B96-4B96-B02A-E368C9D52F0A}"/>
    <cellStyle name="Normal 9 3 2 2 3 2 2" xfId="29203" xr:uid="{C689CD34-05DE-485A-9208-CBE8032D66E4}"/>
    <cellStyle name="Normal 9 3 2 2 3 2 3" xfId="19540" xr:uid="{69A4B702-2460-4A63-A202-6E5DC53D42CC}"/>
    <cellStyle name="Normal 9 3 2 2 3 3" xfId="11993" xr:uid="{A64A7DEC-A52B-478E-A0CF-B335B93A1206}"/>
    <cellStyle name="Normal 9 3 2 2 3 3 2" xfId="22373" xr:uid="{BE7DD643-6BFB-4834-8244-F58057CE6FFB}"/>
    <cellStyle name="Normal 9 3 2 2 3 4" xfId="25577" xr:uid="{885E0AA7-5309-4C8F-8AFC-41E170CCFB76}"/>
    <cellStyle name="Normal 9 3 2 2 3 5" xfId="16707" xr:uid="{B11F47EB-650E-41F7-8C7F-DC0E51B318B7}"/>
    <cellStyle name="Normal 9 3 2 2 4" xfId="5530" xr:uid="{CEE07FD4-DFF8-429E-A5B3-76FBAA538174}"/>
    <cellStyle name="Normal 9 3 2 2 4 2" xfId="25911" xr:uid="{A8A7DD7F-D3B1-452D-9F03-130165BDB4E3}"/>
    <cellStyle name="Normal 9 3 2 2 4 3" xfId="14826" xr:uid="{96E8603D-D717-4175-B56A-2F95F56301C6}"/>
    <cellStyle name="Normal 9 3 2 2 5" xfId="7279" xr:uid="{6B92E09E-A16F-4BB5-B821-2619DD7E833B}"/>
    <cellStyle name="Normal 9 3 2 2 5 2" xfId="17659" xr:uid="{40A4B931-8544-4AA6-B9D8-6EC501CF4EFF}"/>
    <cellStyle name="Normal 9 3 2 2 6" xfId="10112" xr:uid="{EF10A58C-DD50-4A43-9814-8E6A895118D0}"/>
    <cellStyle name="Normal 9 3 2 2 6 2" xfId="20492" xr:uid="{4B3C97CB-024F-4C41-913F-4A34ED604898}"/>
    <cellStyle name="Normal 9 3 2 2 7" xfId="23431" xr:uid="{FEBA0127-C05C-429D-AF95-30B2175C1BAB}"/>
    <cellStyle name="Normal 9 3 2 2 8" xfId="13344" xr:uid="{35E799C1-7A84-46DF-95C6-B6E06589CD95}"/>
    <cellStyle name="Normal 9 3 2 3" xfId="3526" xr:uid="{00000000-0005-0000-0000-000072090000}"/>
    <cellStyle name="Normal 9 3 2 3 2" xfId="4620" xr:uid="{6FF08757-DE2A-4275-8283-E148E5712689}"/>
    <cellStyle name="Normal 9 3 2 3 2 2" xfId="9392" xr:uid="{6E7266DC-E246-460E-B844-E5ADFCFCE88E}"/>
    <cellStyle name="Normal 9 3 2 3 2 2 2" xfId="29358" xr:uid="{5546639A-11D4-45FA-8D46-304C4BA7C982}"/>
    <cellStyle name="Normal 9 3 2 3 2 2 3" xfId="19772" xr:uid="{83DCD948-8322-471E-96D6-2BE36C0E0B8B}"/>
    <cellStyle name="Normal 9 3 2 3 2 3" xfId="12225" xr:uid="{77152B59-0C8D-4D29-819F-1C430B6F5E84}"/>
    <cellStyle name="Normal 9 3 2 3 2 3 2" xfId="22605" xr:uid="{859336DA-A2E4-4CC5-94C0-330CB1E77B4A}"/>
    <cellStyle name="Normal 9 3 2 3 2 4" xfId="25153" xr:uid="{95F16352-F41C-487A-A8FE-E650FFA413CA}"/>
    <cellStyle name="Normal 9 3 2 3 2 5" xfId="16939" xr:uid="{FD0F13F0-0D44-4D21-AD6D-D0F8848807FB}"/>
    <cellStyle name="Normal 9 3 2 3 3" xfId="6578" xr:uid="{6FB8331A-94A3-4B8A-A948-FAF3E56A6F2D}"/>
    <cellStyle name="Normal 9 3 2 3 3 2" xfId="27115" xr:uid="{59108EC7-E465-4179-9BF7-F9579AE7F628}"/>
    <cellStyle name="Normal 9 3 2 3 3 3" xfId="16151" xr:uid="{B93DD648-8961-4474-98DC-0C4F16FFF4F4}"/>
    <cellStyle name="Normal 9 3 2 3 4" xfId="8604" xr:uid="{AFAEEE0F-E538-4F57-B2EA-299EB1BD6D4B}"/>
    <cellStyle name="Normal 9 3 2 3 4 2" xfId="18984" xr:uid="{033BDA48-367F-4178-97F8-450D1D9264C1}"/>
    <cellStyle name="Normal 9 3 2 3 5" xfId="11437" xr:uid="{5DE2EA4C-89F2-457B-B198-E2D1412814EB}"/>
    <cellStyle name="Normal 9 3 2 3 5 2" xfId="21817" xr:uid="{F4386B4F-BCED-4175-8B61-A3CB71AA11DC}"/>
    <cellStyle name="Normal 9 3 2 3 6" xfId="25319" xr:uid="{3B006FC9-8001-4A77-A9E7-4CB5D00079BA}"/>
    <cellStyle name="Normal 9 3 2 3 7" xfId="14125" xr:uid="{903689EE-9658-42CF-8D49-606DEBCAB0F4}"/>
    <cellStyle name="Normal 9 3 2 4" xfId="3524" xr:uid="{00000000-0005-0000-0000-000073090000}"/>
    <cellStyle name="Normal 9 3 2 4 2" xfId="6576" xr:uid="{5283ABC6-868A-4872-8CDA-0E032B3FEECC}"/>
    <cellStyle name="Normal 9 3 2 4 2 2" xfId="27314" xr:uid="{E759B78A-09C9-4956-A608-A54D9F15E544}"/>
    <cellStyle name="Normal 9 3 2 4 2 3" xfId="16149" xr:uid="{BAD269DF-945F-48A2-BC0C-885B2C589E9B}"/>
    <cellStyle name="Normal 9 3 2 4 3" xfId="8602" xr:uid="{A128BC4B-7B2D-4134-BAC5-8B8F05D5B6C9}"/>
    <cellStyle name="Normal 9 3 2 4 3 2" xfId="18982" xr:uid="{1B2054EF-017C-4DB4-8B36-266285B1A17F}"/>
    <cellStyle name="Normal 9 3 2 4 4" xfId="11435" xr:uid="{1392F5DF-4C3A-43B1-867F-D9F3C38BC9C7}"/>
    <cellStyle name="Normal 9 3 2 4 4 2" xfId="21815" xr:uid="{46AB251A-BBC9-4859-9035-7B6C9672AB9D}"/>
    <cellStyle name="Normal 9 3 2 4 5" xfId="24522" xr:uid="{3293725D-68A0-49DF-AB13-9B5C3649138B}"/>
    <cellStyle name="Normal 9 3 2 4 6" xfId="14123" xr:uid="{3C7EE531-5917-4876-A99E-9E763E08FA1E}"/>
    <cellStyle name="Normal 9 3 2 5" xfId="2527" xr:uid="{00000000-0005-0000-0000-000074090000}"/>
    <cellStyle name="Normal 9 3 2 5 2" xfId="5804" xr:uid="{BA1FC189-CC32-4908-A6F3-449251551132}"/>
    <cellStyle name="Normal 9 3 2 5 2 2" xfId="26281" xr:uid="{746CC66A-430C-40AA-B33E-C96387308F6A}"/>
    <cellStyle name="Normal 9 3 2 5 2 3" xfId="15199" xr:uid="{4FBAA3F0-9E8D-4249-BAF6-0A3B738BE1A0}"/>
    <cellStyle name="Normal 9 3 2 5 3" xfId="7652" xr:uid="{723FC09F-28D5-4033-B6C5-1ED5C325B9E9}"/>
    <cellStyle name="Normal 9 3 2 5 3 2" xfId="18032" xr:uid="{6EC2B81E-B5EB-49D3-B1B1-55455B5CEDED}"/>
    <cellStyle name="Normal 9 3 2 5 4" xfId="10485" xr:uid="{8F39D43A-086C-4288-82CB-BD83698E7AE9}"/>
    <cellStyle name="Normal 9 3 2 5 4 2" xfId="20865" xr:uid="{C0432212-6FE0-47AA-B2CE-E034E93B3709}"/>
    <cellStyle name="Normal 9 3 2 5 5" xfId="24004" xr:uid="{E0BC0D57-DAEB-4749-9ABE-7C74061882A6}"/>
    <cellStyle name="Normal 9 3 2 5 6" xfId="12915" xr:uid="{64F7EB20-D3DD-4F99-A29B-F99DA7E032F6}"/>
    <cellStyle name="Normal 9 3 2 6" xfId="2420" xr:uid="{00000000-0005-0000-0000-00006F090000}"/>
    <cellStyle name="Normal 9 3 2 6 2" xfId="7547" xr:uid="{18E3346C-DEEB-42CA-B8E8-FCF6F9B5D706}"/>
    <cellStyle name="Normal 9 3 2 6 2 2" xfId="17927" xr:uid="{7B14F1E8-5CB3-4D04-88DC-62867B25823F}"/>
    <cellStyle name="Normal 9 3 2 6 3" xfId="10380" xr:uid="{984BA9BD-FA5A-4052-8DEC-195A1F1B88F9}"/>
    <cellStyle name="Normal 9 3 2 6 3 2" xfId="20760" xr:uid="{11D5DB19-4C6B-4B78-8B41-7C409A0D3D62}"/>
    <cellStyle name="Normal 9 3 2 6 4" xfId="24072" xr:uid="{7366DBB6-5278-4923-BE64-761B236DD20F}"/>
    <cellStyle name="Normal 9 3 2 6 5" xfId="15094" xr:uid="{E7F115EA-2FDE-49DD-BF05-7ADE10036302}"/>
    <cellStyle name="Normal 9 3 2 7" xfId="4113" xr:uid="{9374BC6B-CD1E-475B-9BAB-2BFD3E7E9320}"/>
    <cellStyle name="Normal 9 3 2 7 2" xfId="8885" xr:uid="{A61FC122-8D78-4D4A-A33E-86158FD08CBC}"/>
    <cellStyle name="Normal 9 3 2 7 2 2" xfId="19265" xr:uid="{1095D0D4-4003-49DA-BD17-D1D71DD9D6E1}"/>
    <cellStyle name="Normal 9 3 2 7 3" xfId="11718" xr:uid="{B616AC3F-9AD3-40AF-B637-9B5A4397BAC2}"/>
    <cellStyle name="Normal 9 3 2 7 3 2" xfId="22098" xr:uid="{5405AB12-6C71-49A2-B6DB-AC19F94DA733}"/>
    <cellStyle name="Normal 9 3 2 7 4" xfId="16432" xr:uid="{AFD7D77D-6E71-4609-A560-60461BEFFA16}"/>
    <cellStyle name="Normal 9 3 2 8" xfId="5529" xr:uid="{0786BECE-6A31-42EE-9331-D7C14B15827F}"/>
    <cellStyle name="Normal 9 3 2 8 2" xfId="14825" xr:uid="{E8AC801E-8E0D-4CA7-87D8-B60EB549F231}"/>
    <cellStyle name="Normal 9 3 2 9" xfId="7278" xr:uid="{1517974F-697C-4760-A4F0-3C47F1C94A8B}"/>
    <cellStyle name="Normal 9 3 2 9 2" xfId="17658" xr:uid="{DE31666C-6B51-4798-B538-A1ABF840A24C}"/>
    <cellStyle name="Normal 9 3 3" xfId="1537" xr:uid="{00000000-0005-0000-0000-0000DA070000}"/>
    <cellStyle name="Normal 9 3 3 10" xfId="23616" xr:uid="{3BCD0679-C73A-4CA7-8DE7-B52FB445084D}"/>
    <cellStyle name="Normal 9 3 3 11" xfId="12812" xr:uid="{91C452CE-9E4D-4EF8-A993-3020E53F17F0}"/>
    <cellStyle name="Normal 9 3 3 2" xfId="2856" xr:uid="{00000000-0005-0000-0000-000076090000}"/>
    <cellStyle name="Normal 9 3 3 2 2" xfId="3528" xr:uid="{00000000-0005-0000-0000-000077090000}"/>
    <cellStyle name="Normal 9 3 3 2 2 2" xfId="6580" xr:uid="{6A7723EB-2EE4-437A-8B50-4F26B4D25813}"/>
    <cellStyle name="Normal 9 3 3 2 2 2 2" xfId="28289" xr:uid="{C4EC20E2-D990-42AC-B93B-D209FF6FEB0F}"/>
    <cellStyle name="Normal 9 3 3 2 2 2 3" xfId="16153" xr:uid="{401485D3-4685-42AC-835E-069DAD9B283F}"/>
    <cellStyle name="Normal 9 3 3 2 2 3" xfId="8606" xr:uid="{0C64DCB0-EE00-4330-BBAE-C4CE09C45F48}"/>
    <cellStyle name="Normal 9 3 3 2 2 3 2" xfId="18986" xr:uid="{A28F260C-89A8-4BBE-8768-F7AE6E940DD9}"/>
    <cellStyle name="Normal 9 3 3 2 2 4" xfId="11439" xr:uid="{97552286-2148-433B-9FBC-0665C2AECA65}"/>
    <cellStyle name="Normal 9 3 3 2 2 4 2" xfId="21819" xr:uid="{B2C393DF-8126-4368-8AF7-6BAB65457DA5}"/>
    <cellStyle name="Normal 9 3 3 2 2 5" xfId="24589" xr:uid="{5D40A031-63C9-4338-852D-AF4630FDA4FF}"/>
    <cellStyle name="Normal 9 3 3 2 2 6" xfId="14127" xr:uid="{07C518C0-D482-4303-96F0-A414A911B97B}"/>
    <cellStyle name="Normal 9 3 3 2 3" xfId="4389" xr:uid="{7079911C-0C35-4207-B5B1-461F08CE444F}"/>
    <cellStyle name="Normal 9 3 3 2 3 2" xfId="9161" xr:uid="{8C61F030-3F54-425F-A2A5-C40BE4F638EE}"/>
    <cellStyle name="Normal 9 3 3 2 3 2 2" xfId="29204" xr:uid="{DCFE6330-5348-45C4-B582-53E0DB2D0B19}"/>
    <cellStyle name="Normal 9 3 3 2 3 2 3" xfId="19541" xr:uid="{FE6B35BA-54CE-4622-8426-109FA0FA5207}"/>
    <cellStyle name="Normal 9 3 3 2 3 3" xfId="11994" xr:uid="{ED1873BC-6981-4881-89FB-BD30409C6329}"/>
    <cellStyle name="Normal 9 3 3 2 3 3 2" xfId="22374" xr:uid="{162DB640-D77F-4109-AF1E-262506AA9E85}"/>
    <cellStyle name="Normal 9 3 3 2 3 4" xfId="25061" xr:uid="{66680072-9919-429B-ACF2-AF257A99BC67}"/>
    <cellStyle name="Normal 9 3 3 2 3 5" xfId="16708" xr:uid="{C9C36FF6-9680-46A2-AA4D-72745ECFA321}"/>
    <cellStyle name="Normal 9 3 3 2 4" xfId="6069" xr:uid="{C7D4C911-8DBF-4141-A340-0094E99D177D}"/>
    <cellStyle name="Normal 9 3 3 2 4 2" xfId="27296" xr:uid="{072A35AE-ABC6-4E9A-9C1B-874A8ADCBB4C}"/>
    <cellStyle name="Normal 9 3 3 2 4 3" xfId="15525" xr:uid="{37A679C5-8311-4444-AD4B-839E1F2D428B}"/>
    <cellStyle name="Normal 9 3 3 2 5" xfId="7978" xr:uid="{E4E488D4-1900-442E-AFBB-C17D9C705538}"/>
    <cellStyle name="Normal 9 3 3 2 5 2" xfId="18358" xr:uid="{D806CCE6-CF6D-4315-A9BB-79F329C2469C}"/>
    <cellStyle name="Normal 9 3 3 2 6" xfId="10811" xr:uid="{631596A9-0A5E-4D26-BCE7-24E9DA7E79A5}"/>
    <cellStyle name="Normal 9 3 3 2 6 2" xfId="21191" xr:uid="{F54E663C-D6B0-4EF9-AA89-265B5A63BF3B}"/>
    <cellStyle name="Normal 9 3 3 2 7" xfId="23446" xr:uid="{E60959EF-B8BB-45A7-95F4-1FB49FFDAA73}"/>
    <cellStyle name="Normal 9 3 3 2 8" xfId="13345" xr:uid="{39DA5A5E-22FB-4B11-ACBA-4E41FDC0A999}"/>
    <cellStyle name="Normal 9 3 3 3" xfId="3529" xr:uid="{00000000-0005-0000-0000-000078090000}"/>
    <cellStyle name="Normal 9 3 3 3 2" xfId="4621" xr:uid="{A374713D-A901-4599-B10D-CC13D0931DCA}"/>
    <cellStyle name="Normal 9 3 3 3 2 2" xfId="9393" xr:uid="{E8D76548-7D73-46DB-A5A0-6DC7BA80E6E2}"/>
    <cellStyle name="Normal 9 3 3 3 2 2 2" xfId="29359" xr:uid="{F0A4D047-D002-44BB-82E4-05B84B3C58C8}"/>
    <cellStyle name="Normal 9 3 3 3 2 2 3" xfId="19773" xr:uid="{BC25623B-F10B-4611-B5CF-A3E12B2FBA57}"/>
    <cellStyle name="Normal 9 3 3 3 2 3" xfId="12226" xr:uid="{21171A98-E1A8-42D9-8F95-452F268B3DE5}"/>
    <cellStyle name="Normal 9 3 3 3 2 3 2" xfId="22606" xr:uid="{761E940A-93EF-4AEE-83CB-2887B5D13FC0}"/>
    <cellStyle name="Normal 9 3 3 3 2 4" xfId="25731" xr:uid="{B3DB446E-A3A6-46D2-93D1-79729B4EBD9F}"/>
    <cellStyle name="Normal 9 3 3 3 2 5" xfId="16940" xr:uid="{3BAA9BC5-FBD5-4756-B541-8C68EC70EE18}"/>
    <cellStyle name="Normal 9 3 3 3 3" xfId="6581" xr:uid="{3E7C5B49-26A9-48A0-B1EB-16F952ADCD21}"/>
    <cellStyle name="Normal 9 3 3 3 3 2" xfId="25830" xr:uid="{E0F86C41-413C-4405-922C-2D186646B34A}"/>
    <cellStyle name="Normal 9 3 3 3 3 3" xfId="16154" xr:uid="{2EDC2F1D-8FA1-4642-A8EE-6DAC4CCBF49E}"/>
    <cellStyle name="Normal 9 3 3 3 4" xfId="8607" xr:uid="{F937617A-9866-491A-B80D-DB7D52A01824}"/>
    <cellStyle name="Normal 9 3 3 3 4 2" xfId="18987" xr:uid="{B8F9D273-24C4-42BD-8DBA-C9018E0BEE6C}"/>
    <cellStyle name="Normal 9 3 3 3 5" xfId="11440" xr:uid="{9CA05CAF-3CD2-48F9-B804-794FAF97446E}"/>
    <cellStyle name="Normal 9 3 3 3 5 2" xfId="21820" xr:uid="{2E2C7C76-5401-45E5-A16C-D2728241448A}"/>
    <cellStyle name="Normal 9 3 3 3 6" xfId="23585" xr:uid="{BB0FC48A-7D4A-4E9B-8CE6-1551AE6EB1FC}"/>
    <cellStyle name="Normal 9 3 3 3 7" xfId="14128" xr:uid="{4B0D0024-DEEB-48B1-B208-10492BB7113C}"/>
    <cellStyle name="Normal 9 3 3 4" xfId="3527" xr:uid="{00000000-0005-0000-0000-000079090000}"/>
    <cellStyle name="Normal 9 3 3 4 2" xfId="6579" xr:uid="{B99FA865-11BE-4BF6-BBC8-756C3A205319}"/>
    <cellStyle name="Normal 9 3 3 4 2 2" xfId="28344" xr:uid="{255980EA-8183-4AB3-B002-61989B34E296}"/>
    <cellStyle name="Normal 9 3 3 4 2 3" xfId="16152" xr:uid="{825A0061-CBCC-474E-B12E-DA3C9AB8FBF2}"/>
    <cellStyle name="Normal 9 3 3 4 3" xfId="8605" xr:uid="{EDDD3162-4000-4AE7-973B-6E814B25B586}"/>
    <cellStyle name="Normal 9 3 3 4 3 2" xfId="18985" xr:uid="{C81C4BA2-C32B-4BDD-9579-A162C733A1ED}"/>
    <cellStyle name="Normal 9 3 3 4 4" xfId="11438" xr:uid="{59CDEEBF-B28F-4680-AA15-E4B8A46F1528}"/>
    <cellStyle name="Normal 9 3 3 4 4 2" xfId="21818" xr:uid="{5D778F1D-331E-4609-B2CB-01422938D893}"/>
    <cellStyle name="Normal 9 3 3 4 5" xfId="25561" xr:uid="{C4D7C70A-92D1-4DEE-85EB-A1D347E35E09}"/>
    <cellStyle name="Normal 9 3 3 4 6" xfId="14126" xr:uid="{D0A22D98-2F19-4B82-AAF8-8359C1431143}"/>
    <cellStyle name="Normal 9 3 3 5" xfId="2630" xr:uid="{00000000-0005-0000-0000-00007A090000}"/>
    <cellStyle name="Normal 9 3 3 5 2" xfId="5892" xr:uid="{88BF2432-3F36-40FA-B829-CF5311DE77F1}"/>
    <cellStyle name="Normal 9 3 3 5 2 2" xfId="26856" xr:uid="{65B3474F-6278-4006-986D-74975B630A93}"/>
    <cellStyle name="Normal 9 3 3 5 2 3" xfId="15302" xr:uid="{0A366597-C1E7-4064-87CC-260111B3960F}"/>
    <cellStyle name="Normal 9 3 3 5 3" xfId="7755" xr:uid="{22F62663-0F23-4A14-91C2-BFBBD697CB34}"/>
    <cellStyle name="Normal 9 3 3 5 3 2" xfId="18135" xr:uid="{455D1F9B-F69D-4F20-9E78-421711729582}"/>
    <cellStyle name="Normal 9 3 3 5 4" xfId="10588" xr:uid="{BFC508BD-8161-43A4-8CD8-B80A7CEA27E2}"/>
    <cellStyle name="Normal 9 3 3 5 4 2" xfId="20968" xr:uid="{11BD6D2A-ED19-4EB5-B3C4-F1E1A93EEDDE}"/>
    <cellStyle name="Normal 9 3 3 5 5" xfId="23964" xr:uid="{66C40D62-EBD9-453C-A9DF-FB0F8B1F16A3}"/>
    <cellStyle name="Normal 9 3 3 5 6" xfId="13018" xr:uid="{C00C63F8-2BB6-4530-9D62-B489A284E5D0}"/>
    <cellStyle name="Normal 9 3 3 6" xfId="4235" xr:uid="{6130F00F-D701-47E5-9461-A7C38D95DFA6}"/>
    <cellStyle name="Normal 9 3 3 6 2" xfId="9007" xr:uid="{326D6A19-844C-489C-A912-5995F1D3F882}"/>
    <cellStyle name="Normal 9 3 3 6 2 2" xfId="19387" xr:uid="{0FB3103F-2348-46D2-B545-2D7F78A74AF5}"/>
    <cellStyle name="Normal 9 3 3 6 3" xfId="11840" xr:uid="{D0C765B0-48B7-42CB-A26F-BABDE2B59E11}"/>
    <cellStyle name="Normal 9 3 3 6 3 2" xfId="22220" xr:uid="{A64476FE-4E13-49DE-8F6E-7D4162D156D4}"/>
    <cellStyle name="Normal 9 3 3 6 4" xfId="23586" xr:uid="{B7A254AC-A05C-4494-B184-D878765317A4}"/>
    <cellStyle name="Normal 9 3 3 6 5" xfId="16554" xr:uid="{038AEEBE-F885-47B6-A792-E217C67B6AEA}"/>
    <cellStyle name="Normal 9 3 3 7" xfId="5531" xr:uid="{5B1B14C9-728F-47BA-BD19-6F296FF658F2}"/>
    <cellStyle name="Normal 9 3 3 7 2" xfId="14827" xr:uid="{0A3CCF14-7F2C-41A5-AB8F-21D6E5C1D48B}"/>
    <cellStyle name="Normal 9 3 3 8" xfId="7280" xr:uid="{A1DF4FDA-E667-42CF-991A-0A657BDCEB46}"/>
    <cellStyle name="Normal 9 3 3 8 2" xfId="17660" xr:uid="{75F396C0-A791-40C5-A302-1571062B9FC2}"/>
    <cellStyle name="Normal 9 3 3 9" xfId="10113" xr:uid="{364D286D-7AB8-4007-B051-3D51C398A02C}"/>
    <cellStyle name="Normal 9 3 3 9 2" xfId="20493" xr:uid="{66761F25-9FCD-4048-B0B9-B2827AD20A95}"/>
    <cellStyle name="Normal 9 3 4" xfId="1538" xr:uid="{00000000-0005-0000-0000-0000DB070000}"/>
    <cellStyle name="Normal 9 3 4 2" xfId="3530" xr:uid="{00000000-0005-0000-0000-00007C090000}"/>
    <cellStyle name="Normal 9 3 4 2 2" xfId="6582" xr:uid="{6618A356-247C-4E38-9B22-E35761120F33}"/>
    <cellStyle name="Normal 9 3 4 2 2 2" xfId="27410" xr:uid="{78283C58-4337-4F5E-907A-0C476131C0BF}"/>
    <cellStyle name="Normal 9 3 4 2 2 3" xfId="16155" xr:uid="{2736BC23-EBD6-494B-BC06-DC7599348600}"/>
    <cellStyle name="Normal 9 3 4 2 3" xfId="8608" xr:uid="{70E87402-024E-4EC9-A648-4CFA0ED01C13}"/>
    <cellStyle name="Normal 9 3 4 2 3 2" xfId="18988" xr:uid="{507C455B-7F40-4F63-81C1-077921D7A82C}"/>
    <cellStyle name="Normal 9 3 4 2 4" xfId="11441" xr:uid="{63D1F73F-52EC-4844-8785-319593B8E85F}"/>
    <cellStyle name="Normal 9 3 4 2 4 2" xfId="21821" xr:uid="{46D59E82-2D72-480A-A5AD-36E85DD9249E}"/>
    <cellStyle name="Normal 9 3 4 2 5" xfId="25191" xr:uid="{C6729B1C-FC30-45DA-A21B-A0D61000CEB8}"/>
    <cellStyle name="Normal 9 3 4 2 6" xfId="14129" xr:uid="{C2699CD7-6B3E-4A9F-8538-CB1683DF136C}"/>
    <cellStyle name="Normal 9 3 4 3" xfId="4387" xr:uid="{E6133B2D-CC91-48B6-BB07-FC4ACA204A72}"/>
    <cellStyle name="Normal 9 3 4 3 2" xfId="9159" xr:uid="{DE2B3788-700E-4C20-94EF-E7D0047DE05E}"/>
    <cellStyle name="Normal 9 3 4 3 2 2" xfId="29202" xr:uid="{2EA7EC9F-15F6-4560-AE9E-92AC68F3E8C4}"/>
    <cellStyle name="Normal 9 3 4 3 2 3" xfId="19539" xr:uid="{6EF1E229-03CC-40CE-BC98-C572DE27BE5E}"/>
    <cellStyle name="Normal 9 3 4 3 3" xfId="11992" xr:uid="{6D9DF767-2519-46C5-A8B7-009C6DDC4BEE}"/>
    <cellStyle name="Normal 9 3 4 3 3 2" xfId="22372" xr:uid="{A793C49A-AB2D-4151-9A2F-5E8F4F2622A3}"/>
    <cellStyle name="Normal 9 3 4 3 4" xfId="24330" xr:uid="{05EE09B5-D67A-468D-BD24-8274E3F53B07}"/>
    <cellStyle name="Normal 9 3 4 3 5" xfId="16706" xr:uid="{C7A8FF0B-26B8-49E9-906D-A257E258E1AE}"/>
    <cellStyle name="Normal 9 3 4 4" xfId="5532" xr:uid="{0541E45C-8FA8-4DDC-AE4A-41D7FFE6877C}"/>
    <cellStyle name="Normal 9 3 4 4 2" xfId="27431" xr:uid="{84F37593-CBFE-4E8E-B4F1-411DCAD0099F}"/>
    <cellStyle name="Normal 9 3 4 4 3" xfId="14828" xr:uid="{987CC3D6-F372-40DF-A5F3-F1E86B3E8B00}"/>
    <cellStyle name="Normal 9 3 4 5" xfId="7281" xr:uid="{32543468-66E4-471F-AE4B-E7E193DBEB6F}"/>
    <cellStyle name="Normal 9 3 4 5 2" xfId="17661" xr:uid="{A022FE02-CBFE-458D-9750-6AC33CDBDB46}"/>
    <cellStyle name="Normal 9 3 4 6" xfId="10114" xr:uid="{AF1CF284-68BC-4F89-BE24-6E00240B38C1}"/>
    <cellStyle name="Normal 9 3 4 6 2" xfId="20494" xr:uid="{A0814FDF-3321-4CD0-9762-8390657455AC}"/>
    <cellStyle name="Normal 9 3 4 7" xfId="25420" xr:uid="{53DD34F4-6E1E-4BAD-A36D-8B7DB8B0E752}"/>
    <cellStyle name="Normal 9 3 4 8" xfId="13343" xr:uid="{54E7A648-BD0A-4B30-993A-CDA43B2594E3}"/>
    <cellStyle name="Normal 9 3 5" xfId="3531" xr:uid="{00000000-0005-0000-0000-00007D090000}"/>
    <cellStyle name="Normal 9 3 5 2" xfId="4622" xr:uid="{77812157-224D-45F5-93B2-E96BD36A1BA0}"/>
    <cellStyle name="Normal 9 3 5 2 2" xfId="9394" xr:uid="{10B53018-6FBC-432D-8766-9B422C21813C}"/>
    <cellStyle name="Normal 9 3 5 2 2 2" xfId="29360" xr:uid="{F055EF98-3209-46D1-AE84-48E8181D908B}"/>
    <cellStyle name="Normal 9 3 5 2 2 3" xfId="19774" xr:uid="{8A20CDC1-FB1F-4637-BACB-B97C86074575}"/>
    <cellStyle name="Normal 9 3 5 2 3" xfId="12227" xr:uid="{C2ED2A5B-91C3-4DAF-9974-55BB288E53A6}"/>
    <cellStyle name="Normal 9 3 5 2 3 2" xfId="22607" xr:uid="{4C031065-FB13-4C84-AD3A-1B27143EB162}"/>
    <cellStyle name="Normal 9 3 5 2 4" xfId="24339" xr:uid="{12F339D8-5AD8-487E-B250-98D8D91C16C9}"/>
    <cellStyle name="Normal 9 3 5 2 5" xfId="16941" xr:uid="{3A761E34-DAF9-4CED-83FC-4540602E74DE}"/>
    <cellStyle name="Normal 9 3 5 3" xfId="6583" xr:uid="{DECD6082-9101-4607-A2E7-14D2E794CBA9}"/>
    <cellStyle name="Normal 9 3 5 3 2" xfId="26282" xr:uid="{2993EB5D-11BC-49F0-8510-C414E8F6ECE9}"/>
    <cellStyle name="Normal 9 3 5 3 3" xfId="16156" xr:uid="{C2337744-4461-4ED3-B6AA-FC0C1A4E1915}"/>
    <cellStyle name="Normal 9 3 5 4" xfId="8609" xr:uid="{62BBD5CF-7534-4D9A-9840-8F76C126DB91}"/>
    <cellStyle name="Normal 9 3 5 4 2" xfId="18989" xr:uid="{02DB4911-7863-4885-9B08-853F465CA199}"/>
    <cellStyle name="Normal 9 3 5 5" xfId="11442" xr:uid="{428BA9B7-F100-4B4E-B08E-96470F79D5BA}"/>
    <cellStyle name="Normal 9 3 5 5 2" xfId="21822" xr:uid="{57264222-481F-4F5C-AB3D-0E06FAD98777}"/>
    <cellStyle name="Normal 9 3 5 6" xfId="24373" xr:uid="{6D4ADB58-0721-42B1-99CD-86F58DAD93B1}"/>
    <cellStyle name="Normal 9 3 5 7" xfId="14130" xr:uid="{C8F30E62-F610-4007-A2DA-B3480F141DB2}"/>
    <cellStyle name="Normal 9 3 6" xfId="3008" xr:uid="{00000000-0005-0000-0000-00007E090000}"/>
    <cellStyle name="Normal 9 3 6 2" xfId="6157" xr:uid="{9C45F147-66EA-4E13-94CB-38655C13975F}"/>
    <cellStyle name="Normal 9 3 6 2 2" xfId="28126" xr:uid="{23CFD813-EE69-42B4-886F-DFABA93A796B}"/>
    <cellStyle name="Normal 9 3 6 2 3" xfId="15635" xr:uid="{FF4C76BB-6578-4299-BB68-6B46DD022FD6}"/>
    <cellStyle name="Normal 9 3 6 3" xfId="8088" xr:uid="{E4AAC665-37B2-497C-80B5-C23BC286C7CD}"/>
    <cellStyle name="Normal 9 3 6 3 2" xfId="18468" xr:uid="{94C97AE5-BB0B-4EC7-A03E-4D8D2DF6FC05}"/>
    <cellStyle name="Normal 9 3 6 4" xfId="10921" xr:uid="{1037EB35-D0C9-42D9-B72A-2F803B1A017A}"/>
    <cellStyle name="Normal 9 3 6 4 2" xfId="21301" xr:uid="{3CFE98F6-067C-4A66-91A1-728AA89A1B71}"/>
    <cellStyle name="Normal 9 3 6 5" xfId="23699" xr:uid="{7FB9F765-203E-4736-826D-44E4730F78DD}"/>
    <cellStyle name="Normal 9 3 6 6" xfId="13510" xr:uid="{B57CFD8E-4187-4A8C-B2CF-DF71A32E6823}"/>
    <cellStyle name="Normal 9 3 7" xfId="2467" xr:uid="{00000000-0005-0000-0000-00007F090000}"/>
    <cellStyle name="Normal 9 3 7 2" xfId="5758" xr:uid="{569E96DD-23FD-481A-908C-50469D669620}"/>
    <cellStyle name="Normal 9 3 7 2 2" xfId="28183" xr:uid="{52F279E6-152A-44BE-B450-9847EC2309EC}"/>
    <cellStyle name="Normal 9 3 7 2 3" xfId="15139" xr:uid="{E3699AD2-E742-48D2-8485-D72C90EBFEAB}"/>
    <cellStyle name="Normal 9 3 7 3" xfId="7592" xr:uid="{939704D8-5B53-4363-B96A-1DA334751AAB}"/>
    <cellStyle name="Normal 9 3 7 3 2" xfId="17972" xr:uid="{FC42FABC-9E0F-410E-BA3D-0DA334F1C74D}"/>
    <cellStyle name="Normal 9 3 7 4" xfId="10425" xr:uid="{6C3B0F93-4814-4F9B-8837-F31D6CE056B3}"/>
    <cellStyle name="Normal 9 3 7 4 2" xfId="20805" xr:uid="{F493829E-B27F-44E4-BDBF-D66BC7A523DB}"/>
    <cellStyle name="Normal 9 3 7 5" xfId="23329" xr:uid="{B5630A65-5BA8-46C9-A5DF-849BB1290C7C}"/>
    <cellStyle name="Normal 9 3 7 6" xfId="12855" xr:uid="{F1ACAA21-BC64-430B-ACC4-4D0028349B68}"/>
    <cellStyle name="Normal 9 3 8" xfId="2221" xr:uid="{00000000-0005-0000-0000-00006E090000}"/>
    <cellStyle name="Normal 9 3 8 2" xfId="7348" xr:uid="{4776B0CF-F1CC-4D89-9B9B-C508F402A5C3}"/>
    <cellStyle name="Normal 9 3 8 2 2" xfId="17728" xr:uid="{7FD9AC9E-A715-4E52-8EB3-5C2C40F4751E}"/>
    <cellStyle name="Normal 9 3 8 3" xfId="10181" xr:uid="{4CC6BF7A-1BE1-47BE-8AAF-62DEB16BCB7A}"/>
    <cellStyle name="Normal 9 3 8 3 2" xfId="20561" xr:uid="{080DD240-E808-4722-983E-3AB8D009BDD6}"/>
    <cellStyle name="Normal 9 3 8 4" xfId="23892" xr:uid="{171F2FA1-5D4C-406B-833D-DFB00D65D768}"/>
    <cellStyle name="Normal 9 3 8 5" xfId="14895" xr:uid="{7356630E-D98B-4216-B074-DEC366CBA58A}"/>
    <cellStyle name="Normal 9 3 9" xfId="4094" xr:uid="{076910DF-66FE-4541-83E0-1A0956D1291F}"/>
    <cellStyle name="Normal 9 3 9 2" xfId="8870" xr:uid="{C2ACD1ED-B023-42D5-AF41-0C96372140AE}"/>
    <cellStyle name="Normal 9 3 9 2 2" xfId="19250" xr:uid="{13DEB002-6083-4612-9E49-28F9B7EB2AE0}"/>
    <cellStyle name="Normal 9 3 9 3" xfId="11703" xr:uid="{8F58AB11-B0E1-4BB2-87AA-B4E2343A2256}"/>
    <cellStyle name="Normal 9 3 9 3 2" xfId="22083" xr:uid="{CB52BA86-C3D5-4CA1-8F40-0F09AB796200}"/>
    <cellStyle name="Normal 9 3 9 4" xfId="16417" xr:uid="{F437114A-E6D1-4130-B857-2CE3D3FDCB68}"/>
    <cellStyle name="Normal 9 4" xfId="1539" xr:uid="{00000000-0005-0000-0000-0000DC070000}"/>
    <cellStyle name="Normal 9 4 2" xfId="2857" xr:uid="{00000000-0005-0000-0000-000081090000}"/>
    <cellStyle name="Normal 9 4 2 2" xfId="3533" xr:uid="{00000000-0005-0000-0000-000082090000}"/>
    <cellStyle name="Normal 9 4 2 2 2" xfId="6585" xr:uid="{E29B9B1D-1AD6-42A2-86E7-830394F8818E}"/>
    <cellStyle name="Normal 9 4 2 2 2 2" xfId="28550" xr:uid="{7E8091FA-6537-4814-BB50-815C53B35F3E}"/>
    <cellStyle name="Normal 9 4 2 2 2 3" xfId="16158" xr:uid="{68EAE550-2833-4B1B-9561-27A74019172E}"/>
    <cellStyle name="Normal 9 4 2 2 3" xfId="8611" xr:uid="{D4D5D2DB-A568-4677-8500-323E9E76F7E7}"/>
    <cellStyle name="Normal 9 4 2 2 3 2" xfId="18991" xr:uid="{CF544657-DB90-4EC1-A633-658F6188756B}"/>
    <cellStyle name="Normal 9 4 2 2 4" xfId="11444" xr:uid="{E90DFABB-EB7F-4463-95A3-5082A18775C7}"/>
    <cellStyle name="Normal 9 4 2 2 4 2" xfId="21824" xr:uid="{E3F0DDC7-7141-40CF-A664-EE78E4B143C8}"/>
    <cellStyle name="Normal 9 4 2 2 5" xfId="25183" xr:uid="{90A3BB10-2CBE-468F-80E1-6D316882A40B}"/>
    <cellStyle name="Normal 9 4 2 2 6" xfId="14132" xr:uid="{DEA28F99-AEAA-4092-8E98-5C414B0A7DD3}"/>
    <cellStyle name="Normal 9 4 2 3" xfId="4390" xr:uid="{07075F1E-01E6-4D0C-B391-9162DCDDF969}"/>
    <cellStyle name="Normal 9 4 2 3 2" xfId="9162" xr:uid="{61C44C21-F9C7-4592-8DE1-28ACF0AD7970}"/>
    <cellStyle name="Normal 9 4 2 3 2 2" xfId="29205" xr:uid="{20157DB5-E4FD-460F-8D9C-3C66C356EBAB}"/>
    <cellStyle name="Normal 9 4 2 3 2 3" xfId="19542" xr:uid="{BEDB3A65-284C-4FCC-8DD7-711F7D69AAC3}"/>
    <cellStyle name="Normal 9 4 2 3 3" xfId="11995" xr:uid="{49FBB677-3959-4801-9455-58A2D2992D3E}"/>
    <cellStyle name="Normal 9 4 2 3 3 2" xfId="22375" xr:uid="{A4F36E1C-51CA-4E51-9FCD-B388BDBDFEEA}"/>
    <cellStyle name="Normal 9 4 2 3 4" xfId="23397" xr:uid="{EE8C1EAD-7862-4C19-A73C-98F1DE6D3216}"/>
    <cellStyle name="Normal 9 4 2 3 5" xfId="16709" xr:uid="{1BEFCD68-25D3-4729-A79F-22F731E8623F}"/>
    <cellStyle name="Normal 9 4 2 4" xfId="6070" xr:uid="{23A6C24C-7435-4415-BDC0-9CACA59FFAD6}"/>
    <cellStyle name="Normal 9 4 2 4 2" xfId="26202" xr:uid="{9A77DDE7-0937-4318-94E7-91B7D3CD1DF3}"/>
    <cellStyle name="Normal 9 4 2 4 3" xfId="15526" xr:uid="{B7B84202-B49A-4A59-B8E8-820B2C6013AC}"/>
    <cellStyle name="Normal 9 4 2 5" xfId="7979" xr:uid="{6CABEF68-FF64-4814-9C4F-D93616B5818F}"/>
    <cellStyle name="Normal 9 4 2 5 2" xfId="18359" xr:uid="{EEAC1F81-E8DE-4CD8-A142-1E5B0FCF912B}"/>
    <cellStyle name="Normal 9 4 2 6" xfId="10812" xr:uid="{66E2AE31-DC49-401E-862E-EF55F2D57FD5}"/>
    <cellStyle name="Normal 9 4 2 6 2" xfId="21192" xr:uid="{ACB740FB-80D5-43B8-AA7E-81335ACBBFB8}"/>
    <cellStyle name="Normal 9 4 2 7" xfId="25329" xr:uid="{80166A66-FA97-4A93-B534-A81FBC2CBC28}"/>
    <cellStyle name="Normal 9 4 2 8" xfId="13346" xr:uid="{DEC932F2-654D-480C-9DED-25B8C8C5EDC1}"/>
    <cellStyle name="Normal 9 4 3" xfId="3534" xr:uid="{00000000-0005-0000-0000-000083090000}"/>
    <cellStyle name="Normal 9 4 3 2" xfId="4623" xr:uid="{0F182935-658F-4F03-8638-E4AE160D2422}"/>
    <cellStyle name="Normal 9 4 3 2 2" xfId="9395" xr:uid="{A23C8947-DC44-4783-901A-1B726957A919}"/>
    <cellStyle name="Normal 9 4 3 2 2 2" xfId="29361" xr:uid="{72AF473C-70E8-41E2-B7C2-BF736021ABF5}"/>
    <cellStyle name="Normal 9 4 3 2 2 3" xfId="19775" xr:uid="{7AE12526-BB9F-43B4-817E-E725FEA740FB}"/>
    <cellStyle name="Normal 9 4 3 2 3" xfId="12228" xr:uid="{F9831BBB-A824-4598-9C55-0495E94FAF97}"/>
    <cellStyle name="Normal 9 4 3 2 3 2" xfId="22608" xr:uid="{C9B6B6FA-8C30-4523-A241-ADB70A96337F}"/>
    <cellStyle name="Normal 9 4 3 2 4" xfId="26259" xr:uid="{D7C51A85-EB7B-4A9C-AC0A-4D85AC1FC5DC}"/>
    <cellStyle name="Normal 9 4 3 2 5" xfId="16942" xr:uid="{62A1CEC6-12B5-4A67-98AB-A960BF8D525A}"/>
    <cellStyle name="Normal 9 4 3 3" xfId="6586" xr:uid="{709A4854-25AE-4DE8-92A4-7CDF8CA896BA}"/>
    <cellStyle name="Normal 9 4 3 3 2" xfId="28750" xr:uid="{DEAB3929-7210-4AAD-AB6C-72A5C3E8B772}"/>
    <cellStyle name="Normal 9 4 3 3 3" xfId="16159" xr:uid="{41D23587-A1CD-42E3-8D10-541F28A4120E}"/>
    <cellStyle name="Normal 9 4 3 4" xfId="8612" xr:uid="{EF433E80-920F-475E-9879-EBBBA3AFB382}"/>
    <cellStyle name="Normal 9 4 3 4 2" xfId="18992" xr:uid="{8DA7551E-BC45-4076-88A8-EADD931B634A}"/>
    <cellStyle name="Normal 9 4 3 5" xfId="11445" xr:uid="{3C7C2363-AF15-4A02-B5AC-FCE10678717B}"/>
    <cellStyle name="Normal 9 4 3 5 2" xfId="21825" xr:uid="{D563CF46-009F-498D-AD28-F52900BD44D6}"/>
    <cellStyle name="Normal 9 4 3 6" xfId="24828" xr:uid="{55EB0F15-01F9-49BA-99A2-5F2C73CA7093}"/>
    <cellStyle name="Normal 9 4 3 7" xfId="14133" xr:uid="{FCB1673D-2BA0-4D6E-A953-52829FDA7918}"/>
    <cellStyle name="Normal 9 4 4" xfId="3532" xr:uid="{00000000-0005-0000-0000-000084090000}"/>
    <cellStyle name="Normal 9 4 4 2" xfId="6584" xr:uid="{BD004F5F-C7C6-40CC-A6AE-7410E5D1A824}"/>
    <cellStyle name="Normal 9 4 4 2 2" xfId="26565" xr:uid="{445DCF4F-D88D-420F-AE39-77F1659F1003}"/>
    <cellStyle name="Normal 9 4 4 2 3" xfId="16157" xr:uid="{F00361A1-2E19-4EE4-B64E-6C311B0B4E5D}"/>
    <cellStyle name="Normal 9 4 4 3" xfId="8610" xr:uid="{EEB1AF0B-4B36-47EE-ACA1-CA21E2921727}"/>
    <cellStyle name="Normal 9 4 4 3 2" xfId="18990" xr:uid="{CF05D4AB-D75A-434F-B8CB-23591E79271E}"/>
    <cellStyle name="Normal 9 4 4 4" xfId="11443" xr:uid="{17DE6266-DB80-4203-9B2E-3E7A583B49CC}"/>
    <cellStyle name="Normal 9 4 4 4 2" xfId="21823" xr:uid="{17782EB0-D8ED-4B60-A071-E6371DA60D49}"/>
    <cellStyle name="Normal 9 4 4 5" xfId="23697" xr:uid="{977B99C4-6963-49D3-88DE-5E769C99F825}"/>
    <cellStyle name="Normal 9 4 4 6" xfId="14131" xr:uid="{9575704D-7B07-42B9-97F4-5DC8C68AC4C3}"/>
    <cellStyle name="Normal 9 4 5" xfId="2570" xr:uid="{00000000-0005-0000-0000-000080090000}"/>
    <cellStyle name="Normal 9 4 5 2" xfId="7695" xr:uid="{D3AB3A06-0A8D-4FE5-8592-ACFC5D61747F}"/>
    <cellStyle name="Normal 9 4 5 2 2" xfId="26223" xr:uid="{3DFDD03D-6021-4EFC-9A07-AF272C31E3D5}"/>
    <cellStyle name="Normal 9 4 5 2 3" xfId="18075" xr:uid="{8424DDCB-D3D6-4610-84D0-4AB218E6028A}"/>
    <cellStyle name="Normal 9 4 5 3" xfId="10528" xr:uid="{59D689A0-63B1-4B27-8D36-A398DF463194}"/>
    <cellStyle name="Normal 9 4 5 3 2" xfId="20908" xr:uid="{CC1D84D3-2ADD-4ACB-806D-5A2C8AB189D3}"/>
    <cellStyle name="Normal 9 4 5 4" xfId="22723" xr:uid="{A8FA1EA3-74A6-44A7-B153-321F80FAF260}"/>
    <cellStyle name="Normal 9 4 5 5" xfId="15242" xr:uid="{6923A4FE-DFFE-42DE-BCFB-95F4205F91B0}"/>
    <cellStyle name="Normal 9 4 6" xfId="4093" xr:uid="{4C828E4D-4894-4E57-99BB-5A30CE109BA9}"/>
    <cellStyle name="Normal 9 4 7" xfId="5533" xr:uid="{046B55AD-73C4-4E32-BA01-C1D2261765B1}"/>
    <cellStyle name="Normal 9 4 8" xfId="24875" xr:uid="{01617755-5A5A-4FF4-9CDD-9B8F02E162F4}"/>
    <cellStyle name="Normal 9 4 9" xfId="12958" xr:uid="{56E10DEF-E986-4612-85AD-C89FCA2318C8}"/>
    <cellStyle name="Normal 9 5" xfId="2161" xr:uid="{00000000-0005-0000-0000-00006C090000}"/>
    <cellStyle name="Normal 9 5 2" xfId="7288" xr:uid="{48B1AB87-07EC-4708-A87F-BFEE6D70400C}"/>
    <cellStyle name="Normal 9 5 2 2" xfId="17668" xr:uid="{99750353-F84F-41CC-9D12-E9DF9791E743}"/>
    <cellStyle name="Normal 9 5 3" xfId="10121" xr:uid="{7B1C32B0-D64A-48CC-AB10-9CBEFF18AC64}"/>
    <cellStyle name="Normal 9 5 3 2" xfId="20501" xr:uid="{E2A9CE1F-D70C-49E0-92BC-8C975A13128A}"/>
    <cellStyle name="Normal 9 5 4" xfId="22654" xr:uid="{FAD6C661-6B02-49D5-B470-1B52C90F26FA}"/>
    <cellStyle name="Normal 9 5 5" xfId="14835" xr:uid="{A9414641-2CAD-449B-8E34-2988A3AFB52A}"/>
    <cellStyle name="Normal 9 6" xfId="3786" xr:uid="{7F99DCEA-5481-4BF7-BFA1-F0B9667711FC}"/>
    <cellStyle name="Normal 9 6 2" xfId="8625" xr:uid="{04644E91-D4F2-4E90-802A-D4BE1DA78842}"/>
    <cellStyle name="Normal 9 6 2 2" xfId="19005" xr:uid="{98C3F4B8-94E7-4ECF-8817-1842479D7328}"/>
    <cellStyle name="Normal 9 6 3" xfId="11458" xr:uid="{50C24F86-DFBA-48D7-B0FD-CC68BF9E68F3}"/>
    <cellStyle name="Normal 9 6 3 2" xfId="21838" xr:uid="{2BE6A829-53DF-4DAA-B27E-D543C2800171}"/>
    <cellStyle name="Normal 9 6 4" xfId="16172" xr:uid="{62E24887-F48C-495C-93BD-ED141F1E8F38}"/>
    <cellStyle name="Normal 9 7" xfId="25343" xr:uid="{A5091A5E-C58C-46C0-B0F2-F1E868FE7B1F}"/>
    <cellStyle name="Normal 9 8" xfId="12393" xr:uid="{2F324892-497B-4106-B928-7477EEF26617}"/>
    <cellStyle name="Normal_98AFRCOU" xfId="1540" xr:uid="{00000000-0005-0000-0000-0000DD070000}"/>
    <cellStyle name="Note" xfId="29485" builtinId="10" customBuiltin="1"/>
    <cellStyle name="Note 2" xfId="1541" xr:uid="{00000000-0005-0000-0000-0000DE070000}"/>
    <cellStyle name="Note 3" xfId="1542" xr:uid="{00000000-0005-0000-0000-0000DF070000}"/>
    <cellStyle name="Note 4" xfId="1543" xr:uid="{00000000-0005-0000-0000-0000E0070000}"/>
    <cellStyle name="Note 4 2" xfId="1544" xr:uid="{00000000-0005-0000-0000-0000E1070000}"/>
    <cellStyle name="Note 4 2 2" xfId="3536" xr:uid="{00000000-0005-0000-0000-00008A090000}"/>
    <cellStyle name="Note 4 2 3" xfId="3535" xr:uid="{00000000-0005-0000-0000-00008B090000}"/>
    <cellStyle name="Note 4 2 4" xfId="3769" xr:uid="{00000000-0005-0000-0000-0000E60E0000}"/>
    <cellStyle name="Note 4 2 4 2" xfId="4802" xr:uid="{E4762291-6E3E-40C0-B2A3-FBA7791D5340}"/>
    <cellStyle name="Note 4 2 4 3" xfId="29783" xr:uid="{C20B03F6-BDA8-45DE-A37C-D7FF3B1D13E2}"/>
    <cellStyle name="Note 4 3" xfId="1545" xr:uid="{00000000-0005-0000-0000-0000E2070000}"/>
    <cellStyle name="Note 4 4" xfId="2073" xr:uid="{00000000-0005-0000-0000-000049030000}"/>
    <cellStyle name="Note 4 4 2" xfId="4791" xr:uid="{EAC7EE03-6B36-4A5D-889D-B815EC9F9048}"/>
    <cellStyle name="Note 4 4 3" xfId="29662" xr:uid="{D71F17AC-2A4C-4428-BFCB-0543915B918B}"/>
    <cellStyle name="Note 4 5" xfId="29583" xr:uid="{24FEBD0B-5ABA-49D8-AC25-4DA966B23BF8}"/>
    <cellStyle name="Note 5" xfId="12255" xr:uid="{E1364BB4-A0A2-46F5-BB38-05901CCE3206}"/>
    <cellStyle name="Note 5 2" xfId="22634" xr:uid="{E297CF68-B359-40C9-8CC6-73BC50F6502C}"/>
    <cellStyle name="Output" xfId="4834" builtinId="21" customBuiltin="1"/>
    <cellStyle name="Output 2" xfId="1546" xr:uid="{00000000-0005-0000-0000-0000E3070000}"/>
    <cellStyle name="Output 3" xfId="1547" xr:uid="{00000000-0005-0000-0000-0000E4070000}"/>
    <cellStyle name="Output 4" xfId="29584" xr:uid="{21477E6D-748E-44EB-8B95-20ACDB027665}"/>
    <cellStyle name="Percent" xfId="4688" builtinId="5"/>
    <cellStyle name="Percent 2" xfId="1548" xr:uid="{00000000-0005-0000-0000-0000E5070000}"/>
    <cellStyle name="Percent 2 2" xfId="1549" xr:uid="{00000000-0005-0000-0000-0000E6070000}"/>
    <cellStyle name="Percent 2 3" xfId="29585" xr:uid="{8FB87725-886D-4A62-BBA8-4FA9FB880D61}"/>
    <cellStyle name="Percent 3" xfId="1550" xr:uid="{00000000-0005-0000-0000-0000E7070000}"/>
    <cellStyle name="Percent 3 2" xfId="2034" xr:uid="{00000000-0005-0000-0000-0000E8070000}"/>
    <cellStyle name="Percent 3 2 2" xfId="24401" xr:uid="{D0B85497-BCB7-44B3-90B9-F34C3207B46F}"/>
    <cellStyle name="Percent 3 2 2 2" xfId="30057" xr:uid="{E2093ED7-FE30-4346-B977-0461DF758F23}"/>
    <cellStyle name="Percent 3 2 3" xfId="24242" xr:uid="{2ACE85BF-3B3C-4EA3-8A82-C46C5C94E5DC}"/>
    <cellStyle name="Percent 3 3" xfId="2035" xr:uid="{00000000-0005-0000-0000-0000E9070000}"/>
    <cellStyle name="Percent 3 4" xfId="2033" xr:uid="{00000000-0005-0000-0000-0000EA070000}"/>
    <cellStyle name="Percent 4" xfId="1551" xr:uid="{00000000-0005-0000-0000-0000EB070000}"/>
    <cellStyle name="Percent 4 2" xfId="2037" xr:uid="{00000000-0005-0000-0000-0000EC070000}"/>
    <cellStyle name="Percent 4 2 2" xfId="23974" xr:uid="{3D5953F1-0414-4A51-AC1F-E6AE4C07AB66}"/>
    <cellStyle name="Percent 4 2 3" xfId="24013" xr:uid="{9AB4939D-81EC-45A0-9E96-F84B5E767B13}"/>
    <cellStyle name="Percent 4 2 3 2" xfId="26254" xr:uid="{612B2D42-1583-4D21-9F42-EDA025DC0AD4}"/>
    <cellStyle name="Percent 4 2 4" xfId="26987" xr:uid="{DFB60D8F-26B9-473A-B2A8-273B02C7C121}"/>
    <cellStyle name="Percent 4 2 4 2" xfId="30232" xr:uid="{B3B1B381-B6EF-4C3D-8296-2C91E558ABAD}"/>
    <cellStyle name="Percent 4 2 5" xfId="29843" xr:uid="{24E16177-CA65-4439-BDD0-AF8A3F907416}"/>
    <cellStyle name="Percent 4 3" xfId="2038" xr:uid="{00000000-0005-0000-0000-0000ED070000}"/>
    <cellStyle name="Percent 4 3 2" xfId="29967" xr:uid="{328BD9DE-A4E1-4357-9402-5F99AF765B04}"/>
    <cellStyle name="Percent 4 3 3" xfId="29863" xr:uid="{F30AE34D-EB8B-4433-A205-C6C678F67DBA}"/>
    <cellStyle name="Percent 4 4" xfId="2036" xr:uid="{00000000-0005-0000-0000-0000EE070000}"/>
    <cellStyle name="Percent 4 5" xfId="7282" xr:uid="{8AFD0532-DAAC-4CC5-8537-37606C82DB78}"/>
    <cellStyle name="Percent 4 5 2" xfId="25891" xr:uid="{1A8E5282-CE1D-4D4E-85FD-913D5186C1AC}"/>
    <cellStyle name="Percent 4 5 3" xfId="25884" xr:uid="{AA898F48-4AB1-40ED-BED1-55205C40C2A5}"/>
    <cellStyle name="Percent 4 5 4" xfId="17662" xr:uid="{0AADF521-5DF8-4311-9F60-1E2176D34492}"/>
    <cellStyle name="Percent 4 6" xfId="10115" xr:uid="{4A3FF93C-FD9D-4025-A9D7-7CEA5C104B48}"/>
    <cellStyle name="Percent 4 6 2" xfId="20495" xr:uid="{6790D28D-0042-4B4F-9DF6-8B322E2586BC}"/>
    <cellStyle name="Percent 4 7" xfId="24050" xr:uid="{7CECC7AA-AA51-4FB3-B6EC-E3317F803511}"/>
    <cellStyle name="Percent 4 8" xfId="14829" xr:uid="{1951CFB1-FCD7-40D5-B863-4C9853147FBB}"/>
    <cellStyle name="Percent 5" xfId="28299" xr:uid="{72E839A7-A148-448C-A765-AC2E6CA59B2F}"/>
    <cellStyle name="Percent 5 2" xfId="26976" xr:uid="{2C5C650A-5D15-4675-9FCC-99B898ECCC9D}"/>
    <cellStyle name="Percent 5 3" xfId="28139" xr:uid="{D1DC45A5-B040-4E5C-A556-A2D33FF6D90B}"/>
    <cellStyle name="Percent 6" xfId="25979" xr:uid="{A1FF1390-0FA3-4008-B473-9B82672BD5AC}"/>
    <cellStyle name="ReportHeaderRowCol.*" xfId="12347" xr:uid="{C5553A5B-9BB7-4BBD-A560-40C47E9C3BBD}"/>
    <cellStyle name="ReportHeaderRowCol.1" xfId="12348" xr:uid="{D08F8B86-DD1D-4AE6-BFA1-285E019C4777}"/>
    <cellStyle name="ReportHeaderRowCol.2" xfId="12349" xr:uid="{245F5C6F-625E-4B32-AA42-D06EFDBE8C8D}"/>
    <cellStyle name="ReportHeaderRowCol.Date" xfId="12350" xr:uid="{2F4FB8EC-EED6-4387-9B41-152B112A05DC}"/>
    <cellStyle name="Sheet Title" xfId="1552" xr:uid="{00000000-0005-0000-0000-0000EF070000}"/>
    <cellStyle name="Style 1" xfId="1553" xr:uid="{00000000-0005-0000-0000-0000F0070000}"/>
    <cellStyle name="Style 1 2" xfId="1554" xr:uid="{00000000-0005-0000-0000-0000F1070000}"/>
    <cellStyle name="Style 1 2 2" xfId="2040" xr:uid="{00000000-0005-0000-0000-0000F2070000}"/>
    <cellStyle name="Style 1 2 2 2" xfId="25790" xr:uid="{A12F3BA5-19BE-4578-A78D-C3AD0942838D}"/>
    <cellStyle name="Style 1 2 2 2 2" xfId="30041" xr:uid="{421AD2B3-FAE1-4E8F-9864-6B2775C41FC3}"/>
    <cellStyle name="Style 1 2 2 3" xfId="25778" xr:uid="{C9F19B91-F5E5-4CD7-BE8E-78C05D2BCD6F}"/>
    <cellStyle name="Style 1 2 3" xfId="2041" xr:uid="{00000000-0005-0000-0000-0000F3070000}"/>
    <cellStyle name="Style 1 2 4" xfId="2039" xr:uid="{00000000-0005-0000-0000-0000F4070000}"/>
    <cellStyle name="Style 1 3" xfId="1555" xr:uid="{00000000-0005-0000-0000-0000F5070000}"/>
    <cellStyle name="Style 1 4" xfId="2042" xr:uid="{00000000-0005-0000-0000-0000F6070000}"/>
    <cellStyle name="Style 1 4 2" xfId="24410" xr:uid="{ED030EBF-D663-412E-B3DF-AF45BED2AFE5}"/>
    <cellStyle name="Style 1 4 2 2" xfId="30062" xr:uid="{BC10B548-C2F4-4BBE-8000-1D10DA950185}"/>
    <cellStyle name="Style 1 4 3" xfId="25651" xr:uid="{8568525C-B3AA-4170-9749-B4F90608AC98}"/>
    <cellStyle name="SubgroupSectionHeaderRowBalanceCol" xfId="12351" xr:uid="{2486F5B8-EF2C-4F49-B7A9-6FE34665450E}"/>
    <cellStyle name="SubgroupSectionHeaderRowDescCol" xfId="12352" xr:uid="{EB63FB77-6717-4B2A-8483-32BC8EF761CB}"/>
    <cellStyle name="SubgroupSectionHeaderRowNameCol" xfId="12353" xr:uid="{133E4BCF-AEFE-4D67-8FAE-84F36222B17A}"/>
    <cellStyle name="SubGroupSelectionHeaderRowJERefCol" xfId="12354" xr:uid="{023FCD31-332C-4B91-B5C7-3A04E2EC629E}"/>
    <cellStyle name="SubgroupSubtotalRowBalanceCol" xfId="12355" xr:uid="{FC50FD76-B8D2-41F3-9A56-186D7D35B0DB}"/>
    <cellStyle name="SubgroupSubtotalRowDescCol" xfId="12356" xr:uid="{51DA7A1D-81F0-484C-85DF-0B8D98A0C317}"/>
    <cellStyle name="SubgroupSubtotalRowJERefCol" xfId="12357" xr:uid="{A22CF7F1-55DA-4319-BF62-5115CCBDE54C}"/>
    <cellStyle name="SubgroupSubtotalRowNameCol" xfId="12358" xr:uid="{4BA6961C-F727-43FD-B8E8-D5977B74A43F}"/>
    <cellStyle name="SubgroupSubtotalRowVarPectCol" xfId="12359" xr:uid="{C4DA33E5-1A1C-4237-9C31-25A90021DA8F}"/>
    <cellStyle name="SubgroupSubtotalRowWPRefCol" xfId="12360" xr:uid="{7D6FD639-BAA3-434B-86C1-FD6A5966D36C}"/>
    <cellStyle name="SumAccountGroupsRowBalanceCol" xfId="12361" xr:uid="{D309FDF4-9D10-423F-B0C9-B787392FEB2C}"/>
    <cellStyle name="SumAccountGroupsRowDescCol" xfId="12362" xr:uid="{A455F51D-B791-4F0C-84FB-C6EB4385F2F6}"/>
    <cellStyle name="SumAccountGroupsRowJERefCol" xfId="12363" xr:uid="{9E0B1F97-5F81-4AC9-A03F-E58A52D8DEAB}"/>
    <cellStyle name="SumAccountGroupsRowNameCol" xfId="12364" xr:uid="{ECFB7BB2-DE4A-49ED-A01B-E4EC23C3AEEA}"/>
    <cellStyle name="SumAccountGroupsRowVarPectCol" xfId="12365" xr:uid="{2CB09599-6046-4A6D-AD9A-5879A6ECD17F}"/>
    <cellStyle name="SumAccountGroupsRowWPRefCol" xfId="12366" xr:uid="{E9832BA7-7D80-4557-8BF2-BA3E154AEFBA}"/>
    <cellStyle name="Title 2" xfId="29586" xr:uid="{520977F4-FB37-4751-810D-2DC604BEDA25}"/>
    <cellStyle name="Total" xfId="4839" builtinId="25" customBuiltin="1"/>
    <cellStyle name="Total 2" xfId="1556" xr:uid="{00000000-0005-0000-0000-0000F7070000}"/>
    <cellStyle name="Total 2 2" xfId="28407" xr:uid="{C9725059-9506-467C-9DA8-A5570A6EB449}"/>
    <cellStyle name="Total 3" xfId="1557" xr:uid="{00000000-0005-0000-0000-0000F8070000}"/>
    <cellStyle name="Total 3 2" xfId="28515" xr:uid="{E0842ADF-D23F-4EB4-A4B0-ABA700B8C9AA}"/>
    <cellStyle name="Total 4" xfId="29587" xr:uid="{04D27A19-760A-42F6-B7D4-EDC80EAEB7D4}"/>
    <cellStyle name="TotalRow" xfId="12367" xr:uid="{368DF3C5-E2E3-458E-8DC0-01E474DBC9D4}"/>
    <cellStyle name="TotalRowCreditCol" xfId="12368" xr:uid="{354CA086-73FA-40BD-B53D-F97A90D9F4C8}"/>
    <cellStyle name="TotalRowDebitCol" xfId="12369" xr:uid="{B9DDDD89-057C-46A7-A1DA-948D864BD18F}"/>
    <cellStyle name="TransactionRowAcctDescCol" xfId="12370" xr:uid="{B23A5ACB-5A6A-4F40-A185-FA9DBCC6D402}"/>
    <cellStyle name="TransactionRowAcctNumCol" xfId="12371" xr:uid="{D046DBB7-B681-4901-804F-F53E917D0FFB}"/>
    <cellStyle name="TransactionRowCreditCol" xfId="12372" xr:uid="{1C803F8A-FF28-47CD-B0D6-39C8B54BE3DE}"/>
    <cellStyle name="TransactionRowDateCol" xfId="12373" xr:uid="{B31CE901-7BEE-41DB-B77F-E4CB513C6E1B}"/>
    <cellStyle name="TransactionRowDebitCol" xfId="12374" xr:uid="{3BF7116B-D56D-4029-99D4-28960EA3D0C6}"/>
    <cellStyle name="TransactionRowRefCol" xfId="12375" xr:uid="{BB2D8ADD-87CF-4830-91B2-E70C82C8EAB2}"/>
    <cellStyle name="TransactionRowTransactionCol" xfId="12376" xr:uid="{4C57D201-3FD2-4DD9-9771-9A294954D155}"/>
    <cellStyle name="UnclassifiedTotalRowBalanceCol" xfId="12377" xr:uid="{87BFD706-C80F-429A-8641-626203E9372F}"/>
    <cellStyle name="UnclassifiedTotalRowDescCol" xfId="12378" xr:uid="{77546543-8240-44AD-890C-EA95558E2181}"/>
    <cellStyle name="UnclassifiedTotalRowJERefCol" xfId="12379" xr:uid="{4D713AA6-1BB7-453F-94AA-9E3900AB6601}"/>
    <cellStyle name="UnclassifiedTotalRowNameCol" xfId="12380" xr:uid="{B7782CED-7BF6-41F9-A4DC-98F8F8371F3B}"/>
    <cellStyle name="UnclassifiedTotalRowVarPectCol" xfId="12381" xr:uid="{7679CCCA-11A6-43F8-BF3E-0EE82B70C712}"/>
    <cellStyle name="UnclassifiedTotalRowWPRefCol" xfId="12382" xr:uid="{C305EFCB-FF5E-4A3A-AE0E-14DFF20EC04A}"/>
    <cellStyle name="Warning Text" xfId="4838" builtinId="11" customBuiltin="1"/>
    <cellStyle name="Warning Text 2" xfId="1558" xr:uid="{00000000-0005-0000-0000-0000F9070000}"/>
    <cellStyle name="Warning Text 2 2" xfId="28175" xr:uid="{9077D266-AF6F-45FE-8FA8-56E0DF6405C7}"/>
    <cellStyle name="Warning Text 3" xfId="1559" xr:uid="{00000000-0005-0000-0000-0000FA070000}"/>
    <cellStyle name="Warning Text 3 2" xfId="26321" xr:uid="{863219B2-3F6B-42C2-9293-5ECE21D108FD}"/>
    <cellStyle name="Warning Text 4" xfId="29588" xr:uid="{FACD3194-E29A-43C7-BDFC-8831BAA9308A}"/>
  </cellStyles>
  <dxfs count="7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numFmt numFmtId="182" formatCode=";;;"/>
    </dxf>
    <dxf>
      <numFmt numFmtId="182" formatCode=";;;"/>
    </dxf>
    <dxf>
      <numFmt numFmtId="182" formatCode=";;;"/>
    </dxf>
    <dxf>
      <numFmt numFmtId="182" formatCode=";;;"/>
    </dxf>
    <dxf>
      <numFmt numFmtId="182" formatCode=";;;"/>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FF99"/>
        </patternFill>
      </fill>
    </dxf>
    <dxf>
      <fill>
        <patternFill>
          <bgColor theme="7" tint="0.79998168889431442"/>
        </patternFill>
      </fill>
    </dxf>
    <dxf>
      <fill>
        <patternFill>
          <bgColor theme="7" tint="0.79998168889431442"/>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74"/>
      <tableStyleElement type="headerRow" dxfId="73"/>
      <tableStyleElement type="firstRowStripe" dxfId="72"/>
    </tableStyle>
  </tableStyles>
  <colors>
    <mruColors>
      <color rgb="FFFFFFCC"/>
      <color rgb="FFCC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6</xdr:row>
      <xdr:rowOff>0</xdr:rowOff>
    </xdr:from>
    <xdr:ext cx="8190476" cy="5695238"/>
    <xdr:pic>
      <xdr:nvPicPr>
        <xdr:cNvPr id="2" name="Picture 1">
          <a:extLst>
            <a:ext uri="{FF2B5EF4-FFF2-40B4-BE49-F238E27FC236}">
              <a16:creationId xmlns:a16="http://schemas.microsoft.com/office/drawing/2014/main" id="{7DAF420F-8DD5-4002-BC75-E984291B8852}"/>
            </a:ext>
          </a:extLst>
        </xdr:cNvPr>
        <xdr:cNvPicPr>
          <a:picLocks noChangeAspect="1"/>
        </xdr:cNvPicPr>
      </xdr:nvPicPr>
      <xdr:blipFill>
        <a:blip xmlns:r="http://schemas.openxmlformats.org/officeDocument/2006/relationships" r:embed="rId1"/>
        <a:stretch>
          <a:fillRect/>
        </a:stretch>
      </xdr:blipFill>
      <xdr:spPr>
        <a:xfrm>
          <a:off x="609600" y="1143000"/>
          <a:ext cx="8190476" cy="5695238"/>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treasurer.com/state-and-local-government-finance-division/local-government-commission/submitting-your-audit"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lib/item/north-carolina-water-and-wastewater-rates-dashboard" TargetMode="External"/><Relationship Id="rId4"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8.bin"/><Relationship Id="rId1" Type="http://schemas.openxmlformats.org/officeDocument/2006/relationships/hyperlink" Target="https://files.nc.gov/nctreasurer/documents/files/SLGFD/Memos/2020-09.pdf"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file:///\\dst-flsp4A\Share\LGC\publish\AFIRProduction\CCH_Upload" TargetMode="External"/><Relationship Id="rId1" Type="http://schemas.openxmlformats.org/officeDocument/2006/relationships/hyperlink" Target="file:///\\dst-flsp4A\Share\lgc\publish\AFIRTest\CCH_UploadTes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11D96-86B6-474C-AB64-C97342BA6F43}">
  <dimension ref="A1:D43"/>
  <sheetViews>
    <sheetView zoomScaleNormal="100" workbookViewId="0">
      <selection activeCell="F2" sqref="F2"/>
    </sheetView>
  </sheetViews>
  <sheetFormatPr defaultRowHeight="15" x14ac:dyDescent="0.25"/>
  <cols>
    <col min="1" max="1" width="1.7109375" style="833" customWidth="1"/>
    <col min="2" max="2" width="159.7109375" style="833" customWidth="1"/>
    <col min="3" max="4" width="9.140625" style="833" hidden="1" customWidth="1"/>
    <col min="5" max="5" width="2.28515625" style="833" customWidth="1"/>
    <col min="6" max="7" width="8.140625" style="833" customWidth="1"/>
    <col min="8" max="16384" width="9.140625" style="833"/>
  </cols>
  <sheetData>
    <row r="1" spans="2:2" ht="15.75" customHeight="1" thickBot="1" x14ac:dyDescent="0.3">
      <c r="B1" s="884"/>
    </row>
    <row r="2" spans="2:2" ht="53.25" customHeight="1" thickBot="1" x14ac:dyDescent="0.3">
      <c r="B2" s="885" t="s">
        <v>1224</v>
      </c>
    </row>
    <row r="3" spans="2:2" ht="91.5" customHeight="1" x14ac:dyDescent="0.25">
      <c r="B3" s="918" t="s">
        <v>1225</v>
      </c>
    </row>
    <row r="4" spans="2:2" ht="48" customHeight="1" x14ac:dyDescent="0.25">
      <c r="B4" s="886" t="s">
        <v>1226</v>
      </c>
    </row>
    <row r="5" spans="2:2" ht="31.5" customHeight="1" x14ac:dyDescent="0.25">
      <c r="B5" s="887" t="s">
        <v>1227</v>
      </c>
    </row>
    <row r="6" spans="2:2" ht="15.75" customHeight="1" x14ac:dyDescent="0.25">
      <c r="B6" s="884"/>
    </row>
    <row r="7" spans="2:2" ht="31.5" x14ac:dyDescent="0.25">
      <c r="B7" s="888" t="s">
        <v>1228</v>
      </c>
    </row>
    <row r="8" spans="2:2" ht="15.75" customHeight="1" x14ac:dyDescent="0.25">
      <c r="B8" s="884"/>
    </row>
    <row r="9" spans="2:2" ht="31.5" x14ac:dyDescent="0.25">
      <c r="B9" s="888" t="s">
        <v>1229</v>
      </c>
    </row>
    <row r="10" spans="2:2" x14ac:dyDescent="0.25">
      <c r="B10" s="884"/>
    </row>
    <row r="11" spans="2:2" ht="33" customHeight="1" x14ac:dyDescent="0.25">
      <c r="B11" s="887" t="s">
        <v>1230</v>
      </c>
    </row>
    <row r="12" spans="2:2" x14ac:dyDescent="0.25">
      <c r="B12" s="884"/>
    </row>
    <row r="13" spans="2:2" ht="15.75" x14ac:dyDescent="0.25">
      <c r="B13" s="889" t="s">
        <v>1231</v>
      </c>
    </row>
    <row r="14" spans="2:2" x14ac:dyDescent="0.25">
      <c r="B14" s="884"/>
    </row>
    <row r="15" spans="2:2" ht="39" customHeight="1" x14ac:dyDescent="0.25">
      <c r="B15" s="890" t="s">
        <v>1249</v>
      </c>
    </row>
    <row r="16" spans="2:2" ht="11.25" customHeight="1" x14ac:dyDescent="0.25">
      <c r="B16" s="890"/>
    </row>
    <row r="17" spans="1:4" ht="53.25" customHeight="1" x14ac:dyDescent="0.25">
      <c r="B17" s="890" t="s">
        <v>1250</v>
      </c>
    </row>
    <row r="18" spans="1:4" ht="15" customHeight="1" x14ac:dyDescent="0.25">
      <c r="B18" s="919" t="s">
        <v>1251</v>
      </c>
    </row>
    <row r="19" spans="1:4" x14ac:dyDescent="0.25">
      <c r="B19" s="884"/>
    </row>
    <row r="20" spans="1:4" ht="47.25" x14ac:dyDescent="0.25">
      <c r="B20" s="888" t="s">
        <v>1232</v>
      </c>
    </row>
    <row r="21" spans="1:4" x14ac:dyDescent="0.25">
      <c r="B21" s="884"/>
    </row>
    <row r="22" spans="1:4" ht="31.5" x14ac:dyDescent="0.25">
      <c r="B22" s="888" t="s">
        <v>1233</v>
      </c>
    </row>
    <row r="23" spans="1:4" x14ac:dyDescent="0.25">
      <c r="B23" s="884"/>
    </row>
    <row r="24" spans="1:4" ht="32.450000000000003" customHeight="1" x14ac:dyDescent="0.25">
      <c r="B24" s="891" t="s">
        <v>1234</v>
      </c>
    </row>
    <row r="25" spans="1:4" ht="15.75" customHeight="1" x14ac:dyDescent="0.25">
      <c r="A25" s="884"/>
      <c r="B25" s="884"/>
      <c r="C25" s="884"/>
      <c r="D25" s="884"/>
    </row>
    <row r="26" spans="1:4" x14ac:dyDescent="0.25">
      <c r="B26" s="892" t="s">
        <v>42</v>
      </c>
    </row>
    <row r="27" spans="1:4" x14ac:dyDescent="0.25">
      <c r="B27" s="893" t="s">
        <v>787</v>
      </c>
    </row>
    <row r="28" spans="1:4" ht="15.75" customHeight="1" x14ac:dyDescent="0.25">
      <c r="B28" s="884"/>
    </row>
    <row r="29" spans="1:4" x14ac:dyDescent="0.25">
      <c r="B29" s="892" t="s">
        <v>43</v>
      </c>
    </row>
    <row r="30" spans="1:4" x14ac:dyDescent="0.25">
      <c r="B30" s="894" t="s">
        <v>774</v>
      </c>
    </row>
    <row r="31" spans="1:4" ht="15.75" customHeight="1" x14ac:dyDescent="0.25">
      <c r="B31" s="884"/>
    </row>
    <row r="32" spans="1:4" ht="32.450000000000003" customHeight="1" x14ac:dyDescent="0.25">
      <c r="B32" s="895" t="s">
        <v>1235</v>
      </c>
    </row>
    <row r="33" spans="2:2" ht="63" x14ac:dyDescent="0.25">
      <c r="B33" s="888" t="s">
        <v>1236</v>
      </c>
    </row>
    <row r="34" spans="2:2" ht="24" customHeight="1" x14ac:dyDescent="0.25">
      <c r="B34" s="884"/>
    </row>
    <row r="35" spans="2:2" ht="87" customHeight="1" x14ac:dyDescent="0.25">
      <c r="B35" s="888" t="s">
        <v>961</v>
      </c>
    </row>
    <row r="36" spans="2:2" ht="15.75" customHeight="1" x14ac:dyDescent="0.25">
      <c r="B36" s="884"/>
    </row>
    <row r="37" spans="2:2" ht="78" customHeight="1" x14ac:dyDescent="0.25">
      <c r="B37" s="888" t="s">
        <v>1237</v>
      </c>
    </row>
    <row r="38" spans="2:2" ht="15.75" customHeight="1" x14ac:dyDescent="0.25">
      <c r="B38" s="888"/>
    </row>
    <row r="39" spans="2:2" ht="21.75" customHeight="1" x14ac:dyDescent="0.25">
      <c r="B39" s="896" t="s">
        <v>1238</v>
      </c>
    </row>
    <row r="41" spans="2:2" ht="15.75" x14ac:dyDescent="0.25">
      <c r="B41" s="37"/>
    </row>
    <row r="42" spans="2:2" ht="15.75" x14ac:dyDescent="0.25">
      <c r="B42" s="37"/>
    </row>
    <row r="43" spans="2:2" ht="15.75" x14ac:dyDescent="0.25">
      <c r="B43" s="37"/>
    </row>
  </sheetData>
  <sheetProtection algorithmName="SHA-512" hashValue="Es7Gw3hF3kmHBLywm6PseCTwcK225L8k/e/ARRfscPrCtujcTHSg69HTvBywESaml2UFRBM0xnEi5ecy/+x/ww==" saltValue="G9y3Mt/DvgN3AaOKctDaJw==" spinCount="100000" sheet="1" formatCells="0" formatColumns="0" formatRows="0"/>
  <hyperlinks>
    <hyperlink ref="B27" r:id="rId1" xr:uid="{0580C5AD-D024-4C0D-B1F5-A6DAA0E92F04}"/>
    <hyperlink ref="B30" r:id="rId2" xr:uid="{393095A1-45E2-47C8-B2A1-BE22AE42FB65}"/>
    <hyperlink ref="B18" r:id="rId3" xr:uid="{CA0495CF-A0A1-46D3-AC6F-B911A3BDC793}"/>
  </hyperlinks>
  <pageMargins left="0.7" right="0.7" top="0.75" bottom="0.75" header="0.3" footer="0.3"/>
  <pageSetup orientation="portrait"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79"/>
  <sheetViews>
    <sheetView workbookViewId="0">
      <selection sqref="A1:A79"/>
    </sheetView>
  </sheetViews>
  <sheetFormatPr defaultRowHeight="15" x14ac:dyDescent="0.25"/>
  <cols>
    <col min="1" max="1" width="28.5703125" style="1" customWidth="1"/>
    <col min="2" max="16384" width="9.140625" style="1"/>
  </cols>
  <sheetData>
    <row r="1" spans="1:9" x14ac:dyDescent="0.25">
      <c r="A1" s="833" t="s">
        <v>1105</v>
      </c>
      <c r="B1" s="833">
        <v>50129</v>
      </c>
      <c r="C1" s="240"/>
      <c r="D1" s="242"/>
      <c r="E1" s="242"/>
      <c r="G1" s="1">
        <v>100</v>
      </c>
      <c r="I1" s="1" t="s">
        <v>710</v>
      </c>
    </row>
    <row r="2" spans="1:9" ht="15" customHeight="1" x14ac:dyDescent="0.25">
      <c r="A2" s="833" t="s">
        <v>1106</v>
      </c>
      <c r="B2" s="833">
        <v>50130</v>
      </c>
      <c r="C2" s="240"/>
      <c r="D2" s="241"/>
      <c r="E2" s="242"/>
      <c r="G2" s="1">
        <v>200</v>
      </c>
      <c r="I2" s="1" t="s">
        <v>711</v>
      </c>
    </row>
    <row r="3" spans="1:9" ht="15" customHeight="1" x14ac:dyDescent="0.25">
      <c r="A3" s="833" t="s">
        <v>1107</v>
      </c>
      <c r="B3" s="833">
        <v>50560</v>
      </c>
      <c r="C3" s="240"/>
      <c r="D3" s="241"/>
      <c r="E3" s="242"/>
      <c r="G3" s="1">
        <v>300</v>
      </c>
      <c r="I3" s="1" t="s">
        <v>712</v>
      </c>
    </row>
    <row r="4" spans="1:9" x14ac:dyDescent="0.25">
      <c r="A4" s="833" t="s">
        <v>1108</v>
      </c>
      <c r="B4" s="833">
        <v>50131</v>
      </c>
      <c r="C4" s="240"/>
      <c r="D4" s="241"/>
      <c r="E4" s="242"/>
      <c r="G4" s="225">
        <v>400</v>
      </c>
    </row>
    <row r="5" spans="1:9" x14ac:dyDescent="0.25">
      <c r="A5" s="833" t="s">
        <v>1109</v>
      </c>
      <c r="B5" s="833">
        <v>50132</v>
      </c>
      <c r="C5" s="240"/>
      <c r="D5" s="241"/>
      <c r="E5" s="242"/>
      <c r="G5" s="225">
        <v>500</v>
      </c>
    </row>
    <row r="6" spans="1:9" x14ac:dyDescent="0.25">
      <c r="A6" s="833" t="s">
        <v>1110</v>
      </c>
      <c r="B6" s="833">
        <v>50133</v>
      </c>
      <c r="C6" s="240"/>
      <c r="D6" s="241"/>
      <c r="E6" s="242"/>
    </row>
    <row r="7" spans="1:9" x14ac:dyDescent="0.25">
      <c r="A7" s="833" t="s">
        <v>1111</v>
      </c>
      <c r="B7" s="833">
        <v>50134</v>
      </c>
      <c r="C7" s="240"/>
      <c r="D7" s="241"/>
      <c r="E7" s="242"/>
    </row>
    <row r="8" spans="1:9" x14ac:dyDescent="0.25">
      <c r="A8" s="833" t="s">
        <v>1112</v>
      </c>
      <c r="B8" s="833">
        <v>50473</v>
      </c>
      <c r="C8" s="240"/>
      <c r="D8" s="241"/>
      <c r="E8" s="242"/>
    </row>
    <row r="9" spans="1:9" x14ac:dyDescent="0.25">
      <c r="A9" s="833" t="s">
        <v>1113</v>
      </c>
      <c r="B9" s="833">
        <v>50135</v>
      </c>
      <c r="C9" s="240"/>
      <c r="D9" s="241"/>
      <c r="E9" s="242"/>
    </row>
    <row r="10" spans="1:9" x14ac:dyDescent="0.25">
      <c r="A10" s="833" t="s">
        <v>1114</v>
      </c>
      <c r="B10" s="833">
        <v>50136</v>
      </c>
      <c r="C10" s="240"/>
      <c r="D10" s="241"/>
      <c r="E10" s="242"/>
    </row>
    <row r="11" spans="1:9" x14ac:dyDescent="0.25">
      <c r="A11" s="833" t="s">
        <v>1115</v>
      </c>
      <c r="B11" s="833">
        <v>50514</v>
      </c>
      <c r="C11" s="240"/>
      <c r="D11" s="241"/>
      <c r="E11" s="242"/>
    </row>
    <row r="12" spans="1:9" x14ac:dyDescent="0.25">
      <c r="A12" s="833" t="s">
        <v>1116</v>
      </c>
      <c r="B12" s="833">
        <v>50515</v>
      </c>
      <c r="C12" s="240"/>
      <c r="D12" s="241"/>
      <c r="E12" s="242"/>
    </row>
    <row r="13" spans="1:9" x14ac:dyDescent="0.25">
      <c r="A13" s="833" t="s">
        <v>1117</v>
      </c>
      <c r="B13" s="833">
        <v>50570</v>
      </c>
      <c r="C13" s="240"/>
      <c r="D13" s="241"/>
      <c r="E13" s="242"/>
    </row>
    <row r="14" spans="1:9" x14ac:dyDescent="0.25">
      <c r="A14" s="833" t="s">
        <v>1118</v>
      </c>
      <c r="B14" s="833">
        <v>50137</v>
      </c>
      <c r="C14" s="240"/>
      <c r="D14" s="241"/>
      <c r="E14" s="242"/>
    </row>
    <row r="15" spans="1:9" x14ac:dyDescent="0.25">
      <c r="A15" s="833" t="s">
        <v>1119</v>
      </c>
      <c r="B15" s="833">
        <v>50549</v>
      </c>
      <c r="C15" s="240"/>
      <c r="D15" s="241"/>
      <c r="E15" s="242"/>
    </row>
    <row r="16" spans="1:9" x14ac:dyDescent="0.25">
      <c r="A16" s="833" t="s">
        <v>1120</v>
      </c>
      <c r="B16" s="833">
        <v>50138</v>
      </c>
      <c r="C16" s="240"/>
      <c r="D16" s="241"/>
      <c r="E16" s="242"/>
    </row>
    <row r="17" spans="1:5" x14ac:dyDescent="0.25">
      <c r="A17" s="833" t="s">
        <v>1121</v>
      </c>
      <c r="B17" s="833">
        <v>50139</v>
      </c>
      <c r="C17" s="240"/>
      <c r="D17" s="241"/>
      <c r="E17" s="242"/>
    </row>
    <row r="18" spans="1:5" x14ac:dyDescent="0.25">
      <c r="A18" s="833" t="s">
        <v>1122</v>
      </c>
      <c r="B18" s="833">
        <v>50474</v>
      </c>
      <c r="C18" s="240"/>
      <c r="D18" s="241"/>
      <c r="E18" s="242"/>
    </row>
    <row r="19" spans="1:5" x14ac:dyDescent="0.25">
      <c r="A19" s="833" t="s">
        <v>1123</v>
      </c>
      <c r="B19" s="833">
        <v>50140</v>
      </c>
      <c r="C19" s="240"/>
      <c r="D19" s="241"/>
      <c r="E19" s="242"/>
    </row>
    <row r="20" spans="1:5" x14ac:dyDescent="0.25">
      <c r="A20" s="833" t="s">
        <v>1124</v>
      </c>
      <c r="B20" s="833">
        <v>50141</v>
      </c>
      <c r="C20" s="240"/>
      <c r="D20" s="241"/>
      <c r="E20" s="242"/>
    </row>
    <row r="21" spans="1:5" x14ac:dyDescent="0.25">
      <c r="A21" s="833" t="s">
        <v>1195</v>
      </c>
      <c r="B21" s="833">
        <v>50142</v>
      </c>
      <c r="C21" s="240"/>
      <c r="D21" s="241"/>
      <c r="E21" s="242"/>
    </row>
    <row r="22" spans="1:5" x14ac:dyDescent="0.25">
      <c r="A22" s="833" t="s">
        <v>1125</v>
      </c>
      <c r="B22" s="833">
        <v>50143</v>
      </c>
      <c r="C22" s="240"/>
      <c r="D22" s="241"/>
      <c r="E22" s="242"/>
    </row>
    <row r="23" spans="1:5" x14ac:dyDescent="0.25">
      <c r="A23" s="833" t="s">
        <v>1126</v>
      </c>
      <c r="B23" s="833">
        <v>50144</v>
      </c>
      <c r="C23" s="240"/>
      <c r="D23" s="241"/>
      <c r="E23" s="242"/>
    </row>
    <row r="24" spans="1:5" x14ac:dyDescent="0.25">
      <c r="A24" s="833" t="s">
        <v>1127</v>
      </c>
      <c r="B24" s="833">
        <v>50492</v>
      </c>
      <c r="C24" s="240"/>
      <c r="D24" s="241"/>
      <c r="E24" s="242"/>
    </row>
    <row r="25" spans="1:5" x14ac:dyDescent="0.25">
      <c r="A25" s="833" t="s">
        <v>1128</v>
      </c>
      <c r="B25" s="833">
        <v>50145</v>
      </c>
      <c r="C25" s="240"/>
      <c r="D25" s="241"/>
      <c r="E25" s="242"/>
    </row>
    <row r="26" spans="1:5" x14ac:dyDescent="0.25">
      <c r="A26" s="833" t="s">
        <v>1129</v>
      </c>
      <c r="B26" s="833">
        <v>50146</v>
      </c>
      <c r="C26" s="240"/>
      <c r="D26" s="241"/>
      <c r="E26" s="242"/>
    </row>
    <row r="27" spans="1:5" x14ac:dyDescent="0.25">
      <c r="A27" s="833" t="s">
        <v>1130</v>
      </c>
      <c r="B27" s="833">
        <v>50147</v>
      </c>
      <c r="C27" s="240"/>
      <c r="D27" s="241"/>
      <c r="E27" s="242"/>
    </row>
    <row r="28" spans="1:5" x14ac:dyDescent="0.25">
      <c r="A28" s="833" t="s">
        <v>901</v>
      </c>
      <c r="B28" s="833">
        <v>50148</v>
      </c>
      <c r="C28" s="240"/>
      <c r="D28" s="241"/>
      <c r="E28" s="242"/>
    </row>
    <row r="29" spans="1:5" x14ac:dyDescent="0.25">
      <c r="A29" s="833" t="s">
        <v>1131</v>
      </c>
      <c r="B29" s="833">
        <v>50149</v>
      </c>
      <c r="C29" s="240"/>
      <c r="D29" s="241"/>
      <c r="E29" s="242"/>
    </row>
    <row r="30" spans="1:5" x14ac:dyDescent="0.25">
      <c r="A30" s="833" t="s">
        <v>1132</v>
      </c>
      <c r="B30" s="833">
        <v>50150</v>
      </c>
      <c r="C30" s="240"/>
      <c r="D30" s="241"/>
      <c r="E30" s="242"/>
    </row>
    <row r="31" spans="1:5" x14ac:dyDescent="0.25">
      <c r="A31" s="833" t="s">
        <v>1133</v>
      </c>
      <c r="B31" s="833">
        <v>50151</v>
      </c>
      <c r="C31" s="240"/>
      <c r="D31" s="241"/>
      <c r="E31" s="242"/>
    </row>
    <row r="32" spans="1:5" x14ac:dyDescent="0.25">
      <c r="A32" s="833" t="s">
        <v>1134</v>
      </c>
      <c r="B32" s="833">
        <v>50152</v>
      </c>
      <c r="C32" s="240"/>
      <c r="D32" s="241"/>
      <c r="E32" s="242"/>
    </row>
    <row r="33" spans="1:5" x14ac:dyDescent="0.25">
      <c r="A33" s="833" t="s">
        <v>1135</v>
      </c>
      <c r="B33" s="833">
        <v>50153</v>
      </c>
      <c r="C33" s="240"/>
      <c r="D33" s="241"/>
      <c r="E33" s="242"/>
    </row>
    <row r="34" spans="1:5" x14ac:dyDescent="0.25">
      <c r="A34" s="833" t="s">
        <v>1136</v>
      </c>
      <c r="B34" s="833">
        <v>50475</v>
      </c>
      <c r="C34" s="240"/>
      <c r="D34" s="241"/>
      <c r="E34" s="242"/>
    </row>
    <row r="35" spans="1:5" x14ac:dyDescent="0.25">
      <c r="A35" s="833" t="s">
        <v>1137</v>
      </c>
      <c r="B35" s="833">
        <v>50154</v>
      </c>
      <c r="C35" s="240"/>
      <c r="D35" s="241"/>
      <c r="E35" s="242"/>
    </row>
    <row r="36" spans="1:5" x14ac:dyDescent="0.25">
      <c r="A36" s="833" t="s">
        <v>1138</v>
      </c>
      <c r="B36" s="833">
        <v>50155</v>
      </c>
      <c r="C36" s="240"/>
      <c r="D36" s="241"/>
      <c r="E36" s="242"/>
    </row>
    <row r="37" spans="1:5" x14ac:dyDescent="0.25">
      <c r="A37" s="833" t="s">
        <v>1139</v>
      </c>
      <c r="B37" s="833">
        <v>50156</v>
      </c>
      <c r="C37" s="240"/>
      <c r="D37" s="241"/>
      <c r="E37" s="242"/>
    </row>
    <row r="38" spans="1:5" x14ac:dyDescent="0.25">
      <c r="A38" s="833" t="s">
        <v>1140</v>
      </c>
      <c r="B38" s="833">
        <v>50516</v>
      </c>
      <c r="C38" s="240"/>
      <c r="D38" s="241"/>
      <c r="E38" s="242"/>
    </row>
    <row r="39" spans="1:5" x14ac:dyDescent="0.25">
      <c r="A39" s="833" t="s">
        <v>1141</v>
      </c>
      <c r="B39" s="833">
        <v>50157</v>
      </c>
      <c r="C39" s="240"/>
      <c r="D39" s="241"/>
      <c r="E39" s="242"/>
    </row>
    <row r="40" spans="1:5" x14ac:dyDescent="0.25">
      <c r="A40" s="833" t="s">
        <v>1142</v>
      </c>
      <c r="B40" s="833">
        <v>50158</v>
      </c>
      <c r="C40" s="240"/>
      <c r="D40" s="241"/>
      <c r="E40" s="242"/>
    </row>
    <row r="41" spans="1:5" x14ac:dyDescent="0.25">
      <c r="A41" s="833" t="s">
        <v>1143</v>
      </c>
      <c r="B41" s="833">
        <v>50545</v>
      </c>
      <c r="C41" s="240"/>
      <c r="D41" s="241"/>
      <c r="E41" s="242"/>
    </row>
    <row r="42" spans="1:5" x14ac:dyDescent="0.25">
      <c r="A42" s="833" t="s">
        <v>1144</v>
      </c>
      <c r="B42" s="833">
        <v>50517</v>
      </c>
      <c r="C42" s="240"/>
      <c r="D42" s="241"/>
      <c r="E42" s="242"/>
    </row>
    <row r="43" spans="1:5" x14ac:dyDescent="0.25">
      <c r="A43" s="833" t="s">
        <v>1145</v>
      </c>
      <c r="B43" s="833">
        <v>50448</v>
      </c>
      <c r="C43" s="240"/>
      <c r="D43" s="241"/>
      <c r="E43" s="242"/>
    </row>
    <row r="44" spans="1:5" x14ac:dyDescent="0.25">
      <c r="A44" s="833" t="s">
        <v>915</v>
      </c>
      <c r="B44" s="833">
        <v>50159</v>
      </c>
      <c r="C44" s="240"/>
      <c r="D44" s="241"/>
      <c r="E44" s="242"/>
    </row>
    <row r="45" spans="1:5" x14ac:dyDescent="0.25">
      <c r="A45" s="833" t="s">
        <v>916</v>
      </c>
      <c r="B45" s="833">
        <v>50160</v>
      </c>
      <c r="C45" s="240"/>
      <c r="D45" s="241"/>
      <c r="E45" s="242"/>
    </row>
    <row r="46" spans="1:5" x14ac:dyDescent="0.25">
      <c r="A46" s="833" t="s">
        <v>1146</v>
      </c>
      <c r="B46" s="833">
        <v>50161</v>
      </c>
      <c r="C46" s="240"/>
      <c r="D46" s="241"/>
      <c r="E46" s="242"/>
    </row>
    <row r="47" spans="1:5" x14ac:dyDescent="0.25">
      <c r="A47" s="833" t="s">
        <v>1147</v>
      </c>
      <c r="B47" s="833">
        <v>50162</v>
      </c>
      <c r="C47" s="240"/>
      <c r="D47" s="241"/>
      <c r="E47" s="242"/>
    </row>
    <row r="48" spans="1:5" x14ac:dyDescent="0.25">
      <c r="A48" s="833" t="s">
        <v>1148</v>
      </c>
      <c r="B48" s="833">
        <v>50163</v>
      </c>
      <c r="C48" s="240"/>
      <c r="D48" s="241"/>
      <c r="E48" s="242"/>
    </row>
    <row r="49" spans="1:5" x14ac:dyDescent="0.25">
      <c r="A49" s="833" t="s">
        <v>1149</v>
      </c>
      <c r="B49" s="833">
        <v>50165</v>
      </c>
      <c r="C49" s="240"/>
      <c r="D49" s="241"/>
      <c r="E49" s="242"/>
    </row>
    <row r="50" spans="1:5" x14ac:dyDescent="0.25">
      <c r="A50" s="833" t="s">
        <v>1150</v>
      </c>
      <c r="B50" s="833">
        <v>50166</v>
      </c>
      <c r="C50" s="240"/>
      <c r="D50" s="241"/>
      <c r="E50" s="242"/>
    </row>
    <row r="51" spans="1:5" x14ac:dyDescent="0.25">
      <c r="A51" s="833" t="s">
        <v>1151</v>
      </c>
      <c r="B51" s="833">
        <v>50167</v>
      </c>
      <c r="C51" s="240"/>
      <c r="D51" s="241"/>
      <c r="E51" s="242"/>
    </row>
    <row r="52" spans="1:5" x14ac:dyDescent="0.25">
      <c r="A52" s="833" t="s">
        <v>1152</v>
      </c>
      <c r="B52" s="833">
        <v>50168</v>
      </c>
      <c r="C52" s="240"/>
      <c r="D52" s="241"/>
      <c r="E52" s="242"/>
    </row>
    <row r="53" spans="1:5" x14ac:dyDescent="0.25">
      <c r="A53" s="833" t="s">
        <v>1153</v>
      </c>
      <c r="B53" s="833">
        <v>50169</v>
      </c>
      <c r="C53" s="240"/>
      <c r="D53" s="241"/>
      <c r="E53" s="242"/>
    </row>
    <row r="54" spans="1:5" x14ac:dyDescent="0.25">
      <c r="A54" s="833" t="s">
        <v>1154</v>
      </c>
      <c r="B54" s="833">
        <v>50170</v>
      </c>
      <c r="C54" s="240"/>
      <c r="D54" s="241"/>
      <c r="E54" s="242"/>
    </row>
    <row r="55" spans="1:5" x14ac:dyDescent="0.25">
      <c r="A55" s="833" t="s">
        <v>1155</v>
      </c>
      <c r="B55" s="833">
        <v>50451</v>
      </c>
      <c r="C55" s="240"/>
      <c r="D55" s="241"/>
      <c r="E55" s="242"/>
    </row>
    <row r="56" spans="1:5" x14ac:dyDescent="0.25">
      <c r="A56" s="833" t="s">
        <v>1156</v>
      </c>
      <c r="B56" s="833">
        <v>50171</v>
      </c>
      <c r="C56" s="240"/>
      <c r="D56" s="241"/>
      <c r="E56" s="242"/>
    </row>
    <row r="57" spans="1:5" x14ac:dyDescent="0.25">
      <c r="A57" s="833" t="s">
        <v>1157</v>
      </c>
      <c r="B57" s="833">
        <v>50172</v>
      </c>
      <c r="C57" s="240"/>
      <c r="D57" s="241"/>
      <c r="E57" s="242"/>
    </row>
    <row r="58" spans="1:5" x14ac:dyDescent="0.25">
      <c r="A58" s="833" t="s">
        <v>1158</v>
      </c>
      <c r="B58" s="833">
        <v>50440</v>
      </c>
      <c r="C58" s="240"/>
      <c r="D58" s="241"/>
      <c r="E58" s="242"/>
    </row>
    <row r="59" spans="1:5" x14ac:dyDescent="0.25">
      <c r="A59" s="833" t="s">
        <v>1159</v>
      </c>
      <c r="B59" s="833">
        <v>50173</v>
      </c>
      <c r="C59" s="240"/>
      <c r="D59" s="241"/>
      <c r="E59" s="242"/>
    </row>
    <row r="60" spans="1:5" x14ac:dyDescent="0.25">
      <c r="A60" s="833" t="s">
        <v>1160</v>
      </c>
      <c r="B60" s="833">
        <v>50547</v>
      </c>
      <c r="C60" s="240"/>
      <c r="D60" s="241"/>
      <c r="E60" s="242"/>
    </row>
    <row r="61" spans="1:5" x14ac:dyDescent="0.25">
      <c r="A61" s="833" t="s">
        <v>902</v>
      </c>
      <c r="B61" s="833">
        <v>50175</v>
      </c>
      <c r="C61" s="240"/>
      <c r="D61" s="241"/>
      <c r="E61" s="242"/>
    </row>
    <row r="62" spans="1:5" x14ac:dyDescent="0.25">
      <c r="A62" s="833" t="s">
        <v>1161</v>
      </c>
      <c r="B62" s="833">
        <v>50176</v>
      </c>
      <c r="C62" s="240"/>
      <c r="D62" s="241"/>
      <c r="E62" s="242"/>
    </row>
    <row r="63" spans="1:5" x14ac:dyDescent="0.25">
      <c r="A63" s="833" t="s">
        <v>1162</v>
      </c>
      <c r="B63" s="833">
        <v>50177</v>
      </c>
      <c r="C63" s="240"/>
      <c r="D63" s="241"/>
      <c r="E63" s="242"/>
    </row>
    <row r="64" spans="1:5" x14ac:dyDescent="0.25">
      <c r="A64" s="833" t="s">
        <v>1163</v>
      </c>
      <c r="B64" s="833">
        <v>50178</v>
      </c>
      <c r="C64" s="240"/>
      <c r="D64" s="241"/>
      <c r="E64" s="242"/>
    </row>
    <row r="65" spans="1:5" x14ac:dyDescent="0.25">
      <c r="A65" s="833" t="s">
        <v>917</v>
      </c>
      <c r="B65" s="833">
        <v>50180</v>
      </c>
      <c r="C65" s="240"/>
      <c r="D65" s="241"/>
      <c r="E65" s="242"/>
    </row>
    <row r="66" spans="1:5" x14ac:dyDescent="0.25">
      <c r="A66" s="833" t="s">
        <v>1164</v>
      </c>
      <c r="B66" s="833">
        <v>50447</v>
      </c>
      <c r="C66" s="240"/>
      <c r="D66" s="241"/>
      <c r="E66" s="242"/>
    </row>
    <row r="67" spans="1:5" x14ac:dyDescent="0.25">
      <c r="A67" s="833" t="s">
        <v>1165</v>
      </c>
      <c r="B67" s="833">
        <v>50179</v>
      </c>
      <c r="C67" s="240"/>
      <c r="D67" s="241"/>
      <c r="E67" s="242"/>
    </row>
    <row r="68" spans="1:5" x14ac:dyDescent="0.25">
      <c r="A68" s="833" t="s">
        <v>1166</v>
      </c>
      <c r="B68" s="833">
        <v>50462</v>
      </c>
    </row>
    <row r="69" spans="1:5" x14ac:dyDescent="0.25">
      <c r="A69" s="833" t="s">
        <v>1167</v>
      </c>
      <c r="B69" s="833">
        <v>50181</v>
      </c>
    </row>
    <row r="70" spans="1:5" x14ac:dyDescent="0.25">
      <c r="A70" s="833" t="s">
        <v>1168</v>
      </c>
      <c r="B70" s="833">
        <v>50182</v>
      </c>
    </row>
    <row r="71" spans="1:5" x14ac:dyDescent="0.25">
      <c r="A71" s="833" t="s">
        <v>1169</v>
      </c>
      <c r="B71" s="833">
        <v>50183</v>
      </c>
    </row>
    <row r="72" spans="1:5" x14ac:dyDescent="0.25">
      <c r="A72" s="833" t="s">
        <v>1170</v>
      </c>
      <c r="B72" s="833">
        <v>50446</v>
      </c>
    </row>
    <row r="73" spans="1:5" x14ac:dyDescent="0.25">
      <c r="A73" s="833" t="s">
        <v>1171</v>
      </c>
      <c r="B73" s="833">
        <v>50184</v>
      </c>
    </row>
    <row r="74" spans="1:5" x14ac:dyDescent="0.25">
      <c r="A74" s="833" t="s">
        <v>1172</v>
      </c>
      <c r="B74" s="833">
        <v>50185</v>
      </c>
    </row>
    <row r="75" spans="1:5" x14ac:dyDescent="0.25">
      <c r="A75" s="833" t="s">
        <v>1173</v>
      </c>
      <c r="B75" s="833">
        <v>50186</v>
      </c>
    </row>
    <row r="76" spans="1:5" x14ac:dyDescent="0.25">
      <c r="A76" s="833" t="s">
        <v>1174</v>
      </c>
      <c r="B76" s="833">
        <v>50187</v>
      </c>
    </row>
    <row r="77" spans="1:5" x14ac:dyDescent="0.25">
      <c r="A77" s="833" t="s">
        <v>1175</v>
      </c>
      <c r="B77" s="833">
        <v>50188</v>
      </c>
    </row>
    <row r="78" spans="1:5" x14ac:dyDescent="0.25">
      <c r="A78" s="833" t="s">
        <v>1176</v>
      </c>
      <c r="B78" s="833">
        <v>50189</v>
      </c>
    </row>
    <row r="79" spans="1:5" x14ac:dyDescent="0.25">
      <c r="A79" s="833" t="s">
        <v>1177</v>
      </c>
      <c r="B79" s="833">
        <v>50190</v>
      </c>
    </row>
  </sheetData>
  <sheetProtection algorithmName="SHA-512" hashValue="gLTv3zd15w4ReUb43qR+/iR8y+/WCM2yMJ7EXfWsyCk5P4Gc8hQSGarCMtWsE0coHhlfNiBPVlHRPsfq3sI1SA==" saltValue="Jju/1p+weNOIvrWAk1hNTw==" spinCount="100000" sheet="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17550-04E5-49D9-B446-DDF9728A8EC8}">
  <dimension ref="A1:EI447"/>
  <sheetViews>
    <sheetView workbookViewId="0">
      <pane xSplit="4" ySplit="2" topLeftCell="E3" activePane="bottomRight" state="frozen"/>
      <selection pane="topRight" activeCell="E1" sqref="E1"/>
      <selection pane="bottomLeft" activeCell="A3" sqref="A3"/>
      <selection pane="bottomRight" activeCell="H22" sqref="H22"/>
    </sheetView>
  </sheetViews>
  <sheetFormatPr defaultRowHeight="15" x14ac:dyDescent="0.25"/>
  <cols>
    <col min="1" max="1" width="9.140625" style="635"/>
    <col min="2" max="2" width="7.85546875" style="635" customWidth="1"/>
    <col min="3" max="3" width="15" style="635" customWidth="1"/>
    <col min="4" max="4" width="11.7109375" style="635" customWidth="1"/>
    <col min="5" max="83" width="16.42578125" style="635" customWidth="1"/>
    <col min="84" max="16384" width="9.140625" style="635"/>
  </cols>
  <sheetData>
    <row r="1" spans="1:139" x14ac:dyDescent="0.25">
      <c r="A1" s="635" t="s">
        <v>808</v>
      </c>
      <c r="B1" s="635" t="s">
        <v>663</v>
      </c>
      <c r="D1" s="635" t="s">
        <v>663</v>
      </c>
      <c r="E1" s="752" t="s">
        <v>1105</v>
      </c>
      <c r="F1" s="752" t="s">
        <v>1106</v>
      </c>
      <c r="G1" s="752" t="s">
        <v>1107</v>
      </c>
      <c r="H1" s="752" t="s">
        <v>1108</v>
      </c>
      <c r="I1" s="752" t="s">
        <v>1109</v>
      </c>
      <c r="J1" s="752" t="s">
        <v>1110</v>
      </c>
      <c r="K1" s="752" t="s">
        <v>1111</v>
      </c>
      <c r="L1" s="752" t="s">
        <v>1112</v>
      </c>
      <c r="M1" s="752" t="s">
        <v>1113</v>
      </c>
      <c r="N1" s="752" t="s">
        <v>1114</v>
      </c>
      <c r="O1" s="752" t="s">
        <v>1115</v>
      </c>
      <c r="P1" s="752" t="s">
        <v>1116</v>
      </c>
      <c r="Q1" s="752" t="s">
        <v>1117</v>
      </c>
      <c r="R1" s="752" t="s">
        <v>1118</v>
      </c>
      <c r="S1" s="752" t="s">
        <v>1119</v>
      </c>
      <c r="T1" s="752" t="s">
        <v>1120</v>
      </c>
      <c r="U1" s="752" t="s">
        <v>1121</v>
      </c>
      <c r="V1" s="752" t="s">
        <v>1122</v>
      </c>
      <c r="W1" s="752" t="s">
        <v>1123</v>
      </c>
      <c r="X1" s="752" t="s">
        <v>1124</v>
      </c>
      <c r="Y1" s="752" t="s">
        <v>1195</v>
      </c>
      <c r="Z1" s="752" t="s">
        <v>1125</v>
      </c>
      <c r="AA1" s="752" t="s">
        <v>1126</v>
      </c>
      <c r="AB1" s="752" t="s">
        <v>1127</v>
      </c>
      <c r="AC1" s="752" t="s">
        <v>1128</v>
      </c>
      <c r="AD1" s="752" t="s">
        <v>1129</v>
      </c>
      <c r="AE1" s="752" t="s">
        <v>1130</v>
      </c>
      <c r="AF1" s="752" t="s">
        <v>901</v>
      </c>
      <c r="AG1" s="752" t="s">
        <v>1131</v>
      </c>
      <c r="AH1" s="752" t="s">
        <v>1132</v>
      </c>
      <c r="AI1" s="752" t="s">
        <v>1133</v>
      </c>
      <c r="AJ1" s="752" t="s">
        <v>1134</v>
      </c>
      <c r="AK1" s="752" t="s">
        <v>1135</v>
      </c>
      <c r="AL1" s="752" t="s">
        <v>1136</v>
      </c>
      <c r="AM1" s="752" t="s">
        <v>1137</v>
      </c>
      <c r="AN1" s="752" t="s">
        <v>1138</v>
      </c>
      <c r="AO1" s="752" t="s">
        <v>1139</v>
      </c>
      <c r="AP1" s="752" t="s">
        <v>1140</v>
      </c>
      <c r="AQ1" s="752" t="s">
        <v>1141</v>
      </c>
      <c r="AR1" s="752" t="s">
        <v>1142</v>
      </c>
      <c r="AS1" s="752" t="s">
        <v>1143</v>
      </c>
      <c r="AT1" s="752" t="s">
        <v>1144</v>
      </c>
      <c r="AU1" s="752" t="s">
        <v>1145</v>
      </c>
      <c r="AV1" s="752" t="s">
        <v>915</v>
      </c>
      <c r="AW1" s="752" t="s">
        <v>916</v>
      </c>
      <c r="AX1" s="752" t="s">
        <v>1146</v>
      </c>
      <c r="AY1" s="752" t="s">
        <v>1147</v>
      </c>
      <c r="AZ1" s="752" t="s">
        <v>1148</v>
      </c>
      <c r="BA1" s="752" t="s">
        <v>1149</v>
      </c>
      <c r="BB1" s="752" t="s">
        <v>1150</v>
      </c>
      <c r="BC1" s="752" t="s">
        <v>1151</v>
      </c>
      <c r="BD1" s="752" t="s">
        <v>1152</v>
      </c>
      <c r="BE1" s="752" t="s">
        <v>1153</v>
      </c>
      <c r="BF1" s="752" t="s">
        <v>1154</v>
      </c>
      <c r="BG1" s="752" t="s">
        <v>1155</v>
      </c>
      <c r="BH1" s="752" t="s">
        <v>1156</v>
      </c>
      <c r="BI1" s="752" t="s">
        <v>1157</v>
      </c>
      <c r="BJ1" s="752" t="s">
        <v>1158</v>
      </c>
      <c r="BK1" s="752" t="s">
        <v>1159</v>
      </c>
      <c r="BL1" s="752" t="s">
        <v>1160</v>
      </c>
      <c r="BM1" s="752" t="s">
        <v>902</v>
      </c>
      <c r="BN1" s="752" t="s">
        <v>1161</v>
      </c>
      <c r="BO1" s="752" t="s">
        <v>1162</v>
      </c>
      <c r="BP1" s="752" t="s">
        <v>1163</v>
      </c>
      <c r="BQ1" s="752" t="s">
        <v>917</v>
      </c>
      <c r="BR1" s="752" t="s">
        <v>1164</v>
      </c>
      <c r="BS1" s="752" t="s">
        <v>1165</v>
      </c>
      <c r="BT1" s="752" t="s">
        <v>1166</v>
      </c>
      <c r="BU1" s="752" t="s">
        <v>1167</v>
      </c>
      <c r="BV1" s="752" t="s">
        <v>1168</v>
      </c>
      <c r="BW1" s="752" t="s">
        <v>1169</v>
      </c>
      <c r="BX1" s="752" t="s">
        <v>1170</v>
      </c>
      <c r="BY1" s="752" t="s">
        <v>1171</v>
      </c>
      <c r="BZ1" s="752" t="s">
        <v>1172</v>
      </c>
      <c r="CA1" s="752" t="s">
        <v>1173</v>
      </c>
      <c r="CB1" s="752" t="s">
        <v>1174</v>
      </c>
      <c r="CC1" s="752" t="s">
        <v>1175</v>
      </c>
      <c r="CD1" s="752" t="s">
        <v>1176</v>
      </c>
      <c r="CE1" s="752" t="s">
        <v>1177</v>
      </c>
    </row>
    <row r="2" spans="1:139" x14ac:dyDescent="0.25">
      <c r="A2" s="752" t="s">
        <v>1034</v>
      </c>
      <c r="B2" s="752"/>
      <c r="C2" s="752"/>
      <c r="D2" s="752" t="s">
        <v>362</v>
      </c>
      <c r="E2" s="752">
        <v>50129</v>
      </c>
      <c r="F2" s="752">
        <v>50130</v>
      </c>
      <c r="G2" s="752">
        <v>50560</v>
      </c>
      <c r="H2" s="752">
        <v>50131</v>
      </c>
      <c r="I2" s="752">
        <v>50132</v>
      </c>
      <c r="J2" s="752">
        <v>50133</v>
      </c>
      <c r="K2" s="752">
        <v>50134</v>
      </c>
      <c r="L2" s="752">
        <v>50473</v>
      </c>
      <c r="M2" s="635">
        <v>50135</v>
      </c>
      <c r="N2" s="752">
        <v>50136</v>
      </c>
      <c r="O2" s="635">
        <v>50514</v>
      </c>
      <c r="P2" s="635">
        <v>50515</v>
      </c>
      <c r="Q2" s="635">
        <v>50570</v>
      </c>
      <c r="R2" s="635">
        <v>50137</v>
      </c>
      <c r="S2" s="635">
        <v>50549</v>
      </c>
      <c r="T2" s="635">
        <v>50138</v>
      </c>
      <c r="U2" s="635">
        <v>50139</v>
      </c>
      <c r="V2" s="635">
        <v>50474</v>
      </c>
      <c r="W2" s="635">
        <v>50140</v>
      </c>
      <c r="X2" s="635">
        <v>50141</v>
      </c>
      <c r="Y2" s="635">
        <v>50142</v>
      </c>
      <c r="Z2" s="635">
        <v>50143</v>
      </c>
      <c r="AA2" s="635">
        <v>50144</v>
      </c>
      <c r="AB2" s="635">
        <v>50492</v>
      </c>
      <c r="AC2" s="635">
        <v>50145</v>
      </c>
      <c r="AD2" s="635">
        <v>50146</v>
      </c>
      <c r="AE2" s="635">
        <v>50147</v>
      </c>
      <c r="AF2" s="635">
        <v>50148</v>
      </c>
      <c r="AG2" s="635">
        <v>50149</v>
      </c>
      <c r="AH2" s="635">
        <v>50150</v>
      </c>
      <c r="AI2" s="635">
        <v>50151</v>
      </c>
      <c r="AJ2" s="635">
        <v>50152</v>
      </c>
      <c r="AK2" s="635">
        <v>50153</v>
      </c>
      <c r="AL2" s="635">
        <v>50475</v>
      </c>
      <c r="AM2" s="635">
        <v>50154</v>
      </c>
      <c r="AN2" s="635">
        <v>50155</v>
      </c>
      <c r="AO2" s="635">
        <v>50156</v>
      </c>
      <c r="AP2" s="635">
        <v>50516</v>
      </c>
      <c r="AQ2" s="635">
        <v>50157</v>
      </c>
      <c r="AR2" s="635">
        <v>50158</v>
      </c>
      <c r="AS2" s="635">
        <v>50545</v>
      </c>
      <c r="AT2" s="635">
        <v>50517</v>
      </c>
      <c r="AU2" s="635">
        <v>50448</v>
      </c>
      <c r="AV2" s="635">
        <v>50159</v>
      </c>
      <c r="AW2" s="635">
        <v>50160</v>
      </c>
      <c r="AX2" s="635">
        <v>50161</v>
      </c>
      <c r="AY2" s="635">
        <v>50162</v>
      </c>
      <c r="AZ2" s="635">
        <v>50163</v>
      </c>
      <c r="BA2" s="635">
        <v>50165</v>
      </c>
      <c r="BB2" s="635">
        <v>50166</v>
      </c>
      <c r="BC2" s="635">
        <v>50167</v>
      </c>
      <c r="BD2" s="635">
        <v>50168</v>
      </c>
      <c r="BE2" s="635">
        <v>50169</v>
      </c>
      <c r="BF2" s="635">
        <v>50170</v>
      </c>
      <c r="BG2" s="635">
        <v>50451</v>
      </c>
      <c r="BH2" s="635">
        <v>50171</v>
      </c>
      <c r="BI2" s="635">
        <v>50172</v>
      </c>
      <c r="BJ2" s="635">
        <v>50440</v>
      </c>
      <c r="BK2" s="635">
        <v>50173</v>
      </c>
      <c r="BL2" s="635">
        <v>50547</v>
      </c>
      <c r="BM2" s="635">
        <v>50175</v>
      </c>
      <c r="BN2" s="635">
        <v>50176</v>
      </c>
      <c r="BO2" s="635">
        <v>50177</v>
      </c>
      <c r="BP2" s="635">
        <v>50178</v>
      </c>
      <c r="BQ2" s="635">
        <v>50180</v>
      </c>
      <c r="BR2" s="635">
        <v>50447</v>
      </c>
      <c r="BS2" s="635">
        <v>50179</v>
      </c>
      <c r="BT2" s="635">
        <v>50462</v>
      </c>
      <c r="BU2" s="635">
        <v>50181</v>
      </c>
      <c r="BV2" s="635">
        <v>50182</v>
      </c>
      <c r="BW2" s="635">
        <v>50183</v>
      </c>
      <c r="BX2" s="635">
        <v>50446</v>
      </c>
      <c r="BY2" s="635">
        <v>50184</v>
      </c>
      <c r="BZ2" s="635">
        <v>50185</v>
      </c>
      <c r="CA2" s="635">
        <v>50186</v>
      </c>
      <c r="CB2" s="635">
        <v>50187</v>
      </c>
      <c r="CC2" s="635">
        <v>50188</v>
      </c>
      <c r="CD2" s="635">
        <v>50189</v>
      </c>
      <c r="CE2" s="635">
        <v>50190</v>
      </c>
      <c r="CF2" s="752"/>
      <c r="CG2" s="752"/>
      <c r="CH2" s="752"/>
      <c r="CI2" s="752"/>
      <c r="CJ2" s="752"/>
      <c r="CK2" s="752"/>
      <c r="CL2" s="752"/>
      <c r="CM2" s="752"/>
      <c r="CN2" s="752"/>
      <c r="CO2" s="752"/>
      <c r="CP2" s="752"/>
      <c r="CQ2" s="752"/>
      <c r="CR2" s="752"/>
      <c r="CS2" s="752"/>
      <c r="CT2" s="752"/>
      <c r="CU2" s="752"/>
      <c r="CV2" s="752"/>
      <c r="CW2" s="752"/>
      <c r="CX2" s="752"/>
      <c r="CY2" s="752"/>
      <c r="CZ2" s="752"/>
      <c r="DA2" s="752"/>
      <c r="DB2" s="752"/>
      <c r="DC2" s="752"/>
      <c r="DD2" s="752"/>
      <c r="DE2" s="752"/>
      <c r="DF2" s="752"/>
      <c r="DG2" s="752"/>
      <c r="DH2" s="752"/>
      <c r="DI2" s="752"/>
      <c r="DJ2" s="752"/>
      <c r="DK2" s="752"/>
      <c r="DL2" s="752"/>
      <c r="DM2" s="752"/>
      <c r="DN2" s="752"/>
      <c r="DO2" s="752"/>
      <c r="DP2" s="752"/>
      <c r="DQ2" s="752"/>
      <c r="DR2" s="752"/>
      <c r="DS2" s="752"/>
      <c r="DT2" s="752"/>
      <c r="DU2" s="752"/>
      <c r="DV2" s="752"/>
      <c r="DW2" s="752"/>
      <c r="DX2" s="752"/>
      <c r="DY2" s="752"/>
      <c r="DZ2" s="752"/>
      <c r="EA2" s="752"/>
      <c r="EB2" s="752"/>
      <c r="EC2" s="752"/>
      <c r="ED2" s="752"/>
      <c r="EE2" s="752"/>
      <c r="EF2" s="752"/>
      <c r="EG2" s="752"/>
      <c r="EH2" s="752"/>
      <c r="EI2" s="752"/>
    </row>
    <row r="3" spans="1:139" x14ac:dyDescent="0.25">
      <c r="A3" s="635">
        <v>4</v>
      </c>
      <c r="B3" s="752">
        <v>4</v>
      </c>
      <c r="C3" s="635" t="s">
        <v>714</v>
      </c>
      <c r="D3" s="635" t="s">
        <v>363</v>
      </c>
      <c r="E3" s="497">
        <v>2329</v>
      </c>
      <c r="F3" s="497">
        <v>47264</v>
      </c>
      <c r="G3" s="497">
        <v>18156</v>
      </c>
      <c r="H3" s="497">
        <v>44129</v>
      </c>
      <c r="I3" s="497">
        <v>125584</v>
      </c>
      <c r="J3" s="497">
        <v>7226</v>
      </c>
      <c r="K3" s="497">
        <v>467</v>
      </c>
      <c r="L3" s="497">
        <v>998</v>
      </c>
      <c r="M3" s="497">
        <v>180345</v>
      </c>
      <c r="N3" s="497">
        <v>10814147</v>
      </c>
      <c r="O3" s="497">
        <v>29152</v>
      </c>
      <c r="P3" s="497">
        <v>106267</v>
      </c>
      <c r="Q3" s="497">
        <v>3281</v>
      </c>
      <c r="R3" s="497">
        <v>823933</v>
      </c>
      <c r="S3" s="497">
        <v>0</v>
      </c>
      <c r="T3" s="497">
        <v>4004</v>
      </c>
      <c r="U3" s="497">
        <v>7509</v>
      </c>
      <c r="V3" s="497">
        <v>30562</v>
      </c>
      <c r="W3" s="497">
        <v>236305</v>
      </c>
      <c r="X3" s="497">
        <v>23279</v>
      </c>
      <c r="Y3" s="497">
        <v>25673</v>
      </c>
      <c r="Z3" s="497">
        <v>173040</v>
      </c>
      <c r="AA3" s="497">
        <v>1740501</v>
      </c>
      <c r="AB3" s="497">
        <v>2766</v>
      </c>
      <c r="AC3" s="497">
        <v>14107</v>
      </c>
      <c r="AD3" s="497">
        <v>1258418</v>
      </c>
      <c r="AE3" s="497">
        <v>16938</v>
      </c>
      <c r="AF3" s="497">
        <v>0</v>
      </c>
      <c r="AG3" s="497">
        <v>3216598</v>
      </c>
      <c r="AH3" s="497">
        <v>12398</v>
      </c>
      <c r="AI3" s="497">
        <v>7112</v>
      </c>
      <c r="AJ3" s="497">
        <v>536269</v>
      </c>
      <c r="AK3" s="497">
        <v>6057</v>
      </c>
      <c r="AL3" s="497">
        <v>2046</v>
      </c>
      <c r="AM3" s="497">
        <v>0</v>
      </c>
      <c r="AN3" s="497">
        <v>0</v>
      </c>
      <c r="AO3" s="497">
        <v>470646</v>
      </c>
      <c r="AP3" s="497">
        <v>1400</v>
      </c>
      <c r="AQ3" s="497">
        <v>149181</v>
      </c>
      <c r="AR3" s="497">
        <v>185543</v>
      </c>
      <c r="AS3" s="497">
        <v>976</v>
      </c>
      <c r="AT3" s="497">
        <v>71898</v>
      </c>
      <c r="AU3" s="497">
        <v>16840</v>
      </c>
      <c r="AV3" s="497">
        <v>9274248</v>
      </c>
      <c r="AW3" s="497">
        <v>3078401</v>
      </c>
      <c r="AX3" s="497">
        <v>32693</v>
      </c>
      <c r="AY3" s="497">
        <v>3053</v>
      </c>
      <c r="AZ3" s="497">
        <v>23021</v>
      </c>
      <c r="BA3" s="497">
        <v>119</v>
      </c>
      <c r="BB3" s="497">
        <v>0</v>
      </c>
      <c r="BC3" s="497">
        <v>153919</v>
      </c>
      <c r="BD3" s="497">
        <v>3027</v>
      </c>
      <c r="BE3" s="497">
        <v>3010</v>
      </c>
      <c r="BF3" s="497">
        <v>3688</v>
      </c>
      <c r="BG3" s="497">
        <v>497581</v>
      </c>
      <c r="BH3" s="497">
        <v>0</v>
      </c>
      <c r="BI3" s="497">
        <v>552409</v>
      </c>
      <c r="BJ3" s="497">
        <v>61537</v>
      </c>
      <c r="BK3" s="497">
        <v>9812</v>
      </c>
      <c r="BL3" s="497">
        <v>784</v>
      </c>
      <c r="BM3" s="497">
        <v>548835</v>
      </c>
      <c r="BN3" s="497">
        <v>535362</v>
      </c>
      <c r="BO3" s="497">
        <v>36060</v>
      </c>
      <c r="BP3" s="497">
        <v>2930111</v>
      </c>
      <c r="BQ3" s="497">
        <v>5333972</v>
      </c>
      <c r="BR3" s="497">
        <v>5792</v>
      </c>
      <c r="BS3" s="497">
        <v>225540</v>
      </c>
      <c r="BT3" s="497">
        <v>28720</v>
      </c>
      <c r="BU3" s="497">
        <v>377273</v>
      </c>
      <c r="BV3" s="497">
        <v>3348</v>
      </c>
      <c r="BW3" s="497">
        <v>22453</v>
      </c>
      <c r="BX3" s="497">
        <v>62454</v>
      </c>
      <c r="BY3" s="497">
        <v>0</v>
      </c>
      <c r="BZ3" s="497">
        <v>2944443</v>
      </c>
      <c r="CA3" s="497">
        <v>181073</v>
      </c>
      <c r="CB3" s="497">
        <v>425750</v>
      </c>
      <c r="CC3" s="497">
        <v>14026</v>
      </c>
      <c r="CD3" s="497">
        <v>118274</v>
      </c>
      <c r="CE3" s="497">
        <v>3504187</v>
      </c>
      <c r="CF3" s="646"/>
      <c r="CG3" s="646"/>
      <c r="CH3" s="646"/>
      <c r="CI3" s="646"/>
      <c r="CJ3" s="646"/>
      <c r="CK3" s="646"/>
      <c r="CL3" s="646"/>
      <c r="CM3" s="646"/>
      <c r="CN3" s="646"/>
      <c r="CO3" s="646"/>
      <c r="CP3" s="646"/>
      <c r="CQ3" s="646"/>
      <c r="CR3" s="646"/>
      <c r="CS3" s="646"/>
      <c r="CT3" s="646"/>
      <c r="CU3" s="646"/>
      <c r="CV3" s="646"/>
      <c r="CW3" s="646"/>
      <c r="CX3" s="646"/>
      <c r="CY3" s="646"/>
      <c r="CZ3" s="646"/>
      <c r="DA3" s="646"/>
      <c r="DB3" s="646"/>
      <c r="DC3" s="646"/>
      <c r="DD3" s="646"/>
      <c r="DE3" s="646"/>
      <c r="DF3" s="646"/>
      <c r="DG3" s="646"/>
      <c r="DH3" s="646"/>
      <c r="DI3" s="646"/>
      <c r="DJ3" s="646"/>
      <c r="DK3" s="646"/>
      <c r="DL3" s="646"/>
      <c r="DM3" s="646"/>
      <c r="DN3" s="646"/>
      <c r="DO3" s="646"/>
      <c r="DP3" s="646"/>
      <c r="DQ3" s="646"/>
      <c r="DR3" s="646"/>
      <c r="DS3" s="646"/>
      <c r="DT3" s="646"/>
      <c r="DU3" s="646"/>
      <c r="DV3" s="646"/>
      <c r="DW3" s="646"/>
      <c r="DX3" s="646"/>
      <c r="DY3" s="646"/>
      <c r="DZ3" s="646"/>
      <c r="EA3" s="646"/>
      <c r="EB3" s="646"/>
      <c r="EC3" s="646"/>
      <c r="ED3" s="646"/>
      <c r="EE3" s="646"/>
      <c r="EF3" s="646"/>
      <c r="EG3" s="646"/>
      <c r="EH3" s="646"/>
      <c r="EI3" s="646"/>
    </row>
    <row r="4" spans="1:139" x14ac:dyDescent="0.25">
      <c r="A4" s="635">
        <v>5</v>
      </c>
      <c r="B4" s="752">
        <v>5</v>
      </c>
      <c r="C4" s="635" t="s">
        <v>127</v>
      </c>
      <c r="D4" s="635" t="s">
        <v>364</v>
      </c>
      <c r="E4" s="497">
        <v>131301</v>
      </c>
      <c r="F4" s="497">
        <v>0</v>
      </c>
      <c r="G4" s="497">
        <v>14</v>
      </c>
      <c r="H4" s="497">
        <v>0</v>
      </c>
      <c r="I4" s="497">
        <v>0</v>
      </c>
      <c r="J4" s="497">
        <v>0</v>
      </c>
      <c r="K4" s="497">
        <v>0</v>
      </c>
      <c r="L4" s="497">
        <v>0</v>
      </c>
      <c r="M4" s="497">
        <v>0</v>
      </c>
      <c r="N4" s="497">
        <v>0</v>
      </c>
      <c r="O4" s="497">
        <v>0</v>
      </c>
      <c r="P4" s="497">
        <v>0</v>
      </c>
      <c r="Q4" s="497">
        <v>0</v>
      </c>
      <c r="R4" s="497">
        <v>6227</v>
      </c>
      <c r="S4" s="497">
        <v>0</v>
      </c>
      <c r="T4" s="497">
        <v>0</v>
      </c>
      <c r="U4" s="497">
        <v>0</v>
      </c>
      <c r="V4" s="497">
        <v>272</v>
      </c>
      <c r="W4" s="497">
        <v>2587</v>
      </c>
      <c r="X4" s="497">
        <v>0</v>
      </c>
      <c r="Y4" s="497">
        <v>0</v>
      </c>
      <c r="Z4" s="497">
        <v>0</v>
      </c>
      <c r="AA4" s="497">
        <v>42014</v>
      </c>
      <c r="AB4" s="497">
        <v>0</v>
      </c>
      <c r="AC4" s="497">
        <v>0</v>
      </c>
      <c r="AD4" s="497">
        <v>19150</v>
      </c>
      <c r="AE4" s="497">
        <v>698</v>
      </c>
      <c r="AF4" s="497">
        <v>0</v>
      </c>
      <c r="AG4" s="497">
        <v>15288</v>
      </c>
      <c r="AH4" s="497">
        <v>0</v>
      </c>
      <c r="AI4" s="497">
        <v>0</v>
      </c>
      <c r="AJ4" s="497">
        <v>2340</v>
      </c>
      <c r="AK4" s="497">
        <v>0</v>
      </c>
      <c r="AL4" s="497">
        <v>0</v>
      </c>
      <c r="AM4" s="497">
        <v>0</v>
      </c>
      <c r="AN4" s="497">
        <v>263</v>
      </c>
      <c r="AO4" s="497">
        <v>344048</v>
      </c>
      <c r="AP4" s="497">
        <v>0</v>
      </c>
      <c r="AQ4" s="497">
        <v>2226</v>
      </c>
      <c r="AR4" s="497">
        <v>0</v>
      </c>
      <c r="AS4" s="497">
        <v>0</v>
      </c>
      <c r="AT4" s="497">
        <v>0</v>
      </c>
      <c r="AU4" s="497">
        <v>0</v>
      </c>
      <c r="AV4" s="497">
        <v>27403</v>
      </c>
      <c r="AW4" s="497">
        <v>84</v>
      </c>
      <c r="AX4" s="497">
        <v>0</v>
      </c>
      <c r="AY4" s="497">
        <v>0</v>
      </c>
      <c r="AZ4" s="497">
        <v>0</v>
      </c>
      <c r="BA4" s="497">
        <v>0</v>
      </c>
      <c r="BB4" s="497">
        <v>0</v>
      </c>
      <c r="BC4" s="497">
        <v>7457</v>
      </c>
      <c r="BD4" s="497">
        <v>0</v>
      </c>
      <c r="BE4" s="497">
        <v>0</v>
      </c>
      <c r="BF4" s="497">
        <v>0</v>
      </c>
      <c r="BG4" s="497">
        <v>4190</v>
      </c>
      <c r="BH4" s="497">
        <v>4044</v>
      </c>
      <c r="BI4" s="497">
        <v>6074</v>
      </c>
      <c r="BJ4" s="497">
        <v>0</v>
      </c>
      <c r="BK4" s="497">
        <v>0</v>
      </c>
      <c r="BL4" s="497">
        <v>0</v>
      </c>
      <c r="BM4" s="497">
        <v>25695</v>
      </c>
      <c r="BN4" s="497">
        <v>8224</v>
      </c>
      <c r="BO4" s="497">
        <v>290</v>
      </c>
      <c r="BP4" s="497">
        <v>7724</v>
      </c>
      <c r="BQ4" s="497">
        <v>10346</v>
      </c>
      <c r="BR4" s="497">
        <v>0</v>
      </c>
      <c r="BS4" s="497">
        <v>0</v>
      </c>
      <c r="BT4" s="497">
        <v>0</v>
      </c>
      <c r="BU4" s="497">
        <v>0</v>
      </c>
      <c r="BV4" s="497">
        <v>0</v>
      </c>
      <c r="BW4" s="497">
        <v>0</v>
      </c>
      <c r="BX4" s="497">
        <v>18010</v>
      </c>
      <c r="BY4" s="497">
        <v>0</v>
      </c>
      <c r="BZ4" s="497">
        <v>12680</v>
      </c>
      <c r="CA4" s="497">
        <v>0</v>
      </c>
      <c r="CB4" s="497">
        <v>0</v>
      </c>
      <c r="CC4" s="497">
        <v>2993</v>
      </c>
      <c r="CD4" s="497">
        <v>0</v>
      </c>
      <c r="CE4" s="497">
        <v>209934</v>
      </c>
      <c r="CF4" s="646"/>
      <c r="CG4" s="646"/>
      <c r="CH4" s="646"/>
      <c r="CI4" s="646"/>
      <c r="CJ4" s="646"/>
      <c r="CK4" s="646"/>
      <c r="CL4" s="646"/>
      <c r="CM4" s="646"/>
      <c r="CN4" s="646"/>
      <c r="CO4" s="646"/>
      <c r="CP4" s="646"/>
      <c r="CQ4" s="646"/>
      <c r="CR4" s="646"/>
      <c r="CS4" s="646"/>
      <c r="CT4" s="646"/>
      <c r="CU4" s="646"/>
      <c r="CV4" s="646"/>
      <c r="CW4" s="646"/>
      <c r="CX4" s="646"/>
      <c r="CY4" s="646"/>
      <c r="CZ4" s="646"/>
      <c r="DA4" s="646"/>
      <c r="DB4" s="646"/>
      <c r="DC4" s="646"/>
      <c r="DD4" s="646"/>
      <c r="DE4" s="646"/>
      <c r="DF4" s="646"/>
      <c r="DG4" s="646"/>
      <c r="DH4" s="646"/>
      <c r="DI4" s="646"/>
      <c r="DJ4" s="646"/>
      <c r="DK4" s="646"/>
      <c r="DL4" s="646"/>
      <c r="DM4" s="646"/>
      <c r="DN4" s="646"/>
      <c r="DO4" s="646"/>
      <c r="DP4" s="646"/>
      <c r="DQ4" s="646"/>
      <c r="DR4" s="646"/>
      <c r="DS4" s="646"/>
      <c r="DT4" s="646"/>
      <c r="DU4" s="646"/>
      <c r="DV4" s="646"/>
      <c r="DW4" s="646"/>
      <c r="DX4" s="646"/>
      <c r="DY4" s="646"/>
      <c r="DZ4" s="646"/>
      <c r="EA4" s="646"/>
      <c r="EB4" s="646"/>
      <c r="EC4" s="646"/>
      <c r="ED4" s="646"/>
      <c r="EE4" s="646"/>
      <c r="EF4" s="646"/>
      <c r="EG4" s="646"/>
      <c r="EH4" s="646"/>
      <c r="EI4" s="646"/>
    </row>
    <row r="5" spans="1:139" x14ac:dyDescent="0.25">
      <c r="A5" s="635">
        <v>6</v>
      </c>
      <c r="B5" s="752">
        <v>6</v>
      </c>
      <c r="C5" s="635" t="s">
        <v>330</v>
      </c>
      <c r="D5" s="635" t="s">
        <v>365</v>
      </c>
      <c r="E5" s="497">
        <v>0</v>
      </c>
      <c r="F5" s="497">
        <v>0</v>
      </c>
      <c r="G5" s="497">
        <v>0</v>
      </c>
      <c r="H5" s="497">
        <v>0</v>
      </c>
      <c r="I5" s="497">
        <v>0</v>
      </c>
      <c r="J5" s="497">
        <v>0</v>
      </c>
      <c r="K5" s="497">
        <v>0</v>
      </c>
      <c r="L5" s="497">
        <v>0</v>
      </c>
      <c r="M5" s="497">
        <v>0</v>
      </c>
      <c r="N5" s="497">
        <v>1498879</v>
      </c>
      <c r="O5" s="497">
        <v>0</v>
      </c>
      <c r="P5" s="497">
        <v>0</v>
      </c>
      <c r="Q5" s="497">
        <v>0</v>
      </c>
      <c r="R5" s="497">
        <v>0</v>
      </c>
      <c r="S5" s="497">
        <v>0</v>
      </c>
      <c r="T5" s="497">
        <v>0</v>
      </c>
      <c r="U5" s="497">
        <v>0</v>
      </c>
      <c r="V5" s="497">
        <v>0</v>
      </c>
      <c r="W5" s="497">
        <v>0</v>
      </c>
      <c r="X5" s="497">
        <v>0</v>
      </c>
      <c r="Y5" s="497">
        <v>21536</v>
      </c>
      <c r="Z5" s="497">
        <v>0</v>
      </c>
      <c r="AA5" s="497">
        <v>0</v>
      </c>
      <c r="AB5" s="497">
        <v>0</v>
      </c>
      <c r="AC5" s="497">
        <v>0</v>
      </c>
      <c r="AD5" s="497">
        <v>802590</v>
      </c>
      <c r="AE5" s="497">
        <v>0</v>
      </c>
      <c r="AF5" s="497">
        <v>0</v>
      </c>
      <c r="AG5" s="497">
        <v>682208</v>
      </c>
      <c r="AH5" s="497">
        <v>0</v>
      </c>
      <c r="AI5" s="497">
        <v>0</v>
      </c>
      <c r="AJ5" s="497">
        <v>0</v>
      </c>
      <c r="AK5" s="497">
        <v>0</v>
      </c>
      <c r="AL5" s="497">
        <v>0</v>
      </c>
      <c r="AM5" s="497">
        <v>0</v>
      </c>
      <c r="AN5" s="497">
        <v>0</v>
      </c>
      <c r="AO5" s="497">
        <v>0</v>
      </c>
      <c r="AP5" s="497">
        <v>0</v>
      </c>
      <c r="AQ5" s="497">
        <v>0</v>
      </c>
      <c r="AR5" s="497">
        <v>0</v>
      </c>
      <c r="AS5" s="497">
        <v>0</v>
      </c>
      <c r="AT5" s="497">
        <v>0</v>
      </c>
      <c r="AU5" s="497">
        <v>0</v>
      </c>
      <c r="AV5" s="497">
        <v>3689130</v>
      </c>
      <c r="AW5" s="497">
        <v>647996</v>
      </c>
      <c r="AX5" s="497">
        <v>0</v>
      </c>
      <c r="AY5" s="497">
        <v>0</v>
      </c>
      <c r="AZ5" s="497">
        <v>0</v>
      </c>
      <c r="BA5" s="497">
        <v>0</v>
      </c>
      <c r="BB5" s="497">
        <v>0</v>
      </c>
      <c r="BC5" s="497">
        <v>0</v>
      </c>
      <c r="BD5" s="497">
        <v>0</v>
      </c>
      <c r="BE5" s="497">
        <v>0</v>
      </c>
      <c r="BF5" s="497">
        <v>0</v>
      </c>
      <c r="BG5" s="497">
        <v>271051</v>
      </c>
      <c r="BH5" s="497">
        <v>0</v>
      </c>
      <c r="BI5" s="497">
        <v>647714</v>
      </c>
      <c r="BJ5" s="497">
        <v>0</v>
      </c>
      <c r="BK5" s="497">
        <v>0</v>
      </c>
      <c r="BL5" s="497">
        <v>0</v>
      </c>
      <c r="BM5" s="497">
        <v>0</v>
      </c>
      <c r="BN5" s="497">
        <v>0</v>
      </c>
      <c r="BO5" s="497">
        <v>0</v>
      </c>
      <c r="BP5" s="497">
        <v>1825436</v>
      </c>
      <c r="BQ5" s="497">
        <v>3146748</v>
      </c>
      <c r="BR5" s="497">
        <v>0</v>
      </c>
      <c r="BS5" s="497">
        <v>0</v>
      </c>
      <c r="BT5" s="497">
        <v>0</v>
      </c>
      <c r="BU5" s="497">
        <v>318143</v>
      </c>
      <c r="BV5" s="497">
        <v>0</v>
      </c>
      <c r="BW5" s="497">
        <v>0</v>
      </c>
      <c r="BX5" s="497">
        <v>0</v>
      </c>
      <c r="BY5" s="497">
        <v>0</v>
      </c>
      <c r="BZ5" s="497">
        <v>572161</v>
      </c>
      <c r="CA5" s="497">
        <v>0</v>
      </c>
      <c r="CB5" s="497">
        <v>34931</v>
      </c>
      <c r="CC5" s="497">
        <v>0</v>
      </c>
      <c r="CD5" s="497">
        <v>0</v>
      </c>
      <c r="CE5" s="497">
        <v>1783992</v>
      </c>
      <c r="CF5" s="646"/>
      <c r="CG5" s="646"/>
      <c r="CH5" s="646"/>
      <c r="CI5" s="646"/>
      <c r="CJ5" s="646"/>
      <c r="CK5" s="646"/>
      <c r="CL5" s="646"/>
      <c r="CM5" s="646"/>
      <c r="CN5" s="646"/>
      <c r="CO5" s="646"/>
      <c r="CP5" s="646"/>
      <c r="CQ5" s="646"/>
      <c r="CR5" s="646"/>
      <c r="CS5" s="646"/>
      <c r="CT5" s="646"/>
      <c r="CU5" s="646"/>
      <c r="CV5" s="646"/>
      <c r="CW5" s="646"/>
      <c r="CX5" s="646"/>
      <c r="CY5" s="646"/>
      <c r="CZ5" s="646"/>
      <c r="DA5" s="646"/>
      <c r="DB5" s="646"/>
      <c r="DC5" s="646"/>
      <c r="DD5" s="646"/>
      <c r="DE5" s="646"/>
      <c r="DF5" s="646"/>
      <c r="DG5" s="646"/>
      <c r="DH5" s="646"/>
      <c r="DI5" s="646"/>
      <c r="DJ5" s="646"/>
      <c r="DK5" s="646"/>
      <c r="DL5" s="646"/>
      <c r="DM5" s="646"/>
      <c r="DN5" s="646"/>
      <c r="DO5" s="646"/>
      <c r="DP5" s="646"/>
      <c r="DQ5" s="646"/>
      <c r="DR5" s="646"/>
      <c r="DS5" s="646"/>
      <c r="DT5" s="646"/>
      <c r="DU5" s="646"/>
      <c r="DV5" s="646"/>
      <c r="DW5" s="646"/>
      <c r="DX5" s="646"/>
      <c r="DY5" s="646"/>
      <c r="DZ5" s="646"/>
      <c r="EA5" s="646"/>
      <c r="EB5" s="646"/>
      <c r="EC5" s="646"/>
      <c r="ED5" s="646"/>
      <c r="EE5" s="646"/>
      <c r="EF5" s="646"/>
      <c r="EG5" s="646"/>
      <c r="EH5" s="646"/>
      <c r="EI5" s="646"/>
    </row>
    <row r="6" spans="1:139" x14ac:dyDescent="0.25">
      <c r="A6" s="635">
        <v>7</v>
      </c>
      <c r="B6" s="752">
        <v>7</v>
      </c>
      <c r="C6" s="635" t="s">
        <v>267</v>
      </c>
      <c r="D6" s="635" t="s">
        <v>366</v>
      </c>
      <c r="E6" s="497">
        <v>0</v>
      </c>
      <c r="F6" s="497">
        <v>0</v>
      </c>
      <c r="G6" s="497">
        <v>860</v>
      </c>
      <c r="H6" s="497">
        <v>0</v>
      </c>
      <c r="I6" s="497">
        <v>3866</v>
      </c>
      <c r="J6" s="497">
        <v>0</v>
      </c>
      <c r="K6" s="497">
        <v>2929</v>
      </c>
      <c r="L6" s="497">
        <v>6253</v>
      </c>
      <c r="M6" s="497">
        <v>21086</v>
      </c>
      <c r="N6" s="497">
        <v>273969</v>
      </c>
      <c r="O6" s="497">
        <v>6398</v>
      </c>
      <c r="P6" s="497">
        <v>27134</v>
      </c>
      <c r="Q6" s="497">
        <v>0</v>
      </c>
      <c r="R6" s="497">
        <v>0</v>
      </c>
      <c r="S6" s="497">
        <v>0</v>
      </c>
      <c r="T6" s="497">
        <v>7233</v>
      </c>
      <c r="U6" s="497">
        <v>0</v>
      </c>
      <c r="V6" s="497">
        <v>0</v>
      </c>
      <c r="W6" s="497">
        <v>0</v>
      </c>
      <c r="X6" s="497">
        <v>6695</v>
      </c>
      <c r="Y6" s="497">
        <v>0</v>
      </c>
      <c r="Z6" s="497">
        <v>0</v>
      </c>
      <c r="AA6" s="497">
        <v>0</v>
      </c>
      <c r="AB6" s="497">
        <v>0</v>
      </c>
      <c r="AC6" s="497">
        <v>0</v>
      </c>
      <c r="AD6" s="497">
        <v>111008</v>
      </c>
      <c r="AE6" s="497">
        <v>0</v>
      </c>
      <c r="AF6" s="497">
        <v>0</v>
      </c>
      <c r="AG6" s="497">
        <v>644336</v>
      </c>
      <c r="AH6" s="497">
        <v>7782</v>
      </c>
      <c r="AI6" s="497">
        <v>0</v>
      </c>
      <c r="AJ6" s="497">
        <v>70346</v>
      </c>
      <c r="AK6" s="497">
        <v>0</v>
      </c>
      <c r="AL6" s="497">
        <v>0</v>
      </c>
      <c r="AM6" s="497">
        <v>0</v>
      </c>
      <c r="AN6" s="497">
        <v>0</v>
      </c>
      <c r="AO6" s="497">
        <v>0</v>
      </c>
      <c r="AP6" s="497">
        <v>0</v>
      </c>
      <c r="AQ6" s="497">
        <v>0</v>
      </c>
      <c r="AR6" s="497">
        <v>0</v>
      </c>
      <c r="AS6" s="497">
        <v>0</v>
      </c>
      <c r="AT6" s="497">
        <v>2041</v>
      </c>
      <c r="AU6" s="497">
        <v>0</v>
      </c>
      <c r="AV6" s="497">
        <v>1588976</v>
      </c>
      <c r="AW6" s="497">
        <v>68016</v>
      </c>
      <c r="AX6" s="497">
        <v>0</v>
      </c>
      <c r="AY6" s="497">
        <v>0</v>
      </c>
      <c r="AZ6" s="497">
        <v>0</v>
      </c>
      <c r="BA6" s="497">
        <v>0</v>
      </c>
      <c r="BB6" s="497">
        <v>0</v>
      </c>
      <c r="BC6" s="497">
        <v>0</v>
      </c>
      <c r="BD6" s="497">
        <v>9942</v>
      </c>
      <c r="BE6" s="497">
        <v>0</v>
      </c>
      <c r="BF6" s="497">
        <v>0</v>
      </c>
      <c r="BG6" s="497">
        <v>129407</v>
      </c>
      <c r="BH6" s="497">
        <v>0</v>
      </c>
      <c r="BI6" s="497">
        <v>11952</v>
      </c>
      <c r="BJ6" s="497">
        <v>0</v>
      </c>
      <c r="BK6" s="497">
        <v>0</v>
      </c>
      <c r="BL6" s="497">
        <v>0</v>
      </c>
      <c r="BM6" s="497">
        <v>0</v>
      </c>
      <c r="BN6" s="497">
        <v>72783</v>
      </c>
      <c r="BO6" s="497">
        <v>0</v>
      </c>
      <c r="BP6" s="497">
        <v>2757181</v>
      </c>
      <c r="BQ6" s="497">
        <v>101903</v>
      </c>
      <c r="BR6" s="497">
        <v>0</v>
      </c>
      <c r="BS6" s="497">
        <v>34610</v>
      </c>
      <c r="BT6" s="497">
        <v>0</v>
      </c>
      <c r="BU6" s="497">
        <v>0</v>
      </c>
      <c r="BV6" s="497">
        <v>0</v>
      </c>
      <c r="BW6" s="497">
        <v>0</v>
      </c>
      <c r="BX6" s="497">
        <v>0</v>
      </c>
      <c r="BY6" s="497">
        <v>0</v>
      </c>
      <c r="BZ6" s="497">
        <v>110795</v>
      </c>
      <c r="CA6" s="497">
        <v>0</v>
      </c>
      <c r="CB6" s="497">
        <v>33209</v>
      </c>
      <c r="CC6" s="497">
        <v>9118</v>
      </c>
      <c r="CD6" s="497">
        <v>7927</v>
      </c>
      <c r="CE6" s="497">
        <v>82533</v>
      </c>
      <c r="CF6" s="646"/>
      <c r="CG6" s="646"/>
      <c r="CH6" s="646"/>
      <c r="CI6" s="646"/>
      <c r="CJ6" s="646"/>
      <c r="CK6" s="646"/>
      <c r="CL6" s="646"/>
      <c r="CM6" s="646"/>
      <c r="CN6" s="646"/>
      <c r="CO6" s="646"/>
      <c r="CP6" s="646"/>
      <c r="CQ6" s="646"/>
      <c r="CR6" s="646"/>
      <c r="CS6" s="646"/>
      <c r="CT6" s="646"/>
      <c r="CU6" s="646"/>
      <c r="CV6" s="646"/>
      <c r="CW6" s="646"/>
      <c r="CX6" s="646"/>
      <c r="CY6" s="646"/>
      <c r="CZ6" s="646"/>
      <c r="DA6" s="646"/>
      <c r="DB6" s="646"/>
      <c r="DC6" s="646"/>
      <c r="DD6" s="646"/>
      <c r="DE6" s="646"/>
      <c r="DF6" s="646"/>
      <c r="DG6" s="646"/>
      <c r="DH6" s="646"/>
      <c r="DI6" s="646"/>
      <c r="DJ6" s="646"/>
      <c r="DK6" s="646"/>
      <c r="DL6" s="646"/>
      <c r="DM6" s="646"/>
      <c r="DN6" s="646"/>
      <c r="DO6" s="646"/>
      <c r="DP6" s="646"/>
      <c r="DQ6" s="646"/>
      <c r="DR6" s="646"/>
      <c r="DS6" s="646"/>
      <c r="DT6" s="646"/>
      <c r="DU6" s="646"/>
      <c r="DV6" s="646"/>
      <c r="DW6" s="646"/>
      <c r="DX6" s="646"/>
      <c r="DY6" s="646"/>
      <c r="DZ6" s="646"/>
      <c r="EA6" s="646"/>
      <c r="EB6" s="646"/>
      <c r="EC6" s="646"/>
      <c r="ED6" s="646"/>
      <c r="EE6" s="646"/>
      <c r="EF6" s="646"/>
      <c r="EG6" s="646"/>
      <c r="EH6" s="646"/>
      <c r="EI6" s="646"/>
    </row>
    <row r="7" spans="1:139" x14ac:dyDescent="0.25">
      <c r="A7" s="635">
        <v>9</v>
      </c>
      <c r="B7" s="752">
        <v>9</v>
      </c>
      <c r="C7" s="635" t="s">
        <v>269</v>
      </c>
      <c r="D7" s="635" t="s">
        <v>367</v>
      </c>
      <c r="E7" s="497">
        <v>558672</v>
      </c>
      <c r="F7" s="497">
        <v>1136556</v>
      </c>
      <c r="G7" s="497">
        <v>448594</v>
      </c>
      <c r="H7" s="497">
        <v>1031798</v>
      </c>
      <c r="I7" s="497">
        <v>732873</v>
      </c>
      <c r="J7" s="497">
        <v>186323</v>
      </c>
      <c r="K7" s="497">
        <v>132851</v>
      </c>
      <c r="L7" s="497">
        <v>668793</v>
      </c>
      <c r="M7" s="497">
        <v>3046860</v>
      </c>
      <c r="N7" s="497">
        <v>75936690</v>
      </c>
      <c r="O7" s="497">
        <v>2861609</v>
      </c>
      <c r="P7" s="497">
        <v>5216533</v>
      </c>
      <c r="Q7" s="497">
        <v>204588</v>
      </c>
      <c r="R7" s="497">
        <v>5469635</v>
      </c>
      <c r="S7" s="497">
        <v>140415</v>
      </c>
      <c r="T7" s="497">
        <v>554776</v>
      </c>
      <c r="U7" s="497">
        <v>656597</v>
      </c>
      <c r="V7" s="497">
        <v>1100153</v>
      </c>
      <c r="W7" s="497">
        <v>3819464</v>
      </c>
      <c r="X7" s="497">
        <v>1213939</v>
      </c>
      <c r="Y7" s="497">
        <v>576180</v>
      </c>
      <c r="Z7" s="497">
        <v>214372</v>
      </c>
      <c r="AA7" s="497">
        <v>25011710</v>
      </c>
      <c r="AB7" s="497">
        <v>7360630</v>
      </c>
      <c r="AC7" s="497">
        <v>813840</v>
      </c>
      <c r="AD7" s="497">
        <v>28429702</v>
      </c>
      <c r="AE7" s="497">
        <v>510782</v>
      </c>
      <c r="AF7" s="497">
        <v>0</v>
      </c>
      <c r="AG7" s="497">
        <v>33207609</v>
      </c>
      <c r="AH7" s="497">
        <v>881430</v>
      </c>
      <c r="AI7" s="497">
        <v>328001</v>
      </c>
      <c r="AJ7" s="497">
        <v>2760392</v>
      </c>
      <c r="AK7" s="497">
        <v>872188</v>
      </c>
      <c r="AL7" s="497">
        <v>142231</v>
      </c>
      <c r="AM7" s="497">
        <v>0</v>
      </c>
      <c r="AN7" s="497">
        <v>681839</v>
      </c>
      <c r="AO7" s="497">
        <v>11045267</v>
      </c>
      <c r="AP7" s="497">
        <v>50734</v>
      </c>
      <c r="AQ7" s="497">
        <v>3180114</v>
      </c>
      <c r="AR7" s="497">
        <v>2187774</v>
      </c>
      <c r="AS7" s="497">
        <v>202703</v>
      </c>
      <c r="AT7" s="497">
        <v>1115623</v>
      </c>
      <c r="AU7" s="497">
        <v>658676</v>
      </c>
      <c r="AV7" s="497">
        <v>70865071</v>
      </c>
      <c r="AW7" s="497">
        <v>23953440</v>
      </c>
      <c r="AX7" s="497">
        <v>808557</v>
      </c>
      <c r="AY7" s="497">
        <v>330054</v>
      </c>
      <c r="AZ7" s="497">
        <v>326163</v>
      </c>
      <c r="BA7" s="497">
        <v>188012</v>
      </c>
      <c r="BB7" s="497">
        <v>0</v>
      </c>
      <c r="BC7" s="497">
        <v>3085670</v>
      </c>
      <c r="BD7" s="497">
        <v>1160336</v>
      </c>
      <c r="BE7" s="497">
        <v>247269</v>
      </c>
      <c r="BF7" s="497">
        <v>131639</v>
      </c>
      <c r="BG7" s="497">
        <v>5738273</v>
      </c>
      <c r="BH7" s="497">
        <v>82958</v>
      </c>
      <c r="BI7" s="497">
        <v>11327569</v>
      </c>
      <c r="BJ7" s="497">
        <v>1176095</v>
      </c>
      <c r="BK7" s="497">
        <v>491098</v>
      </c>
      <c r="BL7" s="497">
        <v>496527</v>
      </c>
      <c r="BM7" s="497">
        <v>12272744</v>
      </c>
      <c r="BN7" s="497">
        <v>7372526</v>
      </c>
      <c r="BO7" s="497">
        <v>2027305</v>
      </c>
      <c r="BP7" s="497">
        <v>38294105</v>
      </c>
      <c r="BQ7" s="497">
        <v>27541986</v>
      </c>
      <c r="BR7" s="497">
        <v>249569</v>
      </c>
      <c r="BS7" s="497">
        <v>4128764</v>
      </c>
      <c r="BT7" s="497">
        <v>2683094</v>
      </c>
      <c r="BU7" s="497">
        <v>7955027</v>
      </c>
      <c r="BV7" s="497">
        <v>315605</v>
      </c>
      <c r="BW7" s="497">
        <v>1087840</v>
      </c>
      <c r="BX7" s="497">
        <v>2610160</v>
      </c>
      <c r="BY7" s="497">
        <v>0</v>
      </c>
      <c r="BZ7" s="497">
        <v>17479963</v>
      </c>
      <c r="CA7" s="497">
        <v>189855</v>
      </c>
      <c r="CB7" s="497">
        <v>7691673</v>
      </c>
      <c r="CC7" s="497">
        <v>481796</v>
      </c>
      <c r="CD7" s="497">
        <v>1849385</v>
      </c>
      <c r="CE7" s="497">
        <v>56311465</v>
      </c>
      <c r="CF7" s="646"/>
      <c r="CG7" s="646"/>
      <c r="CH7" s="646"/>
      <c r="CI7" s="646"/>
      <c r="CJ7" s="646"/>
      <c r="CK7" s="646"/>
      <c r="CL7" s="646"/>
      <c r="CM7" s="646"/>
      <c r="CN7" s="646"/>
      <c r="CO7" s="646"/>
      <c r="CP7" s="646"/>
      <c r="CQ7" s="646"/>
      <c r="CR7" s="646"/>
      <c r="CS7" s="646"/>
      <c r="CT7" s="646"/>
      <c r="CU7" s="646"/>
      <c r="CV7" s="646"/>
      <c r="CW7" s="646"/>
      <c r="CX7" s="646"/>
      <c r="CY7" s="646"/>
      <c r="CZ7" s="646"/>
      <c r="DA7" s="646"/>
      <c r="DB7" s="646"/>
      <c r="DC7" s="646"/>
      <c r="DD7" s="646"/>
      <c r="DE7" s="646"/>
      <c r="DF7" s="646"/>
      <c r="DG7" s="646"/>
      <c r="DH7" s="646"/>
      <c r="DI7" s="646"/>
      <c r="DJ7" s="646"/>
      <c r="DK7" s="646"/>
      <c r="DL7" s="646"/>
      <c r="DM7" s="646"/>
      <c r="DN7" s="646"/>
      <c r="DO7" s="646"/>
      <c r="DP7" s="646"/>
      <c r="DQ7" s="646"/>
      <c r="DR7" s="646"/>
      <c r="DS7" s="646"/>
      <c r="DT7" s="646"/>
      <c r="DU7" s="646"/>
      <c r="DV7" s="646"/>
      <c r="DW7" s="646"/>
      <c r="DX7" s="646"/>
      <c r="DY7" s="646"/>
      <c r="DZ7" s="646"/>
      <c r="EA7" s="646"/>
      <c r="EB7" s="646"/>
      <c r="EC7" s="646"/>
      <c r="ED7" s="646"/>
      <c r="EE7" s="646"/>
      <c r="EF7" s="646"/>
      <c r="EG7" s="646"/>
      <c r="EH7" s="646"/>
      <c r="EI7" s="646"/>
    </row>
    <row r="8" spans="1:139" x14ac:dyDescent="0.25">
      <c r="A8" s="635">
        <v>11</v>
      </c>
      <c r="B8" s="752">
        <v>11</v>
      </c>
      <c r="C8" s="635" t="s">
        <v>268</v>
      </c>
      <c r="D8" s="635" t="s">
        <v>368</v>
      </c>
      <c r="E8" s="497">
        <v>0</v>
      </c>
      <c r="F8" s="497">
        <v>68235</v>
      </c>
      <c r="G8" s="497">
        <v>0</v>
      </c>
      <c r="H8" s="497">
        <v>18118</v>
      </c>
      <c r="I8" s="497">
        <v>165000</v>
      </c>
      <c r="J8" s="497">
        <v>9829</v>
      </c>
      <c r="K8" s="497">
        <v>25317</v>
      </c>
      <c r="L8" s="497">
        <v>202684</v>
      </c>
      <c r="M8" s="497">
        <v>515841</v>
      </c>
      <c r="N8" s="497">
        <v>0</v>
      </c>
      <c r="O8" s="497">
        <v>0</v>
      </c>
      <c r="P8" s="497">
        <v>565226</v>
      </c>
      <c r="Q8" s="497">
        <v>18218</v>
      </c>
      <c r="R8" s="497">
        <v>355299</v>
      </c>
      <c r="S8" s="497">
        <v>3228</v>
      </c>
      <c r="T8" s="497">
        <v>59067</v>
      </c>
      <c r="U8" s="497">
        <v>0</v>
      </c>
      <c r="V8" s="497">
        <v>123000</v>
      </c>
      <c r="W8" s="497">
        <v>645637</v>
      </c>
      <c r="X8" s="497">
        <v>20789</v>
      </c>
      <c r="Y8" s="497">
        <v>13674</v>
      </c>
      <c r="Z8" s="497">
        <v>81418</v>
      </c>
      <c r="AA8" s="497">
        <v>1755094</v>
      </c>
      <c r="AB8" s="497">
        <v>0</v>
      </c>
      <c r="AC8" s="497">
        <v>16890</v>
      </c>
      <c r="AD8" s="497">
        <v>117777</v>
      </c>
      <c r="AE8" s="497">
        <v>7523</v>
      </c>
      <c r="AF8" s="497">
        <v>0</v>
      </c>
      <c r="AG8" s="497">
        <v>1537056</v>
      </c>
      <c r="AH8" s="497">
        <v>41500</v>
      </c>
      <c r="AI8" s="497">
        <v>30347</v>
      </c>
      <c r="AJ8" s="497">
        <v>93472</v>
      </c>
      <c r="AK8" s="497">
        <v>54496</v>
      </c>
      <c r="AL8" s="497">
        <v>20447</v>
      </c>
      <c r="AM8" s="497">
        <v>0</v>
      </c>
      <c r="AN8" s="497">
        <v>105449</v>
      </c>
      <c r="AO8" s="497">
        <v>0</v>
      </c>
      <c r="AP8" s="497">
        <v>0</v>
      </c>
      <c r="AQ8" s="497">
        <v>0</v>
      </c>
      <c r="AR8" s="497">
        <v>52377</v>
      </c>
      <c r="AS8" s="497">
        <v>0</v>
      </c>
      <c r="AT8" s="497">
        <v>146834</v>
      </c>
      <c r="AU8" s="497">
        <v>172096</v>
      </c>
      <c r="AV8" s="497">
        <v>0</v>
      </c>
      <c r="AW8" s="497">
        <v>702296</v>
      </c>
      <c r="AX8" s="497">
        <v>0</v>
      </c>
      <c r="AY8" s="497">
        <v>13891</v>
      </c>
      <c r="AZ8" s="497">
        <v>30362</v>
      </c>
      <c r="BA8" s="497">
        <v>23673</v>
      </c>
      <c r="BB8" s="497">
        <v>0</v>
      </c>
      <c r="BC8" s="497">
        <v>44431</v>
      </c>
      <c r="BD8" s="497">
        <v>0</v>
      </c>
      <c r="BE8" s="497">
        <v>37579</v>
      </c>
      <c r="BF8" s="497">
        <v>13654</v>
      </c>
      <c r="BG8" s="497">
        <v>156861</v>
      </c>
      <c r="BH8" s="497">
        <v>20370</v>
      </c>
      <c r="BI8" s="497">
        <v>785677</v>
      </c>
      <c r="BJ8" s="497">
        <v>433953</v>
      </c>
      <c r="BK8" s="497">
        <v>84063</v>
      </c>
      <c r="BL8" s="497">
        <v>0</v>
      </c>
      <c r="BM8" s="497">
        <v>1036622</v>
      </c>
      <c r="BN8" s="497">
        <v>0</v>
      </c>
      <c r="BO8" s="497">
        <v>257967</v>
      </c>
      <c r="BP8" s="497">
        <v>0</v>
      </c>
      <c r="BQ8" s="497">
        <v>0</v>
      </c>
      <c r="BR8" s="497">
        <v>6383</v>
      </c>
      <c r="BS8" s="497">
        <v>112145</v>
      </c>
      <c r="BT8" s="497">
        <v>0</v>
      </c>
      <c r="BU8" s="497">
        <v>75919</v>
      </c>
      <c r="BV8" s="497">
        <v>67992</v>
      </c>
      <c r="BW8" s="497">
        <v>136238</v>
      </c>
      <c r="BX8" s="497">
        <v>0</v>
      </c>
      <c r="BY8" s="497">
        <v>0</v>
      </c>
      <c r="BZ8" s="497">
        <v>1159519</v>
      </c>
      <c r="CA8" s="497">
        <v>16572</v>
      </c>
      <c r="CB8" s="497">
        <v>29194</v>
      </c>
      <c r="CC8" s="497">
        <v>56555</v>
      </c>
      <c r="CD8" s="497">
        <v>226867</v>
      </c>
      <c r="CE8" s="497">
        <v>3098380</v>
      </c>
      <c r="CF8" s="646"/>
      <c r="CG8" s="646"/>
      <c r="CH8" s="646"/>
      <c r="CI8" s="646"/>
      <c r="CJ8" s="646"/>
      <c r="CK8" s="646"/>
      <c r="CL8" s="646"/>
      <c r="CM8" s="646"/>
      <c r="CN8" s="646"/>
      <c r="CO8" s="646"/>
      <c r="CP8" s="646"/>
      <c r="CQ8" s="646"/>
      <c r="CR8" s="646"/>
      <c r="CS8" s="646"/>
      <c r="CT8" s="646"/>
      <c r="CU8" s="646"/>
      <c r="CV8" s="646"/>
      <c r="CW8" s="646"/>
      <c r="CX8" s="646"/>
      <c r="CY8" s="646"/>
      <c r="CZ8" s="646"/>
      <c r="DA8" s="646"/>
      <c r="DB8" s="646"/>
      <c r="DC8" s="646"/>
      <c r="DD8" s="646"/>
      <c r="DE8" s="646"/>
      <c r="DF8" s="646"/>
      <c r="DG8" s="646"/>
      <c r="DH8" s="646"/>
      <c r="DI8" s="646"/>
      <c r="DJ8" s="646"/>
      <c r="DK8" s="646"/>
      <c r="DL8" s="646"/>
      <c r="DM8" s="646"/>
      <c r="DN8" s="646"/>
      <c r="DO8" s="646"/>
      <c r="DP8" s="646"/>
      <c r="DQ8" s="646"/>
      <c r="DR8" s="646"/>
      <c r="DS8" s="646"/>
      <c r="DT8" s="646"/>
      <c r="DU8" s="646"/>
      <c r="DV8" s="646"/>
      <c r="DW8" s="646"/>
      <c r="DX8" s="646"/>
      <c r="DY8" s="646"/>
      <c r="DZ8" s="646"/>
      <c r="EA8" s="646"/>
      <c r="EB8" s="646"/>
      <c r="EC8" s="646"/>
      <c r="ED8" s="646"/>
      <c r="EE8" s="646"/>
      <c r="EF8" s="646"/>
      <c r="EG8" s="646"/>
      <c r="EH8" s="646"/>
      <c r="EI8" s="646"/>
    </row>
    <row r="9" spans="1:139" x14ac:dyDescent="0.25">
      <c r="B9" s="752">
        <v>12</v>
      </c>
      <c r="C9" s="635" t="s">
        <v>715</v>
      </c>
      <c r="D9" s="635" t="s">
        <v>369</v>
      </c>
      <c r="E9" s="497"/>
      <c r="F9" s="497"/>
      <c r="G9" s="497"/>
      <c r="H9" s="497"/>
      <c r="I9" s="497"/>
      <c r="J9" s="497"/>
      <c r="K9" s="497"/>
      <c r="L9" s="497"/>
      <c r="M9" s="497"/>
      <c r="N9" s="497"/>
      <c r="O9" s="497"/>
      <c r="P9" s="497"/>
      <c r="Q9" s="497"/>
      <c r="R9" s="497"/>
      <c r="S9" s="497"/>
      <c r="T9" s="497"/>
      <c r="U9" s="497"/>
      <c r="V9" s="497"/>
      <c r="W9" s="497"/>
      <c r="X9" s="497"/>
      <c r="Y9" s="497"/>
      <c r="Z9" s="497"/>
      <c r="AA9" s="497"/>
      <c r="AB9" s="497"/>
      <c r="AC9" s="497"/>
      <c r="AD9" s="497"/>
      <c r="AE9" s="497"/>
      <c r="AF9" s="497"/>
      <c r="AG9" s="497"/>
      <c r="AH9" s="497"/>
      <c r="AI9" s="497"/>
      <c r="AJ9" s="497"/>
      <c r="AK9" s="497"/>
      <c r="AL9" s="497"/>
      <c r="AM9" s="497"/>
      <c r="AN9" s="497"/>
      <c r="AO9" s="497"/>
      <c r="AP9" s="497"/>
      <c r="AQ9" s="497"/>
      <c r="AR9" s="497"/>
      <c r="AS9" s="497"/>
      <c r="AT9" s="497"/>
      <c r="AU9" s="497"/>
      <c r="AV9" s="497"/>
      <c r="AW9" s="497"/>
      <c r="AX9" s="497"/>
      <c r="AY9" s="497"/>
      <c r="AZ9" s="497"/>
      <c r="BA9" s="497"/>
      <c r="BB9" s="497"/>
      <c r="BC9" s="497"/>
      <c r="BD9" s="497"/>
      <c r="BE9" s="497"/>
      <c r="BF9" s="497"/>
      <c r="BG9" s="497"/>
      <c r="BH9" s="497"/>
      <c r="BI9" s="497"/>
      <c r="BJ9" s="497"/>
      <c r="BK9" s="497"/>
      <c r="BL9" s="497"/>
      <c r="BM9" s="497"/>
      <c r="BN9" s="497"/>
      <c r="BO9" s="497"/>
      <c r="BP9" s="497"/>
      <c r="BQ9" s="497"/>
      <c r="BR9" s="497"/>
      <c r="BS9" s="497"/>
      <c r="BT9" s="497"/>
      <c r="BU9" s="497"/>
      <c r="BV9" s="497"/>
      <c r="BW9" s="497"/>
      <c r="BX9" s="497"/>
      <c r="BY9" s="497"/>
      <c r="BZ9" s="497"/>
      <c r="CA9" s="497"/>
      <c r="CB9" s="497"/>
      <c r="CC9" s="497"/>
      <c r="CD9" s="497"/>
      <c r="CE9" s="497"/>
    </row>
    <row r="10" spans="1:139" x14ac:dyDescent="0.25">
      <c r="B10" s="752">
        <v>13</v>
      </c>
      <c r="C10" s="635" t="s">
        <v>716</v>
      </c>
      <c r="D10" s="635" t="s">
        <v>370</v>
      </c>
      <c r="E10" s="497"/>
      <c r="F10" s="497"/>
      <c r="G10" s="497"/>
      <c r="H10" s="497"/>
      <c r="I10" s="497"/>
      <c r="J10" s="497"/>
      <c r="K10" s="497"/>
      <c r="L10" s="497"/>
      <c r="M10" s="497"/>
      <c r="N10" s="497"/>
      <c r="O10" s="497"/>
      <c r="P10" s="497"/>
      <c r="Q10" s="497"/>
      <c r="R10" s="497"/>
      <c r="S10" s="497"/>
      <c r="T10" s="497"/>
      <c r="U10" s="497"/>
      <c r="V10" s="497"/>
      <c r="W10" s="497"/>
      <c r="X10" s="497"/>
      <c r="Y10" s="497"/>
      <c r="Z10" s="497"/>
      <c r="AA10" s="497"/>
      <c r="AB10" s="497"/>
      <c r="AC10" s="497"/>
      <c r="AD10" s="497"/>
      <c r="AE10" s="497"/>
      <c r="AF10" s="497"/>
      <c r="AG10" s="497"/>
      <c r="AH10" s="497"/>
      <c r="AI10" s="497"/>
      <c r="AJ10" s="497"/>
      <c r="AK10" s="497"/>
      <c r="AL10" s="497"/>
      <c r="AM10" s="497"/>
      <c r="AN10" s="497"/>
      <c r="AO10" s="497"/>
      <c r="AP10" s="497"/>
      <c r="AQ10" s="497"/>
      <c r="AR10" s="497"/>
      <c r="AS10" s="497"/>
      <c r="AT10" s="497"/>
      <c r="AU10" s="497"/>
      <c r="AV10" s="497"/>
      <c r="AW10" s="497"/>
      <c r="AX10" s="497"/>
      <c r="AY10" s="497"/>
      <c r="AZ10" s="497"/>
      <c r="BA10" s="497"/>
      <c r="BB10" s="497"/>
      <c r="BC10" s="497"/>
      <c r="BD10" s="497"/>
      <c r="BE10" s="497"/>
      <c r="BF10" s="497"/>
      <c r="BG10" s="497"/>
      <c r="BH10" s="497"/>
      <c r="BI10" s="497"/>
      <c r="BJ10" s="497"/>
      <c r="BK10" s="497"/>
      <c r="BL10" s="497"/>
      <c r="BM10" s="497"/>
      <c r="BN10" s="497"/>
      <c r="BO10" s="497"/>
      <c r="BP10" s="497"/>
      <c r="BQ10" s="497"/>
      <c r="BR10" s="497"/>
      <c r="BS10" s="497"/>
      <c r="BT10" s="497"/>
      <c r="BU10" s="497"/>
      <c r="BV10" s="497"/>
      <c r="BW10" s="497"/>
      <c r="BX10" s="497"/>
      <c r="BY10" s="497"/>
      <c r="BZ10" s="497"/>
      <c r="CA10" s="497"/>
      <c r="CB10" s="497"/>
      <c r="CC10" s="497"/>
      <c r="CD10" s="497"/>
      <c r="CE10" s="497"/>
    </row>
    <row r="11" spans="1:139" x14ac:dyDescent="0.25">
      <c r="B11" s="752">
        <v>14</v>
      </c>
      <c r="C11" s="635" t="s">
        <v>371</v>
      </c>
      <c r="D11" s="635" t="s">
        <v>372</v>
      </c>
      <c r="E11" s="497"/>
      <c r="F11" s="497"/>
      <c r="G11" s="497"/>
      <c r="H11" s="497"/>
      <c r="I11" s="497"/>
      <c r="J11" s="497"/>
      <c r="K11" s="497"/>
      <c r="L11" s="497"/>
      <c r="M11" s="497"/>
      <c r="N11" s="497"/>
      <c r="O11" s="497"/>
      <c r="P11" s="497"/>
      <c r="Q11" s="497"/>
      <c r="R11" s="497"/>
      <c r="S11" s="497"/>
      <c r="T11" s="497"/>
      <c r="U11" s="497"/>
      <c r="V11" s="497"/>
      <c r="W11" s="497"/>
      <c r="X11" s="497"/>
      <c r="Y11" s="497"/>
      <c r="Z11" s="497"/>
      <c r="AA11" s="497"/>
      <c r="AB11" s="497"/>
      <c r="AC11" s="497"/>
      <c r="AD11" s="497"/>
      <c r="AE11" s="497"/>
      <c r="AF11" s="497"/>
      <c r="AG11" s="497"/>
      <c r="AH11" s="497"/>
      <c r="AI11" s="497"/>
      <c r="AJ11" s="497"/>
      <c r="AK11" s="497"/>
      <c r="AL11" s="497"/>
      <c r="AM11" s="497"/>
      <c r="AN11" s="497"/>
      <c r="AO11" s="497"/>
      <c r="AP11" s="497"/>
      <c r="AQ11" s="497"/>
      <c r="AR11" s="497"/>
      <c r="AS11" s="497"/>
      <c r="AT11" s="497"/>
      <c r="AU11" s="497"/>
      <c r="AV11" s="497"/>
      <c r="AW11" s="497"/>
      <c r="AX11" s="497"/>
      <c r="AY11" s="497"/>
      <c r="AZ11" s="497"/>
      <c r="BA11" s="497"/>
      <c r="BB11" s="497"/>
      <c r="BC11" s="497"/>
      <c r="BD11" s="497"/>
      <c r="BE11" s="497"/>
      <c r="BF11" s="497"/>
      <c r="BG11" s="497"/>
      <c r="BH11" s="497"/>
      <c r="BI11" s="497"/>
      <c r="BJ11" s="497"/>
      <c r="BK11" s="497"/>
      <c r="BL11" s="497"/>
      <c r="BM11" s="497"/>
      <c r="BN11" s="497"/>
      <c r="BO11" s="497"/>
      <c r="BP11" s="497"/>
      <c r="BQ11" s="497"/>
      <c r="BR11" s="497"/>
      <c r="BS11" s="497"/>
      <c r="BT11" s="497"/>
      <c r="BU11" s="497"/>
      <c r="BV11" s="497"/>
      <c r="BW11" s="497"/>
      <c r="BX11" s="497"/>
      <c r="BY11" s="497"/>
      <c r="BZ11" s="497"/>
      <c r="CA11" s="497"/>
      <c r="CB11" s="497"/>
      <c r="CC11" s="497"/>
      <c r="CD11" s="497"/>
      <c r="CE11" s="497"/>
    </row>
    <row r="12" spans="1:139" x14ac:dyDescent="0.25">
      <c r="A12" s="635">
        <v>16</v>
      </c>
      <c r="B12" s="752">
        <v>16</v>
      </c>
      <c r="C12" s="635" t="s">
        <v>271</v>
      </c>
      <c r="D12" s="635" t="s">
        <v>373</v>
      </c>
      <c r="E12" s="497">
        <v>2671405</v>
      </c>
      <c r="F12" s="497">
        <v>2655777</v>
      </c>
      <c r="G12" s="497">
        <v>305730</v>
      </c>
      <c r="H12" s="497">
        <v>833021</v>
      </c>
      <c r="I12" s="497">
        <v>684778</v>
      </c>
      <c r="J12" s="497">
        <v>147438</v>
      </c>
      <c r="K12" s="497">
        <v>52427</v>
      </c>
      <c r="L12" s="497">
        <v>98666</v>
      </c>
      <c r="M12" s="497">
        <v>4612103</v>
      </c>
      <c r="N12" s="497">
        <v>166076748</v>
      </c>
      <c r="O12" s="497">
        <v>1736177</v>
      </c>
      <c r="P12" s="497">
        <v>7128071</v>
      </c>
      <c r="Q12" s="497">
        <v>162551</v>
      </c>
      <c r="R12" s="497">
        <v>10825055</v>
      </c>
      <c r="S12" s="497">
        <v>90136</v>
      </c>
      <c r="T12" s="497">
        <v>329587</v>
      </c>
      <c r="U12" s="497">
        <v>1944367</v>
      </c>
      <c r="V12" s="497">
        <v>1090885</v>
      </c>
      <c r="W12" s="497">
        <v>4909151</v>
      </c>
      <c r="X12" s="497">
        <v>1689667</v>
      </c>
      <c r="Y12" s="497">
        <v>662844</v>
      </c>
      <c r="Z12" s="497">
        <v>1055135</v>
      </c>
      <c r="AA12" s="497">
        <v>31140710</v>
      </c>
      <c r="AB12" s="497">
        <v>1140995</v>
      </c>
      <c r="AC12" s="497">
        <v>667297</v>
      </c>
      <c r="AD12" s="497">
        <v>34260442</v>
      </c>
      <c r="AE12" s="497">
        <v>730666</v>
      </c>
      <c r="AF12" s="497">
        <v>0</v>
      </c>
      <c r="AG12" s="497">
        <v>65267725</v>
      </c>
      <c r="AH12" s="497">
        <v>173565</v>
      </c>
      <c r="AI12" s="497">
        <v>260156</v>
      </c>
      <c r="AJ12" s="497">
        <v>6147119</v>
      </c>
      <c r="AK12" s="497">
        <v>943580</v>
      </c>
      <c r="AL12" s="497">
        <v>72080</v>
      </c>
      <c r="AM12" s="497">
        <v>0</v>
      </c>
      <c r="AN12" s="497">
        <v>177652</v>
      </c>
      <c r="AO12" s="497">
        <v>13332249</v>
      </c>
      <c r="AP12" s="497">
        <v>45218</v>
      </c>
      <c r="AQ12" s="497">
        <v>4112550</v>
      </c>
      <c r="AR12" s="497">
        <v>2690690</v>
      </c>
      <c r="AS12" s="497">
        <v>68462</v>
      </c>
      <c r="AT12" s="497">
        <v>1093797</v>
      </c>
      <c r="AU12" s="497">
        <v>300393</v>
      </c>
      <c r="AV12" s="497">
        <v>280656950</v>
      </c>
      <c r="AW12" s="497">
        <v>78120767</v>
      </c>
      <c r="AX12" s="497">
        <v>1627056</v>
      </c>
      <c r="AY12" s="497">
        <v>276396</v>
      </c>
      <c r="AZ12" s="497">
        <v>311288</v>
      </c>
      <c r="BA12" s="497">
        <v>239566</v>
      </c>
      <c r="BB12" s="497">
        <v>0</v>
      </c>
      <c r="BC12" s="497">
        <v>5436308</v>
      </c>
      <c r="BD12" s="497">
        <v>257606</v>
      </c>
      <c r="BE12" s="497">
        <v>118437</v>
      </c>
      <c r="BF12" s="497">
        <v>49950</v>
      </c>
      <c r="BG12" s="497">
        <v>14200392</v>
      </c>
      <c r="BH12" s="497">
        <v>18480</v>
      </c>
      <c r="BI12" s="497">
        <v>13177068</v>
      </c>
      <c r="BJ12" s="497">
        <v>2134962</v>
      </c>
      <c r="BK12" s="497">
        <v>212830</v>
      </c>
      <c r="BL12" s="497">
        <v>80498</v>
      </c>
      <c r="BM12" s="497">
        <v>15621335</v>
      </c>
      <c r="BN12" s="497">
        <v>15497757</v>
      </c>
      <c r="BO12" s="497">
        <v>1661624</v>
      </c>
      <c r="BP12" s="497">
        <v>51738994</v>
      </c>
      <c r="BQ12" s="497">
        <v>112004073</v>
      </c>
      <c r="BR12" s="497">
        <v>329850</v>
      </c>
      <c r="BS12" s="497">
        <v>5879574</v>
      </c>
      <c r="BT12" s="497">
        <v>1009739</v>
      </c>
      <c r="BU12" s="497">
        <v>10079224</v>
      </c>
      <c r="BV12" s="497">
        <v>169955</v>
      </c>
      <c r="BW12" s="497">
        <v>581085</v>
      </c>
      <c r="BX12" s="497">
        <v>3730631</v>
      </c>
      <c r="BY12" s="497">
        <v>0</v>
      </c>
      <c r="BZ12" s="497">
        <v>45097450</v>
      </c>
      <c r="CA12" s="497">
        <v>305202</v>
      </c>
      <c r="CB12" s="497">
        <v>13481015</v>
      </c>
      <c r="CC12" s="497">
        <v>517151</v>
      </c>
      <c r="CD12" s="497">
        <v>3192382</v>
      </c>
      <c r="CE12" s="497">
        <v>43506243</v>
      </c>
    </row>
    <row r="13" spans="1:139" x14ac:dyDescent="0.25">
      <c r="A13" s="635">
        <v>17</v>
      </c>
      <c r="B13" s="752">
        <v>17</v>
      </c>
      <c r="C13" s="635" t="s">
        <v>274</v>
      </c>
      <c r="D13" s="635" t="s">
        <v>374</v>
      </c>
      <c r="E13" s="497">
        <v>0</v>
      </c>
      <c r="F13" s="497">
        <v>0</v>
      </c>
      <c r="G13" s="497">
        <v>0</v>
      </c>
      <c r="H13" s="497">
        <v>0</v>
      </c>
      <c r="I13" s="497">
        <v>0</v>
      </c>
      <c r="J13" s="497">
        <v>0</v>
      </c>
      <c r="K13" s="497">
        <v>0</v>
      </c>
      <c r="L13" s="497">
        <v>0</v>
      </c>
      <c r="M13" s="497">
        <v>550393</v>
      </c>
      <c r="N13" s="497">
        <v>2422442</v>
      </c>
      <c r="O13" s="497">
        <v>150273</v>
      </c>
      <c r="P13" s="497">
        <v>0</v>
      </c>
      <c r="Q13" s="497">
        <v>0</v>
      </c>
      <c r="R13" s="497">
        <v>2646485</v>
      </c>
      <c r="S13" s="497">
        <v>0</v>
      </c>
      <c r="T13" s="497">
        <v>0</v>
      </c>
      <c r="U13" s="497">
        <v>0</v>
      </c>
      <c r="V13" s="497">
        <v>16145</v>
      </c>
      <c r="W13" s="497">
        <v>0</v>
      </c>
      <c r="X13" s="497">
        <v>0</v>
      </c>
      <c r="Y13" s="497">
        <v>0</v>
      </c>
      <c r="Z13" s="497">
        <v>4871</v>
      </c>
      <c r="AA13" s="497">
        <v>389700</v>
      </c>
      <c r="AB13" s="497">
        <v>0</v>
      </c>
      <c r="AC13" s="497">
        <v>0</v>
      </c>
      <c r="AD13" s="497">
        <v>0</v>
      </c>
      <c r="AE13" s="497">
        <v>0</v>
      </c>
      <c r="AF13" s="497">
        <v>0</v>
      </c>
      <c r="AG13" s="497">
        <v>2040000</v>
      </c>
      <c r="AH13" s="497">
        <v>0</v>
      </c>
      <c r="AI13" s="497">
        <v>0</v>
      </c>
      <c r="AJ13" s="497">
        <v>2700</v>
      </c>
      <c r="AK13" s="497">
        <v>0</v>
      </c>
      <c r="AL13" s="497">
        <v>0</v>
      </c>
      <c r="AM13" s="497">
        <v>0</v>
      </c>
      <c r="AN13" s="497">
        <v>0</v>
      </c>
      <c r="AO13" s="497">
        <v>0</v>
      </c>
      <c r="AP13" s="497">
        <v>0</v>
      </c>
      <c r="AQ13" s="497">
        <v>0</v>
      </c>
      <c r="AR13" s="497">
        <v>0</v>
      </c>
      <c r="AS13" s="497">
        <v>0</v>
      </c>
      <c r="AT13" s="497">
        <v>0</v>
      </c>
      <c r="AU13" s="497">
        <v>0</v>
      </c>
      <c r="AV13" s="497">
        <v>6746800</v>
      </c>
      <c r="AW13" s="497">
        <v>6717814</v>
      </c>
      <c r="AX13" s="497">
        <v>9000</v>
      </c>
      <c r="AY13" s="497">
        <v>0</v>
      </c>
      <c r="AZ13" s="497">
        <v>0</v>
      </c>
      <c r="BA13" s="497">
        <v>0</v>
      </c>
      <c r="BB13" s="497">
        <v>0</v>
      </c>
      <c r="BC13" s="497">
        <v>0</v>
      </c>
      <c r="BD13" s="497">
        <v>0</v>
      </c>
      <c r="BE13" s="497">
        <v>0</v>
      </c>
      <c r="BF13" s="497">
        <v>0</v>
      </c>
      <c r="BG13" s="497">
        <v>870652</v>
      </c>
      <c r="BH13" s="497">
        <v>0</v>
      </c>
      <c r="BI13" s="497">
        <v>0</v>
      </c>
      <c r="BJ13" s="497">
        <v>0</v>
      </c>
      <c r="BK13" s="497">
        <v>0</v>
      </c>
      <c r="BL13" s="497">
        <v>0</v>
      </c>
      <c r="BM13" s="497">
        <v>511486</v>
      </c>
      <c r="BN13" s="497">
        <v>53500</v>
      </c>
      <c r="BO13" s="497">
        <v>84000</v>
      </c>
      <c r="BP13" s="497">
        <v>1882433</v>
      </c>
      <c r="BQ13" s="497">
        <v>2057139</v>
      </c>
      <c r="BR13" s="497">
        <v>12500</v>
      </c>
      <c r="BS13" s="497">
        <v>0</v>
      </c>
      <c r="BT13" s="497">
        <v>0</v>
      </c>
      <c r="BU13" s="497">
        <v>0</v>
      </c>
      <c r="BV13" s="497">
        <v>0</v>
      </c>
      <c r="BW13" s="497">
        <v>0</v>
      </c>
      <c r="BX13" s="497">
        <v>61000</v>
      </c>
      <c r="BY13" s="497">
        <v>0</v>
      </c>
      <c r="BZ13" s="497">
        <v>4993844</v>
      </c>
      <c r="CA13" s="497">
        <v>0</v>
      </c>
      <c r="CB13" s="497">
        <v>0</v>
      </c>
      <c r="CC13" s="497">
        <v>0</v>
      </c>
      <c r="CD13" s="497">
        <v>0</v>
      </c>
      <c r="CE13" s="497">
        <v>0</v>
      </c>
    </row>
    <row r="14" spans="1:139" x14ac:dyDescent="0.25">
      <c r="B14" s="752">
        <v>19</v>
      </c>
      <c r="C14" s="635" t="s">
        <v>717</v>
      </c>
      <c r="D14" s="635" t="s">
        <v>375</v>
      </c>
      <c r="E14" s="497"/>
      <c r="F14" s="497"/>
      <c r="G14" s="497"/>
      <c r="H14" s="497"/>
      <c r="I14" s="497"/>
      <c r="J14" s="497"/>
      <c r="K14" s="497"/>
      <c r="L14" s="497"/>
      <c r="M14" s="497"/>
      <c r="N14" s="497"/>
      <c r="O14" s="497"/>
      <c r="P14" s="497"/>
      <c r="Q14" s="497"/>
      <c r="R14" s="497"/>
      <c r="S14" s="497"/>
      <c r="T14" s="497"/>
      <c r="U14" s="497"/>
      <c r="V14" s="497"/>
      <c r="W14" s="497"/>
      <c r="X14" s="497"/>
      <c r="Y14" s="497"/>
      <c r="Z14" s="497"/>
      <c r="AA14" s="497"/>
      <c r="AB14" s="497"/>
      <c r="AC14" s="497"/>
      <c r="AD14" s="497"/>
      <c r="AE14" s="497"/>
      <c r="AF14" s="497"/>
      <c r="AG14" s="497"/>
      <c r="AH14" s="497"/>
      <c r="AI14" s="497"/>
      <c r="AJ14" s="497"/>
      <c r="AK14" s="497"/>
      <c r="AL14" s="497"/>
      <c r="AM14" s="497"/>
      <c r="AN14" s="497"/>
      <c r="AO14" s="497"/>
      <c r="AP14" s="497"/>
      <c r="AQ14" s="497"/>
      <c r="AR14" s="497"/>
      <c r="AS14" s="497"/>
      <c r="AT14" s="497"/>
      <c r="AU14" s="497"/>
      <c r="AV14" s="497"/>
      <c r="AW14" s="497"/>
      <c r="AX14" s="497"/>
      <c r="AY14" s="497"/>
      <c r="AZ14" s="497"/>
      <c r="BA14" s="497"/>
      <c r="BB14" s="497"/>
      <c r="BC14" s="497"/>
      <c r="BD14" s="497"/>
      <c r="BE14" s="497"/>
      <c r="BF14" s="497"/>
      <c r="BG14" s="497"/>
      <c r="BH14" s="497"/>
      <c r="BI14" s="497"/>
      <c r="BJ14" s="497"/>
      <c r="BK14" s="497"/>
      <c r="BL14" s="497"/>
      <c r="BM14" s="497"/>
      <c r="BN14" s="497"/>
      <c r="BO14" s="497"/>
      <c r="BP14" s="497"/>
      <c r="BQ14" s="497"/>
      <c r="BR14" s="497"/>
      <c r="BS14" s="497"/>
      <c r="BT14" s="497"/>
      <c r="BU14" s="497"/>
      <c r="BV14" s="497"/>
      <c r="BW14" s="497"/>
      <c r="BX14" s="497"/>
      <c r="BY14" s="497"/>
      <c r="BZ14" s="497"/>
      <c r="CA14" s="497"/>
      <c r="CB14" s="497"/>
      <c r="CC14" s="497"/>
      <c r="CD14" s="497"/>
      <c r="CE14" s="497"/>
    </row>
    <row r="15" spans="1:139" x14ac:dyDescent="0.25">
      <c r="A15" s="635">
        <v>20</v>
      </c>
      <c r="B15" s="752">
        <v>20</v>
      </c>
      <c r="C15" s="635" t="s">
        <v>275</v>
      </c>
      <c r="D15" s="635" t="s">
        <v>376</v>
      </c>
      <c r="E15" s="497">
        <v>50</v>
      </c>
      <c r="F15" s="497">
        <v>0</v>
      </c>
      <c r="G15" s="497">
        <v>0</v>
      </c>
      <c r="H15" s="497">
        <v>0</v>
      </c>
      <c r="I15" s="497">
        <v>0</v>
      </c>
      <c r="J15" s="497">
        <v>0</v>
      </c>
      <c r="K15" s="497">
        <v>0</v>
      </c>
      <c r="L15" s="497">
        <v>0</v>
      </c>
      <c r="M15" s="497">
        <v>0</v>
      </c>
      <c r="N15" s="497">
        <v>15457677</v>
      </c>
      <c r="O15" s="497">
        <v>360712</v>
      </c>
      <c r="P15" s="497">
        <v>506767</v>
      </c>
      <c r="Q15" s="497">
        <v>0</v>
      </c>
      <c r="R15" s="497">
        <v>0</v>
      </c>
      <c r="S15" s="497">
        <v>0</v>
      </c>
      <c r="T15" s="497">
        <v>0</v>
      </c>
      <c r="U15" s="497">
        <v>0</v>
      </c>
      <c r="V15" s="497">
        <v>157300</v>
      </c>
      <c r="W15" s="497">
        <v>0</v>
      </c>
      <c r="X15" s="497">
        <v>0</v>
      </c>
      <c r="Y15" s="497">
        <v>0</v>
      </c>
      <c r="Z15" s="497">
        <v>7760</v>
      </c>
      <c r="AA15" s="497">
        <v>5363427</v>
      </c>
      <c r="AB15" s="497">
        <v>0</v>
      </c>
      <c r="AC15" s="497">
        <v>0</v>
      </c>
      <c r="AD15" s="497">
        <v>1031464</v>
      </c>
      <c r="AE15" s="497">
        <v>0</v>
      </c>
      <c r="AF15" s="497">
        <v>0</v>
      </c>
      <c r="AG15" s="497">
        <v>5644264</v>
      </c>
      <c r="AH15" s="497">
        <v>0</v>
      </c>
      <c r="AI15" s="497">
        <v>0</v>
      </c>
      <c r="AJ15" s="497">
        <v>0</v>
      </c>
      <c r="AK15" s="497">
        <v>4000</v>
      </c>
      <c r="AL15" s="497">
        <v>0</v>
      </c>
      <c r="AM15" s="497">
        <v>0</v>
      </c>
      <c r="AN15" s="497">
        <v>0</v>
      </c>
      <c r="AO15" s="497">
        <v>0</v>
      </c>
      <c r="AP15" s="497">
        <v>0</v>
      </c>
      <c r="AQ15" s="497">
        <v>117358</v>
      </c>
      <c r="AR15" s="497">
        <v>0</v>
      </c>
      <c r="AS15" s="497">
        <v>750</v>
      </c>
      <c r="AT15" s="497">
        <v>0</v>
      </c>
      <c r="AU15" s="497">
        <v>0</v>
      </c>
      <c r="AV15" s="497">
        <v>36495366</v>
      </c>
      <c r="AW15" s="497">
        <v>12366880</v>
      </c>
      <c r="AX15" s="497">
        <v>580</v>
      </c>
      <c r="AY15" s="497">
        <v>0</v>
      </c>
      <c r="AZ15" s="497">
        <v>0</v>
      </c>
      <c r="BA15" s="497">
        <v>0</v>
      </c>
      <c r="BB15" s="497">
        <v>0</v>
      </c>
      <c r="BC15" s="497">
        <v>0</v>
      </c>
      <c r="BD15" s="497">
        <v>0</v>
      </c>
      <c r="BE15" s="497">
        <v>0</v>
      </c>
      <c r="BF15" s="497">
        <v>0</v>
      </c>
      <c r="BG15" s="497">
        <v>3242557</v>
      </c>
      <c r="BH15" s="497">
        <v>0</v>
      </c>
      <c r="BI15" s="497">
        <v>284332</v>
      </c>
      <c r="BJ15" s="497">
        <v>0</v>
      </c>
      <c r="BK15" s="497">
        <v>0</v>
      </c>
      <c r="BL15" s="497">
        <v>0</v>
      </c>
      <c r="BM15" s="497">
        <v>1155666</v>
      </c>
      <c r="BN15" s="497">
        <v>951974</v>
      </c>
      <c r="BO15" s="497">
        <v>0</v>
      </c>
      <c r="BP15" s="497">
        <v>5356067</v>
      </c>
      <c r="BQ15" s="497">
        <v>4584571</v>
      </c>
      <c r="BR15" s="497">
        <v>0</v>
      </c>
      <c r="BS15" s="497">
        <v>374398</v>
      </c>
      <c r="BT15" s="497">
        <v>0</v>
      </c>
      <c r="BU15" s="497">
        <v>219416</v>
      </c>
      <c r="BV15" s="497">
        <v>0</v>
      </c>
      <c r="BW15" s="497">
        <v>16272</v>
      </c>
      <c r="BX15" s="497">
        <v>806743</v>
      </c>
      <c r="BY15" s="497">
        <v>0</v>
      </c>
      <c r="BZ15" s="497">
        <v>10637448</v>
      </c>
      <c r="CA15" s="497">
        <v>0</v>
      </c>
      <c r="CB15" s="497">
        <v>0</v>
      </c>
      <c r="CC15" s="497">
        <v>79300</v>
      </c>
      <c r="CD15" s="497">
        <v>0</v>
      </c>
      <c r="CE15" s="497">
        <v>765141</v>
      </c>
    </row>
    <row r="16" spans="1:139" x14ac:dyDescent="0.25">
      <c r="B16" s="752">
        <v>21</v>
      </c>
      <c r="C16" s="635" t="s">
        <v>718</v>
      </c>
      <c r="D16" s="635" t="s">
        <v>377</v>
      </c>
      <c r="E16" s="497"/>
      <c r="F16" s="497"/>
      <c r="G16" s="497"/>
      <c r="H16" s="497"/>
      <c r="I16" s="497"/>
      <c r="J16" s="497"/>
      <c r="K16" s="497"/>
      <c r="L16" s="497"/>
      <c r="M16" s="497"/>
      <c r="N16" s="497"/>
      <c r="O16" s="497"/>
      <c r="P16" s="497"/>
      <c r="Q16" s="497"/>
      <c r="R16" s="497"/>
      <c r="S16" s="497"/>
      <c r="T16" s="497"/>
      <c r="U16" s="497"/>
      <c r="V16" s="497"/>
      <c r="W16" s="497"/>
      <c r="X16" s="497"/>
      <c r="Y16" s="497"/>
      <c r="Z16" s="497"/>
      <c r="AA16" s="497"/>
      <c r="AB16" s="497"/>
      <c r="AC16" s="497"/>
      <c r="AD16" s="497"/>
      <c r="AE16" s="497"/>
      <c r="AF16" s="497"/>
      <c r="AG16" s="497"/>
      <c r="AH16" s="497"/>
      <c r="AI16" s="497"/>
      <c r="AJ16" s="497"/>
      <c r="AK16" s="497"/>
      <c r="AL16" s="497"/>
      <c r="AM16" s="497"/>
      <c r="AN16" s="497"/>
      <c r="AO16" s="497"/>
      <c r="AP16" s="497"/>
      <c r="AQ16" s="497"/>
      <c r="AR16" s="497"/>
      <c r="AS16" s="497"/>
      <c r="AT16" s="497"/>
      <c r="AU16" s="497"/>
      <c r="AV16" s="497"/>
      <c r="AW16" s="497"/>
      <c r="AX16" s="497"/>
      <c r="AY16" s="497"/>
      <c r="AZ16" s="497"/>
      <c r="BA16" s="497"/>
      <c r="BB16" s="497"/>
      <c r="BC16" s="497"/>
      <c r="BD16" s="497"/>
      <c r="BE16" s="497"/>
      <c r="BF16" s="497"/>
      <c r="BG16" s="497"/>
      <c r="BH16" s="497"/>
      <c r="BI16" s="497"/>
      <c r="BJ16" s="497"/>
      <c r="BK16" s="497"/>
      <c r="BL16" s="497"/>
      <c r="BM16" s="497"/>
      <c r="BN16" s="497"/>
      <c r="BO16" s="497"/>
      <c r="BP16" s="497"/>
      <c r="BQ16" s="497"/>
      <c r="BR16" s="497"/>
      <c r="BS16" s="497"/>
      <c r="BT16" s="497"/>
      <c r="BU16" s="497"/>
      <c r="BV16" s="497"/>
      <c r="BW16" s="497"/>
      <c r="BX16" s="497"/>
      <c r="BY16" s="497"/>
      <c r="BZ16" s="497"/>
      <c r="CA16" s="497"/>
      <c r="CB16" s="497"/>
      <c r="CC16" s="497"/>
      <c r="CD16" s="497"/>
      <c r="CE16" s="497"/>
    </row>
    <row r="17" spans="1:83" x14ac:dyDescent="0.25">
      <c r="A17" s="635">
        <v>22</v>
      </c>
      <c r="B17" s="752">
        <v>22</v>
      </c>
      <c r="C17" s="635" t="s">
        <v>277</v>
      </c>
      <c r="D17" s="635" t="s">
        <v>378</v>
      </c>
      <c r="E17" s="497">
        <v>0</v>
      </c>
      <c r="F17" s="497">
        <v>0</v>
      </c>
      <c r="G17" s="497">
        <v>0</v>
      </c>
      <c r="H17" s="497">
        <v>0</v>
      </c>
      <c r="I17" s="497">
        <v>0</v>
      </c>
      <c r="J17" s="497">
        <v>231548</v>
      </c>
      <c r="K17" s="497">
        <v>0</v>
      </c>
      <c r="L17" s="497">
        <v>0</v>
      </c>
      <c r="M17" s="497">
        <v>0</v>
      </c>
      <c r="N17" s="497">
        <v>306689</v>
      </c>
      <c r="O17" s="497">
        <v>0</v>
      </c>
      <c r="P17" s="497">
        <v>16870</v>
      </c>
      <c r="Q17" s="497">
        <v>0</v>
      </c>
      <c r="R17" s="497">
        <v>38475</v>
      </c>
      <c r="S17" s="497">
        <v>0</v>
      </c>
      <c r="T17" s="497">
        <v>0</v>
      </c>
      <c r="U17" s="497">
        <v>9763</v>
      </c>
      <c r="V17" s="497">
        <v>580899</v>
      </c>
      <c r="W17" s="497">
        <v>235000</v>
      </c>
      <c r="X17" s="497">
        <v>60700</v>
      </c>
      <c r="Y17" s="497">
        <v>0</v>
      </c>
      <c r="Z17" s="497">
        <v>74000</v>
      </c>
      <c r="AA17" s="497">
        <v>0</v>
      </c>
      <c r="AB17" s="497">
        <v>0</v>
      </c>
      <c r="AC17" s="497">
        <v>0</v>
      </c>
      <c r="AD17" s="497">
        <v>29748</v>
      </c>
      <c r="AE17" s="497">
        <v>0</v>
      </c>
      <c r="AF17" s="497">
        <v>0</v>
      </c>
      <c r="AG17" s="497">
        <v>0</v>
      </c>
      <c r="AH17" s="497">
        <v>0</v>
      </c>
      <c r="AI17" s="497">
        <v>0</v>
      </c>
      <c r="AJ17" s="497">
        <v>5809</v>
      </c>
      <c r="AK17" s="497">
        <v>0</v>
      </c>
      <c r="AL17" s="497">
        <v>0</v>
      </c>
      <c r="AM17" s="497">
        <v>0</v>
      </c>
      <c r="AN17" s="497">
        <v>0</v>
      </c>
      <c r="AO17" s="497">
        <v>0</v>
      </c>
      <c r="AP17" s="497">
        <v>0</v>
      </c>
      <c r="AQ17" s="497">
        <v>0</v>
      </c>
      <c r="AR17" s="497">
        <v>0</v>
      </c>
      <c r="AS17" s="497">
        <v>0</v>
      </c>
      <c r="AT17" s="497">
        <v>0</v>
      </c>
      <c r="AU17" s="497">
        <v>0</v>
      </c>
      <c r="AV17" s="497">
        <v>0</v>
      </c>
      <c r="AW17" s="497">
        <v>0</v>
      </c>
      <c r="AX17" s="497">
        <v>1720</v>
      </c>
      <c r="AY17" s="497">
        <v>0</v>
      </c>
      <c r="AZ17" s="497">
        <v>736</v>
      </c>
      <c r="BA17" s="497">
        <v>0</v>
      </c>
      <c r="BB17" s="497">
        <v>0</v>
      </c>
      <c r="BC17" s="497">
        <v>-6500</v>
      </c>
      <c r="BD17" s="497">
        <v>18079</v>
      </c>
      <c r="BE17" s="497">
        <v>0</v>
      </c>
      <c r="BF17" s="497">
        <v>0</v>
      </c>
      <c r="BG17" s="497">
        <v>3460</v>
      </c>
      <c r="BH17" s="497">
        <v>0</v>
      </c>
      <c r="BI17" s="497">
        <v>0</v>
      </c>
      <c r="BJ17" s="497">
        <v>0</v>
      </c>
      <c r="BK17" s="497">
        <v>11550</v>
      </c>
      <c r="BL17" s="497">
        <v>0</v>
      </c>
      <c r="BM17" s="497">
        <v>0</v>
      </c>
      <c r="BN17" s="497">
        <v>66987</v>
      </c>
      <c r="BO17" s="497">
        <v>0</v>
      </c>
      <c r="BP17" s="497">
        <v>0</v>
      </c>
      <c r="BQ17" s="497">
        <v>0</v>
      </c>
      <c r="BR17" s="497">
        <v>0</v>
      </c>
      <c r="BS17" s="497">
        <v>0</v>
      </c>
      <c r="BT17" s="497">
        <v>0</v>
      </c>
      <c r="BU17" s="497">
        <v>0</v>
      </c>
      <c r="BV17" s="497">
        <v>0</v>
      </c>
      <c r="BW17" s="497">
        <v>0</v>
      </c>
      <c r="BX17" s="497">
        <v>16746</v>
      </c>
      <c r="BY17" s="497">
        <v>0</v>
      </c>
      <c r="BZ17" s="497">
        <v>21607</v>
      </c>
      <c r="CA17" s="497">
        <v>0</v>
      </c>
      <c r="CB17" s="497">
        <v>658</v>
      </c>
      <c r="CC17" s="497">
        <v>124000</v>
      </c>
      <c r="CD17" s="497">
        <v>14938</v>
      </c>
      <c r="CE17" s="497">
        <v>0</v>
      </c>
    </row>
    <row r="18" spans="1:83" x14ac:dyDescent="0.25">
      <c r="A18" s="635">
        <v>23</v>
      </c>
      <c r="B18" s="752">
        <v>23</v>
      </c>
      <c r="C18" s="635" t="s">
        <v>280</v>
      </c>
      <c r="D18" s="635" t="s">
        <v>379</v>
      </c>
      <c r="E18" s="497">
        <v>19018</v>
      </c>
      <c r="F18" s="497">
        <v>280348</v>
      </c>
      <c r="G18" s="497">
        <v>-65751</v>
      </c>
      <c r="H18" s="497">
        <v>-32649</v>
      </c>
      <c r="I18" s="497">
        <v>64736</v>
      </c>
      <c r="J18" s="497">
        <v>-29035</v>
      </c>
      <c r="K18" s="497">
        <v>-5899</v>
      </c>
      <c r="L18" s="497">
        <v>28983</v>
      </c>
      <c r="M18" s="497">
        <v>327846</v>
      </c>
      <c r="N18" s="497">
        <v>6768212</v>
      </c>
      <c r="O18" s="497">
        <v>-120817</v>
      </c>
      <c r="P18" s="497">
        <v>-196852</v>
      </c>
      <c r="Q18" s="497">
        <v>22130</v>
      </c>
      <c r="R18" s="497">
        <v>-3112778</v>
      </c>
      <c r="S18" s="497">
        <v>21453</v>
      </c>
      <c r="T18" s="497">
        <v>64046</v>
      </c>
      <c r="U18" s="497">
        <v>105515</v>
      </c>
      <c r="V18" s="497">
        <v>-44544</v>
      </c>
      <c r="W18" s="497">
        <v>795572</v>
      </c>
      <c r="X18" s="497">
        <v>-366672</v>
      </c>
      <c r="Y18" s="497">
        <v>-42364</v>
      </c>
      <c r="Z18" s="497">
        <v>-16367</v>
      </c>
      <c r="AA18" s="497">
        <v>1608028</v>
      </c>
      <c r="AB18" s="497">
        <v>123878</v>
      </c>
      <c r="AC18" s="497">
        <v>84393</v>
      </c>
      <c r="AD18" s="497">
        <v>-2164486</v>
      </c>
      <c r="AE18" s="497">
        <v>13130</v>
      </c>
      <c r="AF18" s="497">
        <v>0</v>
      </c>
      <c r="AG18" s="497">
        <v>2409030</v>
      </c>
      <c r="AH18" s="497">
        <v>51826</v>
      </c>
      <c r="AI18" s="497">
        <v>56570</v>
      </c>
      <c r="AJ18" s="497">
        <v>-506796</v>
      </c>
      <c r="AK18" s="497">
        <v>185519</v>
      </c>
      <c r="AL18" s="497">
        <v>18515</v>
      </c>
      <c r="AM18" s="497">
        <v>0</v>
      </c>
      <c r="AN18" s="497">
        <v>58113</v>
      </c>
      <c r="AO18" s="497">
        <v>877086</v>
      </c>
      <c r="AP18" s="497">
        <v>-19968</v>
      </c>
      <c r="AQ18" s="497">
        <v>-200085</v>
      </c>
      <c r="AR18" s="497">
        <v>143697</v>
      </c>
      <c r="AS18" s="497">
        <v>14337</v>
      </c>
      <c r="AT18" s="497">
        <v>192823</v>
      </c>
      <c r="AU18" s="497">
        <v>138779</v>
      </c>
      <c r="AV18" s="497">
        <v>2165201</v>
      </c>
      <c r="AW18" s="497">
        <v>1054653</v>
      </c>
      <c r="AX18" s="497">
        <v>2608</v>
      </c>
      <c r="AY18" s="497">
        <v>-4958</v>
      </c>
      <c r="AZ18" s="497">
        <v>15213</v>
      </c>
      <c r="BA18" s="497">
        <v>41442</v>
      </c>
      <c r="BB18" s="497">
        <v>0</v>
      </c>
      <c r="BC18" s="497">
        <v>202679</v>
      </c>
      <c r="BD18" s="497">
        <v>28904</v>
      </c>
      <c r="BE18" s="497">
        <v>22247</v>
      </c>
      <c r="BF18" s="497">
        <v>2903</v>
      </c>
      <c r="BG18" s="497">
        <v>-192815</v>
      </c>
      <c r="BH18" s="497">
        <v>3499</v>
      </c>
      <c r="BI18" s="497">
        <v>176732</v>
      </c>
      <c r="BJ18" s="497">
        <v>-230523</v>
      </c>
      <c r="BK18" s="497">
        <v>24234</v>
      </c>
      <c r="BL18" s="497">
        <v>8311</v>
      </c>
      <c r="BM18" s="497">
        <v>387179</v>
      </c>
      <c r="BN18" s="497">
        <v>-170516</v>
      </c>
      <c r="BO18" s="497">
        <v>38608</v>
      </c>
      <c r="BP18" s="497">
        <v>515436</v>
      </c>
      <c r="BQ18" s="497">
        <v>6834275</v>
      </c>
      <c r="BR18" s="497">
        <v>-20485</v>
      </c>
      <c r="BS18" s="497">
        <v>-133021</v>
      </c>
      <c r="BT18" s="497">
        <v>-457479</v>
      </c>
      <c r="BU18" s="497">
        <v>509932</v>
      </c>
      <c r="BV18" s="497">
        <v>23248</v>
      </c>
      <c r="BW18" s="497">
        <v>-3606</v>
      </c>
      <c r="BX18" s="497">
        <v>439490</v>
      </c>
      <c r="BY18" s="497">
        <v>0</v>
      </c>
      <c r="BZ18" s="497">
        <v>2598775</v>
      </c>
      <c r="CA18" s="497">
        <v>37598</v>
      </c>
      <c r="CB18" s="497">
        <v>-526642</v>
      </c>
      <c r="CC18" s="497">
        <v>-10915</v>
      </c>
      <c r="CD18" s="497">
        <v>55329</v>
      </c>
      <c r="CE18" s="497">
        <v>4151828</v>
      </c>
    </row>
    <row r="19" spans="1:83" x14ac:dyDescent="0.25">
      <c r="B19" s="752">
        <v>31</v>
      </c>
      <c r="C19" s="635" t="s">
        <v>719</v>
      </c>
      <c r="D19" s="635" t="s">
        <v>380</v>
      </c>
      <c r="E19" s="497"/>
      <c r="F19" s="497"/>
      <c r="G19" s="497"/>
      <c r="H19" s="497"/>
      <c r="I19" s="497"/>
      <c r="J19" s="497"/>
      <c r="K19" s="497"/>
      <c r="L19" s="497"/>
      <c r="M19" s="497"/>
      <c r="N19" s="497"/>
      <c r="O19" s="497"/>
      <c r="P19" s="497"/>
      <c r="Q19" s="497"/>
      <c r="R19" s="497"/>
      <c r="S19" s="497"/>
      <c r="T19" s="497"/>
      <c r="U19" s="497"/>
      <c r="V19" s="497"/>
      <c r="W19" s="497"/>
      <c r="X19" s="497"/>
      <c r="Y19" s="497"/>
      <c r="Z19" s="497"/>
      <c r="AA19" s="497"/>
      <c r="AB19" s="497"/>
      <c r="AC19" s="497"/>
      <c r="AD19" s="497"/>
      <c r="AE19" s="497"/>
      <c r="AF19" s="497"/>
      <c r="AG19" s="497"/>
      <c r="AH19" s="497"/>
      <c r="AI19" s="497"/>
      <c r="AJ19" s="497"/>
      <c r="AK19" s="497"/>
      <c r="AL19" s="497"/>
      <c r="AM19" s="497"/>
      <c r="AN19" s="497"/>
      <c r="AO19" s="497"/>
      <c r="AP19" s="497"/>
      <c r="AQ19" s="497"/>
      <c r="AR19" s="497"/>
      <c r="AS19" s="497"/>
      <c r="AT19" s="497"/>
      <c r="AU19" s="497"/>
      <c r="AV19" s="497"/>
      <c r="AW19" s="497"/>
      <c r="AX19" s="497"/>
      <c r="AY19" s="497"/>
      <c r="AZ19" s="497"/>
      <c r="BA19" s="497"/>
      <c r="BB19" s="497"/>
      <c r="BC19" s="497"/>
      <c r="BD19" s="497"/>
      <c r="BE19" s="497"/>
      <c r="BF19" s="497"/>
      <c r="BG19" s="497"/>
      <c r="BH19" s="497"/>
      <c r="BI19" s="497"/>
      <c r="BJ19" s="497"/>
      <c r="BK19" s="497"/>
      <c r="BL19" s="497"/>
      <c r="BM19" s="497"/>
      <c r="BN19" s="497"/>
      <c r="BO19" s="497"/>
      <c r="BP19" s="497"/>
      <c r="BQ19" s="497"/>
      <c r="BR19" s="497"/>
      <c r="BS19" s="497"/>
      <c r="BT19" s="497"/>
      <c r="BU19" s="497"/>
      <c r="BV19" s="497"/>
      <c r="BW19" s="497"/>
      <c r="BX19" s="497"/>
      <c r="BY19" s="497"/>
      <c r="BZ19" s="497"/>
      <c r="CA19" s="497"/>
      <c r="CB19" s="497"/>
      <c r="CC19" s="497"/>
      <c r="CD19" s="497"/>
      <c r="CE19" s="497"/>
    </row>
    <row r="20" spans="1:83" x14ac:dyDescent="0.25">
      <c r="B20" s="752">
        <v>32</v>
      </c>
      <c r="C20" s="635" t="s">
        <v>381</v>
      </c>
      <c r="D20" s="635" t="s">
        <v>382</v>
      </c>
      <c r="E20" s="497"/>
      <c r="F20" s="497"/>
      <c r="G20" s="497"/>
      <c r="H20" s="497"/>
      <c r="I20" s="497"/>
      <c r="J20" s="497"/>
      <c r="K20" s="497"/>
      <c r="L20" s="497"/>
      <c r="M20" s="497"/>
      <c r="N20" s="497"/>
      <c r="O20" s="497"/>
      <c r="P20" s="497"/>
      <c r="Q20" s="497"/>
      <c r="R20" s="497"/>
      <c r="S20" s="497"/>
      <c r="T20" s="497"/>
      <c r="U20" s="497"/>
      <c r="V20" s="497"/>
      <c r="W20" s="497"/>
      <c r="X20" s="497"/>
      <c r="Y20" s="497"/>
      <c r="Z20" s="497"/>
      <c r="AA20" s="497"/>
      <c r="AB20" s="497"/>
      <c r="AC20" s="497"/>
      <c r="AD20" s="497"/>
      <c r="AE20" s="497"/>
      <c r="AF20" s="497"/>
      <c r="AG20" s="497"/>
      <c r="AH20" s="497"/>
      <c r="AI20" s="497"/>
      <c r="AJ20" s="497"/>
      <c r="AK20" s="497"/>
      <c r="AL20" s="497"/>
      <c r="AM20" s="497"/>
      <c r="AN20" s="497"/>
      <c r="AO20" s="497"/>
      <c r="AP20" s="497"/>
      <c r="AQ20" s="497"/>
      <c r="AR20" s="497"/>
      <c r="AS20" s="497"/>
      <c r="AT20" s="497"/>
      <c r="AU20" s="497"/>
      <c r="AV20" s="497"/>
      <c r="AW20" s="497"/>
      <c r="AX20" s="497"/>
      <c r="AY20" s="497"/>
      <c r="AZ20" s="497"/>
      <c r="BA20" s="497"/>
      <c r="BB20" s="497"/>
      <c r="BC20" s="497"/>
      <c r="BD20" s="497"/>
      <c r="BE20" s="497"/>
      <c r="BF20" s="497"/>
      <c r="BG20" s="497"/>
      <c r="BH20" s="497"/>
      <c r="BI20" s="497"/>
      <c r="BJ20" s="497"/>
      <c r="BK20" s="497"/>
      <c r="BL20" s="497"/>
      <c r="BM20" s="497"/>
      <c r="BN20" s="497"/>
      <c r="BO20" s="497"/>
      <c r="BP20" s="497"/>
      <c r="BQ20" s="497"/>
      <c r="BR20" s="497"/>
      <c r="BS20" s="497"/>
      <c r="BT20" s="497"/>
      <c r="BU20" s="497"/>
      <c r="BV20" s="497"/>
      <c r="BW20" s="497"/>
      <c r="BX20" s="497"/>
      <c r="BY20" s="497"/>
      <c r="BZ20" s="497"/>
      <c r="CA20" s="497"/>
      <c r="CB20" s="497"/>
      <c r="CC20" s="497"/>
      <c r="CD20" s="497"/>
      <c r="CE20" s="497"/>
    </row>
    <row r="21" spans="1:83" x14ac:dyDescent="0.25">
      <c r="B21" s="752">
        <v>33</v>
      </c>
      <c r="C21" s="635" t="s">
        <v>383</v>
      </c>
      <c r="D21" s="635" t="s">
        <v>384</v>
      </c>
      <c r="E21" s="497"/>
      <c r="F21" s="497"/>
      <c r="G21" s="497"/>
      <c r="H21" s="497"/>
      <c r="I21" s="497"/>
      <c r="J21" s="497"/>
      <c r="K21" s="497"/>
      <c r="L21" s="497"/>
      <c r="M21" s="497"/>
      <c r="N21" s="497"/>
      <c r="O21" s="497"/>
      <c r="P21" s="497"/>
      <c r="Q21" s="497"/>
      <c r="R21" s="497"/>
      <c r="S21" s="497"/>
      <c r="T21" s="497"/>
      <c r="U21" s="497"/>
      <c r="V21" s="497"/>
      <c r="W21" s="497"/>
      <c r="X21" s="497"/>
      <c r="Y21" s="497"/>
      <c r="Z21" s="497"/>
      <c r="AA21" s="497"/>
      <c r="AB21" s="497"/>
      <c r="AC21" s="497"/>
      <c r="AD21" s="497"/>
      <c r="AE21" s="497"/>
      <c r="AF21" s="497"/>
      <c r="AG21" s="497"/>
      <c r="AH21" s="497"/>
      <c r="AI21" s="497"/>
      <c r="AJ21" s="497"/>
      <c r="AK21" s="497"/>
      <c r="AL21" s="497"/>
      <c r="AM21" s="497"/>
      <c r="AN21" s="497"/>
      <c r="AO21" s="497"/>
      <c r="AP21" s="497"/>
      <c r="AQ21" s="497"/>
      <c r="AR21" s="497"/>
      <c r="AS21" s="497"/>
      <c r="AT21" s="497"/>
      <c r="AU21" s="497"/>
      <c r="AV21" s="497"/>
      <c r="AW21" s="497"/>
      <c r="AX21" s="497"/>
      <c r="AY21" s="497"/>
      <c r="AZ21" s="497"/>
      <c r="BA21" s="497"/>
      <c r="BB21" s="497"/>
      <c r="BC21" s="497"/>
      <c r="BD21" s="497"/>
      <c r="BE21" s="497"/>
      <c r="BF21" s="497"/>
      <c r="BG21" s="497"/>
      <c r="BH21" s="497"/>
      <c r="BI21" s="497"/>
      <c r="BJ21" s="497"/>
      <c r="BK21" s="497"/>
      <c r="BL21" s="497"/>
      <c r="BM21" s="497"/>
      <c r="BN21" s="497"/>
      <c r="BO21" s="497"/>
      <c r="BP21" s="497"/>
      <c r="BQ21" s="497"/>
      <c r="BR21" s="497"/>
      <c r="BS21" s="497"/>
      <c r="BT21" s="497"/>
      <c r="BU21" s="497"/>
      <c r="BV21" s="497"/>
      <c r="BW21" s="497"/>
      <c r="BX21" s="497"/>
      <c r="BY21" s="497"/>
      <c r="BZ21" s="497"/>
      <c r="CA21" s="497"/>
      <c r="CB21" s="497"/>
      <c r="CC21" s="497"/>
      <c r="CD21" s="497"/>
      <c r="CE21" s="497"/>
    </row>
    <row r="22" spans="1:83" x14ac:dyDescent="0.25">
      <c r="B22" s="752">
        <v>34</v>
      </c>
      <c r="C22" s="635" t="s">
        <v>385</v>
      </c>
      <c r="D22" s="635" t="s">
        <v>386</v>
      </c>
      <c r="E22" s="497"/>
      <c r="F22" s="497"/>
      <c r="G22" s="497"/>
      <c r="H22" s="497"/>
      <c r="I22" s="497"/>
      <c r="J22" s="497"/>
      <c r="K22" s="497"/>
      <c r="L22" s="497"/>
      <c r="M22" s="497"/>
      <c r="N22" s="497"/>
      <c r="O22" s="497"/>
      <c r="P22" s="497"/>
      <c r="Q22" s="497"/>
      <c r="R22" s="497"/>
      <c r="S22" s="497"/>
      <c r="T22" s="497"/>
      <c r="U22" s="497"/>
      <c r="V22" s="497"/>
      <c r="W22" s="497"/>
      <c r="X22" s="497"/>
      <c r="Y22" s="497"/>
      <c r="Z22" s="497"/>
      <c r="AA22" s="497"/>
      <c r="AB22" s="497"/>
      <c r="AC22" s="497"/>
      <c r="AD22" s="497"/>
      <c r="AE22" s="497"/>
      <c r="AF22" s="497"/>
      <c r="AG22" s="497"/>
      <c r="AH22" s="497"/>
      <c r="AI22" s="497"/>
      <c r="AJ22" s="497"/>
      <c r="AK22" s="497"/>
      <c r="AL22" s="497"/>
      <c r="AM22" s="497"/>
      <c r="AN22" s="497"/>
      <c r="AO22" s="497"/>
      <c r="AP22" s="497"/>
      <c r="AQ22" s="497"/>
      <c r="AR22" s="497"/>
      <c r="AS22" s="497"/>
      <c r="AT22" s="497"/>
      <c r="AU22" s="497"/>
      <c r="AV22" s="497"/>
      <c r="AW22" s="497"/>
      <c r="AX22" s="497"/>
      <c r="AY22" s="497"/>
      <c r="AZ22" s="497"/>
      <c r="BA22" s="497"/>
      <c r="BB22" s="497"/>
      <c r="BC22" s="497"/>
      <c r="BD22" s="497"/>
      <c r="BE22" s="497"/>
      <c r="BF22" s="497"/>
      <c r="BG22" s="497"/>
      <c r="BH22" s="497"/>
      <c r="BI22" s="497"/>
      <c r="BJ22" s="497"/>
      <c r="BK22" s="497"/>
      <c r="BL22" s="497"/>
      <c r="BM22" s="497"/>
      <c r="BN22" s="497"/>
      <c r="BO22" s="497"/>
      <c r="BP22" s="497"/>
      <c r="BQ22" s="497"/>
      <c r="BR22" s="497"/>
      <c r="BS22" s="497"/>
      <c r="BT22" s="497"/>
      <c r="BU22" s="497"/>
      <c r="BV22" s="497"/>
      <c r="BW22" s="497"/>
      <c r="BX22" s="497"/>
      <c r="BY22" s="497"/>
      <c r="BZ22" s="497"/>
      <c r="CA22" s="497"/>
      <c r="CB22" s="497"/>
      <c r="CC22" s="497"/>
      <c r="CD22" s="497"/>
      <c r="CE22" s="497"/>
    </row>
    <row r="23" spans="1:83" x14ac:dyDescent="0.25">
      <c r="B23" s="752">
        <v>35</v>
      </c>
      <c r="C23" s="635" t="s">
        <v>720</v>
      </c>
      <c r="D23" s="635" t="s">
        <v>387</v>
      </c>
      <c r="E23" s="497"/>
      <c r="F23" s="497"/>
      <c r="G23" s="497"/>
      <c r="H23" s="497"/>
      <c r="I23" s="497"/>
      <c r="J23" s="497"/>
      <c r="K23" s="497"/>
      <c r="L23" s="497"/>
      <c r="M23" s="497"/>
      <c r="N23" s="497"/>
      <c r="O23" s="497"/>
      <c r="P23" s="497"/>
      <c r="Q23" s="497"/>
      <c r="R23" s="497"/>
      <c r="S23" s="497"/>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c r="AT23" s="497"/>
      <c r="AU23" s="497"/>
      <c r="AV23" s="497"/>
      <c r="AW23" s="497"/>
      <c r="AX23" s="497"/>
      <c r="AY23" s="497"/>
      <c r="AZ23" s="497"/>
      <c r="BA23" s="497"/>
      <c r="BB23" s="497"/>
      <c r="BC23" s="497"/>
      <c r="BD23" s="497"/>
      <c r="BE23" s="497"/>
      <c r="BF23" s="497"/>
      <c r="BG23" s="497"/>
      <c r="BH23" s="497"/>
      <c r="BI23" s="497"/>
      <c r="BJ23" s="497"/>
      <c r="BK23" s="497"/>
      <c r="BL23" s="497"/>
      <c r="BM23" s="497"/>
      <c r="BN23" s="497"/>
      <c r="BO23" s="497"/>
      <c r="BP23" s="497"/>
      <c r="BQ23" s="497"/>
      <c r="BR23" s="497"/>
      <c r="BS23" s="497"/>
      <c r="BT23" s="497"/>
      <c r="BU23" s="497"/>
      <c r="BV23" s="497"/>
      <c r="BW23" s="497"/>
      <c r="BX23" s="497"/>
      <c r="BY23" s="497"/>
      <c r="BZ23" s="497"/>
      <c r="CA23" s="497"/>
      <c r="CB23" s="497"/>
      <c r="CC23" s="497"/>
      <c r="CD23" s="497"/>
      <c r="CE23" s="497"/>
    </row>
    <row r="24" spans="1:83" x14ac:dyDescent="0.25">
      <c r="B24" s="752">
        <v>36</v>
      </c>
      <c r="C24" s="635" t="s">
        <v>721</v>
      </c>
      <c r="D24" s="635" t="s">
        <v>388</v>
      </c>
      <c r="E24" s="497"/>
      <c r="F24" s="497"/>
      <c r="G24" s="497"/>
      <c r="H24" s="497"/>
      <c r="I24" s="497"/>
      <c r="J24" s="497"/>
      <c r="K24" s="497"/>
      <c r="L24" s="497"/>
      <c r="M24" s="497"/>
      <c r="N24" s="497"/>
      <c r="O24" s="497"/>
      <c r="P24" s="497"/>
      <c r="Q24" s="497"/>
      <c r="R24" s="497"/>
      <c r="S24" s="497"/>
      <c r="T24" s="497"/>
      <c r="U24" s="497"/>
      <c r="V24" s="497"/>
      <c r="W24" s="497"/>
      <c r="X24" s="497"/>
      <c r="Y24" s="497"/>
      <c r="Z24" s="497"/>
      <c r="AA24" s="497"/>
      <c r="AB24" s="497"/>
      <c r="AC24" s="497"/>
      <c r="AD24" s="497"/>
      <c r="AE24" s="497"/>
      <c r="AF24" s="497"/>
      <c r="AG24" s="497"/>
      <c r="AH24" s="497"/>
      <c r="AI24" s="497"/>
      <c r="AJ24" s="497"/>
      <c r="AK24" s="497"/>
      <c r="AL24" s="497"/>
      <c r="AM24" s="497"/>
      <c r="AN24" s="497"/>
      <c r="AO24" s="497"/>
      <c r="AP24" s="497"/>
      <c r="AQ24" s="497"/>
      <c r="AR24" s="497"/>
      <c r="AS24" s="497"/>
      <c r="AT24" s="497"/>
      <c r="AU24" s="497"/>
      <c r="AV24" s="497"/>
      <c r="AW24" s="497"/>
      <c r="AX24" s="497"/>
      <c r="AY24" s="497"/>
      <c r="AZ24" s="497"/>
      <c r="BA24" s="497"/>
      <c r="BB24" s="497"/>
      <c r="BC24" s="497"/>
      <c r="BD24" s="497"/>
      <c r="BE24" s="497"/>
      <c r="BF24" s="497"/>
      <c r="BG24" s="497"/>
      <c r="BH24" s="497"/>
      <c r="BI24" s="497"/>
      <c r="BJ24" s="497"/>
      <c r="BK24" s="497"/>
      <c r="BL24" s="497"/>
      <c r="BM24" s="497"/>
      <c r="BN24" s="497"/>
      <c r="BO24" s="497"/>
      <c r="BP24" s="497"/>
      <c r="BQ24" s="497"/>
      <c r="BR24" s="497"/>
      <c r="BS24" s="497"/>
      <c r="BT24" s="497"/>
      <c r="BU24" s="497"/>
      <c r="BV24" s="497"/>
      <c r="BW24" s="497"/>
      <c r="BX24" s="497"/>
      <c r="BY24" s="497"/>
      <c r="BZ24" s="497"/>
      <c r="CA24" s="497"/>
      <c r="CB24" s="497"/>
      <c r="CC24" s="497"/>
      <c r="CD24" s="497"/>
      <c r="CE24" s="497"/>
    </row>
    <row r="25" spans="1:83" x14ac:dyDescent="0.25">
      <c r="B25" s="752">
        <v>37</v>
      </c>
      <c r="C25" s="635" t="s">
        <v>389</v>
      </c>
      <c r="D25" s="635" t="s">
        <v>390</v>
      </c>
      <c r="E25" s="497"/>
      <c r="F25" s="497"/>
      <c r="G25" s="497"/>
      <c r="H25" s="497"/>
      <c r="I25" s="497"/>
      <c r="J25" s="497"/>
      <c r="K25" s="497"/>
      <c r="L25" s="497"/>
      <c r="M25" s="497"/>
      <c r="N25" s="497"/>
      <c r="O25" s="497"/>
      <c r="P25" s="497"/>
      <c r="Q25" s="497"/>
      <c r="R25" s="497"/>
      <c r="S25" s="497"/>
      <c r="T25" s="497"/>
      <c r="U25" s="497"/>
      <c r="V25" s="497"/>
      <c r="W25" s="497"/>
      <c r="X25" s="497"/>
      <c r="Y25" s="497"/>
      <c r="Z25" s="497"/>
      <c r="AA25" s="497"/>
      <c r="AB25" s="497"/>
      <c r="AC25" s="497"/>
      <c r="AD25" s="497"/>
      <c r="AE25" s="497"/>
      <c r="AF25" s="497"/>
      <c r="AG25" s="497"/>
      <c r="AH25" s="497"/>
      <c r="AI25" s="497"/>
      <c r="AJ25" s="497"/>
      <c r="AK25" s="497"/>
      <c r="AL25" s="497"/>
      <c r="AM25" s="497"/>
      <c r="AN25" s="497"/>
      <c r="AO25" s="497"/>
      <c r="AP25" s="497"/>
      <c r="AQ25" s="497"/>
      <c r="AR25" s="497"/>
      <c r="AS25" s="497"/>
      <c r="AT25" s="497"/>
      <c r="AU25" s="497"/>
      <c r="AV25" s="497"/>
      <c r="AW25" s="497"/>
      <c r="AX25" s="497"/>
      <c r="AY25" s="497"/>
      <c r="AZ25" s="497"/>
      <c r="BA25" s="497"/>
      <c r="BB25" s="497"/>
      <c r="BC25" s="497"/>
      <c r="BD25" s="497"/>
      <c r="BE25" s="497"/>
      <c r="BF25" s="497"/>
      <c r="BG25" s="497"/>
      <c r="BH25" s="497"/>
      <c r="BI25" s="497"/>
      <c r="BJ25" s="497"/>
      <c r="BK25" s="497"/>
      <c r="BL25" s="497"/>
      <c r="BM25" s="497"/>
      <c r="BN25" s="497"/>
      <c r="BO25" s="497"/>
      <c r="BP25" s="497"/>
      <c r="BQ25" s="497"/>
      <c r="BR25" s="497"/>
      <c r="BS25" s="497"/>
      <c r="BT25" s="497"/>
      <c r="BU25" s="497"/>
      <c r="BV25" s="497"/>
      <c r="BW25" s="497"/>
      <c r="BX25" s="497"/>
      <c r="BY25" s="497"/>
      <c r="BZ25" s="497"/>
      <c r="CA25" s="497"/>
      <c r="CB25" s="497"/>
      <c r="CC25" s="497"/>
      <c r="CD25" s="497"/>
      <c r="CE25" s="497"/>
    </row>
    <row r="26" spans="1:83" x14ac:dyDescent="0.25">
      <c r="B26" s="752">
        <v>38</v>
      </c>
      <c r="C26" s="635" t="s">
        <v>722</v>
      </c>
      <c r="D26" s="635" t="s">
        <v>391</v>
      </c>
      <c r="E26" s="497"/>
      <c r="F26" s="497"/>
      <c r="G26" s="497"/>
      <c r="H26" s="497"/>
      <c r="I26" s="497"/>
      <c r="J26" s="497"/>
      <c r="K26" s="497"/>
      <c r="L26" s="497"/>
      <c r="M26" s="497"/>
      <c r="N26" s="497"/>
      <c r="O26" s="497"/>
      <c r="P26" s="497"/>
      <c r="Q26" s="497"/>
      <c r="R26" s="497"/>
      <c r="S26" s="497"/>
      <c r="T26" s="497"/>
      <c r="U26" s="497"/>
      <c r="V26" s="497"/>
      <c r="W26" s="497"/>
      <c r="X26" s="497"/>
      <c r="Y26" s="497"/>
      <c r="Z26" s="497"/>
      <c r="AA26" s="497"/>
      <c r="AB26" s="497"/>
      <c r="AC26" s="497"/>
      <c r="AD26" s="497"/>
      <c r="AE26" s="497"/>
      <c r="AF26" s="497"/>
      <c r="AG26" s="497"/>
      <c r="AH26" s="497"/>
      <c r="AI26" s="497"/>
      <c r="AJ26" s="497"/>
      <c r="AK26" s="497"/>
      <c r="AL26" s="497"/>
      <c r="AM26" s="497"/>
      <c r="AN26" s="497"/>
      <c r="AO26" s="497"/>
      <c r="AP26" s="497"/>
      <c r="AQ26" s="497"/>
      <c r="AR26" s="497"/>
      <c r="AS26" s="497"/>
      <c r="AT26" s="497"/>
      <c r="AU26" s="497"/>
      <c r="AV26" s="497"/>
      <c r="AW26" s="497"/>
      <c r="AX26" s="497"/>
      <c r="AY26" s="497"/>
      <c r="AZ26" s="497"/>
      <c r="BA26" s="497"/>
      <c r="BB26" s="497"/>
      <c r="BC26" s="497"/>
      <c r="BD26" s="497"/>
      <c r="BE26" s="497"/>
      <c r="BF26" s="497"/>
      <c r="BG26" s="497"/>
      <c r="BH26" s="497"/>
      <c r="BI26" s="497"/>
      <c r="BJ26" s="497"/>
      <c r="BK26" s="497"/>
      <c r="BL26" s="497"/>
      <c r="BM26" s="497"/>
      <c r="BN26" s="497"/>
      <c r="BO26" s="497"/>
      <c r="BP26" s="497"/>
      <c r="BQ26" s="497"/>
      <c r="BR26" s="497"/>
      <c r="BS26" s="497"/>
      <c r="BT26" s="497"/>
      <c r="BU26" s="497"/>
      <c r="BV26" s="497"/>
      <c r="BW26" s="497"/>
      <c r="BX26" s="497"/>
      <c r="BY26" s="497"/>
      <c r="BZ26" s="497"/>
      <c r="CA26" s="497"/>
      <c r="CB26" s="497"/>
      <c r="CC26" s="497"/>
      <c r="CD26" s="497"/>
      <c r="CE26" s="497"/>
    </row>
    <row r="27" spans="1:83" x14ac:dyDescent="0.25">
      <c r="B27" s="752">
        <v>39</v>
      </c>
      <c r="C27" s="635" t="s">
        <v>392</v>
      </c>
      <c r="D27" s="635" t="s">
        <v>393</v>
      </c>
      <c r="E27" s="497"/>
      <c r="F27" s="497"/>
      <c r="G27" s="497"/>
      <c r="H27" s="497"/>
      <c r="I27" s="497"/>
      <c r="J27" s="497"/>
      <c r="K27" s="497"/>
      <c r="L27" s="497"/>
      <c r="M27" s="497"/>
      <c r="N27" s="497"/>
      <c r="O27" s="497"/>
      <c r="P27" s="497"/>
      <c r="Q27" s="497"/>
      <c r="R27" s="497"/>
      <c r="S27" s="497"/>
      <c r="T27" s="497"/>
      <c r="U27" s="497"/>
      <c r="V27" s="497"/>
      <c r="W27" s="497"/>
      <c r="X27" s="497"/>
      <c r="Y27" s="497"/>
      <c r="Z27" s="497"/>
      <c r="AA27" s="497"/>
      <c r="AB27" s="497"/>
      <c r="AC27" s="497"/>
      <c r="AD27" s="497"/>
      <c r="AE27" s="497"/>
      <c r="AF27" s="497"/>
      <c r="AG27" s="497"/>
      <c r="AH27" s="497"/>
      <c r="AI27" s="497"/>
      <c r="AJ27" s="497"/>
      <c r="AK27" s="497"/>
      <c r="AL27" s="497"/>
      <c r="AM27" s="497"/>
      <c r="AN27" s="497"/>
      <c r="AO27" s="497"/>
      <c r="AP27" s="497"/>
      <c r="AQ27" s="497"/>
      <c r="AR27" s="497"/>
      <c r="AS27" s="497"/>
      <c r="AT27" s="497"/>
      <c r="AU27" s="497"/>
      <c r="AV27" s="497"/>
      <c r="AW27" s="497"/>
      <c r="AX27" s="497"/>
      <c r="AY27" s="497"/>
      <c r="AZ27" s="497"/>
      <c r="BA27" s="497"/>
      <c r="BB27" s="497"/>
      <c r="BC27" s="497"/>
      <c r="BD27" s="497"/>
      <c r="BE27" s="497"/>
      <c r="BF27" s="497"/>
      <c r="BG27" s="497"/>
      <c r="BH27" s="497"/>
      <c r="BI27" s="497"/>
      <c r="BJ27" s="497"/>
      <c r="BK27" s="497"/>
      <c r="BL27" s="497"/>
      <c r="BM27" s="497"/>
      <c r="BN27" s="497"/>
      <c r="BO27" s="497"/>
      <c r="BP27" s="497"/>
      <c r="BQ27" s="497"/>
      <c r="BR27" s="497"/>
      <c r="BS27" s="497"/>
      <c r="BT27" s="497"/>
      <c r="BU27" s="497"/>
      <c r="BV27" s="497"/>
      <c r="BW27" s="497"/>
      <c r="BX27" s="497"/>
      <c r="BY27" s="497"/>
      <c r="BZ27" s="497"/>
      <c r="CA27" s="497"/>
      <c r="CB27" s="497"/>
      <c r="CC27" s="497"/>
      <c r="CD27" s="497"/>
      <c r="CE27" s="497"/>
    </row>
    <row r="28" spans="1:83" x14ac:dyDescent="0.25">
      <c r="B28" s="752">
        <v>40</v>
      </c>
      <c r="C28" s="635" t="s">
        <v>394</v>
      </c>
      <c r="D28" s="635" t="s">
        <v>395</v>
      </c>
      <c r="E28" s="497"/>
      <c r="F28" s="497"/>
      <c r="G28" s="497"/>
      <c r="H28" s="497"/>
      <c r="I28" s="497"/>
      <c r="J28" s="497"/>
      <c r="K28" s="497"/>
      <c r="L28" s="497"/>
      <c r="M28" s="497"/>
      <c r="N28" s="497"/>
      <c r="O28" s="497"/>
      <c r="P28" s="497"/>
      <c r="Q28" s="497"/>
      <c r="R28" s="497"/>
      <c r="S28" s="497"/>
      <c r="T28" s="497"/>
      <c r="U28" s="497"/>
      <c r="V28" s="497"/>
      <c r="W28" s="497"/>
      <c r="X28" s="497"/>
      <c r="Y28" s="497"/>
      <c r="Z28" s="497"/>
      <c r="AA28" s="497"/>
      <c r="AB28" s="497"/>
      <c r="AC28" s="497"/>
      <c r="AD28" s="497"/>
      <c r="AE28" s="497"/>
      <c r="AF28" s="497"/>
      <c r="AG28" s="497"/>
      <c r="AH28" s="497"/>
      <c r="AI28" s="497"/>
      <c r="AJ28" s="497"/>
      <c r="AK28" s="497"/>
      <c r="AL28" s="497"/>
      <c r="AM28" s="497"/>
      <c r="AN28" s="497"/>
      <c r="AO28" s="497"/>
      <c r="AP28" s="497"/>
      <c r="AQ28" s="497"/>
      <c r="AR28" s="497"/>
      <c r="AS28" s="497"/>
      <c r="AT28" s="497"/>
      <c r="AU28" s="497"/>
      <c r="AV28" s="497"/>
      <c r="AW28" s="497"/>
      <c r="AX28" s="497"/>
      <c r="AY28" s="497"/>
      <c r="AZ28" s="497"/>
      <c r="BA28" s="497"/>
      <c r="BB28" s="497"/>
      <c r="BC28" s="497"/>
      <c r="BD28" s="497"/>
      <c r="BE28" s="497"/>
      <c r="BF28" s="497"/>
      <c r="BG28" s="497"/>
      <c r="BH28" s="497"/>
      <c r="BI28" s="497"/>
      <c r="BJ28" s="497"/>
      <c r="BK28" s="497"/>
      <c r="BL28" s="497"/>
      <c r="BM28" s="497"/>
      <c r="BN28" s="497"/>
      <c r="BO28" s="497"/>
      <c r="BP28" s="497"/>
      <c r="BQ28" s="497"/>
      <c r="BR28" s="497"/>
      <c r="BS28" s="497"/>
      <c r="BT28" s="497"/>
      <c r="BU28" s="497"/>
      <c r="BV28" s="497"/>
      <c r="BW28" s="497"/>
      <c r="BX28" s="497"/>
      <c r="BY28" s="497"/>
      <c r="BZ28" s="497"/>
      <c r="CA28" s="497"/>
      <c r="CB28" s="497"/>
      <c r="CC28" s="497"/>
      <c r="CD28" s="497"/>
      <c r="CE28" s="497"/>
    </row>
    <row r="29" spans="1:83" x14ac:dyDescent="0.25">
      <c r="B29" s="752">
        <v>41</v>
      </c>
      <c r="C29" s="635" t="s">
        <v>396</v>
      </c>
      <c r="D29" s="635" t="s">
        <v>397</v>
      </c>
      <c r="E29" s="497"/>
      <c r="F29" s="497"/>
      <c r="G29" s="497"/>
      <c r="H29" s="497"/>
      <c r="I29" s="497"/>
      <c r="J29" s="497"/>
      <c r="K29" s="497"/>
      <c r="L29" s="497"/>
      <c r="M29" s="497"/>
      <c r="N29" s="497"/>
      <c r="O29" s="497"/>
      <c r="P29" s="497"/>
      <c r="Q29" s="497"/>
      <c r="R29" s="497"/>
      <c r="S29" s="497"/>
      <c r="T29" s="497"/>
      <c r="U29" s="497"/>
      <c r="V29" s="497"/>
      <c r="W29" s="497"/>
      <c r="X29" s="497"/>
      <c r="Y29" s="497"/>
      <c r="Z29" s="497"/>
      <c r="AA29" s="497"/>
      <c r="AB29" s="497"/>
      <c r="AC29" s="497"/>
      <c r="AD29" s="497"/>
      <c r="AE29" s="497"/>
      <c r="AF29" s="497"/>
      <c r="AG29" s="497"/>
      <c r="AH29" s="497"/>
      <c r="AI29" s="497"/>
      <c r="AJ29" s="497"/>
      <c r="AK29" s="497"/>
      <c r="AL29" s="497"/>
      <c r="AM29" s="497"/>
      <c r="AN29" s="497"/>
      <c r="AO29" s="497"/>
      <c r="AP29" s="497"/>
      <c r="AQ29" s="497"/>
      <c r="AR29" s="497"/>
      <c r="AS29" s="497"/>
      <c r="AT29" s="497"/>
      <c r="AU29" s="497"/>
      <c r="AV29" s="497"/>
      <c r="AW29" s="497"/>
      <c r="AX29" s="497"/>
      <c r="AY29" s="497"/>
      <c r="AZ29" s="497"/>
      <c r="BA29" s="497"/>
      <c r="BB29" s="497"/>
      <c r="BC29" s="497"/>
      <c r="BD29" s="497"/>
      <c r="BE29" s="497"/>
      <c r="BF29" s="497"/>
      <c r="BG29" s="497"/>
      <c r="BH29" s="497"/>
      <c r="BI29" s="497"/>
      <c r="BJ29" s="497"/>
      <c r="BK29" s="497"/>
      <c r="BL29" s="497"/>
      <c r="BM29" s="497"/>
      <c r="BN29" s="497"/>
      <c r="BO29" s="497"/>
      <c r="BP29" s="497"/>
      <c r="BQ29" s="497"/>
      <c r="BR29" s="497"/>
      <c r="BS29" s="497"/>
      <c r="BT29" s="497"/>
      <c r="BU29" s="497"/>
      <c r="BV29" s="497"/>
      <c r="BW29" s="497"/>
      <c r="BX29" s="497"/>
      <c r="BY29" s="497"/>
      <c r="BZ29" s="497"/>
      <c r="CA29" s="497"/>
      <c r="CB29" s="497"/>
      <c r="CC29" s="497"/>
      <c r="CD29" s="497"/>
      <c r="CE29" s="497"/>
    </row>
    <row r="30" spans="1:83" x14ac:dyDescent="0.25">
      <c r="B30" s="752">
        <v>43</v>
      </c>
      <c r="C30" s="635" t="s">
        <v>398</v>
      </c>
      <c r="D30" s="635" t="s">
        <v>399</v>
      </c>
      <c r="E30" s="497"/>
      <c r="F30" s="497"/>
      <c r="G30" s="497"/>
      <c r="H30" s="497"/>
      <c r="I30" s="497"/>
      <c r="J30" s="497"/>
      <c r="K30" s="497"/>
      <c r="L30" s="497"/>
      <c r="M30" s="497"/>
      <c r="N30" s="497"/>
      <c r="O30" s="497"/>
      <c r="P30" s="497"/>
      <c r="Q30" s="497"/>
      <c r="R30" s="497"/>
      <c r="S30" s="497"/>
      <c r="T30" s="497"/>
      <c r="U30" s="497"/>
      <c r="V30" s="497"/>
      <c r="W30" s="497"/>
      <c r="X30" s="497"/>
      <c r="Y30" s="497"/>
      <c r="Z30" s="497"/>
      <c r="AA30" s="497"/>
      <c r="AB30" s="497"/>
      <c r="AC30" s="497"/>
      <c r="AD30" s="497"/>
      <c r="AE30" s="497"/>
      <c r="AF30" s="497"/>
      <c r="AG30" s="497"/>
      <c r="AH30" s="497"/>
      <c r="AI30" s="497"/>
      <c r="AJ30" s="497"/>
      <c r="AK30" s="497"/>
      <c r="AL30" s="497"/>
      <c r="AM30" s="497"/>
      <c r="AN30" s="497"/>
      <c r="AO30" s="497"/>
      <c r="AP30" s="497"/>
      <c r="AQ30" s="497"/>
      <c r="AR30" s="497"/>
      <c r="AS30" s="497"/>
      <c r="AT30" s="497"/>
      <c r="AU30" s="497"/>
      <c r="AV30" s="497"/>
      <c r="AW30" s="497"/>
      <c r="AX30" s="497"/>
      <c r="AY30" s="497"/>
      <c r="AZ30" s="497"/>
      <c r="BA30" s="497"/>
      <c r="BB30" s="497"/>
      <c r="BC30" s="497"/>
      <c r="BD30" s="497"/>
      <c r="BE30" s="497"/>
      <c r="BF30" s="497"/>
      <c r="BG30" s="497"/>
      <c r="BH30" s="497"/>
      <c r="BI30" s="497"/>
      <c r="BJ30" s="497"/>
      <c r="BK30" s="497"/>
      <c r="BL30" s="497"/>
      <c r="BM30" s="497"/>
      <c r="BN30" s="497"/>
      <c r="BO30" s="497"/>
      <c r="BP30" s="497"/>
      <c r="BQ30" s="497"/>
      <c r="BR30" s="497"/>
      <c r="BS30" s="497"/>
      <c r="BT30" s="497"/>
      <c r="BU30" s="497"/>
      <c r="BV30" s="497"/>
      <c r="BW30" s="497"/>
      <c r="BX30" s="497"/>
      <c r="BY30" s="497"/>
      <c r="BZ30" s="497"/>
      <c r="CA30" s="497"/>
      <c r="CB30" s="497"/>
      <c r="CC30" s="497"/>
      <c r="CD30" s="497"/>
      <c r="CE30" s="497"/>
    </row>
    <row r="31" spans="1:83" x14ac:dyDescent="0.25">
      <c r="A31" s="635">
        <v>44</v>
      </c>
      <c r="B31" s="752">
        <v>44</v>
      </c>
      <c r="C31" s="635" t="s">
        <v>723</v>
      </c>
      <c r="D31" s="635" t="s">
        <v>400</v>
      </c>
      <c r="E31" s="497">
        <v>201742</v>
      </c>
      <c r="F31" s="497">
        <v>386388</v>
      </c>
      <c r="G31" s="497">
        <v>0</v>
      </c>
      <c r="H31" s="497">
        <v>930722</v>
      </c>
      <c r="I31" s="497">
        <v>408219</v>
      </c>
      <c r="J31" s="497">
        <v>128361</v>
      </c>
      <c r="K31" s="497">
        <v>0</v>
      </c>
      <c r="L31" s="497">
        <v>443160</v>
      </c>
      <c r="M31" s="497">
        <v>3984191</v>
      </c>
      <c r="N31" s="497">
        <v>0</v>
      </c>
      <c r="O31" s="497">
        <v>0</v>
      </c>
      <c r="P31" s="497">
        <v>0</v>
      </c>
      <c r="Q31" s="497">
        <v>133110</v>
      </c>
      <c r="R31" s="497">
        <v>5974041</v>
      </c>
      <c r="S31" s="497">
        <v>0</v>
      </c>
      <c r="T31" s="497">
        <v>228431</v>
      </c>
      <c r="U31" s="497">
        <v>1095486</v>
      </c>
      <c r="V31" s="497">
        <v>837288</v>
      </c>
      <c r="W31" s="497">
        <v>5674734</v>
      </c>
      <c r="X31" s="497">
        <v>0</v>
      </c>
      <c r="Y31" s="497">
        <v>423831</v>
      </c>
      <c r="Z31" s="497">
        <v>220403</v>
      </c>
      <c r="AA31" s="497">
        <v>20166041</v>
      </c>
      <c r="AB31" s="497">
        <v>15647</v>
      </c>
      <c r="AC31" s="497">
        <v>513665</v>
      </c>
      <c r="AD31" s="497">
        <v>0</v>
      </c>
      <c r="AE31" s="497">
        <v>0</v>
      </c>
      <c r="AF31" s="497">
        <v>0</v>
      </c>
      <c r="AG31" s="497">
        <v>27848899</v>
      </c>
      <c r="AH31" s="497">
        <v>704</v>
      </c>
      <c r="AI31" s="497">
        <v>245601</v>
      </c>
      <c r="AJ31" s="497">
        <v>2140007</v>
      </c>
      <c r="AK31" s="497">
        <v>94641</v>
      </c>
      <c r="AL31" s="497">
        <v>92405</v>
      </c>
      <c r="AM31" s="497">
        <v>0</v>
      </c>
      <c r="AN31" s="497">
        <v>328411</v>
      </c>
      <c r="AO31" s="497">
        <v>11716758</v>
      </c>
      <c r="AP31" s="497">
        <v>0</v>
      </c>
      <c r="AQ31" s="497">
        <v>2793535</v>
      </c>
      <c r="AR31" s="497">
        <v>0</v>
      </c>
      <c r="AS31" s="497">
        <v>0</v>
      </c>
      <c r="AT31" s="497">
        <v>1964864</v>
      </c>
      <c r="AU31" s="497">
        <v>398004</v>
      </c>
      <c r="AV31" s="497">
        <v>65756002</v>
      </c>
      <c r="AW31" s="497">
        <v>21976275</v>
      </c>
      <c r="AX31" s="497">
        <v>649725</v>
      </c>
      <c r="AY31" s="497">
        <v>153611</v>
      </c>
      <c r="AZ31" s="497">
        <v>216930</v>
      </c>
      <c r="BA31" s="497">
        <v>82524</v>
      </c>
      <c r="BB31" s="497">
        <v>0</v>
      </c>
      <c r="BC31" s="497">
        <v>3790125</v>
      </c>
      <c r="BD31" s="497">
        <v>530891</v>
      </c>
      <c r="BE31" s="497">
        <v>0</v>
      </c>
      <c r="BF31" s="497">
        <v>163731</v>
      </c>
      <c r="BG31" s="497">
        <v>9872017</v>
      </c>
      <c r="BH31" s="497">
        <v>0</v>
      </c>
      <c r="BI31" s="497">
        <v>9666422</v>
      </c>
      <c r="BJ31" s="497">
        <v>965677</v>
      </c>
      <c r="BK31" s="497">
        <v>0</v>
      </c>
      <c r="BL31" s="497">
        <v>0</v>
      </c>
      <c r="BM31" s="497">
        <v>28852497</v>
      </c>
      <c r="BN31" s="497">
        <v>17896994</v>
      </c>
      <c r="BO31" s="497">
        <v>747350</v>
      </c>
      <c r="BP31" s="497">
        <v>39718042</v>
      </c>
      <c r="BQ31" s="497">
        <v>63863266</v>
      </c>
      <c r="BR31" s="497">
        <v>181502</v>
      </c>
      <c r="BS31" s="497">
        <v>2140590</v>
      </c>
      <c r="BT31" s="497">
        <v>0</v>
      </c>
      <c r="BU31" s="497">
        <v>19696984</v>
      </c>
      <c r="BV31" s="497">
        <v>290885</v>
      </c>
      <c r="BW31" s="497">
        <v>0</v>
      </c>
      <c r="BX31" s="497">
        <v>3464847</v>
      </c>
      <c r="BY31" s="497">
        <v>0</v>
      </c>
      <c r="BZ31" s="497">
        <v>38730228</v>
      </c>
      <c r="CA31" s="497">
        <v>478222</v>
      </c>
      <c r="CB31" s="497">
        <v>0</v>
      </c>
      <c r="CC31" s="497">
        <v>152840</v>
      </c>
      <c r="CD31" s="497">
        <v>0</v>
      </c>
      <c r="CE31" s="497">
        <v>0</v>
      </c>
    </row>
    <row r="32" spans="1:83" x14ac:dyDescent="0.25">
      <c r="A32" s="635">
        <v>45</v>
      </c>
      <c r="B32" s="752">
        <v>45</v>
      </c>
      <c r="C32" s="635" t="s">
        <v>724</v>
      </c>
      <c r="D32" s="635" t="s">
        <v>401</v>
      </c>
      <c r="E32" s="497">
        <v>49185</v>
      </c>
      <c r="F32" s="497">
        <v>175546</v>
      </c>
      <c r="G32" s="497">
        <v>0</v>
      </c>
      <c r="H32" s="497">
        <v>37502</v>
      </c>
      <c r="I32" s="497">
        <v>50889</v>
      </c>
      <c r="J32" s="497">
        <v>22577</v>
      </c>
      <c r="K32" s="497">
        <v>0</v>
      </c>
      <c r="L32" s="497">
        <v>235900</v>
      </c>
      <c r="M32" s="497">
        <v>1098660</v>
      </c>
      <c r="N32" s="497">
        <v>0</v>
      </c>
      <c r="O32" s="497">
        <v>0</v>
      </c>
      <c r="P32" s="497">
        <v>0</v>
      </c>
      <c r="Q32" s="497">
        <v>120536</v>
      </c>
      <c r="R32" s="497">
        <v>437728</v>
      </c>
      <c r="S32" s="497">
        <v>0</v>
      </c>
      <c r="T32" s="497">
        <v>33527</v>
      </c>
      <c r="U32" s="497">
        <v>106811</v>
      </c>
      <c r="V32" s="497">
        <v>25154</v>
      </c>
      <c r="W32" s="497">
        <v>950597</v>
      </c>
      <c r="X32" s="497">
        <v>0</v>
      </c>
      <c r="Y32" s="497">
        <v>46719</v>
      </c>
      <c r="Z32" s="497">
        <v>386068</v>
      </c>
      <c r="AA32" s="497">
        <v>3670882</v>
      </c>
      <c r="AB32" s="497">
        <v>0</v>
      </c>
      <c r="AC32" s="497">
        <v>17938</v>
      </c>
      <c r="AD32" s="497">
        <v>0</v>
      </c>
      <c r="AE32" s="497">
        <v>0</v>
      </c>
      <c r="AF32" s="497">
        <v>0</v>
      </c>
      <c r="AG32" s="497">
        <v>6762827</v>
      </c>
      <c r="AH32" s="497">
        <v>0</v>
      </c>
      <c r="AI32" s="497">
        <v>29921</v>
      </c>
      <c r="AJ32" s="497">
        <v>87887</v>
      </c>
      <c r="AK32" s="497">
        <v>471</v>
      </c>
      <c r="AL32" s="497">
        <v>87779</v>
      </c>
      <c r="AM32" s="497">
        <v>0</v>
      </c>
      <c r="AN32" s="497">
        <v>113812</v>
      </c>
      <c r="AO32" s="497">
        <v>677784</v>
      </c>
      <c r="AP32" s="497">
        <v>0</v>
      </c>
      <c r="AQ32" s="497">
        <v>232750</v>
      </c>
      <c r="AR32" s="497">
        <v>0</v>
      </c>
      <c r="AS32" s="497">
        <v>0</v>
      </c>
      <c r="AT32" s="497">
        <v>498976</v>
      </c>
      <c r="AU32" s="497">
        <v>230235</v>
      </c>
      <c r="AV32" s="497">
        <v>25927061</v>
      </c>
      <c r="AW32" s="497">
        <v>8198465</v>
      </c>
      <c r="AX32" s="497">
        <v>136761</v>
      </c>
      <c r="AY32" s="497">
        <v>36910</v>
      </c>
      <c r="AZ32" s="497">
        <v>17214</v>
      </c>
      <c r="BA32" s="497">
        <v>14448</v>
      </c>
      <c r="BB32" s="497">
        <v>0</v>
      </c>
      <c r="BC32" s="497">
        <v>260671</v>
      </c>
      <c r="BD32" s="497">
        <v>13822</v>
      </c>
      <c r="BE32" s="497">
        <v>0</v>
      </c>
      <c r="BF32" s="497">
        <v>40596</v>
      </c>
      <c r="BG32" s="497">
        <v>1905492</v>
      </c>
      <c r="BH32" s="497">
        <v>0</v>
      </c>
      <c r="BI32" s="497">
        <v>609387</v>
      </c>
      <c r="BJ32" s="497">
        <v>79106</v>
      </c>
      <c r="BK32" s="497">
        <v>0</v>
      </c>
      <c r="BL32" s="497">
        <v>0</v>
      </c>
      <c r="BM32" s="497">
        <v>2703066</v>
      </c>
      <c r="BN32" s="497">
        <v>4768853</v>
      </c>
      <c r="BO32" s="497">
        <v>441909</v>
      </c>
      <c r="BP32" s="497">
        <v>4359503</v>
      </c>
      <c r="BQ32" s="497">
        <v>13484493</v>
      </c>
      <c r="BR32" s="497">
        <v>17686</v>
      </c>
      <c r="BS32" s="497">
        <v>411980</v>
      </c>
      <c r="BT32" s="497">
        <v>0</v>
      </c>
      <c r="BU32" s="497">
        <v>1977971</v>
      </c>
      <c r="BV32" s="497">
        <v>17125</v>
      </c>
      <c r="BW32" s="497">
        <v>0</v>
      </c>
      <c r="BX32" s="497">
        <v>846140</v>
      </c>
      <c r="BY32" s="497">
        <v>0</v>
      </c>
      <c r="BZ32" s="497">
        <v>5933342</v>
      </c>
      <c r="CA32" s="497">
        <v>27217</v>
      </c>
      <c r="CB32" s="497">
        <v>0</v>
      </c>
      <c r="CC32" s="497">
        <v>52883</v>
      </c>
      <c r="CD32" s="497">
        <v>0</v>
      </c>
      <c r="CE32" s="497">
        <v>0</v>
      </c>
    </row>
    <row r="33" spans="1:83" x14ac:dyDescent="0.25">
      <c r="B33" s="752">
        <v>46</v>
      </c>
      <c r="C33" s="635" t="s">
        <v>725</v>
      </c>
      <c r="D33" s="635" t="s">
        <v>402</v>
      </c>
      <c r="E33" s="497"/>
      <c r="F33" s="497"/>
      <c r="G33" s="497"/>
      <c r="H33" s="497"/>
      <c r="I33" s="497"/>
      <c r="J33" s="497"/>
      <c r="K33" s="497"/>
      <c r="L33" s="497"/>
      <c r="M33" s="497"/>
      <c r="N33" s="497"/>
      <c r="O33" s="497"/>
      <c r="P33" s="497"/>
      <c r="Q33" s="497"/>
      <c r="R33" s="497"/>
      <c r="S33" s="497"/>
      <c r="T33" s="497"/>
      <c r="U33" s="497"/>
      <c r="V33" s="497"/>
      <c r="W33" s="497"/>
      <c r="X33" s="497"/>
      <c r="Y33" s="497"/>
      <c r="Z33" s="497"/>
      <c r="AA33" s="497"/>
      <c r="AB33" s="497"/>
      <c r="AC33" s="497"/>
      <c r="AD33" s="497"/>
      <c r="AE33" s="497"/>
      <c r="AF33" s="497"/>
      <c r="AG33" s="497"/>
      <c r="AH33" s="497"/>
      <c r="AI33" s="497"/>
      <c r="AJ33" s="497"/>
      <c r="AK33" s="497"/>
      <c r="AL33" s="497"/>
      <c r="AM33" s="497"/>
      <c r="AN33" s="497"/>
      <c r="AO33" s="497"/>
      <c r="AP33" s="497"/>
      <c r="AQ33" s="497"/>
      <c r="AR33" s="497"/>
      <c r="AS33" s="497"/>
      <c r="AT33" s="497"/>
      <c r="AU33" s="497"/>
      <c r="AV33" s="497"/>
      <c r="AW33" s="497"/>
      <c r="AX33" s="497"/>
      <c r="AY33" s="497"/>
      <c r="AZ33" s="497"/>
      <c r="BA33" s="497"/>
      <c r="BB33" s="497"/>
      <c r="BC33" s="497"/>
      <c r="BD33" s="497"/>
      <c r="BE33" s="497"/>
      <c r="BF33" s="497"/>
      <c r="BG33" s="497"/>
      <c r="BH33" s="497"/>
      <c r="BI33" s="497"/>
      <c r="BJ33" s="497"/>
      <c r="BK33" s="497"/>
      <c r="BL33" s="497"/>
      <c r="BM33" s="497"/>
      <c r="BN33" s="497"/>
      <c r="BO33" s="497"/>
      <c r="BP33" s="497"/>
      <c r="BQ33" s="497"/>
      <c r="BR33" s="497"/>
      <c r="BS33" s="497"/>
      <c r="BT33" s="497"/>
      <c r="BU33" s="497"/>
      <c r="BV33" s="497"/>
      <c r="BW33" s="497"/>
      <c r="BX33" s="497"/>
      <c r="BY33" s="497"/>
      <c r="BZ33" s="497"/>
      <c r="CA33" s="497"/>
      <c r="CB33" s="497"/>
      <c r="CC33" s="497"/>
      <c r="CD33" s="497"/>
      <c r="CE33" s="497"/>
    </row>
    <row r="34" spans="1:83" x14ac:dyDescent="0.25">
      <c r="A34" s="635">
        <v>47</v>
      </c>
      <c r="B34" s="752">
        <v>47</v>
      </c>
      <c r="C34" s="635" t="s">
        <v>726</v>
      </c>
      <c r="D34" s="635" t="s">
        <v>403</v>
      </c>
      <c r="E34" s="497">
        <v>0</v>
      </c>
      <c r="F34" s="497">
        <v>0</v>
      </c>
      <c r="G34" s="497">
        <v>0</v>
      </c>
      <c r="H34" s="497">
        <v>0</v>
      </c>
      <c r="I34" s="497">
        <v>0</v>
      </c>
      <c r="J34" s="497">
        <v>0</v>
      </c>
      <c r="K34" s="497">
        <v>0</v>
      </c>
      <c r="L34" s="497">
        <v>0</v>
      </c>
      <c r="M34" s="497">
        <v>2244457</v>
      </c>
      <c r="N34" s="497">
        <v>0</v>
      </c>
      <c r="O34" s="497">
        <v>0</v>
      </c>
      <c r="P34" s="497">
        <v>0</v>
      </c>
      <c r="Q34" s="497">
        <v>0</v>
      </c>
      <c r="R34" s="497">
        <v>7246413</v>
      </c>
      <c r="S34" s="497">
        <v>0</v>
      </c>
      <c r="T34" s="497">
        <v>1027481</v>
      </c>
      <c r="U34" s="497">
        <v>0</v>
      </c>
      <c r="V34" s="497">
        <v>0</v>
      </c>
      <c r="W34" s="497">
        <v>0</v>
      </c>
      <c r="X34" s="497">
        <v>0</v>
      </c>
      <c r="Y34" s="497">
        <v>0</v>
      </c>
      <c r="Z34" s="497">
        <v>574392</v>
      </c>
      <c r="AA34" s="497">
        <v>0</v>
      </c>
      <c r="AB34" s="497">
        <v>0</v>
      </c>
      <c r="AC34" s="497">
        <v>0</v>
      </c>
      <c r="AD34" s="497">
        <v>0</v>
      </c>
      <c r="AE34" s="497">
        <v>0</v>
      </c>
      <c r="AF34" s="497">
        <v>0</v>
      </c>
      <c r="AG34" s="497">
        <v>31882389</v>
      </c>
      <c r="AH34" s="497">
        <v>0</v>
      </c>
      <c r="AI34" s="497">
        <v>0</v>
      </c>
      <c r="AJ34" s="497">
        <v>0</v>
      </c>
      <c r="AK34" s="497">
        <v>0</v>
      </c>
      <c r="AL34" s="497">
        <v>0</v>
      </c>
      <c r="AM34" s="497">
        <v>0</v>
      </c>
      <c r="AN34" s="497">
        <v>0</v>
      </c>
      <c r="AO34" s="497">
        <v>0</v>
      </c>
      <c r="AP34" s="497">
        <v>0</v>
      </c>
      <c r="AQ34" s="497">
        <v>4864098</v>
      </c>
      <c r="AR34" s="497">
        <v>0</v>
      </c>
      <c r="AS34" s="497">
        <v>0</v>
      </c>
      <c r="AT34" s="497">
        <v>0</v>
      </c>
      <c r="AU34" s="497">
        <v>0</v>
      </c>
      <c r="AV34" s="497">
        <v>0</v>
      </c>
      <c r="AW34" s="497">
        <v>75414737</v>
      </c>
      <c r="AX34" s="497">
        <v>0</v>
      </c>
      <c r="AY34" s="497">
        <v>0</v>
      </c>
      <c r="AZ34" s="497">
        <v>0</v>
      </c>
      <c r="BA34" s="497">
        <v>0</v>
      </c>
      <c r="BB34" s="497">
        <v>0</v>
      </c>
      <c r="BC34" s="497">
        <v>0</v>
      </c>
      <c r="BD34" s="497">
        <v>0</v>
      </c>
      <c r="BE34" s="497">
        <v>0</v>
      </c>
      <c r="BF34" s="497">
        <v>0</v>
      </c>
      <c r="BG34" s="497">
        <v>0</v>
      </c>
      <c r="BH34" s="497">
        <v>0</v>
      </c>
      <c r="BI34" s="497">
        <v>0</v>
      </c>
      <c r="BJ34" s="497">
        <v>0</v>
      </c>
      <c r="BK34" s="497">
        <v>0</v>
      </c>
      <c r="BL34" s="497">
        <v>0</v>
      </c>
      <c r="BM34" s="497">
        <v>0</v>
      </c>
      <c r="BN34" s="497">
        <v>0</v>
      </c>
      <c r="BO34" s="497">
        <v>1327782</v>
      </c>
      <c r="BP34" s="497">
        <v>0</v>
      </c>
      <c r="BQ34" s="497">
        <v>90209428</v>
      </c>
      <c r="BR34" s="497">
        <v>0</v>
      </c>
      <c r="BS34" s="497">
        <v>6496743</v>
      </c>
      <c r="BT34" s="497">
        <v>0</v>
      </c>
      <c r="BU34" s="497">
        <v>0</v>
      </c>
      <c r="BV34" s="497">
        <v>403007</v>
      </c>
      <c r="BW34" s="497">
        <v>0</v>
      </c>
      <c r="BX34" s="497">
        <v>0</v>
      </c>
      <c r="BY34" s="497">
        <v>0</v>
      </c>
      <c r="BZ34" s="497">
        <v>0</v>
      </c>
      <c r="CA34" s="497">
        <v>773934</v>
      </c>
      <c r="CB34" s="497">
        <v>0</v>
      </c>
      <c r="CC34" s="497">
        <v>0</v>
      </c>
      <c r="CD34" s="497">
        <v>0</v>
      </c>
      <c r="CE34" s="497">
        <v>4846519</v>
      </c>
    </row>
    <row r="35" spans="1:83" x14ac:dyDescent="0.25">
      <c r="A35" s="635">
        <v>48</v>
      </c>
      <c r="B35" s="752">
        <v>48</v>
      </c>
      <c r="C35" s="635" t="s">
        <v>130</v>
      </c>
      <c r="D35" s="635" t="s">
        <v>404</v>
      </c>
      <c r="E35" s="497">
        <v>0</v>
      </c>
      <c r="F35" s="497">
        <v>0</v>
      </c>
      <c r="G35" s="497">
        <v>0</v>
      </c>
      <c r="H35" s="497">
        <v>0</v>
      </c>
      <c r="I35" s="497">
        <v>0</v>
      </c>
      <c r="J35" s="497">
        <v>0</v>
      </c>
      <c r="K35" s="497">
        <v>0</v>
      </c>
      <c r="L35" s="497">
        <v>0</v>
      </c>
      <c r="M35" s="497">
        <v>762088</v>
      </c>
      <c r="N35" s="497">
        <v>0</v>
      </c>
      <c r="O35" s="497">
        <v>0</v>
      </c>
      <c r="P35" s="497">
        <v>0</v>
      </c>
      <c r="Q35" s="497">
        <v>0</v>
      </c>
      <c r="R35" s="497">
        <v>161900</v>
      </c>
      <c r="S35" s="497">
        <v>0</v>
      </c>
      <c r="T35" s="497">
        <v>94537</v>
      </c>
      <c r="U35" s="497">
        <v>0</v>
      </c>
      <c r="V35" s="497">
        <v>0</v>
      </c>
      <c r="W35" s="497">
        <v>0</v>
      </c>
      <c r="X35" s="497">
        <v>0</v>
      </c>
      <c r="Y35" s="497">
        <v>0</v>
      </c>
      <c r="Z35" s="497">
        <v>18275</v>
      </c>
      <c r="AA35" s="497">
        <v>0</v>
      </c>
      <c r="AB35" s="497">
        <v>0</v>
      </c>
      <c r="AC35" s="497">
        <v>0</v>
      </c>
      <c r="AD35" s="497">
        <v>0</v>
      </c>
      <c r="AE35" s="497">
        <v>0</v>
      </c>
      <c r="AF35" s="497">
        <v>0</v>
      </c>
      <c r="AG35" s="497">
        <v>6218113</v>
      </c>
      <c r="AH35" s="497">
        <v>0</v>
      </c>
      <c r="AI35" s="497">
        <v>0</v>
      </c>
      <c r="AJ35" s="497">
        <v>0</v>
      </c>
      <c r="AK35" s="497">
        <v>0</v>
      </c>
      <c r="AL35" s="497">
        <v>0</v>
      </c>
      <c r="AM35" s="497">
        <v>0</v>
      </c>
      <c r="AN35" s="497">
        <v>0</v>
      </c>
      <c r="AO35" s="497">
        <v>0</v>
      </c>
      <c r="AP35" s="497">
        <v>0</v>
      </c>
      <c r="AQ35" s="497">
        <v>617666</v>
      </c>
      <c r="AR35" s="497">
        <v>0</v>
      </c>
      <c r="AS35" s="497">
        <v>0</v>
      </c>
      <c r="AT35" s="497">
        <v>0</v>
      </c>
      <c r="AU35" s="497">
        <v>0</v>
      </c>
      <c r="AV35" s="497">
        <v>0</v>
      </c>
      <c r="AW35" s="497">
        <v>17819410</v>
      </c>
      <c r="AX35" s="497">
        <v>0</v>
      </c>
      <c r="AY35" s="497">
        <v>0</v>
      </c>
      <c r="AZ35" s="497">
        <v>0</v>
      </c>
      <c r="BA35" s="497">
        <v>0</v>
      </c>
      <c r="BB35" s="497">
        <v>0</v>
      </c>
      <c r="BC35" s="497">
        <v>0</v>
      </c>
      <c r="BD35" s="497">
        <v>0</v>
      </c>
      <c r="BE35" s="497">
        <v>0</v>
      </c>
      <c r="BF35" s="497">
        <v>0</v>
      </c>
      <c r="BG35" s="497">
        <v>0</v>
      </c>
      <c r="BH35" s="497">
        <v>0</v>
      </c>
      <c r="BI35" s="497">
        <v>0</v>
      </c>
      <c r="BJ35" s="497">
        <v>0</v>
      </c>
      <c r="BK35" s="497">
        <v>0</v>
      </c>
      <c r="BL35" s="497">
        <v>0</v>
      </c>
      <c r="BM35" s="497">
        <v>0</v>
      </c>
      <c r="BN35" s="497">
        <v>0</v>
      </c>
      <c r="BO35" s="497">
        <v>194609</v>
      </c>
      <c r="BP35" s="497">
        <v>0</v>
      </c>
      <c r="BQ35" s="497">
        <v>11121410</v>
      </c>
      <c r="BR35" s="497">
        <v>0</v>
      </c>
      <c r="BS35" s="497">
        <v>489393</v>
      </c>
      <c r="BT35" s="497">
        <v>0</v>
      </c>
      <c r="BU35" s="497">
        <v>0</v>
      </c>
      <c r="BV35" s="497">
        <v>36677</v>
      </c>
      <c r="BW35" s="497">
        <v>0</v>
      </c>
      <c r="BX35" s="497">
        <v>0</v>
      </c>
      <c r="BY35" s="497">
        <v>0</v>
      </c>
      <c r="BZ35" s="497">
        <v>0</v>
      </c>
      <c r="CA35" s="497">
        <v>49949</v>
      </c>
      <c r="CB35" s="497">
        <v>0</v>
      </c>
      <c r="CC35" s="497">
        <v>0</v>
      </c>
      <c r="CD35" s="497">
        <v>0</v>
      </c>
      <c r="CE35" s="497">
        <v>1943856</v>
      </c>
    </row>
    <row r="36" spans="1:83" x14ac:dyDescent="0.25">
      <c r="A36" s="635">
        <v>49</v>
      </c>
      <c r="B36" s="752">
        <v>49</v>
      </c>
      <c r="C36" s="635" t="s">
        <v>293</v>
      </c>
      <c r="D36" s="635" t="s">
        <v>405</v>
      </c>
      <c r="E36" s="497">
        <v>153528</v>
      </c>
      <c r="F36" s="497">
        <v>275751</v>
      </c>
      <c r="G36" s="497">
        <v>0</v>
      </c>
      <c r="H36" s="497">
        <v>378048</v>
      </c>
      <c r="I36" s="497">
        <v>200520</v>
      </c>
      <c r="J36" s="497">
        <v>24050</v>
      </c>
      <c r="K36" s="497">
        <v>0</v>
      </c>
      <c r="L36" s="497">
        <v>79104</v>
      </c>
      <c r="M36" s="497">
        <v>1192470</v>
      </c>
      <c r="N36" s="497">
        <v>0</v>
      </c>
      <c r="O36" s="497">
        <v>0</v>
      </c>
      <c r="P36" s="497">
        <v>0</v>
      </c>
      <c r="Q36" s="497">
        <v>94996</v>
      </c>
      <c r="R36" s="497">
        <v>1307864</v>
      </c>
      <c r="S36" s="497">
        <v>0</v>
      </c>
      <c r="T36" s="497">
        <v>76251</v>
      </c>
      <c r="U36" s="497">
        <v>113956</v>
      </c>
      <c r="V36" s="497">
        <v>58454</v>
      </c>
      <c r="W36" s="497">
        <v>682873</v>
      </c>
      <c r="X36" s="497">
        <v>0</v>
      </c>
      <c r="Y36" s="497">
        <v>223549</v>
      </c>
      <c r="Z36" s="497">
        <v>276927</v>
      </c>
      <c r="AA36" s="497">
        <v>3205101</v>
      </c>
      <c r="AB36" s="497">
        <v>69505</v>
      </c>
      <c r="AC36" s="497">
        <v>54113</v>
      </c>
      <c r="AD36" s="497">
        <v>0</v>
      </c>
      <c r="AE36" s="497">
        <v>0</v>
      </c>
      <c r="AF36" s="497">
        <v>0</v>
      </c>
      <c r="AG36" s="497">
        <v>4856577</v>
      </c>
      <c r="AH36" s="497">
        <v>0</v>
      </c>
      <c r="AI36" s="497">
        <v>46229</v>
      </c>
      <c r="AJ36" s="497">
        <v>77047</v>
      </c>
      <c r="AK36" s="497">
        <v>71782</v>
      </c>
      <c r="AL36" s="497">
        <v>5375</v>
      </c>
      <c r="AM36" s="497">
        <v>0</v>
      </c>
      <c r="AN36" s="497">
        <v>180580</v>
      </c>
      <c r="AO36" s="497">
        <v>982102</v>
      </c>
      <c r="AP36" s="497">
        <v>0</v>
      </c>
      <c r="AQ36" s="497">
        <v>681182</v>
      </c>
      <c r="AR36" s="497">
        <v>0</v>
      </c>
      <c r="AS36" s="497">
        <v>0</v>
      </c>
      <c r="AT36" s="497">
        <v>92357</v>
      </c>
      <c r="AU36" s="497">
        <v>111778</v>
      </c>
      <c r="AV36" s="497">
        <v>29080866</v>
      </c>
      <c r="AW36" s="497">
        <v>10103900</v>
      </c>
      <c r="AX36" s="497">
        <v>151992</v>
      </c>
      <c r="AY36" s="497">
        <v>161040</v>
      </c>
      <c r="AZ36" s="497">
        <v>76471</v>
      </c>
      <c r="BA36" s="497">
        <v>95643</v>
      </c>
      <c r="BB36" s="497">
        <v>0</v>
      </c>
      <c r="BC36" s="497">
        <v>653995</v>
      </c>
      <c r="BD36" s="497">
        <v>141442</v>
      </c>
      <c r="BE36" s="497">
        <v>0</v>
      </c>
      <c r="BF36" s="497">
        <v>40141</v>
      </c>
      <c r="BG36" s="497">
        <v>1481117</v>
      </c>
      <c r="BH36" s="497">
        <v>0</v>
      </c>
      <c r="BI36" s="497">
        <v>1254754</v>
      </c>
      <c r="BJ36" s="497">
        <v>192793</v>
      </c>
      <c r="BK36" s="497">
        <v>0</v>
      </c>
      <c r="BL36" s="497">
        <v>0</v>
      </c>
      <c r="BM36" s="497">
        <v>2221654</v>
      </c>
      <c r="BN36" s="497">
        <v>3154772</v>
      </c>
      <c r="BO36" s="497">
        <v>729060</v>
      </c>
      <c r="BP36" s="497">
        <v>5034230</v>
      </c>
      <c r="BQ36" s="497">
        <v>12617583</v>
      </c>
      <c r="BR36" s="497">
        <v>91647</v>
      </c>
      <c r="BS36" s="497">
        <v>841062</v>
      </c>
      <c r="BT36" s="497">
        <v>0</v>
      </c>
      <c r="BU36" s="497">
        <v>1645208</v>
      </c>
      <c r="BV36" s="497">
        <v>137062</v>
      </c>
      <c r="BW36" s="497">
        <v>0</v>
      </c>
      <c r="BX36" s="497">
        <v>508004</v>
      </c>
      <c r="BY36" s="497">
        <v>0</v>
      </c>
      <c r="BZ36" s="497">
        <v>3948520</v>
      </c>
      <c r="CA36" s="497">
        <v>83915</v>
      </c>
      <c r="CB36" s="497">
        <v>0</v>
      </c>
      <c r="CC36" s="497">
        <v>72485</v>
      </c>
      <c r="CD36" s="497">
        <v>0</v>
      </c>
      <c r="CE36" s="497">
        <v>0</v>
      </c>
    </row>
    <row r="37" spans="1:83" x14ac:dyDescent="0.25">
      <c r="A37" s="635">
        <v>50</v>
      </c>
      <c r="B37" s="752">
        <v>50</v>
      </c>
      <c r="C37" s="635" t="s">
        <v>107</v>
      </c>
      <c r="D37" s="635" t="s">
        <v>406</v>
      </c>
      <c r="E37" s="497">
        <v>345191</v>
      </c>
      <c r="F37" s="497">
        <v>309082</v>
      </c>
      <c r="G37" s="497">
        <v>0</v>
      </c>
      <c r="H37" s="497">
        <v>47664</v>
      </c>
      <c r="I37" s="497">
        <v>-161143</v>
      </c>
      <c r="J37" s="497">
        <v>-6653</v>
      </c>
      <c r="K37" s="497">
        <v>0</v>
      </c>
      <c r="L37" s="497">
        <v>247836</v>
      </c>
      <c r="M37" s="497">
        <v>360719</v>
      </c>
      <c r="N37" s="497">
        <v>0</v>
      </c>
      <c r="O37" s="497">
        <v>0</v>
      </c>
      <c r="P37" s="497">
        <v>0</v>
      </c>
      <c r="Q37" s="497">
        <v>544122</v>
      </c>
      <c r="R37" s="497">
        <v>338451</v>
      </c>
      <c r="S37" s="497">
        <v>0</v>
      </c>
      <c r="T37" s="497">
        <v>674391</v>
      </c>
      <c r="U37" s="497">
        <v>-37000</v>
      </c>
      <c r="V37" s="497">
        <v>31224</v>
      </c>
      <c r="W37" s="497">
        <v>838860</v>
      </c>
      <c r="X37" s="497">
        <v>0</v>
      </c>
      <c r="Y37" s="497">
        <v>-224959</v>
      </c>
      <c r="Z37" s="497">
        <v>88074</v>
      </c>
      <c r="AA37" s="497">
        <v>8469810</v>
      </c>
      <c r="AB37" s="497">
        <v>-78964</v>
      </c>
      <c r="AC37" s="497">
        <v>96389</v>
      </c>
      <c r="AD37" s="497">
        <v>0</v>
      </c>
      <c r="AE37" s="497">
        <v>0</v>
      </c>
      <c r="AF37" s="497">
        <v>0</v>
      </c>
      <c r="AG37" s="497">
        <v>8234299</v>
      </c>
      <c r="AH37" s="497">
        <v>-263</v>
      </c>
      <c r="AI37" s="497">
        <v>-67442</v>
      </c>
      <c r="AJ37" s="497">
        <v>166720</v>
      </c>
      <c r="AK37" s="497">
        <v>-74102</v>
      </c>
      <c r="AL37" s="497">
        <v>-4551</v>
      </c>
      <c r="AM37" s="497">
        <v>0</v>
      </c>
      <c r="AN37" s="497">
        <v>297189</v>
      </c>
      <c r="AO37" s="497">
        <v>995677</v>
      </c>
      <c r="AP37" s="497">
        <v>0</v>
      </c>
      <c r="AQ37" s="497">
        <v>-325700</v>
      </c>
      <c r="AR37" s="497">
        <v>0</v>
      </c>
      <c r="AS37" s="497">
        <v>0</v>
      </c>
      <c r="AT37" s="497">
        <v>11542</v>
      </c>
      <c r="AU37" s="497">
        <v>144777</v>
      </c>
      <c r="AV37" s="497">
        <v>19188289</v>
      </c>
      <c r="AW37" s="497">
        <v>9036450</v>
      </c>
      <c r="AX37" s="497">
        <v>-3840</v>
      </c>
      <c r="AY37" s="497">
        <v>-163680</v>
      </c>
      <c r="AZ37" s="497">
        <v>-13323</v>
      </c>
      <c r="BA37" s="497">
        <v>-117413</v>
      </c>
      <c r="BB37" s="497">
        <v>0</v>
      </c>
      <c r="BC37" s="497">
        <v>62390</v>
      </c>
      <c r="BD37" s="497">
        <v>-123664</v>
      </c>
      <c r="BE37" s="497">
        <v>0</v>
      </c>
      <c r="BF37" s="497">
        <v>3757</v>
      </c>
      <c r="BG37" s="497">
        <v>2516659</v>
      </c>
      <c r="BH37" s="497">
        <v>0</v>
      </c>
      <c r="BI37" s="497">
        <v>-28811</v>
      </c>
      <c r="BJ37" s="497">
        <v>-416751</v>
      </c>
      <c r="BK37" s="497">
        <v>0</v>
      </c>
      <c r="BL37" s="497">
        <v>0</v>
      </c>
      <c r="BM37" s="497">
        <v>4620339</v>
      </c>
      <c r="BN37" s="497">
        <v>1438958</v>
      </c>
      <c r="BO37" s="497">
        <v>-391768</v>
      </c>
      <c r="BP37" s="497">
        <v>6552216</v>
      </c>
      <c r="BQ37" s="497">
        <v>5272433</v>
      </c>
      <c r="BR37" s="497">
        <v>27471</v>
      </c>
      <c r="BS37" s="497">
        <v>1256773</v>
      </c>
      <c r="BT37" s="497">
        <v>0</v>
      </c>
      <c r="BU37" s="497">
        <v>3034754</v>
      </c>
      <c r="BV37" s="497">
        <v>-117846</v>
      </c>
      <c r="BW37" s="497">
        <v>0</v>
      </c>
      <c r="BX37" s="497">
        <v>83833</v>
      </c>
      <c r="BY37" s="497">
        <v>0</v>
      </c>
      <c r="BZ37" s="497">
        <v>4538730</v>
      </c>
      <c r="CA37" s="497">
        <v>-86146</v>
      </c>
      <c r="CB37" s="497">
        <v>0</v>
      </c>
      <c r="CC37" s="497">
        <v>115582</v>
      </c>
      <c r="CD37" s="497">
        <v>0</v>
      </c>
      <c r="CE37" s="497">
        <v>0</v>
      </c>
    </row>
    <row r="38" spans="1:83" x14ac:dyDescent="0.25">
      <c r="A38" s="635">
        <v>51</v>
      </c>
      <c r="B38" s="752">
        <v>51</v>
      </c>
      <c r="C38" s="635" t="s">
        <v>311</v>
      </c>
      <c r="D38" s="635" t="s">
        <v>407</v>
      </c>
      <c r="E38" s="497">
        <v>386166</v>
      </c>
      <c r="F38" s="497">
        <v>-123478</v>
      </c>
      <c r="G38" s="497">
        <v>0</v>
      </c>
      <c r="H38" s="497">
        <v>79477</v>
      </c>
      <c r="I38" s="497">
        <v>105779</v>
      </c>
      <c r="J38" s="497">
        <v>14157</v>
      </c>
      <c r="K38" s="497">
        <v>0</v>
      </c>
      <c r="L38" s="497">
        <v>-30795</v>
      </c>
      <c r="M38" s="497">
        <v>812333</v>
      </c>
      <c r="N38" s="497">
        <v>0</v>
      </c>
      <c r="O38" s="497">
        <v>0</v>
      </c>
      <c r="P38" s="497">
        <v>0</v>
      </c>
      <c r="Q38" s="497">
        <v>-12653</v>
      </c>
      <c r="R38" s="497">
        <v>1476808</v>
      </c>
      <c r="S38" s="497">
        <v>0</v>
      </c>
      <c r="T38" s="497">
        <v>10245</v>
      </c>
      <c r="U38" s="497">
        <v>164845</v>
      </c>
      <c r="V38" s="497">
        <v>161519</v>
      </c>
      <c r="W38" s="497">
        <v>1332375</v>
      </c>
      <c r="X38" s="497">
        <v>0</v>
      </c>
      <c r="Y38" s="497">
        <v>-91526</v>
      </c>
      <c r="Z38" s="497">
        <v>-18172</v>
      </c>
      <c r="AA38" s="497">
        <v>4688252</v>
      </c>
      <c r="AB38" s="497">
        <v>-10098</v>
      </c>
      <c r="AC38" s="497">
        <v>69658</v>
      </c>
      <c r="AD38" s="497">
        <v>0</v>
      </c>
      <c r="AE38" s="497">
        <v>0</v>
      </c>
      <c r="AF38" s="497">
        <v>0</v>
      </c>
      <c r="AG38" s="497">
        <v>5676851</v>
      </c>
      <c r="AH38" s="497">
        <v>-263</v>
      </c>
      <c r="AI38" s="497">
        <v>-31337</v>
      </c>
      <c r="AJ38" s="497">
        <v>73763</v>
      </c>
      <c r="AK38" s="497">
        <v>-6375</v>
      </c>
      <c r="AL38" s="497">
        <v>11146</v>
      </c>
      <c r="AM38" s="497">
        <v>0</v>
      </c>
      <c r="AN38" s="497">
        <v>30779</v>
      </c>
      <c r="AO38" s="497">
        <v>2000728</v>
      </c>
      <c r="AP38" s="497">
        <v>0</v>
      </c>
      <c r="AQ38" s="497">
        <v>167263</v>
      </c>
      <c r="AR38" s="497">
        <v>0</v>
      </c>
      <c r="AS38" s="497">
        <v>0</v>
      </c>
      <c r="AT38" s="497">
        <v>320518</v>
      </c>
      <c r="AU38" s="497">
        <v>-38584</v>
      </c>
      <c r="AV38" s="497">
        <v>53613606</v>
      </c>
      <c r="AW38" s="497">
        <v>17159860</v>
      </c>
      <c r="AX38" s="497">
        <v>32630</v>
      </c>
      <c r="AY38" s="497">
        <v>37005</v>
      </c>
      <c r="AZ38" s="497">
        <v>-25553</v>
      </c>
      <c r="BA38" s="497">
        <v>-21850</v>
      </c>
      <c r="BB38" s="497">
        <v>0</v>
      </c>
      <c r="BC38" s="497">
        <v>667314</v>
      </c>
      <c r="BD38" s="497">
        <v>32443</v>
      </c>
      <c r="BE38" s="497">
        <v>0</v>
      </c>
      <c r="BF38" s="497">
        <v>56150</v>
      </c>
      <c r="BG38" s="497">
        <v>2683318</v>
      </c>
      <c r="BH38" s="497">
        <v>0</v>
      </c>
      <c r="BI38" s="497">
        <v>1428267</v>
      </c>
      <c r="BJ38" s="497">
        <v>-176457</v>
      </c>
      <c r="BK38" s="497">
        <v>0</v>
      </c>
      <c r="BL38" s="497">
        <v>0</v>
      </c>
      <c r="BM38" s="497">
        <v>6436683</v>
      </c>
      <c r="BN38" s="497">
        <v>2732903</v>
      </c>
      <c r="BO38" s="497">
        <v>478351</v>
      </c>
      <c r="BP38" s="497">
        <v>10435957</v>
      </c>
      <c r="BQ38" s="497">
        <v>23363314</v>
      </c>
      <c r="BR38" s="497">
        <v>-8547</v>
      </c>
      <c r="BS38" s="497">
        <v>676181</v>
      </c>
      <c r="BT38" s="497">
        <v>0</v>
      </c>
      <c r="BU38" s="497">
        <v>4691847</v>
      </c>
      <c r="BV38" s="497">
        <v>28573</v>
      </c>
      <c r="BW38" s="497">
        <v>0</v>
      </c>
      <c r="BX38" s="497">
        <v>355646</v>
      </c>
      <c r="BY38" s="497">
        <v>0</v>
      </c>
      <c r="BZ38" s="497">
        <v>9911641</v>
      </c>
      <c r="CA38" s="497">
        <v>24212</v>
      </c>
      <c r="CB38" s="497">
        <v>0</v>
      </c>
      <c r="CC38" s="497">
        <v>92423</v>
      </c>
      <c r="CD38" s="497">
        <v>0</v>
      </c>
      <c r="CE38" s="497">
        <v>0</v>
      </c>
    </row>
    <row r="39" spans="1:83" x14ac:dyDescent="0.25">
      <c r="A39" s="635">
        <v>52</v>
      </c>
      <c r="B39" s="752">
        <v>52</v>
      </c>
      <c r="C39" s="635" t="s">
        <v>304</v>
      </c>
      <c r="D39" s="635" t="s">
        <v>408</v>
      </c>
      <c r="E39" s="497">
        <v>0</v>
      </c>
      <c r="F39" s="497">
        <v>0</v>
      </c>
      <c r="G39" s="497">
        <v>0</v>
      </c>
      <c r="H39" s="497">
        <v>0</v>
      </c>
      <c r="I39" s="497">
        <v>0</v>
      </c>
      <c r="J39" s="497">
        <v>0</v>
      </c>
      <c r="K39" s="497">
        <v>0</v>
      </c>
      <c r="L39" s="497">
        <v>0</v>
      </c>
      <c r="M39" s="497">
        <v>266078</v>
      </c>
      <c r="N39" s="497">
        <v>0</v>
      </c>
      <c r="O39" s="497">
        <v>0</v>
      </c>
      <c r="P39" s="497">
        <v>0</v>
      </c>
      <c r="Q39" s="497">
        <v>0</v>
      </c>
      <c r="R39" s="497">
        <v>266714</v>
      </c>
      <c r="S39" s="497">
        <v>0</v>
      </c>
      <c r="T39" s="497">
        <v>24221</v>
      </c>
      <c r="U39" s="497">
        <v>0</v>
      </c>
      <c r="V39" s="497">
        <v>0</v>
      </c>
      <c r="W39" s="497">
        <v>0</v>
      </c>
      <c r="X39" s="497">
        <v>0</v>
      </c>
      <c r="Y39" s="497">
        <v>0</v>
      </c>
      <c r="Z39" s="497">
        <v>9734</v>
      </c>
      <c r="AA39" s="497">
        <v>0</v>
      </c>
      <c r="AB39" s="497">
        <v>0</v>
      </c>
      <c r="AC39" s="497">
        <v>0</v>
      </c>
      <c r="AD39" s="497">
        <v>0</v>
      </c>
      <c r="AE39" s="497">
        <v>0</v>
      </c>
      <c r="AF39" s="497">
        <v>0</v>
      </c>
      <c r="AG39" s="497">
        <v>2081156</v>
      </c>
      <c r="AH39" s="497">
        <v>0</v>
      </c>
      <c r="AI39" s="497">
        <v>0</v>
      </c>
      <c r="AJ39" s="497">
        <v>0</v>
      </c>
      <c r="AK39" s="497">
        <v>0</v>
      </c>
      <c r="AL39" s="497">
        <v>0</v>
      </c>
      <c r="AM39" s="497">
        <v>0</v>
      </c>
      <c r="AN39" s="497">
        <v>0</v>
      </c>
      <c r="AO39" s="497">
        <v>0</v>
      </c>
      <c r="AP39" s="497">
        <v>0</v>
      </c>
      <c r="AQ39" s="497">
        <v>253761</v>
      </c>
      <c r="AR39" s="497">
        <v>0</v>
      </c>
      <c r="AS39" s="497">
        <v>0</v>
      </c>
      <c r="AT39" s="497">
        <v>0</v>
      </c>
      <c r="AU39" s="497">
        <v>0</v>
      </c>
      <c r="AV39" s="497">
        <v>0</v>
      </c>
      <c r="AW39" s="497">
        <v>9725679</v>
      </c>
      <c r="AX39" s="497">
        <v>0</v>
      </c>
      <c r="AY39" s="497">
        <v>0</v>
      </c>
      <c r="AZ39" s="497">
        <v>0</v>
      </c>
      <c r="BA39" s="497">
        <v>0</v>
      </c>
      <c r="BB39" s="497">
        <v>0</v>
      </c>
      <c r="BC39" s="497">
        <v>0</v>
      </c>
      <c r="BD39" s="497">
        <v>0</v>
      </c>
      <c r="BE39" s="497">
        <v>0</v>
      </c>
      <c r="BF39" s="497">
        <v>0</v>
      </c>
      <c r="BG39" s="497">
        <v>0</v>
      </c>
      <c r="BH39" s="497">
        <v>0</v>
      </c>
      <c r="BI39" s="497">
        <v>0</v>
      </c>
      <c r="BJ39" s="497">
        <v>0</v>
      </c>
      <c r="BK39" s="497">
        <v>0</v>
      </c>
      <c r="BL39" s="497">
        <v>0</v>
      </c>
      <c r="BM39" s="497">
        <v>0</v>
      </c>
      <c r="BN39" s="497">
        <v>0</v>
      </c>
      <c r="BO39" s="497">
        <v>69285</v>
      </c>
      <c r="BP39" s="497">
        <v>0</v>
      </c>
      <c r="BQ39" s="497">
        <v>3215765</v>
      </c>
      <c r="BR39" s="497">
        <v>0</v>
      </c>
      <c r="BS39" s="497">
        <v>120478</v>
      </c>
      <c r="BT39" s="497">
        <v>0</v>
      </c>
      <c r="BU39" s="497">
        <v>0</v>
      </c>
      <c r="BV39" s="497">
        <v>7984</v>
      </c>
      <c r="BW39" s="497">
        <v>0</v>
      </c>
      <c r="BX39" s="497">
        <v>0</v>
      </c>
      <c r="BY39" s="497">
        <v>0</v>
      </c>
      <c r="BZ39" s="497">
        <v>0</v>
      </c>
      <c r="CA39" s="497">
        <v>25159</v>
      </c>
      <c r="CB39" s="497">
        <v>0</v>
      </c>
      <c r="CC39" s="497">
        <v>0</v>
      </c>
      <c r="CD39" s="497">
        <v>0</v>
      </c>
      <c r="CE39" s="497">
        <v>1107678</v>
      </c>
    </row>
    <row r="40" spans="1:83" x14ac:dyDescent="0.25">
      <c r="A40" s="635">
        <v>53</v>
      </c>
      <c r="B40" s="752">
        <v>53</v>
      </c>
      <c r="C40" s="635" t="s">
        <v>108</v>
      </c>
      <c r="D40" s="635" t="s">
        <v>409</v>
      </c>
      <c r="E40" s="497">
        <v>0</v>
      </c>
      <c r="F40" s="497">
        <v>0</v>
      </c>
      <c r="G40" s="497">
        <v>0</v>
      </c>
      <c r="H40" s="497">
        <v>0</v>
      </c>
      <c r="I40" s="497">
        <v>0</v>
      </c>
      <c r="J40" s="497">
        <v>0</v>
      </c>
      <c r="K40" s="497">
        <v>0</v>
      </c>
      <c r="L40" s="497">
        <v>0</v>
      </c>
      <c r="M40" s="497">
        <v>-227480</v>
      </c>
      <c r="N40" s="497">
        <v>0</v>
      </c>
      <c r="O40" s="497">
        <v>0</v>
      </c>
      <c r="P40" s="497">
        <v>0</v>
      </c>
      <c r="Q40" s="497">
        <v>0</v>
      </c>
      <c r="R40" s="497">
        <v>1352631</v>
      </c>
      <c r="S40" s="497">
        <v>0</v>
      </c>
      <c r="T40" s="497">
        <v>-42163</v>
      </c>
      <c r="U40" s="497">
        <v>0</v>
      </c>
      <c r="V40" s="497">
        <v>0</v>
      </c>
      <c r="W40" s="497">
        <v>0</v>
      </c>
      <c r="X40" s="497">
        <v>0</v>
      </c>
      <c r="Y40" s="497">
        <v>0</v>
      </c>
      <c r="Z40" s="497">
        <v>-89859</v>
      </c>
      <c r="AA40" s="497">
        <v>0</v>
      </c>
      <c r="AB40" s="497">
        <v>0</v>
      </c>
      <c r="AC40" s="497">
        <v>0</v>
      </c>
      <c r="AD40" s="497">
        <v>0</v>
      </c>
      <c r="AE40" s="497">
        <v>0</v>
      </c>
      <c r="AF40" s="497">
        <v>0</v>
      </c>
      <c r="AG40" s="497">
        <v>6434821</v>
      </c>
      <c r="AH40" s="497">
        <v>0</v>
      </c>
      <c r="AI40" s="497">
        <v>0</v>
      </c>
      <c r="AJ40" s="497">
        <v>0</v>
      </c>
      <c r="AK40" s="497">
        <v>0</v>
      </c>
      <c r="AL40" s="497">
        <v>0</v>
      </c>
      <c r="AM40" s="497">
        <v>0</v>
      </c>
      <c r="AN40" s="497">
        <v>0</v>
      </c>
      <c r="AO40" s="497">
        <v>0</v>
      </c>
      <c r="AP40" s="497">
        <v>0</v>
      </c>
      <c r="AQ40" s="497">
        <v>523471</v>
      </c>
      <c r="AR40" s="497">
        <v>0</v>
      </c>
      <c r="AS40" s="497">
        <v>0</v>
      </c>
      <c r="AT40" s="497">
        <v>0</v>
      </c>
      <c r="AU40" s="497">
        <v>0</v>
      </c>
      <c r="AV40" s="497">
        <v>0</v>
      </c>
      <c r="AW40" s="497">
        <v>7762187</v>
      </c>
      <c r="AX40" s="497">
        <v>0</v>
      </c>
      <c r="AY40" s="497">
        <v>0</v>
      </c>
      <c r="AZ40" s="497">
        <v>0</v>
      </c>
      <c r="BA40" s="497">
        <v>0</v>
      </c>
      <c r="BB40" s="497">
        <v>0</v>
      </c>
      <c r="BC40" s="497">
        <v>0</v>
      </c>
      <c r="BD40" s="497">
        <v>0</v>
      </c>
      <c r="BE40" s="497">
        <v>0</v>
      </c>
      <c r="BF40" s="497">
        <v>0</v>
      </c>
      <c r="BG40" s="497">
        <v>0</v>
      </c>
      <c r="BH40" s="497">
        <v>0</v>
      </c>
      <c r="BI40" s="497">
        <v>0</v>
      </c>
      <c r="BJ40" s="497">
        <v>0</v>
      </c>
      <c r="BK40" s="497">
        <v>0</v>
      </c>
      <c r="BL40" s="497">
        <v>0</v>
      </c>
      <c r="BM40" s="497">
        <v>0</v>
      </c>
      <c r="BN40" s="497">
        <v>0</v>
      </c>
      <c r="BO40" s="497">
        <v>155914</v>
      </c>
      <c r="BP40" s="497">
        <v>0</v>
      </c>
      <c r="BQ40" s="497">
        <v>10768312</v>
      </c>
      <c r="BR40" s="497">
        <v>0</v>
      </c>
      <c r="BS40" s="497">
        <v>-1274329</v>
      </c>
      <c r="BT40" s="497">
        <v>0</v>
      </c>
      <c r="BU40" s="497">
        <v>0</v>
      </c>
      <c r="BV40" s="497">
        <v>-15071</v>
      </c>
      <c r="BW40" s="497">
        <v>0</v>
      </c>
      <c r="BX40" s="497">
        <v>0</v>
      </c>
      <c r="BY40" s="497">
        <v>0</v>
      </c>
      <c r="BZ40" s="497">
        <v>0</v>
      </c>
      <c r="CA40" s="497">
        <v>30600</v>
      </c>
      <c r="CB40" s="497">
        <v>0</v>
      </c>
      <c r="CC40" s="497">
        <v>0</v>
      </c>
      <c r="CD40" s="497">
        <v>0</v>
      </c>
      <c r="CE40" s="497">
        <v>1623607</v>
      </c>
    </row>
    <row r="41" spans="1:83" x14ac:dyDescent="0.25">
      <c r="B41" s="752">
        <v>54</v>
      </c>
      <c r="C41" s="635" t="s">
        <v>727</v>
      </c>
      <c r="D41" s="635" t="s">
        <v>410</v>
      </c>
      <c r="E41" s="497"/>
      <c r="F41" s="497"/>
      <c r="G41" s="497"/>
      <c r="H41" s="497"/>
      <c r="I41" s="497"/>
      <c r="J41" s="497"/>
      <c r="K41" s="497"/>
      <c r="L41" s="497"/>
      <c r="M41" s="497"/>
      <c r="N41" s="497"/>
      <c r="O41" s="497"/>
      <c r="P41" s="497"/>
      <c r="Q41" s="497"/>
      <c r="R41" s="497"/>
      <c r="S41" s="497"/>
      <c r="T41" s="497"/>
      <c r="U41" s="497"/>
      <c r="V41" s="497"/>
      <c r="W41" s="497"/>
      <c r="X41" s="497"/>
      <c r="Y41" s="497"/>
      <c r="Z41" s="497"/>
      <c r="AA41" s="497"/>
      <c r="AB41" s="497"/>
      <c r="AC41" s="497"/>
      <c r="AD41" s="497"/>
      <c r="AE41" s="497"/>
      <c r="AF41" s="497"/>
      <c r="AG41" s="497"/>
      <c r="AH41" s="497"/>
      <c r="AI41" s="497"/>
      <c r="AJ41" s="497"/>
      <c r="AK41" s="497"/>
      <c r="AL41" s="497"/>
      <c r="AM41" s="497"/>
      <c r="AN41" s="497"/>
      <c r="AO41" s="497"/>
      <c r="AP41" s="497"/>
      <c r="AQ41" s="497"/>
      <c r="AR41" s="497"/>
      <c r="AS41" s="497"/>
      <c r="AT41" s="497"/>
      <c r="AU41" s="497"/>
      <c r="AV41" s="497"/>
      <c r="AW41" s="497"/>
      <c r="AX41" s="497"/>
      <c r="AY41" s="497"/>
      <c r="AZ41" s="497"/>
      <c r="BA41" s="497"/>
      <c r="BB41" s="497"/>
      <c r="BC41" s="497"/>
      <c r="BD41" s="497"/>
      <c r="BE41" s="497"/>
      <c r="BF41" s="497"/>
      <c r="BG41" s="497"/>
      <c r="BH41" s="497"/>
      <c r="BI41" s="497"/>
      <c r="BJ41" s="497"/>
      <c r="BK41" s="497"/>
      <c r="BL41" s="497"/>
      <c r="BM41" s="497"/>
      <c r="BN41" s="497"/>
      <c r="BO41" s="497"/>
      <c r="BP41" s="497"/>
      <c r="BQ41" s="497"/>
      <c r="BR41" s="497"/>
      <c r="BS41" s="497"/>
      <c r="BT41" s="497"/>
      <c r="BU41" s="497"/>
      <c r="BV41" s="497"/>
      <c r="BW41" s="497"/>
      <c r="BX41" s="497"/>
      <c r="BY41" s="497"/>
      <c r="BZ41" s="497"/>
      <c r="CA41" s="497"/>
      <c r="CB41" s="497"/>
      <c r="CC41" s="497"/>
      <c r="CD41" s="497"/>
      <c r="CE41" s="497"/>
    </row>
    <row r="42" spans="1:83" x14ac:dyDescent="0.25">
      <c r="A42" s="635">
        <v>55</v>
      </c>
      <c r="B42" s="752">
        <v>55</v>
      </c>
      <c r="C42" s="635" t="s">
        <v>314</v>
      </c>
      <c r="D42" s="635" t="s">
        <v>411</v>
      </c>
      <c r="E42" s="497">
        <v>0</v>
      </c>
      <c r="F42" s="497">
        <v>0</v>
      </c>
      <c r="G42" s="497">
        <v>0</v>
      </c>
      <c r="H42" s="497">
        <v>0</v>
      </c>
      <c r="I42" s="497">
        <v>0</v>
      </c>
      <c r="J42" s="497">
        <v>0</v>
      </c>
      <c r="K42" s="497">
        <v>0</v>
      </c>
      <c r="L42" s="497">
        <v>0</v>
      </c>
      <c r="M42" s="497">
        <v>594407</v>
      </c>
      <c r="N42" s="497">
        <v>0</v>
      </c>
      <c r="O42" s="497">
        <v>0</v>
      </c>
      <c r="P42" s="497">
        <v>0</v>
      </c>
      <c r="Q42" s="497">
        <v>0</v>
      </c>
      <c r="R42" s="497">
        <v>4296483</v>
      </c>
      <c r="S42" s="497">
        <v>0</v>
      </c>
      <c r="T42" s="497">
        <v>50032</v>
      </c>
      <c r="U42" s="497">
        <v>0</v>
      </c>
      <c r="V42" s="497">
        <v>0</v>
      </c>
      <c r="W42" s="497">
        <v>0</v>
      </c>
      <c r="X42" s="497">
        <v>0</v>
      </c>
      <c r="Y42" s="497">
        <v>0</v>
      </c>
      <c r="Z42" s="497">
        <v>-45091</v>
      </c>
      <c r="AA42" s="497">
        <v>0</v>
      </c>
      <c r="AB42" s="497">
        <v>0</v>
      </c>
      <c r="AC42" s="497">
        <v>0</v>
      </c>
      <c r="AD42" s="497">
        <v>0</v>
      </c>
      <c r="AE42" s="497">
        <v>0</v>
      </c>
      <c r="AF42" s="497">
        <v>0</v>
      </c>
      <c r="AG42" s="497">
        <v>10427231</v>
      </c>
      <c r="AH42" s="497">
        <v>0</v>
      </c>
      <c r="AI42" s="497">
        <v>0</v>
      </c>
      <c r="AJ42" s="497">
        <v>0</v>
      </c>
      <c r="AK42" s="497">
        <v>0</v>
      </c>
      <c r="AL42" s="497">
        <v>0</v>
      </c>
      <c r="AM42" s="497">
        <v>0</v>
      </c>
      <c r="AN42" s="497">
        <v>0</v>
      </c>
      <c r="AO42" s="497">
        <v>0</v>
      </c>
      <c r="AP42" s="497">
        <v>0</v>
      </c>
      <c r="AQ42" s="497">
        <v>650732</v>
      </c>
      <c r="AR42" s="497">
        <v>0</v>
      </c>
      <c r="AS42" s="497">
        <v>0</v>
      </c>
      <c r="AT42" s="497">
        <v>0</v>
      </c>
      <c r="AU42" s="497">
        <v>0</v>
      </c>
      <c r="AV42" s="497">
        <v>0</v>
      </c>
      <c r="AW42" s="497">
        <v>19597380</v>
      </c>
      <c r="AX42" s="497">
        <v>0</v>
      </c>
      <c r="AY42" s="497">
        <v>0</v>
      </c>
      <c r="AZ42" s="497">
        <v>0</v>
      </c>
      <c r="BA42" s="497">
        <v>0</v>
      </c>
      <c r="BB42" s="497">
        <v>0</v>
      </c>
      <c r="BC42" s="497">
        <v>0</v>
      </c>
      <c r="BD42" s="497">
        <v>0</v>
      </c>
      <c r="BE42" s="497">
        <v>0</v>
      </c>
      <c r="BF42" s="497">
        <v>0</v>
      </c>
      <c r="BG42" s="497">
        <v>0</v>
      </c>
      <c r="BH42" s="497">
        <v>0</v>
      </c>
      <c r="BI42" s="497">
        <v>0</v>
      </c>
      <c r="BJ42" s="497">
        <v>0</v>
      </c>
      <c r="BK42" s="497">
        <v>0</v>
      </c>
      <c r="BL42" s="497">
        <v>0</v>
      </c>
      <c r="BM42" s="497">
        <v>0</v>
      </c>
      <c r="BN42" s="497">
        <v>0</v>
      </c>
      <c r="BO42" s="497">
        <v>276779</v>
      </c>
      <c r="BP42" s="497">
        <v>0</v>
      </c>
      <c r="BQ42" s="497">
        <v>12020786</v>
      </c>
      <c r="BR42" s="497">
        <v>0</v>
      </c>
      <c r="BS42" s="497">
        <v>1613794</v>
      </c>
      <c r="BT42" s="497">
        <v>0</v>
      </c>
      <c r="BU42" s="497">
        <v>0</v>
      </c>
      <c r="BV42" s="497">
        <v>4000</v>
      </c>
      <c r="BW42" s="497">
        <v>0</v>
      </c>
      <c r="BX42" s="497">
        <v>0</v>
      </c>
      <c r="BY42" s="497">
        <v>0</v>
      </c>
      <c r="BZ42" s="497">
        <v>0</v>
      </c>
      <c r="CA42" s="497">
        <v>-8096</v>
      </c>
      <c r="CB42" s="497">
        <v>0</v>
      </c>
      <c r="CC42" s="497">
        <v>0</v>
      </c>
      <c r="CD42" s="497">
        <v>0</v>
      </c>
      <c r="CE42" s="497">
        <v>2009348</v>
      </c>
    </row>
    <row r="43" spans="1:83" x14ac:dyDescent="0.25">
      <c r="A43" s="635">
        <v>61</v>
      </c>
      <c r="B43" s="752">
        <v>61</v>
      </c>
      <c r="C43" s="635" t="s">
        <v>333</v>
      </c>
      <c r="D43" s="635" t="s">
        <v>412</v>
      </c>
      <c r="E43" s="390">
        <v>95.75</v>
      </c>
      <c r="F43" s="390">
        <v>92.41</v>
      </c>
      <c r="G43" s="390">
        <v>99.31</v>
      </c>
      <c r="H43" s="390">
        <v>98.97</v>
      </c>
      <c r="I43" s="390">
        <v>99.26</v>
      </c>
      <c r="J43" s="390">
        <v>97.85</v>
      </c>
      <c r="K43" s="390">
        <v>100</v>
      </c>
      <c r="L43" s="390">
        <v>98.6</v>
      </c>
      <c r="M43" s="390">
        <v>96.41</v>
      </c>
      <c r="N43" s="390">
        <v>99.36</v>
      </c>
      <c r="O43" s="390">
        <v>100</v>
      </c>
      <c r="P43" s="390">
        <v>99.37</v>
      </c>
      <c r="Q43" s="390">
        <v>96.79</v>
      </c>
      <c r="R43" s="390">
        <v>99.21</v>
      </c>
      <c r="S43" s="390">
        <v>99.21</v>
      </c>
      <c r="T43" s="390">
        <v>98.22</v>
      </c>
      <c r="U43" s="390">
        <v>99.92</v>
      </c>
      <c r="V43" s="390">
        <v>99.52</v>
      </c>
      <c r="W43" s="390">
        <v>93.7</v>
      </c>
      <c r="X43" s="390">
        <v>96.42</v>
      </c>
      <c r="Y43" s="390">
        <v>98.86</v>
      </c>
      <c r="Z43" s="390">
        <v>95.57</v>
      </c>
      <c r="AA43" s="390">
        <v>99.8</v>
      </c>
      <c r="AB43" s="390">
        <v>0</v>
      </c>
      <c r="AC43" s="390">
        <v>94.83</v>
      </c>
      <c r="AD43" s="390">
        <v>99.74</v>
      </c>
      <c r="AE43" s="390">
        <v>91.59</v>
      </c>
      <c r="AF43" s="390">
        <v>0</v>
      </c>
      <c r="AG43" s="390">
        <v>99.11</v>
      </c>
      <c r="AH43" s="390">
        <v>96.76</v>
      </c>
      <c r="AI43" s="390">
        <v>94.88</v>
      </c>
      <c r="AJ43" s="390">
        <v>98.3</v>
      </c>
      <c r="AK43" s="390">
        <v>98.91</v>
      </c>
      <c r="AL43" s="390">
        <v>98.83</v>
      </c>
      <c r="AM43" s="390">
        <v>0</v>
      </c>
      <c r="AN43" s="390">
        <v>94.47</v>
      </c>
      <c r="AO43" s="390">
        <v>98.49</v>
      </c>
      <c r="AP43" s="390">
        <v>0</v>
      </c>
      <c r="AQ43" s="390">
        <v>97.7</v>
      </c>
      <c r="AR43" s="390">
        <v>98.86</v>
      </c>
      <c r="AS43" s="390">
        <v>96.37</v>
      </c>
      <c r="AT43" s="390">
        <v>95.48</v>
      </c>
      <c r="AU43" s="390">
        <v>93.62</v>
      </c>
      <c r="AV43" s="390">
        <v>99.32</v>
      </c>
      <c r="AW43" s="390">
        <v>99.7</v>
      </c>
      <c r="AX43" s="390">
        <v>95.69</v>
      </c>
      <c r="AY43" s="390">
        <v>98.89</v>
      </c>
      <c r="AZ43" s="390">
        <v>97.14</v>
      </c>
      <c r="BA43" s="390">
        <v>99.57</v>
      </c>
      <c r="BB43" s="390">
        <v>0</v>
      </c>
      <c r="BC43" s="390">
        <v>95.69</v>
      </c>
      <c r="BD43" s="390">
        <v>98.49</v>
      </c>
      <c r="BE43" s="390">
        <v>92.3</v>
      </c>
      <c r="BF43" s="390">
        <v>98.17</v>
      </c>
      <c r="BG43" s="390">
        <v>99.66</v>
      </c>
      <c r="BH43" s="390">
        <v>80.319999999999993</v>
      </c>
      <c r="BI43" s="390">
        <v>99.38</v>
      </c>
      <c r="BJ43" s="390">
        <v>98.61</v>
      </c>
      <c r="BK43" s="390">
        <v>97.06</v>
      </c>
      <c r="BL43" s="390">
        <v>0</v>
      </c>
      <c r="BM43" s="390">
        <v>96.81</v>
      </c>
      <c r="BN43" s="390">
        <v>98.53</v>
      </c>
      <c r="BO43" s="390">
        <v>95.06</v>
      </c>
      <c r="BP43" s="390">
        <v>98.72</v>
      </c>
      <c r="BQ43" s="390">
        <v>99.04</v>
      </c>
      <c r="BR43" s="390">
        <v>98.42</v>
      </c>
      <c r="BS43" s="390">
        <v>99.63</v>
      </c>
      <c r="BT43" s="390">
        <v>97.83</v>
      </c>
      <c r="BU43" s="390">
        <v>99.24</v>
      </c>
      <c r="BV43" s="390">
        <v>92</v>
      </c>
      <c r="BW43" s="390">
        <v>90.21</v>
      </c>
      <c r="BX43" s="390">
        <v>99.05</v>
      </c>
      <c r="BY43" s="390">
        <v>0</v>
      </c>
      <c r="BZ43" s="390">
        <v>99.92</v>
      </c>
      <c r="CA43" s="390">
        <v>99.93</v>
      </c>
      <c r="CB43" s="390">
        <v>99.43</v>
      </c>
      <c r="CC43" s="390">
        <v>95.87</v>
      </c>
      <c r="CD43" s="390">
        <v>96.17</v>
      </c>
      <c r="CE43" s="390">
        <v>99.72</v>
      </c>
    </row>
    <row r="44" spans="1:83" x14ac:dyDescent="0.25">
      <c r="A44" s="635">
        <v>80</v>
      </c>
      <c r="B44" s="752">
        <v>80</v>
      </c>
      <c r="C44" s="635" t="s">
        <v>283</v>
      </c>
      <c r="D44" s="635" t="s">
        <v>413</v>
      </c>
      <c r="E44" s="497">
        <v>157324</v>
      </c>
      <c r="F44" s="497">
        <v>111156</v>
      </c>
      <c r="G44" s="497">
        <v>0</v>
      </c>
      <c r="H44" s="497">
        <v>798725</v>
      </c>
      <c r="I44" s="497">
        <v>358526</v>
      </c>
      <c r="J44" s="497">
        <v>113667</v>
      </c>
      <c r="K44" s="497">
        <v>0</v>
      </c>
      <c r="L44" s="497">
        <v>171528</v>
      </c>
      <c r="M44" s="497">
        <v>3133352</v>
      </c>
      <c r="N44" s="497">
        <v>0</v>
      </c>
      <c r="O44" s="497">
        <v>0</v>
      </c>
      <c r="P44" s="497">
        <v>0</v>
      </c>
      <c r="Q44" s="497">
        <v>19</v>
      </c>
      <c r="R44" s="497">
        <v>5294625</v>
      </c>
      <c r="S44" s="497">
        <v>0</v>
      </c>
      <c r="T44" s="497">
        <v>198436</v>
      </c>
      <c r="U44" s="497">
        <v>945649</v>
      </c>
      <c r="V44" s="497">
        <v>808080</v>
      </c>
      <c r="W44" s="497">
        <v>3041566</v>
      </c>
      <c r="X44" s="497">
        <v>0</v>
      </c>
      <c r="Y44" s="497">
        <v>337378</v>
      </c>
      <c r="Z44" s="497">
        <v>43113</v>
      </c>
      <c r="AA44" s="497">
        <v>18912525</v>
      </c>
      <c r="AB44" s="497">
        <v>1186</v>
      </c>
      <c r="AC44" s="497">
        <v>441058</v>
      </c>
      <c r="AD44" s="497">
        <v>0</v>
      </c>
      <c r="AE44" s="497">
        <v>0</v>
      </c>
      <c r="AF44" s="497">
        <v>0</v>
      </c>
      <c r="AG44" s="497">
        <v>21511245</v>
      </c>
      <c r="AH44" s="497">
        <v>318</v>
      </c>
      <c r="AI44" s="497">
        <v>209421</v>
      </c>
      <c r="AJ44" s="497">
        <v>1797104</v>
      </c>
      <c r="AK44" s="497">
        <v>90602</v>
      </c>
      <c r="AL44" s="497">
        <v>89036</v>
      </c>
      <c r="AM44" s="497">
        <v>0</v>
      </c>
      <c r="AN44" s="497">
        <v>244501</v>
      </c>
      <c r="AO44" s="497">
        <v>10556267</v>
      </c>
      <c r="AP44" s="497">
        <v>0</v>
      </c>
      <c r="AQ44" s="497">
        <v>2018481</v>
      </c>
      <c r="AR44" s="497">
        <v>0</v>
      </c>
      <c r="AS44" s="497">
        <v>0</v>
      </c>
      <c r="AT44" s="497">
        <v>1720646</v>
      </c>
      <c r="AU44" s="497">
        <v>118257</v>
      </c>
      <c r="AV44" s="497">
        <v>42785009</v>
      </c>
      <c r="AW44" s="497">
        <v>14107167</v>
      </c>
      <c r="AX44" s="497">
        <v>359371</v>
      </c>
      <c r="AY44" s="497">
        <v>117616</v>
      </c>
      <c r="AZ44" s="497">
        <v>167993</v>
      </c>
      <c r="BA44" s="497">
        <v>58740</v>
      </c>
      <c r="BB44" s="497">
        <v>0</v>
      </c>
      <c r="BC44" s="497">
        <v>3404026</v>
      </c>
      <c r="BD44" s="497">
        <v>494755</v>
      </c>
      <c r="BE44" s="497">
        <v>0</v>
      </c>
      <c r="BF44" s="497">
        <v>149525</v>
      </c>
      <c r="BG44" s="497">
        <v>8584432</v>
      </c>
      <c r="BH44" s="497">
        <v>0</v>
      </c>
      <c r="BI44" s="497">
        <v>8840687</v>
      </c>
      <c r="BJ44" s="497">
        <v>864514</v>
      </c>
      <c r="BK44" s="497">
        <v>0</v>
      </c>
      <c r="BL44" s="497">
        <v>0</v>
      </c>
      <c r="BM44" s="497">
        <v>27036930</v>
      </c>
      <c r="BN44" s="497">
        <v>14209511</v>
      </c>
      <c r="BO44" s="497">
        <v>546911</v>
      </c>
      <c r="BP44" s="497">
        <v>35643130</v>
      </c>
      <c r="BQ44" s="497">
        <v>58084669</v>
      </c>
      <c r="BR44" s="497">
        <v>82800</v>
      </c>
      <c r="BS44" s="497">
        <v>1670819</v>
      </c>
      <c r="BT44" s="497">
        <v>0</v>
      </c>
      <c r="BU44" s="497">
        <v>11878148</v>
      </c>
      <c r="BV44" s="497">
        <v>254017</v>
      </c>
      <c r="BW44" s="497">
        <v>0</v>
      </c>
      <c r="BX44" s="497">
        <v>2907616</v>
      </c>
      <c r="BY44" s="497">
        <v>0</v>
      </c>
      <c r="BZ44" s="497">
        <v>35959184</v>
      </c>
      <c r="CA44" s="497">
        <v>386332</v>
      </c>
      <c r="CB44" s="497">
        <v>0</v>
      </c>
      <c r="CC44" s="497">
        <v>108797</v>
      </c>
      <c r="CD44" s="497">
        <v>0</v>
      </c>
      <c r="CE44" s="497">
        <v>0</v>
      </c>
    </row>
    <row r="45" spans="1:83" x14ac:dyDescent="0.25">
      <c r="A45" s="635">
        <v>81</v>
      </c>
      <c r="B45" s="752">
        <v>81</v>
      </c>
      <c r="C45" s="635" t="s">
        <v>284</v>
      </c>
      <c r="D45" s="635" t="s">
        <v>414</v>
      </c>
      <c r="E45" s="497">
        <v>14276</v>
      </c>
      <c r="F45" s="497">
        <v>89911</v>
      </c>
      <c r="G45" s="497">
        <v>0</v>
      </c>
      <c r="H45" s="497">
        <v>85046</v>
      </c>
      <c r="I45" s="497">
        <v>48835</v>
      </c>
      <c r="J45" s="497">
        <v>14694</v>
      </c>
      <c r="K45" s="497">
        <v>0</v>
      </c>
      <c r="L45" s="497">
        <v>18666</v>
      </c>
      <c r="M45" s="497">
        <v>726460</v>
      </c>
      <c r="N45" s="497">
        <v>0</v>
      </c>
      <c r="O45" s="497">
        <v>0</v>
      </c>
      <c r="P45" s="497">
        <v>0</v>
      </c>
      <c r="Q45" s="497">
        <v>35456</v>
      </c>
      <c r="R45" s="497">
        <v>659135</v>
      </c>
      <c r="S45" s="497">
        <v>0</v>
      </c>
      <c r="T45" s="497">
        <v>24618</v>
      </c>
      <c r="U45" s="497">
        <v>92195</v>
      </c>
      <c r="V45" s="497">
        <v>28127</v>
      </c>
      <c r="W45" s="497">
        <v>562484</v>
      </c>
      <c r="X45" s="497">
        <v>0</v>
      </c>
      <c r="Y45" s="497">
        <v>45110</v>
      </c>
      <c r="Z45" s="497">
        <v>156682</v>
      </c>
      <c r="AA45" s="497">
        <v>1253516</v>
      </c>
      <c r="AB45" s="497">
        <v>11695</v>
      </c>
      <c r="AC45" s="497">
        <v>27073</v>
      </c>
      <c r="AD45" s="497">
        <v>0</v>
      </c>
      <c r="AE45" s="497">
        <v>0</v>
      </c>
      <c r="AF45" s="497">
        <v>0</v>
      </c>
      <c r="AG45" s="497">
        <v>6136837</v>
      </c>
      <c r="AH45" s="497">
        <v>0</v>
      </c>
      <c r="AI45" s="497">
        <v>23021</v>
      </c>
      <c r="AJ45" s="497">
        <v>271779</v>
      </c>
      <c r="AK45" s="497">
        <v>4038</v>
      </c>
      <c r="AL45" s="497">
        <v>3369</v>
      </c>
      <c r="AM45" s="497">
        <v>0</v>
      </c>
      <c r="AN45" s="497">
        <v>0</v>
      </c>
      <c r="AO45" s="497">
        <v>1160491</v>
      </c>
      <c r="AP45" s="497">
        <v>0</v>
      </c>
      <c r="AQ45" s="497">
        <v>595474</v>
      </c>
      <c r="AR45" s="497">
        <v>0</v>
      </c>
      <c r="AS45" s="497">
        <v>0</v>
      </c>
      <c r="AT45" s="497">
        <v>163150</v>
      </c>
      <c r="AU45" s="497">
        <v>28822</v>
      </c>
      <c r="AV45" s="497">
        <v>17498399</v>
      </c>
      <c r="AW45" s="497">
        <v>6192173</v>
      </c>
      <c r="AX45" s="497">
        <v>108680</v>
      </c>
      <c r="AY45" s="497">
        <v>19576</v>
      </c>
      <c r="AZ45" s="497">
        <v>37864</v>
      </c>
      <c r="BA45" s="497">
        <v>23784</v>
      </c>
      <c r="BB45" s="497">
        <v>0</v>
      </c>
      <c r="BC45" s="497">
        <v>312655</v>
      </c>
      <c r="BD45" s="497">
        <v>15689</v>
      </c>
      <c r="BE45" s="497">
        <v>0</v>
      </c>
      <c r="BF45" s="497">
        <v>14206</v>
      </c>
      <c r="BG45" s="497">
        <v>1240683</v>
      </c>
      <c r="BH45" s="497">
        <v>0</v>
      </c>
      <c r="BI45" s="497">
        <v>811233</v>
      </c>
      <c r="BJ45" s="497">
        <v>101163</v>
      </c>
      <c r="BK45" s="497">
        <v>0</v>
      </c>
      <c r="BL45" s="497">
        <v>0</v>
      </c>
      <c r="BM45" s="497">
        <v>1350347</v>
      </c>
      <c r="BN45" s="497">
        <v>2292722</v>
      </c>
      <c r="BO45" s="497">
        <v>200439</v>
      </c>
      <c r="BP45" s="497">
        <v>3280478</v>
      </c>
      <c r="BQ45" s="497">
        <v>5678071</v>
      </c>
      <c r="BR45" s="497">
        <v>13973</v>
      </c>
      <c r="BS45" s="497">
        <v>347259</v>
      </c>
      <c r="BT45" s="497">
        <v>0</v>
      </c>
      <c r="BU45" s="497">
        <v>1530387</v>
      </c>
      <c r="BV45" s="497">
        <v>36868</v>
      </c>
      <c r="BW45" s="497">
        <v>0</v>
      </c>
      <c r="BX45" s="497">
        <v>227128</v>
      </c>
      <c r="BY45" s="497">
        <v>0</v>
      </c>
      <c r="BZ45" s="497">
        <v>2638419</v>
      </c>
      <c r="CA45" s="497">
        <v>42524</v>
      </c>
      <c r="CB45" s="497">
        <v>0</v>
      </c>
      <c r="CC45" s="497">
        <v>21013</v>
      </c>
      <c r="CD45" s="497">
        <v>0</v>
      </c>
      <c r="CE45" s="497">
        <v>0</v>
      </c>
    </row>
    <row r="46" spans="1:83" x14ac:dyDescent="0.25">
      <c r="A46" s="635">
        <v>82</v>
      </c>
      <c r="B46" s="752">
        <v>82</v>
      </c>
      <c r="C46" s="635" t="s">
        <v>646</v>
      </c>
      <c r="D46" s="635" t="s">
        <v>415</v>
      </c>
      <c r="E46" s="497">
        <v>0</v>
      </c>
      <c r="F46" s="497">
        <v>2614000</v>
      </c>
      <c r="G46" s="497">
        <v>0</v>
      </c>
      <c r="H46" s="497">
        <v>351201</v>
      </c>
      <c r="I46" s="497">
        <v>1355000</v>
      </c>
      <c r="J46" s="497">
        <v>0</v>
      </c>
      <c r="K46" s="497">
        <v>0</v>
      </c>
      <c r="L46" s="497">
        <v>1857000</v>
      </c>
      <c r="M46" s="497">
        <v>11033920</v>
      </c>
      <c r="N46" s="497">
        <v>0</v>
      </c>
      <c r="O46" s="497">
        <v>0</v>
      </c>
      <c r="P46" s="497">
        <v>0</v>
      </c>
      <c r="Q46" s="497">
        <v>0</v>
      </c>
      <c r="R46" s="497">
        <v>449549</v>
      </c>
      <c r="S46" s="497">
        <v>0</v>
      </c>
      <c r="T46" s="497">
        <v>281250</v>
      </c>
      <c r="U46" s="497">
        <v>678734</v>
      </c>
      <c r="V46" s="497">
        <v>123210</v>
      </c>
      <c r="W46" s="497">
        <v>9008931</v>
      </c>
      <c r="X46" s="497">
        <v>0</v>
      </c>
      <c r="Y46" s="497">
        <v>336726</v>
      </c>
      <c r="Z46" s="497">
        <v>864565</v>
      </c>
      <c r="AA46" s="497">
        <v>40063530</v>
      </c>
      <c r="AB46" s="497">
        <v>0</v>
      </c>
      <c r="AC46" s="497">
        <v>203502</v>
      </c>
      <c r="AD46" s="497">
        <v>0</v>
      </c>
      <c r="AE46" s="497">
        <v>0</v>
      </c>
      <c r="AF46" s="497">
        <v>0</v>
      </c>
      <c r="AG46" s="497">
        <v>62670430</v>
      </c>
      <c r="AH46" s="497">
        <v>0</v>
      </c>
      <c r="AI46" s="497">
        <v>0</v>
      </c>
      <c r="AJ46" s="497">
        <v>156081</v>
      </c>
      <c r="AK46" s="497">
        <v>0</v>
      </c>
      <c r="AL46" s="497">
        <v>0</v>
      </c>
      <c r="AM46" s="497">
        <v>0</v>
      </c>
      <c r="AN46" s="497">
        <v>2752996</v>
      </c>
      <c r="AO46" s="497">
        <v>4490467</v>
      </c>
      <c r="AP46" s="497">
        <v>0</v>
      </c>
      <c r="AQ46" s="497">
        <v>2716992</v>
      </c>
      <c r="AR46" s="497">
        <v>0</v>
      </c>
      <c r="AS46" s="497">
        <v>0</v>
      </c>
      <c r="AT46" s="497">
        <v>3143196</v>
      </c>
      <c r="AU46" s="497">
        <v>0</v>
      </c>
      <c r="AV46" s="497">
        <v>292310262</v>
      </c>
      <c r="AW46" s="497">
        <v>84298015</v>
      </c>
      <c r="AX46" s="497">
        <v>593000</v>
      </c>
      <c r="AY46" s="497">
        <v>425313</v>
      </c>
      <c r="AZ46" s="497">
        <v>20300</v>
      </c>
      <c r="BA46" s="497">
        <v>0</v>
      </c>
      <c r="BB46" s="497">
        <v>0</v>
      </c>
      <c r="BC46" s="497">
        <v>5801</v>
      </c>
      <c r="BD46" s="497">
        <v>215004</v>
      </c>
      <c r="BE46" s="497">
        <v>0</v>
      </c>
      <c r="BF46" s="497">
        <v>316589</v>
      </c>
      <c r="BG46" s="497">
        <v>13006868</v>
      </c>
      <c r="BH46" s="497">
        <v>0</v>
      </c>
      <c r="BI46" s="497">
        <v>14518016</v>
      </c>
      <c r="BJ46" s="497">
        <v>1112738</v>
      </c>
      <c r="BK46" s="497">
        <v>0</v>
      </c>
      <c r="BL46" s="497">
        <v>0</v>
      </c>
      <c r="BM46" s="497">
        <v>21802523</v>
      </c>
      <c r="BN46" s="497">
        <v>16569675</v>
      </c>
      <c r="BO46" s="497">
        <v>7389336</v>
      </c>
      <c r="BP46" s="497">
        <v>25440116</v>
      </c>
      <c r="BQ46" s="497">
        <v>175389891</v>
      </c>
      <c r="BR46" s="497">
        <v>0</v>
      </c>
      <c r="BS46" s="497">
        <v>1166647</v>
      </c>
      <c r="BT46" s="497">
        <v>0</v>
      </c>
      <c r="BU46" s="497">
        <v>27075276</v>
      </c>
      <c r="BV46" s="497">
        <v>0</v>
      </c>
      <c r="BW46" s="497">
        <v>0</v>
      </c>
      <c r="BX46" s="497">
        <v>1162404</v>
      </c>
      <c r="BY46" s="497">
        <v>0</v>
      </c>
      <c r="BZ46" s="497">
        <v>36459724</v>
      </c>
      <c r="CA46" s="497">
        <v>411296</v>
      </c>
      <c r="CB46" s="497">
        <v>0</v>
      </c>
      <c r="CC46" s="497">
        <v>115295</v>
      </c>
      <c r="CD46" s="497">
        <v>0</v>
      </c>
      <c r="CE46" s="497">
        <v>0</v>
      </c>
    </row>
    <row r="47" spans="1:83" x14ac:dyDescent="0.25">
      <c r="A47" s="635">
        <v>83</v>
      </c>
      <c r="B47" s="752">
        <v>83</v>
      </c>
      <c r="C47" s="635" t="s">
        <v>109</v>
      </c>
      <c r="D47" s="635" t="s">
        <v>416</v>
      </c>
      <c r="E47" s="497">
        <v>7109320</v>
      </c>
      <c r="F47" s="497">
        <v>6860258</v>
      </c>
      <c r="G47" s="497">
        <v>0</v>
      </c>
      <c r="H47" s="497">
        <v>7976838</v>
      </c>
      <c r="I47" s="497">
        <v>4150157</v>
      </c>
      <c r="J47" s="497">
        <v>446477</v>
      </c>
      <c r="K47" s="497">
        <v>0</v>
      </c>
      <c r="L47" s="497">
        <v>2358479</v>
      </c>
      <c r="M47" s="497">
        <v>32126705</v>
      </c>
      <c r="N47" s="497">
        <v>0</v>
      </c>
      <c r="O47" s="497">
        <v>0</v>
      </c>
      <c r="P47" s="497">
        <v>0</v>
      </c>
      <c r="Q47" s="497">
        <v>3346343</v>
      </c>
      <c r="R47" s="497">
        <v>39575380</v>
      </c>
      <c r="S47" s="497">
        <v>0</v>
      </c>
      <c r="T47" s="497">
        <v>2154429</v>
      </c>
      <c r="U47" s="497">
        <v>2943721</v>
      </c>
      <c r="V47" s="497">
        <v>1611007</v>
      </c>
      <c r="W47" s="497">
        <v>21161334</v>
      </c>
      <c r="X47" s="497">
        <v>0</v>
      </c>
      <c r="Y47" s="497">
        <v>4972570</v>
      </c>
      <c r="Z47" s="497">
        <v>8351462</v>
      </c>
      <c r="AA47" s="497">
        <v>77865077</v>
      </c>
      <c r="AB47" s="497">
        <v>1700922</v>
      </c>
      <c r="AC47" s="497">
        <v>2534928</v>
      </c>
      <c r="AD47" s="497">
        <v>0</v>
      </c>
      <c r="AE47" s="497">
        <v>0</v>
      </c>
      <c r="AF47" s="497">
        <v>0</v>
      </c>
      <c r="AG47" s="497">
        <v>201408774</v>
      </c>
      <c r="AH47" s="497">
        <v>704</v>
      </c>
      <c r="AI47" s="497">
        <v>1111623</v>
      </c>
      <c r="AJ47" s="497">
        <v>3075347</v>
      </c>
      <c r="AK47" s="497">
        <v>1618963</v>
      </c>
      <c r="AL47" s="497">
        <v>159280</v>
      </c>
      <c r="AM47" s="497">
        <v>0</v>
      </c>
      <c r="AN47" s="497">
        <v>4597201</v>
      </c>
      <c r="AO47" s="497">
        <v>48956035</v>
      </c>
      <c r="AP47" s="497">
        <v>0</v>
      </c>
      <c r="AQ47" s="497">
        <v>13715201</v>
      </c>
      <c r="AR47" s="497">
        <v>0</v>
      </c>
      <c r="AS47" s="497">
        <v>0</v>
      </c>
      <c r="AT47" s="497">
        <v>3755027</v>
      </c>
      <c r="AU47" s="497">
        <v>3323208</v>
      </c>
      <c r="AV47" s="497">
        <v>589192024</v>
      </c>
      <c r="AW47" s="497">
        <v>190767864</v>
      </c>
      <c r="AX47" s="497">
        <v>3426514</v>
      </c>
      <c r="AY47" s="497">
        <v>2476713</v>
      </c>
      <c r="AZ47" s="497">
        <v>1850808</v>
      </c>
      <c r="BA47" s="497">
        <v>3366328</v>
      </c>
      <c r="BB47" s="497">
        <v>0</v>
      </c>
      <c r="BC47" s="497">
        <v>6224695</v>
      </c>
      <c r="BD47" s="497">
        <v>3530578</v>
      </c>
      <c r="BE47" s="497">
        <v>0</v>
      </c>
      <c r="BF47" s="497">
        <v>450232</v>
      </c>
      <c r="BG47" s="497">
        <v>29560371</v>
      </c>
      <c r="BH47" s="497">
        <v>0</v>
      </c>
      <c r="BI47" s="497">
        <v>19055290</v>
      </c>
      <c r="BJ47" s="497">
        <v>4150501</v>
      </c>
      <c r="BK47" s="497">
        <v>0</v>
      </c>
      <c r="BL47" s="497">
        <v>0</v>
      </c>
      <c r="BM47" s="497">
        <v>94933175</v>
      </c>
      <c r="BN47" s="497">
        <v>75193353</v>
      </c>
      <c r="BO47" s="497">
        <v>5859608</v>
      </c>
      <c r="BP47" s="497">
        <v>131113052</v>
      </c>
      <c r="BQ47" s="497">
        <v>201857784</v>
      </c>
      <c r="BR47" s="497">
        <v>4181237</v>
      </c>
      <c r="BS47" s="497">
        <v>26582301</v>
      </c>
      <c r="BT47" s="497">
        <v>0</v>
      </c>
      <c r="BU47" s="497">
        <v>50189538</v>
      </c>
      <c r="BV47" s="497">
        <v>2817862</v>
      </c>
      <c r="BW47" s="497">
        <v>0</v>
      </c>
      <c r="BX47" s="497">
        <v>20103834</v>
      </c>
      <c r="BY47" s="497">
        <v>0</v>
      </c>
      <c r="BZ47" s="497">
        <v>119515380</v>
      </c>
      <c r="CA47" s="497">
        <v>3183370</v>
      </c>
      <c r="CB47" s="497">
        <v>0</v>
      </c>
      <c r="CC47" s="497">
        <v>889977</v>
      </c>
      <c r="CD47" s="497">
        <v>0</v>
      </c>
      <c r="CE47" s="497">
        <v>0</v>
      </c>
    </row>
    <row r="48" spans="1:83" x14ac:dyDescent="0.25">
      <c r="A48" s="635">
        <v>84</v>
      </c>
      <c r="B48" s="752">
        <v>84</v>
      </c>
      <c r="C48" s="635" t="s">
        <v>292</v>
      </c>
      <c r="D48" s="635" t="s">
        <v>417</v>
      </c>
      <c r="E48" s="497">
        <v>235947</v>
      </c>
      <c r="F48" s="497">
        <v>1098877</v>
      </c>
      <c r="G48" s="497">
        <v>0</v>
      </c>
      <c r="H48" s="497">
        <v>586466</v>
      </c>
      <c r="I48" s="497">
        <v>337224</v>
      </c>
      <c r="J48" s="497">
        <v>162248</v>
      </c>
      <c r="K48" s="497">
        <v>0</v>
      </c>
      <c r="L48" s="497">
        <v>199264</v>
      </c>
      <c r="M48" s="497">
        <v>4332239</v>
      </c>
      <c r="N48" s="497">
        <v>0</v>
      </c>
      <c r="O48" s="497">
        <v>0</v>
      </c>
      <c r="P48" s="497">
        <v>0</v>
      </c>
      <c r="Q48" s="497">
        <v>87148</v>
      </c>
      <c r="R48" s="497">
        <v>5406982</v>
      </c>
      <c r="S48" s="497">
        <v>0</v>
      </c>
      <c r="T48" s="497">
        <v>276986</v>
      </c>
      <c r="U48" s="497">
        <v>1108608</v>
      </c>
      <c r="V48" s="497">
        <v>261701</v>
      </c>
      <c r="W48" s="497">
        <v>4153426</v>
      </c>
      <c r="X48" s="497">
        <v>0</v>
      </c>
      <c r="Y48" s="497">
        <v>486006</v>
      </c>
      <c r="Z48" s="497">
        <v>1141950</v>
      </c>
      <c r="AA48" s="497">
        <v>12126144</v>
      </c>
      <c r="AB48" s="497">
        <v>57086</v>
      </c>
      <c r="AC48" s="497">
        <v>299998</v>
      </c>
      <c r="AD48" s="497">
        <v>0</v>
      </c>
      <c r="AE48" s="497">
        <v>0</v>
      </c>
      <c r="AF48" s="497">
        <v>0</v>
      </c>
      <c r="AG48" s="497">
        <v>40442347</v>
      </c>
      <c r="AH48" s="497">
        <v>0</v>
      </c>
      <c r="AI48" s="497">
        <v>113287</v>
      </c>
      <c r="AJ48" s="497">
        <v>3673215</v>
      </c>
      <c r="AK48" s="497">
        <v>10118</v>
      </c>
      <c r="AL48" s="497">
        <v>81761</v>
      </c>
      <c r="AM48" s="497">
        <v>0</v>
      </c>
      <c r="AN48" s="497">
        <v>115304</v>
      </c>
      <c r="AO48" s="497">
        <v>7424535</v>
      </c>
      <c r="AP48" s="497">
        <v>0</v>
      </c>
      <c r="AQ48" s="497">
        <v>2135414</v>
      </c>
      <c r="AR48" s="497">
        <v>0</v>
      </c>
      <c r="AS48" s="497">
        <v>0</v>
      </c>
      <c r="AT48" s="497">
        <v>1246331</v>
      </c>
      <c r="AU48" s="497">
        <v>266824</v>
      </c>
      <c r="AV48" s="497">
        <v>120660691</v>
      </c>
      <c r="AW48" s="497">
        <v>46067895</v>
      </c>
      <c r="AX48" s="497">
        <v>991071</v>
      </c>
      <c r="AY48" s="497">
        <v>289916</v>
      </c>
      <c r="AZ48" s="497">
        <v>426534</v>
      </c>
      <c r="BA48" s="497">
        <v>148647</v>
      </c>
      <c r="BB48" s="497">
        <v>0</v>
      </c>
      <c r="BC48" s="497">
        <v>3183074</v>
      </c>
      <c r="BD48" s="497">
        <v>153251</v>
      </c>
      <c r="BE48" s="497">
        <v>0</v>
      </c>
      <c r="BF48" s="497">
        <v>144745</v>
      </c>
      <c r="BG48" s="497">
        <v>8661135</v>
      </c>
      <c r="BH48" s="497">
        <v>0</v>
      </c>
      <c r="BI48" s="497">
        <v>6253858</v>
      </c>
      <c r="BJ48" s="497">
        <v>1690559</v>
      </c>
      <c r="BK48" s="497">
        <v>0</v>
      </c>
      <c r="BL48" s="497">
        <v>0</v>
      </c>
      <c r="BM48" s="497">
        <v>17635017</v>
      </c>
      <c r="BN48" s="497">
        <v>16067138</v>
      </c>
      <c r="BO48" s="497">
        <v>1299560</v>
      </c>
      <c r="BP48" s="497">
        <v>27471655</v>
      </c>
      <c r="BQ48" s="497">
        <v>52977411</v>
      </c>
      <c r="BR48" s="497">
        <v>169035</v>
      </c>
      <c r="BS48" s="497">
        <v>2267304</v>
      </c>
      <c r="BT48" s="497">
        <v>0</v>
      </c>
      <c r="BU48" s="497">
        <v>11890751</v>
      </c>
      <c r="BV48" s="497">
        <v>173025</v>
      </c>
      <c r="BW48" s="497">
        <v>0</v>
      </c>
      <c r="BX48" s="497">
        <v>1982652</v>
      </c>
      <c r="BY48" s="497">
        <v>0</v>
      </c>
      <c r="BZ48" s="497">
        <v>20215998</v>
      </c>
      <c r="CA48" s="497">
        <v>197462</v>
      </c>
      <c r="CB48" s="497">
        <v>0</v>
      </c>
      <c r="CC48" s="497">
        <v>266300</v>
      </c>
      <c r="CD48" s="497">
        <v>0</v>
      </c>
      <c r="CE48" s="497">
        <v>0</v>
      </c>
    </row>
    <row r="49" spans="1:83" x14ac:dyDescent="0.25">
      <c r="A49" s="635">
        <v>85</v>
      </c>
      <c r="B49" s="752">
        <v>85</v>
      </c>
      <c r="C49" s="635" t="s">
        <v>294</v>
      </c>
      <c r="D49" s="635" t="s">
        <v>418</v>
      </c>
      <c r="E49" s="497">
        <v>500171</v>
      </c>
      <c r="F49" s="497">
        <v>1349639</v>
      </c>
      <c r="G49" s="497">
        <v>0</v>
      </c>
      <c r="H49" s="497">
        <v>904100</v>
      </c>
      <c r="I49" s="497">
        <v>434834</v>
      </c>
      <c r="J49" s="497">
        <v>170210</v>
      </c>
      <c r="K49" s="497">
        <v>0</v>
      </c>
      <c r="L49" s="497">
        <v>308498</v>
      </c>
      <c r="M49" s="497">
        <v>4263358</v>
      </c>
      <c r="N49" s="497">
        <v>0</v>
      </c>
      <c r="O49" s="497">
        <v>0</v>
      </c>
      <c r="P49" s="497">
        <v>0</v>
      </c>
      <c r="Q49" s="497">
        <v>168439</v>
      </c>
      <c r="R49" s="497">
        <v>4969716</v>
      </c>
      <c r="S49" s="497">
        <v>0</v>
      </c>
      <c r="T49" s="497">
        <v>344926</v>
      </c>
      <c r="U49" s="497">
        <v>1102534</v>
      </c>
      <c r="V49" s="497">
        <v>161043</v>
      </c>
      <c r="W49" s="497">
        <v>3236187</v>
      </c>
      <c r="X49" s="497">
        <v>0</v>
      </c>
      <c r="Y49" s="497">
        <v>739770</v>
      </c>
      <c r="Z49" s="497">
        <v>1572246</v>
      </c>
      <c r="AA49" s="497">
        <v>10294742</v>
      </c>
      <c r="AB49" s="497">
        <v>136050</v>
      </c>
      <c r="AC49" s="497">
        <v>282768</v>
      </c>
      <c r="AD49" s="497">
        <v>0</v>
      </c>
      <c r="AE49" s="497">
        <v>0</v>
      </c>
      <c r="AF49" s="497">
        <v>0</v>
      </c>
      <c r="AG49" s="497">
        <v>34700307</v>
      </c>
      <c r="AH49" s="497">
        <v>263</v>
      </c>
      <c r="AI49" s="497">
        <v>201442</v>
      </c>
      <c r="AJ49" s="497">
        <v>3506073</v>
      </c>
      <c r="AK49" s="497">
        <v>88220</v>
      </c>
      <c r="AL49" s="497">
        <v>86312</v>
      </c>
      <c r="AM49" s="497">
        <v>0</v>
      </c>
      <c r="AN49" s="497">
        <v>259900</v>
      </c>
      <c r="AO49" s="497">
        <v>6514918</v>
      </c>
      <c r="AP49" s="497">
        <v>0</v>
      </c>
      <c r="AQ49" s="497">
        <v>2685153</v>
      </c>
      <c r="AR49" s="497">
        <v>0</v>
      </c>
      <c r="AS49" s="497">
        <v>0</v>
      </c>
      <c r="AT49" s="497">
        <v>1101859</v>
      </c>
      <c r="AU49" s="497">
        <v>420847</v>
      </c>
      <c r="AV49" s="497">
        <v>98683536</v>
      </c>
      <c r="AW49" s="497">
        <v>38318120</v>
      </c>
      <c r="AX49" s="497">
        <v>1120425</v>
      </c>
      <c r="AY49" s="497">
        <v>439680</v>
      </c>
      <c r="AZ49" s="497">
        <v>523021</v>
      </c>
      <c r="BA49" s="497">
        <v>266060</v>
      </c>
      <c r="BB49" s="497">
        <v>0</v>
      </c>
      <c r="BC49" s="497">
        <v>3197239</v>
      </c>
      <c r="BD49" s="497">
        <v>269004</v>
      </c>
      <c r="BE49" s="497">
        <v>0</v>
      </c>
      <c r="BF49" s="497">
        <v>126317</v>
      </c>
      <c r="BG49" s="497">
        <v>7729202</v>
      </c>
      <c r="BH49" s="497">
        <v>0</v>
      </c>
      <c r="BI49" s="497">
        <v>5882983</v>
      </c>
      <c r="BJ49" s="497">
        <v>2098866</v>
      </c>
      <c r="BK49" s="497">
        <v>0</v>
      </c>
      <c r="BL49" s="497">
        <v>0</v>
      </c>
      <c r="BM49" s="497">
        <v>13651881</v>
      </c>
      <c r="BN49" s="497">
        <v>15671050</v>
      </c>
      <c r="BO49" s="497">
        <v>1567828</v>
      </c>
      <c r="BP49" s="497">
        <v>22746246</v>
      </c>
      <c r="BQ49" s="497">
        <v>42429795</v>
      </c>
      <c r="BR49" s="497">
        <v>265234</v>
      </c>
      <c r="BS49" s="497">
        <v>2745912</v>
      </c>
      <c r="BT49" s="497">
        <v>0</v>
      </c>
      <c r="BU49" s="497">
        <v>8522509</v>
      </c>
      <c r="BV49" s="497">
        <v>290871</v>
      </c>
      <c r="BW49" s="497">
        <v>0</v>
      </c>
      <c r="BX49" s="497">
        <v>2347184</v>
      </c>
      <c r="BY49" s="497">
        <v>0</v>
      </c>
      <c r="BZ49" s="497">
        <v>14295484</v>
      </c>
      <c r="CA49" s="497">
        <v>266145</v>
      </c>
      <c r="CB49" s="497">
        <v>0</v>
      </c>
      <c r="CC49" s="497">
        <v>246825</v>
      </c>
      <c r="CD49" s="497">
        <v>0</v>
      </c>
      <c r="CE49" s="497">
        <v>0</v>
      </c>
    </row>
    <row r="50" spans="1:83" x14ac:dyDescent="0.25">
      <c r="A50" s="635">
        <v>88</v>
      </c>
      <c r="B50" s="752">
        <v>88</v>
      </c>
      <c r="C50" s="635" t="s">
        <v>291</v>
      </c>
      <c r="D50" s="635" t="s">
        <v>419</v>
      </c>
      <c r="E50" s="497">
        <v>224790</v>
      </c>
      <c r="F50" s="497">
        <v>1098877</v>
      </c>
      <c r="G50" s="497">
        <v>0</v>
      </c>
      <c r="H50" s="497">
        <v>583656</v>
      </c>
      <c r="I50" s="497">
        <v>327460</v>
      </c>
      <c r="J50" s="497">
        <v>148521</v>
      </c>
      <c r="K50" s="497">
        <v>0</v>
      </c>
      <c r="L50" s="497">
        <v>199264</v>
      </c>
      <c r="M50" s="497">
        <v>4007934</v>
      </c>
      <c r="N50" s="497">
        <v>0</v>
      </c>
      <c r="O50" s="497">
        <v>0</v>
      </c>
      <c r="P50" s="497">
        <v>0</v>
      </c>
      <c r="Q50" s="497">
        <v>87148</v>
      </c>
      <c r="R50" s="497">
        <v>5239959</v>
      </c>
      <c r="S50" s="497">
        <v>0</v>
      </c>
      <c r="T50" s="497">
        <v>276086</v>
      </c>
      <c r="U50" s="497">
        <v>1001874</v>
      </c>
      <c r="V50" s="497">
        <v>232501</v>
      </c>
      <c r="W50" s="497">
        <v>4153426</v>
      </c>
      <c r="X50" s="497">
        <v>0</v>
      </c>
      <c r="Y50" s="497">
        <v>476622</v>
      </c>
      <c r="Z50" s="497">
        <v>1140850</v>
      </c>
      <c r="AA50" s="497">
        <v>11614572</v>
      </c>
      <c r="AB50" s="497">
        <v>57086</v>
      </c>
      <c r="AC50" s="497">
        <v>283276</v>
      </c>
      <c r="AD50" s="497">
        <v>0</v>
      </c>
      <c r="AE50" s="497">
        <v>0</v>
      </c>
      <c r="AF50" s="497">
        <v>0</v>
      </c>
      <c r="AG50" s="497">
        <v>37683482</v>
      </c>
      <c r="AH50" s="497">
        <v>0</v>
      </c>
      <c r="AI50" s="497">
        <v>111087</v>
      </c>
      <c r="AJ50" s="497">
        <v>3167407</v>
      </c>
      <c r="AK50" s="497">
        <v>10118</v>
      </c>
      <c r="AL50" s="497">
        <v>81761</v>
      </c>
      <c r="AM50" s="497">
        <v>0</v>
      </c>
      <c r="AN50" s="497">
        <v>104719</v>
      </c>
      <c r="AO50" s="497">
        <v>6538114</v>
      </c>
      <c r="AP50" s="497">
        <v>0</v>
      </c>
      <c r="AQ50" s="497">
        <v>2102515</v>
      </c>
      <c r="AR50" s="497">
        <v>0</v>
      </c>
      <c r="AS50" s="497">
        <v>0</v>
      </c>
      <c r="AT50" s="497">
        <v>1075620</v>
      </c>
      <c r="AU50" s="497">
        <v>261724</v>
      </c>
      <c r="AV50" s="497">
        <v>116906359</v>
      </c>
      <c r="AW50" s="497">
        <v>45831964</v>
      </c>
      <c r="AX50" s="497">
        <v>933358</v>
      </c>
      <c r="AY50" s="497">
        <v>289653</v>
      </c>
      <c r="AZ50" s="497">
        <v>395454</v>
      </c>
      <c r="BA50" s="497">
        <v>148647</v>
      </c>
      <c r="BB50" s="497">
        <v>0</v>
      </c>
      <c r="BC50" s="497">
        <v>2991426</v>
      </c>
      <c r="BD50" s="497">
        <v>151559</v>
      </c>
      <c r="BE50" s="497">
        <v>0</v>
      </c>
      <c r="BF50" s="497">
        <v>135995</v>
      </c>
      <c r="BG50" s="497">
        <v>6900623</v>
      </c>
      <c r="BH50" s="497">
        <v>0</v>
      </c>
      <c r="BI50" s="497">
        <v>6066169</v>
      </c>
      <c r="BJ50" s="497">
        <v>1636753</v>
      </c>
      <c r="BK50" s="497">
        <v>0</v>
      </c>
      <c r="BL50" s="497">
        <v>0</v>
      </c>
      <c r="BM50" s="497">
        <v>17255505</v>
      </c>
      <c r="BN50" s="497">
        <v>15179809</v>
      </c>
      <c r="BO50" s="497">
        <v>1215744</v>
      </c>
      <c r="BP50" s="497">
        <v>26560060</v>
      </c>
      <c r="BQ50" s="497">
        <v>52420739</v>
      </c>
      <c r="BR50" s="497">
        <v>169035</v>
      </c>
      <c r="BS50" s="497">
        <v>2266323</v>
      </c>
      <c r="BT50" s="497">
        <v>0</v>
      </c>
      <c r="BU50" s="497">
        <v>9384221</v>
      </c>
      <c r="BV50" s="497">
        <v>172821</v>
      </c>
      <c r="BW50" s="497">
        <v>0</v>
      </c>
      <c r="BX50" s="497">
        <v>1796500</v>
      </c>
      <c r="BY50" s="497">
        <v>0</v>
      </c>
      <c r="BZ50" s="497">
        <v>19080926</v>
      </c>
      <c r="CA50" s="497">
        <v>197462</v>
      </c>
      <c r="CB50" s="497">
        <v>0</v>
      </c>
      <c r="CC50" s="497">
        <v>266300</v>
      </c>
      <c r="CD50" s="497">
        <v>0</v>
      </c>
      <c r="CE50" s="497">
        <v>0</v>
      </c>
    </row>
    <row r="51" spans="1:83" x14ac:dyDescent="0.25">
      <c r="A51" s="635">
        <v>89</v>
      </c>
      <c r="B51" s="752">
        <v>89</v>
      </c>
      <c r="C51" s="635" t="s">
        <v>295</v>
      </c>
      <c r="D51" s="635" t="s">
        <v>420</v>
      </c>
      <c r="E51" s="497">
        <v>15091</v>
      </c>
      <c r="F51" s="497">
        <v>112792</v>
      </c>
      <c r="G51" s="497">
        <v>0</v>
      </c>
      <c r="H51" s="497">
        <v>0</v>
      </c>
      <c r="I51" s="497">
        <v>64244</v>
      </c>
      <c r="J51" s="497">
        <v>0</v>
      </c>
      <c r="K51" s="497">
        <v>0</v>
      </c>
      <c r="L51" s="497">
        <v>51086</v>
      </c>
      <c r="M51" s="497">
        <v>362989</v>
      </c>
      <c r="N51" s="497">
        <v>0</v>
      </c>
      <c r="O51" s="497">
        <v>0</v>
      </c>
      <c r="P51" s="497">
        <v>0</v>
      </c>
      <c r="Q51" s="497">
        <v>0</v>
      </c>
      <c r="R51" s="497">
        <v>2314</v>
      </c>
      <c r="S51" s="497">
        <v>0</v>
      </c>
      <c r="T51" s="497">
        <v>0</v>
      </c>
      <c r="U51" s="497">
        <v>50436</v>
      </c>
      <c r="V51" s="497">
        <v>6254</v>
      </c>
      <c r="W51" s="497">
        <v>201371</v>
      </c>
      <c r="X51" s="497">
        <v>0</v>
      </c>
      <c r="Y51" s="497">
        <v>11261</v>
      </c>
      <c r="Z51" s="497">
        <v>34307</v>
      </c>
      <c r="AA51" s="497">
        <v>1439049</v>
      </c>
      <c r="AB51" s="497">
        <v>0</v>
      </c>
      <c r="AC51" s="497">
        <v>0</v>
      </c>
      <c r="AD51" s="497">
        <v>0</v>
      </c>
      <c r="AE51" s="497">
        <v>0</v>
      </c>
      <c r="AF51" s="497">
        <v>0</v>
      </c>
      <c r="AG51" s="497">
        <v>964162</v>
      </c>
      <c r="AH51" s="497">
        <v>0</v>
      </c>
      <c r="AI51" s="497">
        <v>0</v>
      </c>
      <c r="AJ51" s="497">
        <v>917</v>
      </c>
      <c r="AK51" s="497">
        <v>0</v>
      </c>
      <c r="AL51" s="497">
        <v>0</v>
      </c>
      <c r="AM51" s="497">
        <v>0</v>
      </c>
      <c r="AN51" s="497">
        <v>77054</v>
      </c>
      <c r="AO51" s="497">
        <v>118973</v>
      </c>
      <c r="AP51" s="497">
        <v>0</v>
      </c>
      <c r="AQ51" s="497">
        <v>52091</v>
      </c>
      <c r="AR51" s="497">
        <v>0</v>
      </c>
      <c r="AS51" s="497">
        <v>0</v>
      </c>
      <c r="AT51" s="497">
        <v>45644</v>
      </c>
      <c r="AU51" s="497">
        <v>0</v>
      </c>
      <c r="AV51" s="497">
        <v>5847105</v>
      </c>
      <c r="AW51" s="497">
        <v>2482980</v>
      </c>
      <c r="AX51" s="497">
        <v>18292</v>
      </c>
      <c r="AY51" s="497">
        <v>15783</v>
      </c>
      <c r="AZ51" s="497">
        <v>0</v>
      </c>
      <c r="BA51" s="497">
        <v>0</v>
      </c>
      <c r="BB51" s="497">
        <v>0</v>
      </c>
      <c r="BC51" s="497">
        <v>4865</v>
      </c>
      <c r="BD51" s="497">
        <v>9581</v>
      </c>
      <c r="BE51" s="497">
        <v>0</v>
      </c>
      <c r="BF51" s="497">
        <v>17061</v>
      </c>
      <c r="BG51" s="497">
        <v>296600</v>
      </c>
      <c r="BH51" s="497">
        <v>0</v>
      </c>
      <c r="BI51" s="497">
        <v>480926</v>
      </c>
      <c r="BJ51" s="497">
        <v>19908</v>
      </c>
      <c r="BK51" s="497">
        <v>0</v>
      </c>
      <c r="BL51" s="497">
        <v>0</v>
      </c>
      <c r="BM51" s="497">
        <v>118811</v>
      </c>
      <c r="BN51" s="497">
        <v>398649</v>
      </c>
      <c r="BO51" s="497">
        <v>226260</v>
      </c>
      <c r="BP51" s="497">
        <v>713552</v>
      </c>
      <c r="BQ51" s="497">
        <v>6981028</v>
      </c>
      <c r="BR51" s="497">
        <v>0</v>
      </c>
      <c r="BS51" s="497">
        <v>0</v>
      </c>
      <c r="BT51" s="497">
        <v>0</v>
      </c>
      <c r="BU51" s="497">
        <v>832828</v>
      </c>
      <c r="BV51" s="497">
        <v>0</v>
      </c>
      <c r="BW51" s="497">
        <v>0</v>
      </c>
      <c r="BX51" s="497">
        <v>44281</v>
      </c>
      <c r="BY51" s="497">
        <v>0</v>
      </c>
      <c r="BZ51" s="497">
        <v>1179190</v>
      </c>
      <c r="CA51" s="497">
        <v>17522</v>
      </c>
      <c r="CB51" s="497">
        <v>0</v>
      </c>
      <c r="CC51" s="497">
        <v>6223</v>
      </c>
      <c r="CD51" s="497">
        <v>0</v>
      </c>
      <c r="CE51" s="497">
        <v>0</v>
      </c>
    </row>
    <row r="52" spans="1:83" x14ac:dyDescent="0.25">
      <c r="A52" s="635">
        <v>90</v>
      </c>
      <c r="B52" s="752">
        <v>90</v>
      </c>
      <c r="C52" s="635" t="s">
        <v>288</v>
      </c>
      <c r="D52" s="635" t="s">
        <v>421</v>
      </c>
      <c r="E52" s="497">
        <v>0</v>
      </c>
      <c r="F52" s="497">
        <v>0</v>
      </c>
      <c r="G52" s="497">
        <v>0</v>
      </c>
      <c r="H52" s="497">
        <v>0</v>
      </c>
      <c r="I52" s="497">
        <v>0</v>
      </c>
      <c r="J52" s="497">
        <v>0</v>
      </c>
      <c r="K52" s="497">
        <v>0</v>
      </c>
      <c r="L52" s="497">
        <v>0</v>
      </c>
      <c r="M52" s="497">
        <v>842022</v>
      </c>
      <c r="N52" s="497">
        <v>0</v>
      </c>
      <c r="O52" s="497">
        <v>0</v>
      </c>
      <c r="P52" s="497">
        <v>0</v>
      </c>
      <c r="Q52" s="497">
        <v>0</v>
      </c>
      <c r="R52" s="497">
        <v>5425207</v>
      </c>
      <c r="S52" s="497">
        <v>0</v>
      </c>
      <c r="T52" s="497">
        <v>949883</v>
      </c>
      <c r="U52" s="497">
        <v>0</v>
      </c>
      <c r="V52" s="497">
        <v>0</v>
      </c>
      <c r="W52" s="497">
        <v>0</v>
      </c>
      <c r="X52" s="497">
        <v>0</v>
      </c>
      <c r="Y52" s="497">
        <v>0</v>
      </c>
      <c r="Z52" s="497">
        <v>124528</v>
      </c>
      <c r="AA52" s="497">
        <v>0</v>
      </c>
      <c r="AB52" s="497">
        <v>0</v>
      </c>
      <c r="AC52" s="497">
        <v>0</v>
      </c>
      <c r="AD52" s="497">
        <v>0</v>
      </c>
      <c r="AE52" s="497">
        <v>0</v>
      </c>
      <c r="AF52" s="497">
        <v>0</v>
      </c>
      <c r="AG52" s="497">
        <v>20177613</v>
      </c>
      <c r="AH52" s="497">
        <v>0</v>
      </c>
      <c r="AI52" s="497">
        <v>0</v>
      </c>
      <c r="AJ52" s="497">
        <v>0</v>
      </c>
      <c r="AK52" s="497">
        <v>0</v>
      </c>
      <c r="AL52" s="497">
        <v>0</v>
      </c>
      <c r="AM52" s="497">
        <v>0</v>
      </c>
      <c r="AN52" s="497">
        <v>0</v>
      </c>
      <c r="AO52" s="497">
        <v>0</v>
      </c>
      <c r="AP52" s="497">
        <v>0</v>
      </c>
      <c r="AQ52" s="497">
        <v>3371903</v>
      </c>
      <c r="AR52" s="497">
        <v>0</v>
      </c>
      <c r="AS52" s="497">
        <v>0</v>
      </c>
      <c r="AT52" s="497">
        <v>0</v>
      </c>
      <c r="AU52" s="497">
        <v>0</v>
      </c>
      <c r="AV52" s="497">
        <v>0</v>
      </c>
      <c r="AW52" s="497">
        <v>45279821</v>
      </c>
      <c r="AX52" s="497">
        <v>0</v>
      </c>
      <c r="AY52" s="497">
        <v>0</v>
      </c>
      <c r="AZ52" s="497">
        <v>0</v>
      </c>
      <c r="BA52" s="497">
        <v>0</v>
      </c>
      <c r="BB52" s="497">
        <v>0</v>
      </c>
      <c r="BC52" s="497">
        <v>0</v>
      </c>
      <c r="BD52" s="497">
        <v>0</v>
      </c>
      <c r="BE52" s="497">
        <v>0</v>
      </c>
      <c r="BF52" s="497">
        <v>0</v>
      </c>
      <c r="BG52" s="497">
        <v>0</v>
      </c>
      <c r="BH52" s="497">
        <v>0</v>
      </c>
      <c r="BI52" s="497">
        <v>0</v>
      </c>
      <c r="BJ52" s="497">
        <v>0</v>
      </c>
      <c r="BK52" s="497">
        <v>0</v>
      </c>
      <c r="BL52" s="497">
        <v>0</v>
      </c>
      <c r="BM52" s="497">
        <v>0</v>
      </c>
      <c r="BN52" s="497">
        <v>0</v>
      </c>
      <c r="BO52" s="497">
        <v>823117</v>
      </c>
      <c r="BP52" s="497">
        <v>0</v>
      </c>
      <c r="BQ52" s="497">
        <v>67370699</v>
      </c>
      <c r="BR52" s="497">
        <v>0</v>
      </c>
      <c r="BS52" s="497">
        <v>5396845</v>
      </c>
      <c r="BT52" s="497">
        <v>0</v>
      </c>
      <c r="BU52" s="497">
        <v>0</v>
      </c>
      <c r="BV52" s="497">
        <v>370247</v>
      </c>
      <c r="BW52" s="497">
        <v>0</v>
      </c>
      <c r="BX52" s="497">
        <v>0</v>
      </c>
      <c r="BY52" s="497">
        <v>0</v>
      </c>
      <c r="BZ52" s="497">
        <v>0</v>
      </c>
      <c r="CA52" s="497">
        <v>366880</v>
      </c>
      <c r="CB52" s="497">
        <v>0</v>
      </c>
      <c r="CC52" s="497">
        <v>0</v>
      </c>
      <c r="CD52" s="497">
        <v>0</v>
      </c>
      <c r="CE52" s="497">
        <v>2168786</v>
      </c>
    </row>
    <row r="53" spans="1:83" x14ac:dyDescent="0.25">
      <c r="A53" s="635">
        <v>91</v>
      </c>
      <c r="B53" s="752">
        <v>91</v>
      </c>
      <c r="C53" s="635" t="s">
        <v>289</v>
      </c>
      <c r="D53" s="635" t="s">
        <v>422</v>
      </c>
      <c r="E53" s="497">
        <v>0</v>
      </c>
      <c r="F53" s="497">
        <v>0</v>
      </c>
      <c r="G53" s="497">
        <v>0</v>
      </c>
      <c r="H53" s="497">
        <v>0</v>
      </c>
      <c r="I53" s="497">
        <v>0</v>
      </c>
      <c r="J53" s="497">
        <v>0</v>
      </c>
      <c r="K53" s="497">
        <v>0</v>
      </c>
      <c r="L53" s="497">
        <v>0</v>
      </c>
      <c r="M53" s="497">
        <v>917896</v>
      </c>
      <c r="N53" s="497">
        <v>0</v>
      </c>
      <c r="O53" s="497">
        <v>0</v>
      </c>
      <c r="P53" s="497">
        <v>0</v>
      </c>
      <c r="Q53" s="497">
        <v>0</v>
      </c>
      <c r="R53" s="497">
        <v>1814305</v>
      </c>
      <c r="S53" s="497">
        <v>0</v>
      </c>
      <c r="T53" s="497">
        <v>60043</v>
      </c>
      <c r="U53" s="497">
        <v>0</v>
      </c>
      <c r="V53" s="497">
        <v>0</v>
      </c>
      <c r="W53" s="497">
        <v>0</v>
      </c>
      <c r="X53" s="497">
        <v>0</v>
      </c>
      <c r="Y53" s="497">
        <v>0</v>
      </c>
      <c r="Z53" s="497">
        <v>206454</v>
      </c>
      <c r="AA53" s="497">
        <v>0</v>
      </c>
      <c r="AB53" s="497">
        <v>0</v>
      </c>
      <c r="AC53" s="497">
        <v>0</v>
      </c>
      <c r="AD53" s="497">
        <v>0</v>
      </c>
      <c r="AE53" s="497">
        <v>0</v>
      </c>
      <c r="AF53" s="497">
        <v>0</v>
      </c>
      <c r="AG53" s="497">
        <v>10396534</v>
      </c>
      <c r="AH53" s="497">
        <v>0</v>
      </c>
      <c r="AI53" s="497">
        <v>0</v>
      </c>
      <c r="AJ53" s="497">
        <v>0</v>
      </c>
      <c r="AK53" s="497">
        <v>0</v>
      </c>
      <c r="AL53" s="497">
        <v>0</v>
      </c>
      <c r="AM53" s="497">
        <v>0</v>
      </c>
      <c r="AN53" s="497">
        <v>0</v>
      </c>
      <c r="AO53" s="497">
        <v>0</v>
      </c>
      <c r="AP53" s="497">
        <v>0</v>
      </c>
      <c r="AQ53" s="497">
        <v>939695</v>
      </c>
      <c r="AR53" s="497">
        <v>0</v>
      </c>
      <c r="AS53" s="497">
        <v>0</v>
      </c>
      <c r="AT53" s="497">
        <v>0</v>
      </c>
      <c r="AU53" s="497">
        <v>0</v>
      </c>
      <c r="AV53" s="497">
        <v>0</v>
      </c>
      <c r="AW53" s="497">
        <v>21353378</v>
      </c>
      <c r="AX53" s="497">
        <v>0</v>
      </c>
      <c r="AY53" s="497">
        <v>0</v>
      </c>
      <c r="AZ53" s="497">
        <v>0</v>
      </c>
      <c r="BA53" s="497">
        <v>0</v>
      </c>
      <c r="BB53" s="497">
        <v>0</v>
      </c>
      <c r="BC53" s="497">
        <v>0</v>
      </c>
      <c r="BD53" s="497">
        <v>0</v>
      </c>
      <c r="BE53" s="497">
        <v>0</v>
      </c>
      <c r="BF53" s="497">
        <v>0</v>
      </c>
      <c r="BG53" s="497">
        <v>0</v>
      </c>
      <c r="BH53" s="497">
        <v>0</v>
      </c>
      <c r="BI53" s="497">
        <v>0</v>
      </c>
      <c r="BJ53" s="497">
        <v>0</v>
      </c>
      <c r="BK53" s="497">
        <v>0</v>
      </c>
      <c r="BL53" s="497">
        <v>0</v>
      </c>
      <c r="BM53" s="497">
        <v>0</v>
      </c>
      <c r="BN53" s="497">
        <v>0</v>
      </c>
      <c r="BO53" s="497">
        <v>389029</v>
      </c>
      <c r="BP53" s="497">
        <v>0</v>
      </c>
      <c r="BQ53" s="497">
        <v>15643796</v>
      </c>
      <c r="BR53" s="497">
        <v>0</v>
      </c>
      <c r="BS53" s="497">
        <v>663840</v>
      </c>
      <c r="BT53" s="497">
        <v>0</v>
      </c>
      <c r="BU53" s="497">
        <v>0</v>
      </c>
      <c r="BV53" s="497">
        <v>32760</v>
      </c>
      <c r="BW53" s="497">
        <v>0</v>
      </c>
      <c r="BX53" s="497">
        <v>0</v>
      </c>
      <c r="BY53" s="497">
        <v>0</v>
      </c>
      <c r="BZ53" s="497">
        <v>0</v>
      </c>
      <c r="CA53" s="497">
        <v>83354</v>
      </c>
      <c r="CB53" s="497">
        <v>0</v>
      </c>
      <c r="CC53" s="497">
        <v>0</v>
      </c>
      <c r="CD53" s="497">
        <v>0</v>
      </c>
      <c r="CE53" s="497">
        <v>2408103</v>
      </c>
    </row>
    <row r="54" spans="1:83" x14ac:dyDescent="0.25">
      <c r="B54" s="752">
        <v>92</v>
      </c>
      <c r="C54" s="635" t="s">
        <v>728</v>
      </c>
      <c r="D54" s="635" t="s">
        <v>423</v>
      </c>
      <c r="E54" s="497"/>
      <c r="F54" s="497"/>
      <c r="G54" s="497"/>
      <c r="H54" s="497"/>
      <c r="I54" s="497"/>
      <c r="J54" s="497"/>
      <c r="K54" s="497"/>
      <c r="L54" s="497"/>
      <c r="M54" s="497"/>
      <c r="N54" s="497"/>
      <c r="O54" s="497"/>
      <c r="P54" s="497"/>
      <c r="Q54" s="497"/>
      <c r="R54" s="497"/>
      <c r="S54" s="497"/>
      <c r="T54" s="497"/>
      <c r="U54" s="497"/>
      <c r="V54" s="497"/>
      <c r="W54" s="497"/>
      <c r="X54" s="497"/>
      <c r="Y54" s="497"/>
      <c r="Z54" s="497"/>
      <c r="AA54" s="497"/>
      <c r="AB54" s="497"/>
      <c r="AC54" s="497"/>
      <c r="AD54" s="497"/>
      <c r="AE54" s="497"/>
      <c r="AF54" s="497"/>
      <c r="AG54" s="497"/>
      <c r="AH54" s="497"/>
      <c r="AI54" s="497"/>
      <c r="AJ54" s="497"/>
      <c r="AK54" s="497"/>
      <c r="AL54" s="497"/>
      <c r="AM54" s="497"/>
      <c r="AN54" s="497"/>
      <c r="AO54" s="497"/>
      <c r="AP54" s="497"/>
      <c r="AQ54" s="497"/>
      <c r="AR54" s="497"/>
      <c r="AS54" s="497"/>
      <c r="AT54" s="497"/>
      <c r="AU54" s="497"/>
      <c r="AV54" s="497"/>
      <c r="AW54" s="497"/>
      <c r="AX54" s="497"/>
      <c r="AY54" s="497"/>
      <c r="AZ54" s="497"/>
      <c r="BA54" s="497"/>
      <c r="BB54" s="497"/>
      <c r="BC54" s="497"/>
      <c r="BD54" s="497"/>
      <c r="BE54" s="497"/>
      <c r="BF54" s="497"/>
      <c r="BG54" s="497"/>
      <c r="BH54" s="497"/>
      <c r="BI54" s="497"/>
      <c r="BJ54" s="497"/>
      <c r="BK54" s="497"/>
      <c r="BL54" s="497"/>
      <c r="BM54" s="497"/>
      <c r="BN54" s="497"/>
      <c r="BO54" s="497"/>
      <c r="BP54" s="497"/>
      <c r="BQ54" s="497"/>
      <c r="BR54" s="497"/>
      <c r="BS54" s="497"/>
      <c r="BT54" s="497"/>
      <c r="BU54" s="497"/>
      <c r="BV54" s="497"/>
      <c r="BW54" s="497"/>
      <c r="BX54" s="497"/>
      <c r="BY54" s="497"/>
      <c r="BZ54" s="497"/>
      <c r="CA54" s="497"/>
      <c r="CB54" s="497"/>
      <c r="CC54" s="497"/>
      <c r="CD54" s="497"/>
      <c r="CE54" s="497"/>
    </row>
    <row r="55" spans="1:83" x14ac:dyDescent="0.25">
      <c r="A55" s="635">
        <v>93</v>
      </c>
      <c r="B55" s="752">
        <v>93</v>
      </c>
      <c r="C55" s="635" t="s">
        <v>302</v>
      </c>
      <c r="D55" s="635" t="s">
        <v>424</v>
      </c>
      <c r="E55" s="497">
        <v>0</v>
      </c>
      <c r="F55" s="497">
        <v>0</v>
      </c>
      <c r="G55" s="497">
        <v>0</v>
      </c>
      <c r="H55" s="497">
        <v>0</v>
      </c>
      <c r="I55" s="497">
        <v>0</v>
      </c>
      <c r="J55" s="497">
        <v>0</v>
      </c>
      <c r="K55" s="497">
        <v>0</v>
      </c>
      <c r="L55" s="497">
        <v>0</v>
      </c>
      <c r="M55" s="497">
        <v>6413355</v>
      </c>
      <c r="N55" s="497">
        <v>0</v>
      </c>
      <c r="O55" s="497">
        <v>0</v>
      </c>
      <c r="P55" s="497">
        <v>0</v>
      </c>
      <c r="Q55" s="497">
        <v>0</v>
      </c>
      <c r="R55" s="497">
        <v>11886517</v>
      </c>
      <c r="S55" s="497">
        <v>0</v>
      </c>
      <c r="T55" s="497">
        <v>655267</v>
      </c>
      <c r="U55" s="497">
        <v>0</v>
      </c>
      <c r="V55" s="497">
        <v>0</v>
      </c>
      <c r="W55" s="497">
        <v>0</v>
      </c>
      <c r="X55" s="497">
        <v>0</v>
      </c>
      <c r="Y55" s="497">
        <v>0</v>
      </c>
      <c r="Z55" s="497">
        <v>1563268</v>
      </c>
      <c r="AA55" s="497">
        <v>0</v>
      </c>
      <c r="AB55" s="497">
        <v>0</v>
      </c>
      <c r="AC55" s="497">
        <v>0</v>
      </c>
      <c r="AD55" s="497">
        <v>0</v>
      </c>
      <c r="AE55" s="497">
        <v>0</v>
      </c>
      <c r="AF55" s="497">
        <v>0</v>
      </c>
      <c r="AG55" s="497">
        <v>78949075</v>
      </c>
      <c r="AH55" s="497">
        <v>0</v>
      </c>
      <c r="AI55" s="497">
        <v>0</v>
      </c>
      <c r="AJ55" s="497">
        <v>0</v>
      </c>
      <c r="AK55" s="497">
        <v>0</v>
      </c>
      <c r="AL55" s="497">
        <v>0</v>
      </c>
      <c r="AM55" s="497">
        <v>0</v>
      </c>
      <c r="AN55" s="497">
        <v>0</v>
      </c>
      <c r="AO55" s="497">
        <v>0</v>
      </c>
      <c r="AP55" s="497">
        <v>0</v>
      </c>
      <c r="AQ55" s="497">
        <v>7055853</v>
      </c>
      <c r="AR55" s="497">
        <v>0</v>
      </c>
      <c r="AS55" s="497">
        <v>0</v>
      </c>
      <c r="AT55" s="497">
        <v>0</v>
      </c>
      <c r="AU55" s="497">
        <v>0</v>
      </c>
      <c r="AV55" s="497">
        <v>0</v>
      </c>
      <c r="AW55" s="497">
        <v>177933616</v>
      </c>
      <c r="AX55" s="497">
        <v>0</v>
      </c>
      <c r="AY55" s="497">
        <v>0</v>
      </c>
      <c r="AZ55" s="497">
        <v>0</v>
      </c>
      <c r="BA55" s="497">
        <v>0</v>
      </c>
      <c r="BB55" s="497">
        <v>0</v>
      </c>
      <c r="BC55" s="497">
        <v>0</v>
      </c>
      <c r="BD55" s="497">
        <v>0</v>
      </c>
      <c r="BE55" s="497">
        <v>0</v>
      </c>
      <c r="BF55" s="497">
        <v>0</v>
      </c>
      <c r="BG55" s="497">
        <v>0</v>
      </c>
      <c r="BH55" s="497">
        <v>0</v>
      </c>
      <c r="BI55" s="497">
        <v>0</v>
      </c>
      <c r="BJ55" s="497">
        <v>0</v>
      </c>
      <c r="BK55" s="497">
        <v>0</v>
      </c>
      <c r="BL55" s="497">
        <v>0</v>
      </c>
      <c r="BM55" s="497">
        <v>0</v>
      </c>
      <c r="BN55" s="497">
        <v>0</v>
      </c>
      <c r="BO55" s="497">
        <v>3169178</v>
      </c>
      <c r="BP55" s="497">
        <v>0</v>
      </c>
      <c r="BQ55" s="497">
        <v>130559377</v>
      </c>
      <c r="BR55" s="497">
        <v>0</v>
      </c>
      <c r="BS55" s="497">
        <v>6209719</v>
      </c>
      <c r="BT55" s="497">
        <v>0</v>
      </c>
      <c r="BU55" s="497">
        <v>0</v>
      </c>
      <c r="BV55" s="497">
        <v>436095</v>
      </c>
      <c r="BW55" s="497">
        <v>0</v>
      </c>
      <c r="BX55" s="497">
        <v>0</v>
      </c>
      <c r="BY55" s="497">
        <v>0</v>
      </c>
      <c r="BZ55" s="497">
        <v>0</v>
      </c>
      <c r="CA55" s="497">
        <v>811854</v>
      </c>
      <c r="CB55" s="497">
        <v>0</v>
      </c>
      <c r="CC55" s="497">
        <v>0</v>
      </c>
      <c r="CD55" s="497">
        <v>0</v>
      </c>
      <c r="CE55" s="497">
        <v>21146797</v>
      </c>
    </row>
    <row r="56" spans="1:83" x14ac:dyDescent="0.25">
      <c r="A56" s="635">
        <v>94</v>
      </c>
      <c r="B56" s="752">
        <v>94</v>
      </c>
      <c r="C56" s="635" t="s">
        <v>305</v>
      </c>
      <c r="D56" s="635" t="s">
        <v>425</v>
      </c>
      <c r="E56" s="497">
        <v>0</v>
      </c>
      <c r="F56" s="497">
        <v>0</v>
      </c>
      <c r="G56" s="497">
        <v>0</v>
      </c>
      <c r="H56" s="497">
        <v>0</v>
      </c>
      <c r="I56" s="497">
        <v>0</v>
      </c>
      <c r="J56" s="497">
        <v>0</v>
      </c>
      <c r="K56" s="497">
        <v>0</v>
      </c>
      <c r="L56" s="497">
        <v>0</v>
      </c>
      <c r="M56" s="497">
        <v>6235420</v>
      </c>
      <c r="N56" s="497">
        <v>0</v>
      </c>
      <c r="O56" s="497">
        <v>0</v>
      </c>
      <c r="P56" s="497">
        <v>0</v>
      </c>
      <c r="Q56" s="497">
        <v>0</v>
      </c>
      <c r="R56" s="497">
        <v>8209924</v>
      </c>
      <c r="S56" s="497">
        <v>0</v>
      </c>
      <c r="T56" s="497">
        <v>697968</v>
      </c>
      <c r="U56" s="497">
        <v>0</v>
      </c>
      <c r="V56" s="497">
        <v>0</v>
      </c>
      <c r="W56" s="497">
        <v>0</v>
      </c>
      <c r="X56" s="497">
        <v>0</v>
      </c>
      <c r="Y56" s="497">
        <v>0</v>
      </c>
      <c r="Z56" s="497">
        <v>1616413</v>
      </c>
      <c r="AA56" s="497">
        <v>0</v>
      </c>
      <c r="AB56" s="497">
        <v>0</v>
      </c>
      <c r="AC56" s="497">
        <v>0</v>
      </c>
      <c r="AD56" s="497">
        <v>0</v>
      </c>
      <c r="AE56" s="497">
        <v>0</v>
      </c>
      <c r="AF56" s="497">
        <v>0</v>
      </c>
      <c r="AG56" s="497">
        <v>69760262</v>
      </c>
      <c r="AH56" s="497">
        <v>0</v>
      </c>
      <c r="AI56" s="497">
        <v>0</v>
      </c>
      <c r="AJ56" s="497">
        <v>0</v>
      </c>
      <c r="AK56" s="497">
        <v>0</v>
      </c>
      <c r="AL56" s="497">
        <v>0</v>
      </c>
      <c r="AM56" s="497">
        <v>0</v>
      </c>
      <c r="AN56" s="497">
        <v>0</v>
      </c>
      <c r="AO56" s="497">
        <v>0</v>
      </c>
      <c r="AP56" s="497">
        <v>0</v>
      </c>
      <c r="AQ56" s="497">
        <v>6594584</v>
      </c>
      <c r="AR56" s="497">
        <v>0</v>
      </c>
      <c r="AS56" s="497">
        <v>0</v>
      </c>
      <c r="AT56" s="497">
        <v>0</v>
      </c>
      <c r="AU56" s="497">
        <v>0</v>
      </c>
      <c r="AV56" s="497">
        <v>0</v>
      </c>
      <c r="AW56" s="497">
        <v>166786416</v>
      </c>
      <c r="AX56" s="497">
        <v>0</v>
      </c>
      <c r="AY56" s="497">
        <v>0</v>
      </c>
      <c r="AZ56" s="497">
        <v>0</v>
      </c>
      <c r="BA56" s="497">
        <v>0</v>
      </c>
      <c r="BB56" s="497">
        <v>0</v>
      </c>
      <c r="BC56" s="497">
        <v>0</v>
      </c>
      <c r="BD56" s="497">
        <v>0</v>
      </c>
      <c r="BE56" s="497">
        <v>0</v>
      </c>
      <c r="BF56" s="497">
        <v>0</v>
      </c>
      <c r="BG56" s="497">
        <v>0</v>
      </c>
      <c r="BH56" s="497">
        <v>0</v>
      </c>
      <c r="BI56" s="497">
        <v>0</v>
      </c>
      <c r="BJ56" s="497">
        <v>0</v>
      </c>
      <c r="BK56" s="497">
        <v>0</v>
      </c>
      <c r="BL56" s="497">
        <v>0</v>
      </c>
      <c r="BM56" s="497">
        <v>0</v>
      </c>
      <c r="BN56" s="497">
        <v>0</v>
      </c>
      <c r="BO56" s="497">
        <v>2919761</v>
      </c>
      <c r="BP56" s="497">
        <v>0</v>
      </c>
      <c r="BQ56" s="497">
        <v>119359434</v>
      </c>
      <c r="BR56" s="497">
        <v>0</v>
      </c>
      <c r="BS56" s="497">
        <v>4785454</v>
      </c>
      <c r="BT56" s="497">
        <v>0</v>
      </c>
      <c r="BU56" s="497">
        <v>0</v>
      </c>
      <c r="BV56" s="497">
        <v>451166</v>
      </c>
      <c r="BW56" s="497">
        <v>0</v>
      </c>
      <c r="BX56" s="497">
        <v>0</v>
      </c>
      <c r="BY56" s="497">
        <v>0</v>
      </c>
      <c r="BZ56" s="497">
        <v>0</v>
      </c>
      <c r="CA56" s="497">
        <v>789410</v>
      </c>
      <c r="CB56" s="497">
        <v>0</v>
      </c>
      <c r="CC56" s="497">
        <v>0</v>
      </c>
      <c r="CD56" s="497">
        <v>0</v>
      </c>
      <c r="CE56" s="497">
        <v>19537205</v>
      </c>
    </row>
    <row r="57" spans="1:83" x14ac:dyDescent="0.25">
      <c r="A57" s="635">
        <v>97</v>
      </c>
      <c r="B57" s="752">
        <v>97</v>
      </c>
      <c r="C57" s="635" t="s">
        <v>301</v>
      </c>
      <c r="D57" s="635" t="s">
        <v>426</v>
      </c>
      <c r="E57" s="497">
        <v>0</v>
      </c>
      <c r="F57" s="497">
        <v>0</v>
      </c>
      <c r="G57" s="497">
        <v>0</v>
      </c>
      <c r="H57" s="497">
        <v>0</v>
      </c>
      <c r="I57" s="497">
        <v>0</v>
      </c>
      <c r="J57" s="497">
        <v>0</v>
      </c>
      <c r="K57" s="497">
        <v>0</v>
      </c>
      <c r="L57" s="497">
        <v>0</v>
      </c>
      <c r="M57" s="497">
        <v>6335032</v>
      </c>
      <c r="N57" s="497">
        <v>0</v>
      </c>
      <c r="O57" s="497">
        <v>0</v>
      </c>
      <c r="P57" s="497">
        <v>0</v>
      </c>
      <c r="Q57" s="497">
        <v>0</v>
      </c>
      <c r="R57" s="497">
        <v>11586314</v>
      </c>
      <c r="S57" s="497">
        <v>0</v>
      </c>
      <c r="T57" s="497">
        <v>628829</v>
      </c>
      <c r="U57" s="497">
        <v>0</v>
      </c>
      <c r="V57" s="497">
        <v>0</v>
      </c>
      <c r="W57" s="497">
        <v>0</v>
      </c>
      <c r="X57" s="497">
        <v>0</v>
      </c>
      <c r="Y57" s="497">
        <v>0</v>
      </c>
      <c r="Z57" s="497">
        <v>1512267</v>
      </c>
      <c r="AA57" s="497">
        <v>0</v>
      </c>
      <c r="AB57" s="497">
        <v>0</v>
      </c>
      <c r="AC57" s="497">
        <v>0</v>
      </c>
      <c r="AD57" s="497">
        <v>0</v>
      </c>
      <c r="AE57" s="497">
        <v>0</v>
      </c>
      <c r="AF57" s="497">
        <v>0</v>
      </c>
      <c r="AG57" s="497">
        <v>78158603</v>
      </c>
      <c r="AH57" s="497">
        <v>0</v>
      </c>
      <c r="AI57" s="497">
        <v>0</v>
      </c>
      <c r="AJ57" s="497">
        <v>0</v>
      </c>
      <c r="AK57" s="497">
        <v>0</v>
      </c>
      <c r="AL57" s="497">
        <v>0</v>
      </c>
      <c r="AM57" s="497">
        <v>0</v>
      </c>
      <c r="AN57" s="497">
        <v>0</v>
      </c>
      <c r="AO57" s="497">
        <v>0</v>
      </c>
      <c r="AP57" s="497">
        <v>0</v>
      </c>
      <c r="AQ57" s="497">
        <v>6894885</v>
      </c>
      <c r="AR57" s="497">
        <v>0</v>
      </c>
      <c r="AS57" s="497">
        <v>0</v>
      </c>
      <c r="AT57" s="497">
        <v>0</v>
      </c>
      <c r="AU57" s="497">
        <v>0</v>
      </c>
      <c r="AV57" s="497">
        <v>0</v>
      </c>
      <c r="AW57" s="497">
        <v>177242177</v>
      </c>
      <c r="AX57" s="497">
        <v>0</v>
      </c>
      <c r="AY57" s="497">
        <v>0</v>
      </c>
      <c r="AZ57" s="497">
        <v>0</v>
      </c>
      <c r="BA57" s="497">
        <v>0</v>
      </c>
      <c r="BB57" s="497">
        <v>0</v>
      </c>
      <c r="BC57" s="497">
        <v>0</v>
      </c>
      <c r="BD57" s="497">
        <v>0</v>
      </c>
      <c r="BE57" s="497">
        <v>0</v>
      </c>
      <c r="BF57" s="497">
        <v>0</v>
      </c>
      <c r="BG57" s="497">
        <v>0</v>
      </c>
      <c r="BH57" s="497">
        <v>0</v>
      </c>
      <c r="BI57" s="497">
        <v>0</v>
      </c>
      <c r="BJ57" s="497">
        <v>0</v>
      </c>
      <c r="BK57" s="497">
        <v>0</v>
      </c>
      <c r="BL57" s="497">
        <v>0</v>
      </c>
      <c r="BM57" s="497">
        <v>0</v>
      </c>
      <c r="BN57" s="497">
        <v>0</v>
      </c>
      <c r="BO57" s="497">
        <v>3139697</v>
      </c>
      <c r="BP57" s="497">
        <v>0</v>
      </c>
      <c r="BQ57" s="497">
        <v>129807472</v>
      </c>
      <c r="BR57" s="497">
        <v>0</v>
      </c>
      <c r="BS57" s="497">
        <v>5724899</v>
      </c>
      <c r="BT57" s="497">
        <v>0</v>
      </c>
      <c r="BU57" s="497">
        <v>0</v>
      </c>
      <c r="BV57" s="497">
        <v>435889</v>
      </c>
      <c r="BW57" s="497">
        <v>0</v>
      </c>
      <c r="BX57" s="497">
        <v>0</v>
      </c>
      <c r="BY57" s="497">
        <v>0</v>
      </c>
      <c r="BZ57" s="497">
        <v>0</v>
      </c>
      <c r="CA57" s="497">
        <v>811854</v>
      </c>
      <c r="CB57" s="497">
        <v>0</v>
      </c>
      <c r="CC57" s="497">
        <v>0</v>
      </c>
      <c r="CD57" s="497">
        <v>0</v>
      </c>
      <c r="CE57" s="497">
        <v>20421614</v>
      </c>
    </row>
    <row r="58" spans="1:83" x14ac:dyDescent="0.25">
      <c r="A58" s="635">
        <v>98</v>
      </c>
      <c r="B58" s="752">
        <v>98</v>
      </c>
      <c r="C58" s="635" t="s">
        <v>306</v>
      </c>
      <c r="D58" s="635" t="s">
        <v>427</v>
      </c>
      <c r="E58" s="497">
        <v>0</v>
      </c>
      <c r="F58" s="497">
        <v>0</v>
      </c>
      <c r="G58" s="497">
        <v>0</v>
      </c>
      <c r="H58" s="497">
        <v>0</v>
      </c>
      <c r="I58" s="497">
        <v>0</v>
      </c>
      <c r="J58" s="497">
        <v>0</v>
      </c>
      <c r="K58" s="497">
        <v>0</v>
      </c>
      <c r="L58" s="497">
        <v>0</v>
      </c>
      <c r="M58" s="497">
        <v>31226</v>
      </c>
      <c r="N58" s="497">
        <v>0</v>
      </c>
      <c r="O58" s="497">
        <v>0</v>
      </c>
      <c r="P58" s="497">
        <v>0</v>
      </c>
      <c r="Q58" s="497">
        <v>0</v>
      </c>
      <c r="R58" s="497">
        <v>524</v>
      </c>
      <c r="S58" s="497">
        <v>0</v>
      </c>
      <c r="T58" s="497">
        <v>0</v>
      </c>
      <c r="U58" s="497">
        <v>0</v>
      </c>
      <c r="V58" s="497">
        <v>0</v>
      </c>
      <c r="W58" s="497">
        <v>0</v>
      </c>
      <c r="X58" s="497">
        <v>0</v>
      </c>
      <c r="Y58" s="497">
        <v>0</v>
      </c>
      <c r="Z58" s="497">
        <v>105</v>
      </c>
      <c r="AA58" s="497">
        <v>0</v>
      </c>
      <c r="AB58" s="497">
        <v>0</v>
      </c>
      <c r="AC58" s="497">
        <v>0</v>
      </c>
      <c r="AD58" s="497">
        <v>0</v>
      </c>
      <c r="AE58" s="497">
        <v>0</v>
      </c>
      <c r="AF58" s="497">
        <v>0</v>
      </c>
      <c r="AG58" s="497">
        <v>16869</v>
      </c>
      <c r="AH58" s="497">
        <v>0</v>
      </c>
      <c r="AI58" s="497">
        <v>0</v>
      </c>
      <c r="AJ58" s="497">
        <v>0</v>
      </c>
      <c r="AK58" s="497">
        <v>0</v>
      </c>
      <c r="AL58" s="497">
        <v>0</v>
      </c>
      <c r="AM58" s="497">
        <v>0</v>
      </c>
      <c r="AN58" s="497">
        <v>0</v>
      </c>
      <c r="AO58" s="497">
        <v>0</v>
      </c>
      <c r="AP58" s="497">
        <v>0</v>
      </c>
      <c r="AQ58" s="497">
        <v>0</v>
      </c>
      <c r="AR58" s="497">
        <v>0</v>
      </c>
      <c r="AS58" s="497">
        <v>0</v>
      </c>
      <c r="AT58" s="497">
        <v>0</v>
      </c>
      <c r="AU58" s="497">
        <v>0</v>
      </c>
      <c r="AV58" s="497">
        <v>0</v>
      </c>
      <c r="AW58" s="497">
        <v>1762061</v>
      </c>
      <c r="AX58" s="497">
        <v>0</v>
      </c>
      <c r="AY58" s="497">
        <v>0</v>
      </c>
      <c r="AZ58" s="497">
        <v>0</v>
      </c>
      <c r="BA58" s="497">
        <v>0</v>
      </c>
      <c r="BB58" s="497">
        <v>0</v>
      </c>
      <c r="BC58" s="497">
        <v>0</v>
      </c>
      <c r="BD58" s="497">
        <v>0</v>
      </c>
      <c r="BE58" s="497">
        <v>0</v>
      </c>
      <c r="BF58" s="497">
        <v>0</v>
      </c>
      <c r="BG58" s="497">
        <v>0</v>
      </c>
      <c r="BH58" s="497">
        <v>0</v>
      </c>
      <c r="BI58" s="497">
        <v>0</v>
      </c>
      <c r="BJ58" s="497">
        <v>0</v>
      </c>
      <c r="BK58" s="497">
        <v>0</v>
      </c>
      <c r="BL58" s="497">
        <v>0</v>
      </c>
      <c r="BM58" s="497">
        <v>0</v>
      </c>
      <c r="BN58" s="497">
        <v>0</v>
      </c>
      <c r="BO58" s="497">
        <v>9520</v>
      </c>
      <c r="BP58" s="497">
        <v>0</v>
      </c>
      <c r="BQ58" s="497">
        <v>0</v>
      </c>
      <c r="BR58" s="497">
        <v>0</v>
      </c>
      <c r="BS58" s="497">
        <v>0</v>
      </c>
      <c r="BT58" s="497">
        <v>0</v>
      </c>
      <c r="BU58" s="497">
        <v>0</v>
      </c>
      <c r="BV58" s="497">
        <v>0</v>
      </c>
      <c r="BW58" s="497">
        <v>0</v>
      </c>
      <c r="BX58" s="497">
        <v>0</v>
      </c>
      <c r="BY58" s="497">
        <v>0</v>
      </c>
      <c r="BZ58" s="497">
        <v>0</v>
      </c>
      <c r="CA58" s="497">
        <v>597</v>
      </c>
      <c r="CB58" s="497">
        <v>0</v>
      </c>
      <c r="CC58" s="497">
        <v>0</v>
      </c>
      <c r="CD58" s="497">
        <v>0</v>
      </c>
      <c r="CE58" s="497">
        <v>0</v>
      </c>
    </row>
    <row r="59" spans="1:83" x14ac:dyDescent="0.25">
      <c r="A59" s="635">
        <v>99</v>
      </c>
      <c r="B59" s="752">
        <v>99</v>
      </c>
      <c r="C59" s="635" t="s">
        <v>303</v>
      </c>
      <c r="D59" s="635" t="s">
        <v>428</v>
      </c>
      <c r="E59" s="497">
        <v>0</v>
      </c>
      <c r="F59" s="497">
        <v>0</v>
      </c>
      <c r="G59" s="497">
        <v>0</v>
      </c>
      <c r="H59" s="497">
        <v>0</v>
      </c>
      <c r="I59" s="497">
        <v>0</v>
      </c>
      <c r="J59" s="497">
        <v>0</v>
      </c>
      <c r="K59" s="497">
        <v>0</v>
      </c>
      <c r="L59" s="497">
        <v>0</v>
      </c>
      <c r="M59" s="497">
        <v>4377086</v>
      </c>
      <c r="N59" s="497">
        <v>0</v>
      </c>
      <c r="O59" s="497">
        <v>0</v>
      </c>
      <c r="P59" s="497">
        <v>0</v>
      </c>
      <c r="Q59" s="497">
        <v>0</v>
      </c>
      <c r="R59" s="497">
        <v>5724641</v>
      </c>
      <c r="S59" s="497">
        <v>0</v>
      </c>
      <c r="T59" s="497">
        <v>366935</v>
      </c>
      <c r="U59" s="497">
        <v>0</v>
      </c>
      <c r="V59" s="497">
        <v>0</v>
      </c>
      <c r="W59" s="497">
        <v>0</v>
      </c>
      <c r="X59" s="497">
        <v>0</v>
      </c>
      <c r="Y59" s="497">
        <v>0</v>
      </c>
      <c r="Z59" s="497">
        <v>1127225</v>
      </c>
      <c r="AA59" s="497">
        <v>0</v>
      </c>
      <c r="AB59" s="497">
        <v>0</v>
      </c>
      <c r="AC59" s="497">
        <v>0</v>
      </c>
      <c r="AD59" s="497">
        <v>0</v>
      </c>
      <c r="AE59" s="497">
        <v>0</v>
      </c>
      <c r="AF59" s="497">
        <v>0</v>
      </c>
      <c r="AG59" s="497">
        <v>56143795</v>
      </c>
      <c r="AH59" s="497">
        <v>0</v>
      </c>
      <c r="AI59" s="497">
        <v>0</v>
      </c>
      <c r="AJ59" s="497">
        <v>0</v>
      </c>
      <c r="AK59" s="497">
        <v>0</v>
      </c>
      <c r="AL59" s="497">
        <v>0</v>
      </c>
      <c r="AM59" s="497">
        <v>0</v>
      </c>
      <c r="AN59" s="497">
        <v>0</v>
      </c>
      <c r="AO59" s="497">
        <v>0</v>
      </c>
      <c r="AP59" s="497">
        <v>0</v>
      </c>
      <c r="AQ59" s="497">
        <v>4478685</v>
      </c>
      <c r="AR59" s="497">
        <v>0</v>
      </c>
      <c r="AS59" s="497">
        <v>0</v>
      </c>
      <c r="AT59" s="497">
        <v>0</v>
      </c>
      <c r="AU59" s="497">
        <v>0</v>
      </c>
      <c r="AV59" s="497">
        <v>0</v>
      </c>
      <c r="AW59" s="497">
        <v>129516409</v>
      </c>
      <c r="AX59" s="497">
        <v>0</v>
      </c>
      <c r="AY59" s="497">
        <v>0</v>
      </c>
      <c r="AZ59" s="497">
        <v>0</v>
      </c>
      <c r="BA59" s="497">
        <v>0</v>
      </c>
      <c r="BB59" s="497">
        <v>0</v>
      </c>
      <c r="BC59" s="497">
        <v>0</v>
      </c>
      <c r="BD59" s="497">
        <v>0</v>
      </c>
      <c r="BE59" s="497">
        <v>0</v>
      </c>
      <c r="BF59" s="497">
        <v>0</v>
      </c>
      <c r="BG59" s="497">
        <v>0</v>
      </c>
      <c r="BH59" s="497">
        <v>0</v>
      </c>
      <c r="BI59" s="497">
        <v>0</v>
      </c>
      <c r="BJ59" s="497">
        <v>0</v>
      </c>
      <c r="BK59" s="497">
        <v>0</v>
      </c>
      <c r="BL59" s="497">
        <v>0</v>
      </c>
      <c r="BM59" s="497">
        <v>0</v>
      </c>
      <c r="BN59" s="497">
        <v>0</v>
      </c>
      <c r="BO59" s="497">
        <v>2255852</v>
      </c>
      <c r="BP59" s="497">
        <v>0</v>
      </c>
      <c r="BQ59" s="497">
        <v>91410683</v>
      </c>
      <c r="BR59" s="497">
        <v>0</v>
      </c>
      <c r="BS59" s="497">
        <v>2694566</v>
      </c>
      <c r="BT59" s="497">
        <v>0</v>
      </c>
      <c r="BU59" s="497">
        <v>0</v>
      </c>
      <c r="BV59" s="497">
        <v>298484</v>
      </c>
      <c r="BW59" s="497">
        <v>0</v>
      </c>
      <c r="BX59" s="497">
        <v>0</v>
      </c>
      <c r="BY59" s="497">
        <v>0</v>
      </c>
      <c r="BZ59" s="497">
        <v>0</v>
      </c>
      <c r="CA59" s="497">
        <v>611469</v>
      </c>
      <c r="CB59" s="497">
        <v>0</v>
      </c>
      <c r="CC59" s="497">
        <v>0</v>
      </c>
      <c r="CD59" s="497">
        <v>0</v>
      </c>
      <c r="CE59" s="497">
        <v>15883154</v>
      </c>
    </row>
    <row r="60" spans="1:83" x14ac:dyDescent="0.25">
      <c r="A60" s="635">
        <v>100</v>
      </c>
      <c r="B60" s="752">
        <v>100</v>
      </c>
      <c r="C60" s="635" t="s">
        <v>316</v>
      </c>
      <c r="D60" s="635" t="s">
        <v>429</v>
      </c>
      <c r="E60" s="497">
        <v>0</v>
      </c>
      <c r="F60" s="497">
        <v>0</v>
      </c>
      <c r="G60" s="497">
        <v>0</v>
      </c>
      <c r="H60" s="497">
        <v>0</v>
      </c>
      <c r="I60" s="497">
        <v>0</v>
      </c>
      <c r="J60" s="497">
        <v>0</v>
      </c>
      <c r="K60" s="497">
        <v>0</v>
      </c>
      <c r="L60" s="497">
        <v>0</v>
      </c>
      <c r="M60" s="497">
        <v>227587</v>
      </c>
      <c r="N60" s="497">
        <v>0</v>
      </c>
      <c r="O60" s="497">
        <v>0</v>
      </c>
      <c r="P60" s="497">
        <v>0</v>
      </c>
      <c r="Q60" s="497">
        <v>0</v>
      </c>
      <c r="R60" s="497">
        <v>34425</v>
      </c>
      <c r="S60" s="497">
        <v>0</v>
      </c>
      <c r="T60" s="497">
        <v>0</v>
      </c>
      <c r="U60" s="497">
        <v>0</v>
      </c>
      <c r="V60" s="497">
        <v>0</v>
      </c>
      <c r="W60" s="497">
        <v>0</v>
      </c>
      <c r="X60" s="497">
        <v>0</v>
      </c>
      <c r="Y60" s="497">
        <v>0</v>
      </c>
      <c r="Z60" s="497">
        <v>2580</v>
      </c>
      <c r="AA60" s="497">
        <v>0</v>
      </c>
      <c r="AB60" s="497">
        <v>0</v>
      </c>
      <c r="AC60" s="497">
        <v>0</v>
      </c>
      <c r="AD60" s="497">
        <v>0</v>
      </c>
      <c r="AE60" s="497">
        <v>0</v>
      </c>
      <c r="AF60" s="497">
        <v>0</v>
      </c>
      <c r="AG60" s="497">
        <v>0</v>
      </c>
      <c r="AH60" s="497">
        <v>0</v>
      </c>
      <c r="AI60" s="497">
        <v>0</v>
      </c>
      <c r="AJ60" s="497">
        <v>0</v>
      </c>
      <c r="AK60" s="497">
        <v>0</v>
      </c>
      <c r="AL60" s="497">
        <v>0</v>
      </c>
      <c r="AM60" s="497">
        <v>0</v>
      </c>
      <c r="AN60" s="497">
        <v>0</v>
      </c>
      <c r="AO60" s="497">
        <v>0</v>
      </c>
      <c r="AP60" s="497">
        <v>0</v>
      </c>
      <c r="AQ60" s="497">
        <v>0</v>
      </c>
      <c r="AR60" s="497">
        <v>0</v>
      </c>
      <c r="AS60" s="497">
        <v>0</v>
      </c>
      <c r="AT60" s="497">
        <v>0</v>
      </c>
      <c r="AU60" s="497">
        <v>0</v>
      </c>
      <c r="AV60" s="497">
        <v>0</v>
      </c>
      <c r="AW60" s="497">
        <v>2202361</v>
      </c>
      <c r="AX60" s="497">
        <v>0</v>
      </c>
      <c r="AY60" s="497">
        <v>0</v>
      </c>
      <c r="AZ60" s="497">
        <v>0</v>
      </c>
      <c r="BA60" s="497">
        <v>0</v>
      </c>
      <c r="BB60" s="497">
        <v>0</v>
      </c>
      <c r="BC60" s="497">
        <v>0</v>
      </c>
      <c r="BD60" s="497">
        <v>0</v>
      </c>
      <c r="BE60" s="497">
        <v>0</v>
      </c>
      <c r="BF60" s="497">
        <v>0</v>
      </c>
      <c r="BG60" s="497">
        <v>0</v>
      </c>
      <c r="BH60" s="497">
        <v>0</v>
      </c>
      <c r="BI60" s="497">
        <v>0</v>
      </c>
      <c r="BJ60" s="497">
        <v>0</v>
      </c>
      <c r="BK60" s="497">
        <v>0</v>
      </c>
      <c r="BL60" s="497">
        <v>0</v>
      </c>
      <c r="BM60" s="497">
        <v>0</v>
      </c>
      <c r="BN60" s="497">
        <v>0</v>
      </c>
      <c r="BO60" s="497">
        <v>9703</v>
      </c>
      <c r="BP60" s="497">
        <v>0</v>
      </c>
      <c r="BQ60" s="497">
        <v>0</v>
      </c>
      <c r="BR60" s="497">
        <v>0</v>
      </c>
      <c r="BS60" s="497">
        <v>314680</v>
      </c>
      <c r="BT60" s="497">
        <v>0</v>
      </c>
      <c r="BU60" s="497">
        <v>0</v>
      </c>
      <c r="BV60" s="497">
        <v>0</v>
      </c>
      <c r="BW60" s="497">
        <v>0</v>
      </c>
      <c r="BX60" s="497">
        <v>0</v>
      </c>
      <c r="BY60" s="497">
        <v>0</v>
      </c>
      <c r="BZ60" s="497">
        <v>0</v>
      </c>
      <c r="CA60" s="497">
        <v>2191</v>
      </c>
      <c r="CB60" s="497">
        <v>0</v>
      </c>
      <c r="CC60" s="497">
        <v>0</v>
      </c>
      <c r="CD60" s="497">
        <v>0</v>
      </c>
      <c r="CE60" s="497">
        <v>0</v>
      </c>
    </row>
    <row r="61" spans="1:83" x14ac:dyDescent="0.25">
      <c r="A61" s="635">
        <v>101</v>
      </c>
      <c r="B61" s="752">
        <v>101</v>
      </c>
      <c r="C61" s="635" t="s">
        <v>315</v>
      </c>
      <c r="D61" s="635" t="s">
        <v>430</v>
      </c>
      <c r="E61" s="497">
        <v>0</v>
      </c>
      <c r="F61" s="497">
        <v>0</v>
      </c>
      <c r="G61" s="497">
        <v>0</v>
      </c>
      <c r="H61" s="497">
        <v>0</v>
      </c>
      <c r="I61" s="497">
        <v>0</v>
      </c>
      <c r="J61" s="497">
        <v>0</v>
      </c>
      <c r="K61" s="497">
        <v>0</v>
      </c>
      <c r="L61" s="497">
        <v>0</v>
      </c>
      <c r="M61" s="497">
        <v>54340</v>
      </c>
      <c r="N61" s="497">
        <v>0</v>
      </c>
      <c r="O61" s="497">
        <v>0</v>
      </c>
      <c r="P61" s="497">
        <v>0</v>
      </c>
      <c r="Q61" s="497">
        <v>0</v>
      </c>
      <c r="R61" s="497">
        <v>1715265</v>
      </c>
      <c r="S61" s="497">
        <v>0</v>
      </c>
      <c r="T61" s="497">
        <v>0</v>
      </c>
      <c r="U61" s="497">
        <v>0</v>
      </c>
      <c r="V61" s="497">
        <v>0</v>
      </c>
      <c r="W61" s="497">
        <v>0</v>
      </c>
      <c r="X61" s="497">
        <v>0</v>
      </c>
      <c r="Y61" s="497">
        <v>0</v>
      </c>
      <c r="Z61" s="497">
        <v>0</v>
      </c>
      <c r="AA61" s="497">
        <v>0</v>
      </c>
      <c r="AB61" s="497">
        <v>0</v>
      </c>
      <c r="AC61" s="497">
        <v>0</v>
      </c>
      <c r="AD61" s="497">
        <v>0</v>
      </c>
      <c r="AE61" s="497">
        <v>0</v>
      </c>
      <c r="AF61" s="497">
        <v>0</v>
      </c>
      <c r="AG61" s="497">
        <v>3054630</v>
      </c>
      <c r="AH61" s="497">
        <v>0</v>
      </c>
      <c r="AI61" s="497">
        <v>0</v>
      </c>
      <c r="AJ61" s="497">
        <v>0</v>
      </c>
      <c r="AK61" s="497">
        <v>0</v>
      </c>
      <c r="AL61" s="497">
        <v>0</v>
      </c>
      <c r="AM61" s="497">
        <v>0</v>
      </c>
      <c r="AN61" s="497">
        <v>0</v>
      </c>
      <c r="AO61" s="497">
        <v>0</v>
      </c>
      <c r="AP61" s="497">
        <v>0</v>
      </c>
      <c r="AQ61" s="497">
        <v>530279</v>
      </c>
      <c r="AR61" s="497">
        <v>0</v>
      </c>
      <c r="AS61" s="497">
        <v>0</v>
      </c>
      <c r="AT61" s="497">
        <v>0</v>
      </c>
      <c r="AU61" s="497">
        <v>0</v>
      </c>
      <c r="AV61" s="497">
        <v>0</v>
      </c>
      <c r="AW61" s="497">
        <v>14241548</v>
      </c>
      <c r="AX61" s="497">
        <v>0</v>
      </c>
      <c r="AY61" s="497">
        <v>0</v>
      </c>
      <c r="AZ61" s="497">
        <v>0</v>
      </c>
      <c r="BA61" s="497">
        <v>0</v>
      </c>
      <c r="BB61" s="497">
        <v>0</v>
      </c>
      <c r="BC61" s="497">
        <v>0</v>
      </c>
      <c r="BD61" s="497">
        <v>0</v>
      </c>
      <c r="BE61" s="497">
        <v>0</v>
      </c>
      <c r="BF61" s="497">
        <v>0</v>
      </c>
      <c r="BG61" s="497">
        <v>0</v>
      </c>
      <c r="BH61" s="497">
        <v>0</v>
      </c>
      <c r="BI61" s="497">
        <v>0</v>
      </c>
      <c r="BJ61" s="497">
        <v>0</v>
      </c>
      <c r="BK61" s="497">
        <v>0</v>
      </c>
      <c r="BL61" s="497">
        <v>0</v>
      </c>
      <c r="BM61" s="497">
        <v>0</v>
      </c>
      <c r="BN61" s="497">
        <v>0</v>
      </c>
      <c r="BO61" s="497">
        <v>56645</v>
      </c>
      <c r="BP61" s="497">
        <v>0</v>
      </c>
      <c r="BQ61" s="497">
        <v>3865559</v>
      </c>
      <c r="BR61" s="497">
        <v>0</v>
      </c>
      <c r="BS61" s="497">
        <v>0</v>
      </c>
      <c r="BT61" s="497">
        <v>0</v>
      </c>
      <c r="BU61" s="497">
        <v>0</v>
      </c>
      <c r="BV61" s="497">
        <v>0</v>
      </c>
      <c r="BW61" s="497">
        <v>0</v>
      </c>
      <c r="BX61" s="497">
        <v>0</v>
      </c>
      <c r="BY61" s="497">
        <v>0</v>
      </c>
      <c r="BZ61" s="497">
        <v>0</v>
      </c>
      <c r="CA61" s="497">
        <v>9897</v>
      </c>
      <c r="CB61" s="497">
        <v>0</v>
      </c>
      <c r="CC61" s="497">
        <v>0</v>
      </c>
      <c r="CD61" s="497">
        <v>0</v>
      </c>
      <c r="CE61" s="497">
        <v>3276502</v>
      </c>
    </row>
    <row r="62" spans="1:83" x14ac:dyDescent="0.25">
      <c r="A62" s="635">
        <v>102</v>
      </c>
      <c r="B62" s="752">
        <v>102</v>
      </c>
      <c r="C62" s="635" t="s">
        <v>334</v>
      </c>
      <c r="D62" s="635" t="s">
        <v>431</v>
      </c>
      <c r="E62" s="390">
        <v>95.26</v>
      </c>
      <c r="F62" s="390">
        <v>91.48</v>
      </c>
      <c r="G62" s="390">
        <v>99.23</v>
      </c>
      <c r="H62" s="390">
        <v>98.89</v>
      </c>
      <c r="I62" s="390">
        <v>99.17</v>
      </c>
      <c r="J62" s="390">
        <v>97.79</v>
      </c>
      <c r="K62" s="390">
        <v>100</v>
      </c>
      <c r="L62" s="390">
        <v>98.41</v>
      </c>
      <c r="M62" s="390">
        <v>95.99</v>
      </c>
      <c r="N62" s="390">
        <v>99.48</v>
      </c>
      <c r="O62" s="390">
        <v>100</v>
      </c>
      <c r="P62" s="390">
        <v>99.33</v>
      </c>
      <c r="Q62" s="390">
        <v>96.07</v>
      </c>
      <c r="R62" s="390">
        <v>99.19</v>
      </c>
      <c r="S62" s="390">
        <v>99.14</v>
      </c>
      <c r="T62" s="390">
        <v>98.05</v>
      </c>
      <c r="U62" s="390">
        <v>99.91</v>
      </c>
      <c r="V62" s="390">
        <v>99.47</v>
      </c>
      <c r="W62" s="390">
        <v>93.3</v>
      </c>
      <c r="X62" s="390">
        <v>96.09</v>
      </c>
      <c r="Y62" s="390">
        <v>98.69</v>
      </c>
      <c r="Z62" s="390">
        <v>95.09</v>
      </c>
      <c r="AA62" s="390">
        <v>99.78</v>
      </c>
      <c r="AB62" s="390">
        <v>0</v>
      </c>
      <c r="AC62" s="390">
        <v>94.02</v>
      </c>
      <c r="AD62" s="390">
        <v>99.71</v>
      </c>
      <c r="AE62" s="390">
        <v>90.31</v>
      </c>
      <c r="AF62" s="390">
        <v>0</v>
      </c>
      <c r="AG62" s="390">
        <v>99.08</v>
      </c>
      <c r="AH62" s="390">
        <v>95.86</v>
      </c>
      <c r="AI62" s="390">
        <v>94.1</v>
      </c>
      <c r="AJ62" s="390">
        <v>98.1</v>
      </c>
      <c r="AK62" s="390">
        <v>98.73</v>
      </c>
      <c r="AL62" s="390">
        <v>98.61</v>
      </c>
      <c r="AM62" s="390">
        <v>0</v>
      </c>
      <c r="AN62" s="390">
        <v>93.66</v>
      </c>
      <c r="AO62" s="390">
        <v>98.46</v>
      </c>
      <c r="AP62" s="390">
        <v>0</v>
      </c>
      <c r="AQ62" s="390">
        <v>97.47</v>
      </c>
      <c r="AR62" s="390">
        <v>98.7</v>
      </c>
      <c r="AS62" s="390">
        <v>95.98</v>
      </c>
      <c r="AT62" s="390">
        <v>94.48</v>
      </c>
      <c r="AU62" s="390">
        <v>92.61</v>
      </c>
      <c r="AV62" s="390">
        <v>99.26</v>
      </c>
      <c r="AW62" s="390">
        <v>99.66</v>
      </c>
      <c r="AX62" s="390">
        <v>94.89</v>
      </c>
      <c r="AY62" s="390">
        <v>98.71</v>
      </c>
      <c r="AZ62" s="390">
        <v>96.7</v>
      </c>
      <c r="BA62" s="390">
        <v>99.5</v>
      </c>
      <c r="BB62" s="390">
        <v>0</v>
      </c>
      <c r="BC62" s="390">
        <v>95.01</v>
      </c>
      <c r="BD62" s="390">
        <v>98.29</v>
      </c>
      <c r="BE62" s="390">
        <v>91.17</v>
      </c>
      <c r="BF62" s="390">
        <v>97.9</v>
      </c>
      <c r="BG62" s="390">
        <v>99.63</v>
      </c>
      <c r="BH62" s="390">
        <v>78.260000000000005</v>
      </c>
      <c r="BI62" s="390">
        <v>99.29</v>
      </c>
      <c r="BJ62" s="390">
        <v>98.57</v>
      </c>
      <c r="BK62" s="390">
        <v>96.92</v>
      </c>
      <c r="BL62" s="390">
        <v>0</v>
      </c>
      <c r="BM62" s="390">
        <v>96.47</v>
      </c>
      <c r="BN62" s="390">
        <v>98.42</v>
      </c>
      <c r="BO62" s="390">
        <v>94.51</v>
      </c>
      <c r="BP62" s="390">
        <v>98.6</v>
      </c>
      <c r="BQ62" s="390">
        <v>98.94</v>
      </c>
      <c r="BR62" s="390">
        <v>98.22</v>
      </c>
      <c r="BS62" s="390">
        <v>99.63</v>
      </c>
      <c r="BT62" s="390">
        <v>97.63</v>
      </c>
      <c r="BU62" s="390">
        <v>99.15</v>
      </c>
      <c r="BV62" s="390">
        <v>90.28</v>
      </c>
      <c r="BW62" s="390">
        <v>88.07</v>
      </c>
      <c r="BX62" s="390">
        <v>99.04</v>
      </c>
      <c r="BY62" s="390">
        <v>0</v>
      </c>
      <c r="BZ62" s="390">
        <v>99.97</v>
      </c>
      <c r="CA62" s="390">
        <v>99.92</v>
      </c>
      <c r="CB62" s="390">
        <v>99.57</v>
      </c>
      <c r="CC62" s="390">
        <v>95.29</v>
      </c>
      <c r="CD62" s="390">
        <v>95.75</v>
      </c>
      <c r="CE62" s="390">
        <v>99.7</v>
      </c>
    </row>
    <row r="63" spans="1:83" x14ac:dyDescent="0.25">
      <c r="A63" s="635">
        <v>103</v>
      </c>
      <c r="B63" s="752">
        <v>103</v>
      </c>
      <c r="C63" s="635" t="s">
        <v>335</v>
      </c>
      <c r="D63" s="635" t="s">
        <v>432</v>
      </c>
      <c r="E63" s="390">
        <v>100</v>
      </c>
      <c r="F63" s="390">
        <v>100</v>
      </c>
      <c r="G63" s="390">
        <v>100</v>
      </c>
      <c r="H63" s="390">
        <v>100</v>
      </c>
      <c r="I63" s="390">
        <v>99.91</v>
      </c>
      <c r="J63" s="390">
        <v>98.27</v>
      </c>
      <c r="K63" s="390">
        <v>100</v>
      </c>
      <c r="L63" s="390">
        <v>100</v>
      </c>
      <c r="M63" s="390">
        <v>100</v>
      </c>
      <c r="N63" s="390">
        <v>98.32</v>
      </c>
      <c r="O63" s="390">
        <v>100</v>
      </c>
      <c r="P63" s="390">
        <v>99.88</v>
      </c>
      <c r="Q63" s="390">
        <v>100</v>
      </c>
      <c r="R63" s="390">
        <v>100</v>
      </c>
      <c r="S63" s="390">
        <v>100</v>
      </c>
      <c r="T63" s="390">
        <v>100</v>
      </c>
      <c r="U63" s="390">
        <v>100</v>
      </c>
      <c r="V63" s="390">
        <v>100</v>
      </c>
      <c r="W63" s="390">
        <v>100</v>
      </c>
      <c r="X63" s="390">
        <v>99.48</v>
      </c>
      <c r="Y63" s="390">
        <v>100</v>
      </c>
      <c r="Z63" s="390">
        <v>100</v>
      </c>
      <c r="AA63" s="390">
        <v>100</v>
      </c>
      <c r="AB63" s="390">
        <v>0</v>
      </c>
      <c r="AC63" s="390">
        <v>100</v>
      </c>
      <c r="AD63" s="390">
        <v>100</v>
      </c>
      <c r="AE63" s="390">
        <v>100</v>
      </c>
      <c r="AF63" s="390">
        <v>0</v>
      </c>
      <c r="AG63" s="390">
        <v>99.39</v>
      </c>
      <c r="AH63" s="390">
        <v>99.87</v>
      </c>
      <c r="AI63" s="390">
        <v>100</v>
      </c>
      <c r="AJ63" s="390">
        <v>100</v>
      </c>
      <c r="AK63" s="390">
        <v>100</v>
      </c>
      <c r="AL63" s="390">
        <v>100</v>
      </c>
      <c r="AM63" s="390">
        <v>0</v>
      </c>
      <c r="AN63" s="390">
        <v>100</v>
      </c>
      <c r="AO63" s="390">
        <v>98.71</v>
      </c>
      <c r="AP63" s="390">
        <v>0</v>
      </c>
      <c r="AQ63" s="390">
        <v>100</v>
      </c>
      <c r="AR63" s="390">
        <v>100</v>
      </c>
      <c r="AS63" s="390">
        <v>100</v>
      </c>
      <c r="AT63" s="390">
        <v>100</v>
      </c>
      <c r="AU63" s="390">
        <v>100</v>
      </c>
      <c r="AV63" s="390">
        <v>99.75</v>
      </c>
      <c r="AW63" s="390">
        <v>100</v>
      </c>
      <c r="AX63" s="390">
        <v>100</v>
      </c>
      <c r="AY63" s="390">
        <v>100</v>
      </c>
      <c r="AZ63" s="390">
        <v>100</v>
      </c>
      <c r="BA63" s="390">
        <v>100</v>
      </c>
      <c r="BB63" s="390">
        <v>0</v>
      </c>
      <c r="BC63" s="390">
        <v>100</v>
      </c>
      <c r="BD63" s="390">
        <v>100</v>
      </c>
      <c r="BE63" s="390">
        <v>100</v>
      </c>
      <c r="BF63" s="390">
        <v>100</v>
      </c>
      <c r="BG63" s="390">
        <v>100</v>
      </c>
      <c r="BH63" s="390">
        <v>100</v>
      </c>
      <c r="BI63" s="390">
        <v>100</v>
      </c>
      <c r="BJ63" s="390">
        <v>98.91</v>
      </c>
      <c r="BK63" s="390">
        <v>100</v>
      </c>
      <c r="BL63" s="390">
        <v>0</v>
      </c>
      <c r="BM63" s="390">
        <v>100</v>
      </c>
      <c r="BN63" s="390">
        <v>99.82</v>
      </c>
      <c r="BO63" s="390">
        <v>100</v>
      </c>
      <c r="BP63" s="390">
        <v>100</v>
      </c>
      <c r="BQ63" s="390">
        <v>99.91</v>
      </c>
      <c r="BR63" s="390">
        <v>100</v>
      </c>
      <c r="BS63" s="390">
        <v>100</v>
      </c>
      <c r="BT63" s="390">
        <v>100</v>
      </c>
      <c r="BU63" s="390">
        <v>100</v>
      </c>
      <c r="BV63" s="390">
        <v>100</v>
      </c>
      <c r="BW63" s="390">
        <v>100</v>
      </c>
      <c r="BX63" s="390">
        <v>100</v>
      </c>
      <c r="BY63" s="390">
        <v>0</v>
      </c>
      <c r="BZ63" s="390">
        <v>99.48</v>
      </c>
      <c r="CA63" s="390">
        <v>100</v>
      </c>
      <c r="CB63" s="390">
        <v>98.28</v>
      </c>
      <c r="CC63" s="390">
        <v>100</v>
      </c>
      <c r="CD63" s="390">
        <v>100</v>
      </c>
      <c r="CE63" s="390">
        <v>100</v>
      </c>
    </row>
    <row r="64" spans="1:83" x14ac:dyDescent="0.25">
      <c r="B64" s="752">
        <v>104</v>
      </c>
      <c r="C64" s="635" t="s">
        <v>433</v>
      </c>
      <c r="D64" s="635" t="s">
        <v>434</v>
      </c>
      <c r="E64" s="497"/>
      <c r="F64" s="497"/>
      <c r="G64" s="497"/>
      <c r="H64" s="497"/>
      <c r="I64" s="497"/>
      <c r="J64" s="497"/>
      <c r="K64" s="497"/>
      <c r="L64" s="497"/>
      <c r="M64" s="497"/>
      <c r="N64" s="497"/>
      <c r="O64" s="497"/>
      <c r="P64" s="497"/>
      <c r="Q64" s="497"/>
      <c r="R64" s="497"/>
      <c r="S64" s="497"/>
      <c r="T64" s="497"/>
      <c r="U64" s="497"/>
      <c r="V64" s="497"/>
      <c r="W64" s="497"/>
      <c r="X64" s="497"/>
      <c r="Y64" s="497"/>
      <c r="Z64" s="497"/>
      <c r="AA64" s="497"/>
      <c r="AB64" s="497"/>
      <c r="AC64" s="497"/>
      <c r="AD64" s="497"/>
      <c r="AE64" s="497"/>
      <c r="AF64" s="497"/>
      <c r="AG64" s="497"/>
      <c r="AH64" s="497"/>
      <c r="AI64" s="497"/>
      <c r="AJ64" s="497"/>
      <c r="AK64" s="497"/>
      <c r="AL64" s="497"/>
      <c r="AM64" s="497"/>
      <c r="AN64" s="497"/>
      <c r="AO64" s="497"/>
      <c r="AP64" s="497"/>
      <c r="AQ64" s="497"/>
      <c r="AR64" s="497"/>
      <c r="AS64" s="497"/>
      <c r="AT64" s="497"/>
      <c r="AU64" s="497"/>
      <c r="AV64" s="497"/>
      <c r="AW64" s="497"/>
      <c r="AX64" s="497"/>
      <c r="AY64" s="497"/>
      <c r="AZ64" s="497"/>
      <c r="BA64" s="497"/>
      <c r="BB64" s="497"/>
      <c r="BC64" s="497"/>
      <c r="BD64" s="497"/>
      <c r="BE64" s="497"/>
      <c r="BF64" s="497"/>
      <c r="BG64" s="497"/>
      <c r="BH64" s="497"/>
      <c r="BI64" s="497"/>
      <c r="BJ64" s="497"/>
      <c r="BK64" s="497"/>
      <c r="BL64" s="497"/>
      <c r="BM64" s="497"/>
      <c r="BN64" s="497"/>
      <c r="BO64" s="497"/>
      <c r="BP64" s="497"/>
      <c r="BQ64" s="497"/>
      <c r="BR64" s="497"/>
      <c r="BS64" s="497"/>
      <c r="BT64" s="497"/>
      <c r="BU64" s="497"/>
      <c r="BV64" s="497"/>
      <c r="BW64" s="497"/>
      <c r="BX64" s="497"/>
      <c r="BY64" s="497"/>
      <c r="BZ64" s="497"/>
      <c r="CA64" s="497"/>
      <c r="CB64" s="497"/>
      <c r="CC64" s="497"/>
      <c r="CD64" s="497"/>
      <c r="CE64" s="497"/>
    </row>
    <row r="65" spans="1:83" x14ac:dyDescent="0.25">
      <c r="B65" s="752">
        <v>107</v>
      </c>
      <c r="C65" s="635" t="s">
        <v>729</v>
      </c>
      <c r="D65" s="635" t="s">
        <v>435</v>
      </c>
      <c r="E65" s="497"/>
      <c r="F65" s="497"/>
      <c r="G65" s="497"/>
      <c r="H65" s="497"/>
      <c r="I65" s="497"/>
      <c r="J65" s="497"/>
      <c r="K65" s="497"/>
      <c r="L65" s="497"/>
      <c r="M65" s="497"/>
      <c r="N65" s="497"/>
      <c r="O65" s="497"/>
      <c r="P65" s="497"/>
      <c r="Q65" s="497"/>
      <c r="R65" s="497"/>
      <c r="S65" s="497"/>
      <c r="T65" s="497"/>
      <c r="U65" s="497"/>
      <c r="V65" s="497"/>
      <c r="W65" s="497"/>
      <c r="X65" s="497"/>
      <c r="Y65" s="497"/>
      <c r="Z65" s="497"/>
      <c r="AA65" s="497"/>
      <c r="AB65" s="497"/>
      <c r="AC65" s="497"/>
      <c r="AD65" s="497"/>
      <c r="AE65" s="497"/>
      <c r="AF65" s="497"/>
      <c r="AG65" s="497"/>
      <c r="AH65" s="497"/>
      <c r="AI65" s="497"/>
      <c r="AJ65" s="497"/>
      <c r="AK65" s="497"/>
      <c r="AL65" s="497"/>
      <c r="AM65" s="497"/>
      <c r="AN65" s="497"/>
      <c r="AO65" s="497"/>
      <c r="AP65" s="497"/>
      <c r="AQ65" s="497"/>
      <c r="AR65" s="497"/>
      <c r="AS65" s="497"/>
      <c r="AT65" s="497"/>
      <c r="AU65" s="497"/>
      <c r="AV65" s="497"/>
      <c r="AW65" s="497"/>
      <c r="AX65" s="497"/>
      <c r="AY65" s="497"/>
      <c r="AZ65" s="497"/>
      <c r="BA65" s="497"/>
      <c r="BB65" s="497"/>
      <c r="BC65" s="497"/>
      <c r="BD65" s="497"/>
      <c r="BE65" s="497"/>
      <c r="BF65" s="497"/>
      <c r="BG65" s="497"/>
      <c r="BH65" s="497"/>
      <c r="BI65" s="497"/>
      <c r="BJ65" s="497"/>
      <c r="BK65" s="497"/>
      <c r="BL65" s="497"/>
      <c r="BM65" s="497"/>
      <c r="BN65" s="497"/>
      <c r="BO65" s="497"/>
      <c r="BP65" s="497"/>
      <c r="BQ65" s="497"/>
      <c r="BR65" s="497"/>
      <c r="BS65" s="497"/>
      <c r="BT65" s="497"/>
      <c r="BU65" s="497"/>
      <c r="BV65" s="497"/>
      <c r="BW65" s="497"/>
      <c r="BX65" s="497"/>
      <c r="BY65" s="497"/>
      <c r="BZ65" s="497"/>
      <c r="CA65" s="497"/>
      <c r="CB65" s="497"/>
      <c r="CC65" s="497"/>
      <c r="CD65" s="497"/>
      <c r="CE65" s="497"/>
    </row>
    <row r="66" spans="1:83" x14ac:dyDescent="0.25">
      <c r="B66" s="752">
        <v>108</v>
      </c>
      <c r="C66" s="635" t="s">
        <v>730</v>
      </c>
      <c r="D66" s="635" t="s">
        <v>436</v>
      </c>
      <c r="E66" s="497"/>
      <c r="F66" s="497"/>
      <c r="G66" s="497"/>
      <c r="H66" s="497"/>
      <c r="I66" s="497"/>
      <c r="J66" s="497"/>
      <c r="K66" s="497"/>
      <c r="L66" s="497"/>
      <c r="M66" s="497"/>
      <c r="N66" s="497"/>
      <c r="O66" s="497"/>
      <c r="P66" s="497"/>
      <c r="Q66" s="497"/>
      <c r="R66" s="497"/>
      <c r="S66" s="497"/>
      <c r="T66" s="497"/>
      <c r="U66" s="497"/>
      <c r="V66" s="497"/>
      <c r="W66" s="497"/>
      <c r="X66" s="497"/>
      <c r="Y66" s="497"/>
      <c r="Z66" s="497"/>
      <c r="AA66" s="497"/>
      <c r="AB66" s="497"/>
      <c r="AC66" s="497"/>
      <c r="AD66" s="497"/>
      <c r="AE66" s="497"/>
      <c r="AF66" s="497"/>
      <c r="AG66" s="497"/>
      <c r="AH66" s="497"/>
      <c r="AI66" s="497"/>
      <c r="AJ66" s="497"/>
      <c r="AK66" s="497"/>
      <c r="AL66" s="497"/>
      <c r="AM66" s="497"/>
      <c r="AN66" s="497"/>
      <c r="AO66" s="497"/>
      <c r="AP66" s="497"/>
      <c r="AQ66" s="497"/>
      <c r="AR66" s="497"/>
      <c r="AS66" s="497"/>
      <c r="AT66" s="497"/>
      <c r="AU66" s="497"/>
      <c r="AV66" s="497"/>
      <c r="AW66" s="497"/>
      <c r="AX66" s="497"/>
      <c r="AY66" s="497"/>
      <c r="AZ66" s="497"/>
      <c r="BA66" s="497"/>
      <c r="BB66" s="497"/>
      <c r="BC66" s="497"/>
      <c r="BD66" s="497"/>
      <c r="BE66" s="497"/>
      <c r="BF66" s="497"/>
      <c r="BG66" s="497"/>
      <c r="BH66" s="497"/>
      <c r="BI66" s="497"/>
      <c r="BJ66" s="497"/>
      <c r="BK66" s="497"/>
      <c r="BL66" s="497"/>
      <c r="BM66" s="497"/>
      <c r="BN66" s="497"/>
      <c r="BO66" s="497"/>
      <c r="BP66" s="497"/>
      <c r="BQ66" s="497"/>
      <c r="BR66" s="497"/>
      <c r="BS66" s="497"/>
      <c r="BT66" s="497"/>
      <c r="BU66" s="497"/>
      <c r="BV66" s="497"/>
      <c r="BW66" s="497"/>
      <c r="BX66" s="497"/>
      <c r="BY66" s="497"/>
      <c r="BZ66" s="497"/>
      <c r="CA66" s="497"/>
      <c r="CB66" s="497"/>
      <c r="CC66" s="497"/>
      <c r="CD66" s="497"/>
      <c r="CE66" s="497"/>
    </row>
    <row r="67" spans="1:83" x14ac:dyDescent="0.25">
      <c r="B67" s="752">
        <v>147</v>
      </c>
      <c r="C67" s="635" t="s">
        <v>437</v>
      </c>
      <c r="D67" s="635" t="s">
        <v>438</v>
      </c>
      <c r="E67" s="497"/>
      <c r="F67" s="497"/>
      <c r="G67" s="497"/>
      <c r="H67" s="497"/>
      <c r="I67" s="497"/>
      <c r="J67" s="497"/>
      <c r="K67" s="497"/>
      <c r="L67" s="497"/>
      <c r="M67" s="497"/>
      <c r="N67" s="497"/>
      <c r="O67" s="497"/>
      <c r="P67" s="497"/>
      <c r="Q67" s="497"/>
      <c r="R67" s="497"/>
      <c r="S67" s="497"/>
      <c r="T67" s="497"/>
      <c r="U67" s="497"/>
      <c r="V67" s="497"/>
      <c r="W67" s="497"/>
      <c r="X67" s="497"/>
      <c r="Y67" s="497"/>
      <c r="Z67" s="497"/>
      <c r="AA67" s="497"/>
      <c r="AB67" s="497"/>
      <c r="AC67" s="497"/>
      <c r="AD67" s="497"/>
      <c r="AE67" s="497"/>
      <c r="AF67" s="497"/>
      <c r="AG67" s="497"/>
      <c r="AH67" s="497"/>
      <c r="AI67" s="497"/>
      <c r="AJ67" s="497"/>
      <c r="AK67" s="497"/>
      <c r="AL67" s="497"/>
      <c r="AM67" s="497"/>
      <c r="AN67" s="497"/>
      <c r="AO67" s="497"/>
      <c r="AP67" s="497"/>
      <c r="AQ67" s="497"/>
      <c r="AR67" s="497"/>
      <c r="AS67" s="497"/>
      <c r="AT67" s="497"/>
      <c r="AU67" s="497"/>
      <c r="AV67" s="497"/>
      <c r="AW67" s="497"/>
      <c r="AX67" s="497"/>
      <c r="AY67" s="497"/>
      <c r="AZ67" s="497"/>
      <c r="BA67" s="497"/>
      <c r="BB67" s="497"/>
      <c r="BC67" s="497"/>
      <c r="BD67" s="497"/>
      <c r="BE67" s="497"/>
      <c r="BF67" s="497"/>
      <c r="BG67" s="497"/>
      <c r="BH67" s="497"/>
      <c r="BI67" s="497"/>
      <c r="BJ67" s="497"/>
      <c r="BK67" s="497"/>
      <c r="BL67" s="497"/>
      <c r="BM67" s="497"/>
      <c r="BN67" s="497"/>
      <c r="BO67" s="497"/>
      <c r="BP67" s="497"/>
      <c r="BQ67" s="497"/>
      <c r="BR67" s="497"/>
      <c r="BS67" s="497"/>
      <c r="BT67" s="497"/>
      <c r="BU67" s="497"/>
      <c r="BV67" s="497"/>
      <c r="BW67" s="497"/>
      <c r="BX67" s="497"/>
      <c r="BY67" s="497"/>
      <c r="BZ67" s="497"/>
      <c r="CA67" s="497"/>
      <c r="CB67" s="497"/>
      <c r="CC67" s="497"/>
      <c r="CD67" s="497"/>
      <c r="CE67" s="497"/>
    </row>
    <row r="68" spans="1:83" x14ac:dyDescent="0.25">
      <c r="B68" s="752">
        <v>148</v>
      </c>
      <c r="C68" s="635" t="s">
        <v>439</v>
      </c>
      <c r="D68" s="635" t="s">
        <v>440</v>
      </c>
      <c r="E68" s="497"/>
      <c r="F68" s="497"/>
      <c r="G68" s="497"/>
      <c r="H68" s="497"/>
      <c r="I68" s="497"/>
      <c r="J68" s="497"/>
      <c r="K68" s="497"/>
      <c r="L68" s="497"/>
      <c r="M68" s="497"/>
      <c r="N68" s="497"/>
      <c r="O68" s="497"/>
      <c r="P68" s="497"/>
      <c r="Q68" s="497"/>
      <c r="R68" s="497"/>
      <c r="S68" s="497"/>
      <c r="T68" s="497"/>
      <c r="U68" s="497"/>
      <c r="V68" s="497"/>
      <c r="W68" s="497"/>
      <c r="X68" s="497"/>
      <c r="Y68" s="497"/>
      <c r="Z68" s="497"/>
      <c r="AA68" s="497"/>
      <c r="AB68" s="497"/>
      <c r="AC68" s="497"/>
      <c r="AD68" s="497"/>
      <c r="AE68" s="497"/>
      <c r="AF68" s="497"/>
      <c r="AG68" s="497"/>
      <c r="AH68" s="497"/>
      <c r="AI68" s="497"/>
      <c r="AJ68" s="497"/>
      <c r="AK68" s="497"/>
      <c r="AL68" s="497"/>
      <c r="AM68" s="497"/>
      <c r="AN68" s="497"/>
      <c r="AO68" s="497"/>
      <c r="AP68" s="497"/>
      <c r="AQ68" s="497"/>
      <c r="AR68" s="497"/>
      <c r="AS68" s="497"/>
      <c r="AT68" s="497"/>
      <c r="AU68" s="497"/>
      <c r="AV68" s="497"/>
      <c r="AW68" s="497"/>
      <c r="AX68" s="497"/>
      <c r="AY68" s="497"/>
      <c r="AZ68" s="497"/>
      <c r="BA68" s="497"/>
      <c r="BB68" s="497"/>
      <c r="BC68" s="497"/>
      <c r="BD68" s="497"/>
      <c r="BE68" s="497"/>
      <c r="BF68" s="497"/>
      <c r="BG68" s="497"/>
      <c r="BH68" s="497"/>
      <c r="BI68" s="497"/>
      <c r="BJ68" s="497"/>
      <c r="BK68" s="497"/>
      <c r="BL68" s="497"/>
      <c r="BM68" s="497"/>
      <c r="BN68" s="497"/>
      <c r="BO68" s="497"/>
      <c r="BP68" s="497"/>
      <c r="BQ68" s="497"/>
      <c r="BR68" s="497"/>
      <c r="BS68" s="497"/>
      <c r="BT68" s="497"/>
      <c r="BU68" s="497"/>
      <c r="BV68" s="497"/>
      <c r="BW68" s="497"/>
      <c r="BX68" s="497"/>
      <c r="BY68" s="497"/>
      <c r="BZ68" s="497"/>
      <c r="CA68" s="497"/>
      <c r="CB68" s="497"/>
      <c r="CC68" s="497"/>
      <c r="CD68" s="497"/>
      <c r="CE68" s="497"/>
    </row>
    <row r="69" spans="1:83" x14ac:dyDescent="0.25">
      <c r="B69" s="752">
        <v>149</v>
      </c>
      <c r="C69" s="635" t="s">
        <v>441</v>
      </c>
      <c r="D69" s="635" t="s">
        <v>442</v>
      </c>
      <c r="E69" s="497"/>
      <c r="F69" s="497"/>
      <c r="G69" s="497"/>
      <c r="H69" s="497"/>
      <c r="I69" s="497"/>
      <c r="J69" s="497"/>
      <c r="K69" s="497"/>
      <c r="L69" s="497"/>
      <c r="M69" s="497"/>
      <c r="N69" s="497"/>
      <c r="O69" s="497"/>
      <c r="P69" s="497"/>
      <c r="Q69" s="497"/>
      <c r="R69" s="497"/>
      <c r="S69" s="497"/>
      <c r="T69" s="497"/>
      <c r="U69" s="497"/>
      <c r="V69" s="497"/>
      <c r="W69" s="497"/>
      <c r="X69" s="497"/>
      <c r="Y69" s="497"/>
      <c r="Z69" s="497"/>
      <c r="AA69" s="497"/>
      <c r="AB69" s="497"/>
      <c r="AC69" s="497"/>
      <c r="AD69" s="497"/>
      <c r="AE69" s="497"/>
      <c r="AF69" s="497"/>
      <c r="AG69" s="497"/>
      <c r="AH69" s="497"/>
      <c r="AI69" s="497"/>
      <c r="AJ69" s="497"/>
      <c r="AK69" s="497"/>
      <c r="AL69" s="497"/>
      <c r="AM69" s="497"/>
      <c r="AN69" s="497"/>
      <c r="AO69" s="497"/>
      <c r="AP69" s="497"/>
      <c r="AQ69" s="497"/>
      <c r="AR69" s="497"/>
      <c r="AS69" s="497"/>
      <c r="AT69" s="497"/>
      <c r="AU69" s="497"/>
      <c r="AV69" s="497"/>
      <c r="AW69" s="497"/>
      <c r="AX69" s="497"/>
      <c r="AY69" s="497"/>
      <c r="AZ69" s="497"/>
      <c r="BA69" s="497"/>
      <c r="BB69" s="497"/>
      <c r="BC69" s="497"/>
      <c r="BD69" s="497"/>
      <c r="BE69" s="497"/>
      <c r="BF69" s="497"/>
      <c r="BG69" s="497"/>
      <c r="BH69" s="497"/>
      <c r="BI69" s="497"/>
      <c r="BJ69" s="497"/>
      <c r="BK69" s="497"/>
      <c r="BL69" s="497"/>
      <c r="BM69" s="497"/>
      <c r="BN69" s="497"/>
      <c r="BO69" s="497"/>
      <c r="BP69" s="497"/>
      <c r="BQ69" s="497"/>
      <c r="BR69" s="497"/>
      <c r="BS69" s="497"/>
      <c r="BT69" s="497"/>
      <c r="BU69" s="497"/>
      <c r="BV69" s="497"/>
      <c r="BW69" s="497"/>
      <c r="BX69" s="497"/>
      <c r="BY69" s="497"/>
      <c r="BZ69" s="497"/>
      <c r="CA69" s="497"/>
      <c r="CB69" s="497"/>
      <c r="CC69" s="497"/>
      <c r="CD69" s="497"/>
      <c r="CE69" s="497"/>
    </row>
    <row r="70" spans="1:83" x14ac:dyDescent="0.25">
      <c r="B70" s="752">
        <v>150</v>
      </c>
      <c r="C70" s="635" t="s">
        <v>443</v>
      </c>
      <c r="D70" s="635" t="s">
        <v>444</v>
      </c>
      <c r="E70" s="497"/>
      <c r="F70" s="497"/>
      <c r="G70" s="497"/>
      <c r="H70" s="497"/>
      <c r="I70" s="497"/>
      <c r="J70" s="497"/>
      <c r="K70" s="497"/>
      <c r="L70" s="497"/>
      <c r="M70" s="497"/>
      <c r="N70" s="497"/>
      <c r="O70" s="497"/>
      <c r="P70" s="497"/>
      <c r="Q70" s="497"/>
      <c r="R70" s="497"/>
      <c r="S70" s="497"/>
      <c r="T70" s="497"/>
      <c r="U70" s="497"/>
      <c r="V70" s="497"/>
      <c r="W70" s="497"/>
      <c r="X70" s="497"/>
      <c r="Y70" s="497"/>
      <c r="Z70" s="497"/>
      <c r="AA70" s="497"/>
      <c r="AB70" s="497"/>
      <c r="AC70" s="497"/>
      <c r="AD70" s="497"/>
      <c r="AE70" s="497"/>
      <c r="AF70" s="497"/>
      <c r="AG70" s="497"/>
      <c r="AH70" s="497"/>
      <c r="AI70" s="497"/>
      <c r="AJ70" s="497"/>
      <c r="AK70" s="497"/>
      <c r="AL70" s="497"/>
      <c r="AM70" s="497"/>
      <c r="AN70" s="497"/>
      <c r="AO70" s="497"/>
      <c r="AP70" s="497"/>
      <c r="AQ70" s="497"/>
      <c r="AR70" s="497"/>
      <c r="AS70" s="497"/>
      <c r="AT70" s="497"/>
      <c r="AU70" s="497"/>
      <c r="AV70" s="497"/>
      <c r="AW70" s="497"/>
      <c r="AX70" s="497"/>
      <c r="AY70" s="497"/>
      <c r="AZ70" s="497"/>
      <c r="BA70" s="497"/>
      <c r="BB70" s="497"/>
      <c r="BC70" s="497"/>
      <c r="BD70" s="497"/>
      <c r="BE70" s="497"/>
      <c r="BF70" s="497"/>
      <c r="BG70" s="497"/>
      <c r="BH70" s="497"/>
      <c r="BI70" s="497"/>
      <c r="BJ70" s="497"/>
      <c r="BK70" s="497"/>
      <c r="BL70" s="497"/>
      <c r="BM70" s="497"/>
      <c r="BN70" s="497"/>
      <c r="BO70" s="497"/>
      <c r="BP70" s="497"/>
      <c r="BQ70" s="497"/>
      <c r="BR70" s="497"/>
      <c r="BS70" s="497"/>
      <c r="BT70" s="497"/>
      <c r="BU70" s="497"/>
      <c r="BV70" s="497"/>
      <c r="BW70" s="497"/>
      <c r="BX70" s="497"/>
      <c r="BY70" s="497"/>
      <c r="BZ70" s="497"/>
      <c r="CA70" s="497"/>
      <c r="CB70" s="497"/>
      <c r="CC70" s="497"/>
      <c r="CD70" s="497"/>
      <c r="CE70" s="497"/>
    </row>
    <row r="71" spans="1:83" x14ac:dyDescent="0.25">
      <c r="A71" s="635">
        <v>171</v>
      </c>
      <c r="B71" s="752">
        <v>171</v>
      </c>
      <c r="C71" s="635" t="s">
        <v>282</v>
      </c>
      <c r="D71" s="635" t="s">
        <v>445</v>
      </c>
      <c r="E71" s="497">
        <v>27242</v>
      </c>
      <c r="F71" s="497">
        <v>0</v>
      </c>
      <c r="G71" s="497">
        <v>0</v>
      </c>
      <c r="H71" s="497">
        <v>0</v>
      </c>
      <c r="I71" s="497">
        <v>39629</v>
      </c>
      <c r="J71" s="497">
        <v>0</v>
      </c>
      <c r="K71" s="497">
        <v>0</v>
      </c>
      <c r="L71" s="497">
        <v>0</v>
      </c>
      <c r="M71" s="497">
        <v>80021</v>
      </c>
      <c r="N71" s="497">
        <v>11439713</v>
      </c>
      <c r="O71" s="497">
        <v>0</v>
      </c>
      <c r="P71" s="497">
        <v>610528</v>
      </c>
      <c r="Q71" s="497">
        <v>0</v>
      </c>
      <c r="R71" s="497">
        <v>222563</v>
      </c>
      <c r="S71" s="497">
        <v>0</v>
      </c>
      <c r="T71" s="497">
        <v>14778</v>
      </c>
      <c r="U71" s="497">
        <v>70257</v>
      </c>
      <c r="V71" s="497">
        <v>807988</v>
      </c>
      <c r="W71" s="497">
        <v>267546</v>
      </c>
      <c r="X71" s="497">
        <v>168786</v>
      </c>
      <c r="Y71" s="497">
        <v>0</v>
      </c>
      <c r="Z71" s="497">
        <v>133263</v>
      </c>
      <c r="AA71" s="497">
        <v>1776784</v>
      </c>
      <c r="AB71" s="497">
        <v>0</v>
      </c>
      <c r="AC71" s="497">
        <v>4809</v>
      </c>
      <c r="AD71" s="497">
        <v>3773106</v>
      </c>
      <c r="AE71" s="497">
        <v>0</v>
      </c>
      <c r="AF71" s="497">
        <v>0</v>
      </c>
      <c r="AG71" s="497">
        <v>4752803</v>
      </c>
      <c r="AH71" s="497">
        <v>0</v>
      </c>
      <c r="AI71" s="497">
        <v>0</v>
      </c>
      <c r="AJ71" s="497">
        <v>280527</v>
      </c>
      <c r="AK71" s="497">
        <v>0</v>
      </c>
      <c r="AL71" s="497">
        <v>0</v>
      </c>
      <c r="AM71" s="497">
        <v>0</v>
      </c>
      <c r="AN71" s="497">
        <v>0</v>
      </c>
      <c r="AO71" s="497">
        <v>0</v>
      </c>
      <c r="AP71" s="497">
        <v>0</v>
      </c>
      <c r="AQ71" s="497">
        <v>87959</v>
      </c>
      <c r="AR71" s="497">
        <v>59166</v>
      </c>
      <c r="AS71" s="497">
        <v>0</v>
      </c>
      <c r="AT71" s="497">
        <v>16924</v>
      </c>
      <c r="AU71" s="497">
        <v>0</v>
      </c>
      <c r="AV71" s="497">
        <v>26241704</v>
      </c>
      <c r="AW71" s="497">
        <v>5315068</v>
      </c>
      <c r="AX71" s="497">
        <v>142859</v>
      </c>
      <c r="AY71" s="497">
        <v>0</v>
      </c>
      <c r="AZ71" s="497">
        <v>0</v>
      </c>
      <c r="BA71" s="497">
        <v>2075</v>
      </c>
      <c r="BB71" s="497">
        <v>0</v>
      </c>
      <c r="BC71" s="497">
        <v>134941</v>
      </c>
      <c r="BD71" s="497">
        <v>0</v>
      </c>
      <c r="BE71" s="497">
        <v>0</v>
      </c>
      <c r="BF71" s="497">
        <v>0</v>
      </c>
      <c r="BG71" s="497">
        <v>975053</v>
      </c>
      <c r="BH71" s="497">
        <v>0</v>
      </c>
      <c r="BI71" s="497">
        <v>341379</v>
      </c>
      <c r="BJ71" s="497">
        <v>86493</v>
      </c>
      <c r="BK71" s="497">
        <v>11550</v>
      </c>
      <c r="BL71" s="497">
        <v>0</v>
      </c>
      <c r="BM71" s="497">
        <v>564641</v>
      </c>
      <c r="BN71" s="497">
        <v>869017</v>
      </c>
      <c r="BO71" s="497">
        <v>96401</v>
      </c>
      <c r="BP71" s="497">
        <v>1034050</v>
      </c>
      <c r="BQ71" s="497">
        <v>9657959</v>
      </c>
      <c r="BR71" s="497">
        <v>62299</v>
      </c>
      <c r="BS71" s="497">
        <v>66239</v>
      </c>
      <c r="BT71" s="497">
        <v>181922</v>
      </c>
      <c r="BU71" s="497">
        <v>1164783</v>
      </c>
      <c r="BV71" s="497">
        <v>3148</v>
      </c>
      <c r="BW71" s="497">
        <v>0</v>
      </c>
      <c r="BX71" s="497">
        <v>1707468</v>
      </c>
      <c r="BY71" s="497">
        <v>0</v>
      </c>
      <c r="BZ71" s="497">
        <v>4539381</v>
      </c>
      <c r="CA71" s="497">
        <v>11414</v>
      </c>
      <c r="CB71" s="497">
        <v>1140181</v>
      </c>
      <c r="CC71" s="497">
        <v>140395</v>
      </c>
      <c r="CD71" s="497">
        <v>68059</v>
      </c>
      <c r="CE71" s="497">
        <v>4676379</v>
      </c>
    </row>
    <row r="72" spans="1:83" x14ac:dyDescent="0.25">
      <c r="A72" s="635">
        <v>191</v>
      </c>
      <c r="B72" s="752">
        <v>191</v>
      </c>
      <c r="C72" s="635" t="s">
        <v>298</v>
      </c>
      <c r="D72" s="635" t="s">
        <v>446</v>
      </c>
      <c r="E72" s="497">
        <v>107909</v>
      </c>
      <c r="F72" s="497">
        <v>463111</v>
      </c>
      <c r="G72" s="497">
        <v>0</v>
      </c>
      <c r="H72" s="497">
        <v>357848</v>
      </c>
      <c r="I72" s="497">
        <v>0</v>
      </c>
      <c r="J72" s="497">
        <v>0</v>
      </c>
      <c r="K72" s="497">
        <v>0</v>
      </c>
      <c r="L72" s="497">
        <v>0</v>
      </c>
      <c r="M72" s="497">
        <v>755016</v>
      </c>
      <c r="N72" s="497">
        <v>0</v>
      </c>
      <c r="O72" s="497">
        <v>0</v>
      </c>
      <c r="P72" s="497">
        <v>0</v>
      </c>
      <c r="Q72" s="497">
        <v>625413</v>
      </c>
      <c r="R72" s="497">
        <v>0</v>
      </c>
      <c r="S72" s="497">
        <v>0</v>
      </c>
      <c r="T72" s="497">
        <v>740646</v>
      </c>
      <c r="U72" s="497">
        <v>0</v>
      </c>
      <c r="V72" s="497">
        <v>0</v>
      </c>
      <c r="W72" s="497">
        <v>0</v>
      </c>
      <c r="X72" s="497">
        <v>0</v>
      </c>
      <c r="Y72" s="497">
        <v>40066</v>
      </c>
      <c r="Z72" s="497">
        <v>451486</v>
      </c>
      <c r="AA72" s="497">
        <v>4342950</v>
      </c>
      <c r="AB72" s="497">
        <v>0</v>
      </c>
      <c r="AC72" s="497">
        <v>79159</v>
      </c>
      <c r="AD72" s="497">
        <v>0</v>
      </c>
      <c r="AE72" s="497">
        <v>0</v>
      </c>
      <c r="AF72" s="497">
        <v>0</v>
      </c>
      <c r="AG72" s="497">
        <v>2991748</v>
      </c>
      <c r="AH72" s="497">
        <v>0</v>
      </c>
      <c r="AI72" s="497">
        <v>0</v>
      </c>
      <c r="AJ72" s="497">
        <v>0</v>
      </c>
      <c r="AK72" s="497">
        <v>0</v>
      </c>
      <c r="AL72" s="497">
        <v>0</v>
      </c>
      <c r="AM72" s="497">
        <v>0</v>
      </c>
      <c r="AN72" s="497">
        <v>0</v>
      </c>
      <c r="AO72" s="497">
        <v>0</v>
      </c>
      <c r="AP72" s="497">
        <v>0</v>
      </c>
      <c r="AQ72" s="497">
        <v>0</v>
      </c>
      <c r="AR72" s="497">
        <v>0</v>
      </c>
      <c r="AS72" s="497">
        <v>0</v>
      </c>
      <c r="AT72" s="497">
        <v>0</v>
      </c>
      <c r="AU72" s="497">
        <v>266390</v>
      </c>
      <c r="AV72" s="497">
        <v>762218</v>
      </c>
      <c r="AW72" s="497">
        <v>1827521</v>
      </c>
      <c r="AX72" s="497">
        <v>0</v>
      </c>
      <c r="AY72" s="497">
        <v>0</v>
      </c>
      <c r="AZ72" s="497">
        <v>0</v>
      </c>
      <c r="BA72" s="497">
        <v>0</v>
      </c>
      <c r="BB72" s="497">
        <v>0</v>
      </c>
      <c r="BC72" s="497">
        <v>0</v>
      </c>
      <c r="BD72" s="497">
        <v>0</v>
      </c>
      <c r="BE72" s="497">
        <v>0</v>
      </c>
      <c r="BF72" s="497">
        <v>0</v>
      </c>
      <c r="BG72" s="497">
        <v>1856425</v>
      </c>
      <c r="BH72" s="497">
        <v>0</v>
      </c>
      <c r="BI72" s="497">
        <v>0</v>
      </c>
      <c r="BJ72" s="497">
        <v>0</v>
      </c>
      <c r="BK72" s="497">
        <v>0</v>
      </c>
      <c r="BL72" s="497">
        <v>0</v>
      </c>
      <c r="BM72" s="497">
        <v>1959535</v>
      </c>
      <c r="BN72" s="497">
        <v>996798</v>
      </c>
      <c r="BO72" s="497">
        <v>0</v>
      </c>
      <c r="BP72" s="497">
        <v>152493</v>
      </c>
      <c r="BQ72" s="497">
        <v>606109</v>
      </c>
      <c r="BR72" s="497">
        <v>0</v>
      </c>
      <c r="BS72" s="497">
        <v>29150</v>
      </c>
      <c r="BT72" s="497">
        <v>0</v>
      </c>
      <c r="BU72" s="497">
        <v>0</v>
      </c>
      <c r="BV72" s="497">
        <v>0</v>
      </c>
      <c r="BW72" s="497">
        <v>0</v>
      </c>
      <c r="BX72" s="497">
        <v>0</v>
      </c>
      <c r="BY72" s="497">
        <v>0</v>
      </c>
      <c r="BZ72" s="497">
        <v>4753170</v>
      </c>
      <c r="CA72" s="497">
        <v>0</v>
      </c>
      <c r="CB72" s="497">
        <v>0</v>
      </c>
      <c r="CC72" s="497">
        <v>0</v>
      </c>
      <c r="CD72" s="497">
        <v>0</v>
      </c>
      <c r="CE72" s="497">
        <v>0</v>
      </c>
    </row>
    <row r="73" spans="1:83" x14ac:dyDescent="0.25">
      <c r="A73" s="635">
        <v>192</v>
      </c>
      <c r="B73" s="752">
        <v>192</v>
      </c>
      <c r="C73" s="635" t="s">
        <v>309</v>
      </c>
      <c r="D73" s="635" t="s">
        <v>447</v>
      </c>
      <c r="E73" s="497">
        <v>0</v>
      </c>
      <c r="F73" s="497">
        <v>0</v>
      </c>
      <c r="G73" s="497">
        <v>0</v>
      </c>
      <c r="H73" s="497">
        <v>0</v>
      </c>
      <c r="I73" s="497">
        <v>0</v>
      </c>
      <c r="J73" s="497">
        <v>0</v>
      </c>
      <c r="K73" s="497">
        <v>0</v>
      </c>
      <c r="L73" s="497">
        <v>0</v>
      </c>
      <c r="M73" s="497">
        <v>0</v>
      </c>
      <c r="N73" s="497">
        <v>0</v>
      </c>
      <c r="O73" s="497">
        <v>0</v>
      </c>
      <c r="P73" s="497">
        <v>0</v>
      </c>
      <c r="Q73" s="497">
        <v>0</v>
      </c>
      <c r="R73" s="497">
        <v>0</v>
      </c>
      <c r="S73" s="497">
        <v>0</v>
      </c>
      <c r="T73" s="497">
        <v>0</v>
      </c>
      <c r="U73" s="497">
        <v>0</v>
      </c>
      <c r="V73" s="497">
        <v>0</v>
      </c>
      <c r="W73" s="497">
        <v>0</v>
      </c>
      <c r="X73" s="497">
        <v>0</v>
      </c>
      <c r="Y73" s="497">
        <v>0</v>
      </c>
      <c r="Z73" s="497">
        <v>0</v>
      </c>
      <c r="AA73" s="497">
        <v>0</v>
      </c>
      <c r="AB73" s="497">
        <v>0</v>
      </c>
      <c r="AC73" s="497">
        <v>0</v>
      </c>
      <c r="AD73" s="497">
        <v>0</v>
      </c>
      <c r="AE73" s="497">
        <v>0</v>
      </c>
      <c r="AF73" s="497">
        <v>0</v>
      </c>
      <c r="AG73" s="497">
        <v>15000</v>
      </c>
      <c r="AH73" s="497">
        <v>0</v>
      </c>
      <c r="AI73" s="497">
        <v>0</v>
      </c>
      <c r="AJ73" s="497">
        <v>0</v>
      </c>
      <c r="AK73" s="497">
        <v>0</v>
      </c>
      <c r="AL73" s="497">
        <v>0</v>
      </c>
      <c r="AM73" s="497">
        <v>0</v>
      </c>
      <c r="AN73" s="497">
        <v>0</v>
      </c>
      <c r="AO73" s="497">
        <v>0</v>
      </c>
      <c r="AP73" s="497">
        <v>0</v>
      </c>
      <c r="AQ73" s="497">
        <v>0</v>
      </c>
      <c r="AR73" s="497">
        <v>0</v>
      </c>
      <c r="AS73" s="497">
        <v>0</v>
      </c>
      <c r="AT73" s="497">
        <v>0</v>
      </c>
      <c r="AU73" s="497">
        <v>0</v>
      </c>
      <c r="AV73" s="497">
        <v>0</v>
      </c>
      <c r="AW73" s="497">
        <v>0</v>
      </c>
      <c r="AX73" s="497">
        <v>0</v>
      </c>
      <c r="AY73" s="497">
        <v>0</v>
      </c>
      <c r="AZ73" s="497">
        <v>0</v>
      </c>
      <c r="BA73" s="497">
        <v>0</v>
      </c>
      <c r="BB73" s="497">
        <v>0</v>
      </c>
      <c r="BC73" s="497">
        <v>0</v>
      </c>
      <c r="BD73" s="497">
        <v>0</v>
      </c>
      <c r="BE73" s="497">
        <v>0</v>
      </c>
      <c r="BF73" s="497">
        <v>0</v>
      </c>
      <c r="BG73" s="497">
        <v>0</v>
      </c>
      <c r="BH73" s="497">
        <v>0</v>
      </c>
      <c r="BI73" s="497">
        <v>0</v>
      </c>
      <c r="BJ73" s="497">
        <v>0</v>
      </c>
      <c r="BK73" s="497">
        <v>0</v>
      </c>
      <c r="BL73" s="497">
        <v>0</v>
      </c>
      <c r="BM73" s="497">
        <v>0</v>
      </c>
      <c r="BN73" s="497">
        <v>0</v>
      </c>
      <c r="BO73" s="497">
        <v>0</v>
      </c>
      <c r="BP73" s="497">
        <v>0</v>
      </c>
      <c r="BQ73" s="497">
        <v>0</v>
      </c>
      <c r="BR73" s="497">
        <v>0</v>
      </c>
      <c r="BS73" s="497">
        <v>0</v>
      </c>
      <c r="BT73" s="497">
        <v>0</v>
      </c>
      <c r="BU73" s="497">
        <v>0</v>
      </c>
      <c r="BV73" s="497">
        <v>0</v>
      </c>
      <c r="BW73" s="497">
        <v>0</v>
      </c>
      <c r="BX73" s="497">
        <v>0</v>
      </c>
      <c r="BY73" s="497">
        <v>0</v>
      </c>
      <c r="BZ73" s="497">
        <v>0</v>
      </c>
      <c r="CA73" s="497">
        <v>0</v>
      </c>
      <c r="CB73" s="497">
        <v>0</v>
      </c>
      <c r="CC73" s="497">
        <v>0</v>
      </c>
      <c r="CD73" s="497">
        <v>0</v>
      </c>
      <c r="CE73" s="497">
        <v>0</v>
      </c>
    </row>
    <row r="74" spans="1:83" x14ac:dyDescent="0.25">
      <c r="B74" s="752">
        <v>193</v>
      </c>
      <c r="C74" s="635" t="s">
        <v>448</v>
      </c>
      <c r="D74" s="635" t="s">
        <v>449</v>
      </c>
      <c r="E74" s="497"/>
      <c r="F74" s="497"/>
      <c r="G74" s="497"/>
      <c r="H74" s="497"/>
      <c r="I74" s="497"/>
      <c r="J74" s="497"/>
      <c r="K74" s="497"/>
      <c r="L74" s="497"/>
      <c r="M74" s="497"/>
      <c r="N74" s="497"/>
      <c r="O74" s="497"/>
      <c r="P74" s="497"/>
      <c r="Q74" s="497"/>
      <c r="R74" s="497"/>
      <c r="S74" s="497"/>
      <c r="T74" s="497"/>
      <c r="U74" s="497"/>
      <c r="V74" s="497"/>
      <c r="W74" s="497"/>
      <c r="X74" s="497"/>
      <c r="Y74" s="497"/>
      <c r="Z74" s="497"/>
      <c r="AA74" s="497"/>
      <c r="AB74" s="497"/>
      <c r="AC74" s="497"/>
      <c r="AD74" s="497"/>
      <c r="AE74" s="497"/>
      <c r="AF74" s="497"/>
      <c r="AG74" s="497"/>
      <c r="AH74" s="497"/>
      <c r="AI74" s="497"/>
      <c r="AJ74" s="497"/>
      <c r="AK74" s="497"/>
      <c r="AL74" s="497"/>
      <c r="AM74" s="497"/>
      <c r="AN74" s="497"/>
      <c r="AO74" s="497"/>
      <c r="AP74" s="497"/>
      <c r="AQ74" s="497"/>
      <c r="AR74" s="497"/>
      <c r="AS74" s="497"/>
      <c r="AT74" s="497"/>
      <c r="AU74" s="497"/>
      <c r="AV74" s="497"/>
      <c r="AW74" s="497"/>
      <c r="AX74" s="497"/>
      <c r="AY74" s="497"/>
      <c r="AZ74" s="497"/>
      <c r="BA74" s="497"/>
      <c r="BB74" s="497"/>
      <c r="BC74" s="497"/>
      <c r="BD74" s="497"/>
      <c r="BE74" s="497"/>
      <c r="BF74" s="497"/>
      <c r="BG74" s="497"/>
      <c r="BH74" s="497"/>
      <c r="BI74" s="497"/>
      <c r="BJ74" s="497"/>
      <c r="BK74" s="497"/>
      <c r="BL74" s="497"/>
      <c r="BM74" s="497"/>
      <c r="BN74" s="497"/>
      <c r="BO74" s="497"/>
      <c r="BP74" s="497"/>
      <c r="BQ74" s="497"/>
      <c r="BR74" s="497"/>
      <c r="BS74" s="497"/>
      <c r="BT74" s="497"/>
      <c r="BU74" s="497"/>
      <c r="BV74" s="497"/>
      <c r="BW74" s="497"/>
      <c r="BX74" s="497"/>
      <c r="BY74" s="497"/>
      <c r="BZ74" s="497"/>
      <c r="CA74" s="497"/>
      <c r="CB74" s="497"/>
      <c r="CC74" s="497"/>
      <c r="CD74" s="497"/>
      <c r="CE74" s="497"/>
    </row>
    <row r="75" spans="1:83" x14ac:dyDescent="0.25">
      <c r="B75" s="752">
        <v>194</v>
      </c>
      <c r="C75" s="635" t="s">
        <v>450</v>
      </c>
      <c r="D75" s="635" t="s">
        <v>451</v>
      </c>
      <c r="E75" s="497"/>
      <c r="F75" s="497"/>
      <c r="G75" s="497"/>
      <c r="H75" s="497"/>
      <c r="I75" s="497"/>
      <c r="J75" s="497"/>
      <c r="K75" s="497"/>
      <c r="L75" s="497"/>
      <c r="M75" s="497"/>
      <c r="N75" s="497"/>
      <c r="O75" s="497"/>
      <c r="P75" s="497"/>
      <c r="Q75" s="497"/>
      <c r="R75" s="497"/>
      <c r="S75" s="497"/>
      <c r="T75" s="497"/>
      <c r="U75" s="497"/>
      <c r="V75" s="497"/>
      <c r="W75" s="497"/>
      <c r="X75" s="497"/>
      <c r="Y75" s="497"/>
      <c r="Z75" s="497"/>
      <c r="AA75" s="497"/>
      <c r="AB75" s="497"/>
      <c r="AC75" s="497"/>
      <c r="AD75" s="497"/>
      <c r="AE75" s="497"/>
      <c r="AF75" s="497"/>
      <c r="AG75" s="497"/>
      <c r="AH75" s="497"/>
      <c r="AI75" s="497"/>
      <c r="AJ75" s="497"/>
      <c r="AK75" s="497"/>
      <c r="AL75" s="497"/>
      <c r="AM75" s="497"/>
      <c r="AN75" s="497"/>
      <c r="AO75" s="497"/>
      <c r="AP75" s="497"/>
      <c r="AQ75" s="497"/>
      <c r="AR75" s="497"/>
      <c r="AS75" s="497"/>
      <c r="AT75" s="497"/>
      <c r="AU75" s="497"/>
      <c r="AV75" s="497"/>
      <c r="AW75" s="497"/>
      <c r="AX75" s="497"/>
      <c r="AY75" s="497"/>
      <c r="AZ75" s="497"/>
      <c r="BA75" s="497"/>
      <c r="BB75" s="497"/>
      <c r="BC75" s="497"/>
      <c r="BD75" s="497"/>
      <c r="BE75" s="497"/>
      <c r="BF75" s="497"/>
      <c r="BG75" s="497"/>
      <c r="BH75" s="497"/>
      <c r="BI75" s="497"/>
      <c r="BJ75" s="497"/>
      <c r="BK75" s="497"/>
      <c r="BL75" s="497"/>
      <c r="BM75" s="497"/>
      <c r="BN75" s="497"/>
      <c r="BO75" s="497"/>
      <c r="BP75" s="497"/>
      <c r="BQ75" s="497"/>
      <c r="BR75" s="497"/>
      <c r="BS75" s="497"/>
      <c r="BT75" s="497"/>
      <c r="BU75" s="497"/>
      <c r="BV75" s="497"/>
      <c r="BW75" s="497"/>
      <c r="BX75" s="497"/>
      <c r="BY75" s="497"/>
      <c r="BZ75" s="497"/>
      <c r="CA75" s="497"/>
      <c r="CB75" s="497"/>
      <c r="CC75" s="497"/>
      <c r="CD75" s="497"/>
      <c r="CE75" s="497"/>
    </row>
    <row r="76" spans="1:83" x14ac:dyDescent="0.25">
      <c r="B76" s="752">
        <v>231</v>
      </c>
      <c r="C76" s="635" t="s">
        <v>452</v>
      </c>
      <c r="D76" s="635" t="s">
        <v>453</v>
      </c>
      <c r="E76" s="497"/>
      <c r="F76" s="497"/>
      <c r="G76" s="497"/>
      <c r="H76" s="497"/>
      <c r="I76" s="497"/>
      <c r="J76" s="497"/>
      <c r="K76" s="497"/>
      <c r="L76" s="497"/>
      <c r="M76" s="497"/>
      <c r="N76" s="497"/>
      <c r="O76" s="497"/>
      <c r="P76" s="497"/>
      <c r="Q76" s="497"/>
      <c r="R76" s="497"/>
      <c r="S76" s="497"/>
      <c r="T76" s="497"/>
      <c r="U76" s="497"/>
      <c r="V76" s="497"/>
      <c r="W76" s="497"/>
      <c r="X76" s="497"/>
      <c r="Y76" s="497"/>
      <c r="Z76" s="497"/>
      <c r="AA76" s="497"/>
      <c r="AB76" s="497"/>
      <c r="AC76" s="497"/>
      <c r="AD76" s="497"/>
      <c r="AE76" s="497"/>
      <c r="AF76" s="497"/>
      <c r="AG76" s="497"/>
      <c r="AH76" s="497"/>
      <c r="AI76" s="497"/>
      <c r="AJ76" s="497"/>
      <c r="AK76" s="497"/>
      <c r="AL76" s="497"/>
      <c r="AM76" s="497"/>
      <c r="AN76" s="497"/>
      <c r="AO76" s="497"/>
      <c r="AP76" s="497"/>
      <c r="AQ76" s="497"/>
      <c r="AR76" s="497"/>
      <c r="AS76" s="497"/>
      <c r="AT76" s="497"/>
      <c r="AU76" s="497"/>
      <c r="AV76" s="497"/>
      <c r="AW76" s="497"/>
      <c r="AX76" s="497"/>
      <c r="AY76" s="497"/>
      <c r="AZ76" s="497"/>
      <c r="BA76" s="497"/>
      <c r="BB76" s="497"/>
      <c r="BC76" s="497"/>
      <c r="BD76" s="497"/>
      <c r="BE76" s="497"/>
      <c r="BF76" s="497"/>
      <c r="BG76" s="497"/>
      <c r="BH76" s="497"/>
      <c r="BI76" s="497"/>
      <c r="BJ76" s="497"/>
      <c r="BK76" s="497"/>
      <c r="BL76" s="497"/>
      <c r="BM76" s="497"/>
      <c r="BN76" s="497"/>
      <c r="BO76" s="497"/>
      <c r="BP76" s="497"/>
      <c r="BQ76" s="497"/>
      <c r="BR76" s="497"/>
      <c r="BS76" s="497"/>
      <c r="BT76" s="497"/>
      <c r="BU76" s="497"/>
      <c r="BV76" s="497"/>
      <c r="BW76" s="497"/>
      <c r="BX76" s="497"/>
      <c r="BY76" s="497"/>
      <c r="BZ76" s="497"/>
      <c r="CA76" s="497"/>
      <c r="CB76" s="497"/>
      <c r="CC76" s="497"/>
      <c r="CD76" s="497"/>
      <c r="CE76" s="497"/>
    </row>
    <row r="77" spans="1:83" x14ac:dyDescent="0.25">
      <c r="B77" s="752">
        <v>251</v>
      </c>
      <c r="C77" s="635" t="s">
        <v>454</v>
      </c>
      <c r="D77" s="635" t="s">
        <v>455</v>
      </c>
      <c r="E77" s="497"/>
      <c r="F77" s="497"/>
      <c r="G77" s="497"/>
      <c r="H77" s="497"/>
      <c r="I77" s="497"/>
      <c r="J77" s="497"/>
      <c r="K77" s="497"/>
      <c r="L77" s="497"/>
      <c r="M77" s="497"/>
      <c r="N77" s="497"/>
      <c r="O77" s="497"/>
      <c r="P77" s="497"/>
      <c r="Q77" s="497"/>
      <c r="R77" s="497"/>
      <c r="S77" s="497"/>
      <c r="T77" s="497"/>
      <c r="U77" s="497"/>
      <c r="V77" s="497"/>
      <c r="W77" s="497"/>
      <c r="X77" s="497"/>
      <c r="Y77" s="497"/>
      <c r="Z77" s="497"/>
      <c r="AA77" s="497"/>
      <c r="AB77" s="497"/>
      <c r="AC77" s="497"/>
      <c r="AD77" s="497"/>
      <c r="AE77" s="497"/>
      <c r="AF77" s="497"/>
      <c r="AG77" s="497"/>
      <c r="AH77" s="497"/>
      <c r="AI77" s="497"/>
      <c r="AJ77" s="497"/>
      <c r="AK77" s="497"/>
      <c r="AL77" s="497"/>
      <c r="AM77" s="497"/>
      <c r="AN77" s="497"/>
      <c r="AO77" s="497"/>
      <c r="AP77" s="497"/>
      <c r="AQ77" s="497"/>
      <c r="AR77" s="497"/>
      <c r="AS77" s="497"/>
      <c r="AT77" s="497"/>
      <c r="AU77" s="497"/>
      <c r="AV77" s="497"/>
      <c r="AW77" s="497"/>
      <c r="AX77" s="497"/>
      <c r="AY77" s="497"/>
      <c r="AZ77" s="497"/>
      <c r="BA77" s="497"/>
      <c r="BB77" s="497"/>
      <c r="BC77" s="497"/>
      <c r="BD77" s="497"/>
      <c r="BE77" s="497"/>
      <c r="BF77" s="497"/>
      <c r="BG77" s="497"/>
      <c r="BH77" s="497"/>
      <c r="BI77" s="497"/>
      <c r="BJ77" s="497"/>
      <c r="BK77" s="497"/>
      <c r="BL77" s="497"/>
      <c r="BM77" s="497"/>
      <c r="BN77" s="497"/>
      <c r="BO77" s="497"/>
      <c r="BP77" s="497"/>
      <c r="BQ77" s="497"/>
      <c r="BR77" s="497"/>
      <c r="BS77" s="497"/>
      <c r="BT77" s="497"/>
      <c r="BU77" s="497"/>
      <c r="BV77" s="497"/>
      <c r="BW77" s="497"/>
      <c r="BX77" s="497"/>
      <c r="BY77" s="497"/>
      <c r="BZ77" s="497"/>
      <c r="CA77" s="497"/>
      <c r="CB77" s="497"/>
      <c r="CC77" s="497"/>
      <c r="CD77" s="497"/>
      <c r="CE77" s="497"/>
    </row>
    <row r="78" spans="1:83" x14ac:dyDescent="0.25">
      <c r="A78" s="635">
        <v>252</v>
      </c>
      <c r="B78" s="752">
        <v>252</v>
      </c>
      <c r="C78" s="635" t="s">
        <v>110</v>
      </c>
      <c r="D78" s="635" t="s">
        <v>456</v>
      </c>
      <c r="E78" s="497">
        <v>1748734</v>
      </c>
      <c r="F78" s="497">
        <v>780087</v>
      </c>
      <c r="G78" s="497">
        <v>1446728</v>
      </c>
      <c r="H78" s="497">
        <v>679171</v>
      </c>
      <c r="I78" s="497">
        <v>364766</v>
      </c>
      <c r="J78" s="497">
        <v>344431</v>
      </c>
      <c r="K78" s="497">
        <v>76841</v>
      </c>
      <c r="L78" s="497">
        <v>63903</v>
      </c>
      <c r="M78" s="497">
        <v>6446135</v>
      </c>
      <c r="N78" s="497">
        <v>333857014</v>
      </c>
      <c r="O78" s="497">
        <v>4017073</v>
      </c>
      <c r="P78" s="497">
        <v>10948080</v>
      </c>
      <c r="Q78" s="497">
        <v>777828</v>
      </c>
      <c r="R78" s="497">
        <v>20591967</v>
      </c>
      <c r="S78" s="497">
        <v>198703</v>
      </c>
      <c r="T78" s="497">
        <v>5044</v>
      </c>
      <c r="U78" s="497">
        <v>353126</v>
      </c>
      <c r="V78" s="497">
        <v>1285948</v>
      </c>
      <c r="W78" s="497">
        <v>5332070</v>
      </c>
      <c r="X78" s="497">
        <v>789171</v>
      </c>
      <c r="Y78" s="497">
        <v>683480</v>
      </c>
      <c r="Z78" s="497">
        <v>426471</v>
      </c>
      <c r="AA78" s="497">
        <v>82138039</v>
      </c>
      <c r="AB78" s="497">
        <v>1252466</v>
      </c>
      <c r="AC78" s="497">
        <v>109825</v>
      </c>
      <c r="AD78" s="497">
        <v>63713621</v>
      </c>
      <c r="AE78" s="497">
        <v>263651</v>
      </c>
      <c r="AF78" s="497">
        <v>0</v>
      </c>
      <c r="AG78" s="497">
        <v>120872426</v>
      </c>
      <c r="AH78" s="497">
        <v>191890</v>
      </c>
      <c r="AI78" s="497">
        <v>229143</v>
      </c>
      <c r="AJ78" s="497">
        <v>3677962</v>
      </c>
      <c r="AK78" s="497">
        <v>642917</v>
      </c>
      <c r="AL78" s="497">
        <v>725375</v>
      </c>
      <c r="AM78" s="497">
        <v>0</v>
      </c>
      <c r="AN78" s="497">
        <v>633538</v>
      </c>
      <c r="AO78" s="497">
        <v>19032710</v>
      </c>
      <c r="AP78" s="497">
        <v>0</v>
      </c>
      <c r="AQ78" s="497">
        <v>5799379</v>
      </c>
      <c r="AR78" s="497">
        <v>2635463</v>
      </c>
      <c r="AS78" s="497">
        <v>395740</v>
      </c>
      <c r="AT78" s="497">
        <v>1374416</v>
      </c>
      <c r="AU78" s="497">
        <v>191681</v>
      </c>
      <c r="AV78" s="497">
        <v>217997394</v>
      </c>
      <c r="AW78" s="497">
        <v>171216050</v>
      </c>
      <c r="AX78" s="497">
        <v>680434</v>
      </c>
      <c r="AY78" s="497">
        <v>340751</v>
      </c>
      <c r="AZ78" s="497">
        <v>215552</v>
      </c>
      <c r="BA78" s="497">
        <v>94416</v>
      </c>
      <c r="BB78" s="497">
        <v>0</v>
      </c>
      <c r="BC78" s="497">
        <v>9402788</v>
      </c>
      <c r="BD78" s="497">
        <v>721002</v>
      </c>
      <c r="BE78" s="497">
        <v>217345</v>
      </c>
      <c r="BF78" s="497">
        <v>24880</v>
      </c>
      <c r="BG78" s="497">
        <v>18668809</v>
      </c>
      <c r="BH78" s="497">
        <v>20372</v>
      </c>
      <c r="BI78" s="497">
        <v>7288247</v>
      </c>
      <c r="BJ78" s="497">
        <v>1832107</v>
      </c>
      <c r="BK78" s="497">
        <v>624470</v>
      </c>
      <c r="BL78" s="497">
        <v>219852</v>
      </c>
      <c r="BM78" s="497">
        <v>17170576</v>
      </c>
      <c r="BN78" s="497">
        <v>21020174</v>
      </c>
      <c r="BO78" s="497">
        <v>1026982</v>
      </c>
      <c r="BP78" s="497">
        <v>53510932</v>
      </c>
      <c r="BQ78" s="497">
        <v>169390682</v>
      </c>
      <c r="BR78" s="497">
        <v>815320</v>
      </c>
      <c r="BS78" s="497">
        <v>12928654</v>
      </c>
      <c r="BT78" s="497">
        <v>2932178</v>
      </c>
      <c r="BU78" s="497">
        <v>20511801</v>
      </c>
      <c r="BV78" s="497">
        <v>1295976</v>
      </c>
      <c r="BW78" s="497">
        <v>729702</v>
      </c>
      <c r="BX78" s="497">
        <v>5687566</v>
      </c>
      <c r="BY78" s="497">
        <v>0</v>
      </c>
      <c r="BZ78" s="497">
        <v>108464520</v>
      </c>
      <c r="CA78" s="497">
        <v>1126837</v>
      </c>
      <c r="CB78" s="497">
        <v>18503271</v>
      </c>
      <c r="CC78" s="497">
        <v>396849</v>
      </c>
      <c r="CD78" s="497">
        <v>3519289</v>
      </c>
      <c r="CE78" s="497">
        <v>75601202</v>
      </c>
    </row>
    <row r="79" spans="1:83" x14ac:dyDescent="0.25">
      <c r="A79" s="635">
        <v>253</v>
      </c>
      <c r="B79" s="752">
        <v>253</v>
      </c>
      <c r="C79" s="635" t="s">
        <v>111</v>
      </c>
      <c r="D79" s="635" t="s">
        <v>457</v>
      </c>
      <c r="E79" s="497">
        <v>851350</v>
      </c>
      <c r="F79" s="497">
        <v>492267</v>
      </c>
      <c r="G79" s="497">
        <v>39154</v>
      </c>
      <c r="H79" s="497">
        <v>101009</v>
      </c>
      <c r="I79" s="497">
        <v>245712</v>
      </c>
      <c r="J79" s="497">
        <v>19897</v>
      </c>
      <c r="K79" s="497">
        <v>32430</v>
      </c>
      <c r="L79" s="497">
        <v>211772</v>
      </c>
      <c r="M79" s="497">
        <v>1262554</v>
      </c>
      <c r="N79" s="497">
        <v>45667826</v>
      </c>
      <c r="O79" s="497">
        <v>143122</v>
      </c>
      <c r="P79" s="497">
        <v>1588569</v>
      </c>
      <c r="Q79" s="497">
        <v>106372</v>
      </c>
      <c r="R79" s="497">
        <v>1901898</v>
      </c>
      <c r="S79" s="497">
        <v>14920</v>
      </c>
      <c r="T79" s="497">
        <v>71452</v>
      </c>
      <c r="U79" s="497">
        <v>266943</v>
      </c>
      <c r="V79" s="497">
        <v>100408</v>
      </c>
      <c r="W79" s="497">
        <v>1089462</v>
      </c>
      <c r="X79" s="497">
        <v>292140</v>
      </c>
      <c r="Y79" s="497">
        <v>241825</v>
      </c>
      <c r="Z79" s="497">
        <v>301835</v>
      </c>
      <c r="AA79" s="497">
        <v>18929007</v>
      </c>
      <c r="AB79" s="497">
        <v>3273524</v>
      </c>
      <c r="AC79" s="497">
        <v>121073</v>
      </c>
      <c r="AD79" s="497">
        <v>3853148</v>
      </c>
      <c r="AE79" s="497">
        <v>127823</v>
      </c>
      <c r="AF79" s="497">
        <v>0</v>
      </c>
      <c r="AG79" s="497">
        <v>17850203</v>
      </c>
      <c r="AH79" s="497">
        <v>212619</v>
      </c>
      <c r="AI79" s="497">
        <v>53614</v>
      </c>
      <c r="AJ79" s="497">
        <v>823510</v>
      </c>
      <c r="AK79" s="497">
        <v>142332</v>
      </c>
      <c r="AL79" s="497">
        <v>105654</v>
      </c>
      <c r="AM79" s="497">
        <v>0</v>
      </c>
      <c r="AN79" s="497">
        <v>122554</v>
      </c>
      <c r="AO79" s="497">
        <v>4683579</v>
      </c>
      <c r="AP79" s="497">
        <v>1850</v>
      </c>
      <c r="AQ79" s="497">
        <v>576953</v>
      </c>
      <c r="AR79" s="497">
        <v>398571</v>
      </c>
      <c r="AS79" s="497">
        <v>6920</v>
      </c>
      <c r="AT79" s="497">
        <v>1042650</v>
      </c>
      <c r="AU79" s="497">
        <v>208706</v>
      </c>
      <c r="AV79" s="497">
        <v>104822909</v>
      </c>
      <c r="AW79" s="497">
        <v>21505669</v>
      </c>
      <c r="AX79" s="497">
        <v>250268</v>
      </c>
      <c r="AY79" s="497">
        <v>98260</v>
      </c>
      <c r="AZ79" s="497">
        <v>98396</v>
      </c>
      <c r="BA79" s="497">
        <v>93074</v>
      </c>
      <c r="BB79" s="497">
        <v>0</v>
      </c>
      <c r="BC79" s="497">
        <v>623860</v>
      </c>
      <c r="BD79" s="497">
        <v>35614</v>
      </c>
      <c r="BE79" s="497">
        <v>56109</v>
      </c>
      <c r="BF79" s="497">
        <v>21825</v>
      </c>
      <c r="BG79" s="497">
        <v>1819152</v>
      </c>
      <c r="BH79" s="497">
        <v>21545</v>
      </c>
      <c r="BI79" s="497">
        <v>3757207</v>
      </c>
      <c r="BJ79" s="497">
        <v>2863820</v>
      </c>
      <c r="BK79" s="497">
        <v>93096</v>
      </c>
      <c r="BL79" s="497">
        <v>18584</v>
      </c>
      <c r="BM79" s="497">
        <v>3015547</v>
      </c>
      <c r="BN79" s="497">
        <v>3285875</v>
      </c>
      <c r="BO79" s="497">
        <v>545444</v>
      </c>
      <c r="BP79" s="497">
        <v>14173415</v>
      </c>
      <c r="BQ79" s="497">
        <v>36912361</v>
      </c>
      <c r="BR79" s="497">
        <v>25230</v>
      </c>
      <c r="BS79" s="497">
        <v>1129208</v>
      </c>
      <c r="BT79" s="497">
        <v>85138</v>
      </c>
      <c r="BU79" s="497">
        <v>3757005</v>
      </c>
      <c r="BV79" s="497">
        <v>82154</v>
      </c>
      <c r="BW79" s="497">
        <v>212167</v>
      </c>
      <c r="BX79" s="497">
        <v>124472</v>
      </c>
      <c r="BY79" s="497">
        <v>0</v>
      </c>
      <c r="BZ79" s="497">
        <v>10730713</v>
      </c>
      <c r="CA79" s="497">
        <v>79782</v>
      </c>
      <c r="CB79" s="497">
        <v>2037671</v>
      </c>
      <c r="CC79" s="497">
        <v>120667</v>
      </c>
      <c r="CD79" s="497">
        <v>493460</v>
      </c>
      <c r="CE79" s="497">
        <v>23482792</v>
      </c>
    </row>
    <row r="80" spans="1:83" x14ac:dyDescent="0.25">
      <c r="A80" s="635">
        <v>254</v>
      </c>
      <c r="B80" s="752">
        <v>254</v>
      </c>
      <c r="C80" s="635" t="s">
        <v>112</v>
      </c>
      <c r="D80" s="635" t="s">
        <v>458</v>
      </c>
      <c r="E80" s="497">
        <v>-272065</v>
      </c>
      <c r="F80" s="497">
        <v>-833125</v>
      </c>
      <c r="G80" s="497">
        <v>399955</v>
      </c>
      <c r="H80" s="497">
        <v>687846</v>
      </c>
      <c r="I80" s="497">
        <v>476701</v>
      </c>
      <c r="J80" s="497">
        <v>173262</v>
      </c>
      <c r="K80" s="497">
        <v>100421</v>
      </c>
      <c r="L80" s="497">
        <v>457387</v>
      </c>
      <c r="M80" s="497">
        <v>80854</v>
      </c>
      <c r="N80" s="497">
        <v>8772466</v>
      </c>
      <c r="O80" s="497">
        <v>3079138</v>
      </c>
      <c r="P80" s="497">
        <v>2979913</v>
      </c>
      <c r="Q80" s="497">
        <v>98534</v>
      </c>
      <c r="R80" s="497">
        <v>-8499910</v>
      </c>
      <c r="S80" s="497">
        <v>125998</v>
      </c>
      <c r="T80" s="497">
        <v>512907</v>
      </c>
      <c r="U80" s="497">
        <v>264241</v>
      </c>
      <c r="V80" s="497">
        <v>912126</v>
      </c>
      <c r="W80" s="497">
        <v>669713</v>
      </c>
      <c r="X80" s="497">
        <v>713557</v>
      </c>
      <c r="Y80" s="497">
        <v>456778</v>
      </c>
      <c r="Z80" s="497">
        <v>-418917</v>
      </c>
      <c r="AA80" s="497">
        <v>12639812</v>
      </c>
      <c r="AB80" s="497">
        <v>4087106</v>
      </c>
      <c r="AC80" s="497">
        <v>705599</v>
      </c>
      <c r="AD80" s="497">
        <v>3271208</v>
      </c>
      <c r="AE80" s="497">
        <v>450762</v>
      </c>
      <c r="AF80" s="497">
        <v>0</v>
      </c>
      <c r="AG80" s="497">
        <v>-40909926</v>
      </c>
      <c r="AH80" s="497">
        <v>671110</v>
      </c>
      <c r="AI80" s="497">
        <v>281914</v>
      </c>
      <c r="AJ80" s="497">
        <v>897113</v>
      </c>
      <c r="AK80" s="497">
        <v>654083</v>
      </c>
      <c r="AL80" s="497">
        <v>37067</v>
      </c>
      <c r="AM80" s="497">
        <v>0</v>
      </c>
      <c r="AN80" s="497">
        <v>564347</v>
      </c>
      <c r="AO80" s="497">
        <v>-2941773</v>
      </c>
      <c r="AP80" s="497">
        <v>48884</v>
      </c>
      <c r="AQ80" s="497">
        <v>1918004</v>
      </c>
      <c r="AR80" s="497">
        <v>1916716</v>
      </c>
      <c r="AS80" s="497">
        <v>200425</v>
      </c>
      <c r="AT80" s="497">
        <v>516535</v>
      </c>
      <c r="AU80" s="497">
        <v>475763</v>
      </c>
      <c r="AV80" s="497">
        <v>-86837164</v>
      </c>
      <c r="AW80" s="497">
        <v>-5769628</v>
      </c>
      <c r="AX80" s="497">
        <v>529942</v>
      </c>
      <c r="AY80" s="497">
        <v>260521</v>
      </c>
      <c r="AZ80" s="497">
        <v>227509</v>
      </c>
      <c r="BA80" s="497">
        <v>80164</v>
      </c>
      <c r="BB80" s="497">
        <v>0</v>
      </c>
      <c r="BC80" s="497">
        <v>-4434725</v>
      </c>
      <c r="BD80" s="497">
        <v>1136355</v>
      </c>
      <c r="BE80" s="497">
        <v>194990</v>
      </c>
      <c r="BF80" s="497">
        <v>112229</v>
      </c>
      <c r="BG80" s="497">
        <v>7624906</v>
      </c>
      <c r="BH80" s="497">
        <v>65457</v>
      </c>
      <c r="BI80" s="497">
        <v>5048225</v>
      </c>
      <c r="BJ80" s="497">
        <v>2071464</v>
      </c>
      <c r="BK80" s="497">
        <v>549959</v>
      </c>
      <c r="BL80" s="497">
        <v>477943</v>
      </c>
      <c r="BM80" s="497">
        <v>-2094532</v>
      </c>
      <c r="BN80" s="497">
        <v>1110510</v>
      </c>
      <c r="BO80" s="497">
        <v>1339794</v>
      </c>
      <c r="BP80" s="497">
        <v>5909646</v>
      </c>
      <c r="BQ80" s="497">
        <v>-16801647</v>
      </c>
      <c r="BR80" s="497">
        <v>231648</v>
      </c>
      <c r="BS80" s="497">
        <v>3070458</v>
      </c>
      <c r="BT80" s="497">
        <v>2576047</v>
      </c>
      <c r="BU80" s="497">
        <v>1312978</v>
      </c>
      <c r="BV80" s="497">
        <v>279645</v>
      </c>
      <c r="BW80" s="497">
        <v>935246</v>
      </c>
      <c r="BX80" s="497">
        <v>1464780</v>
      </c>
      <c r="BY80" s="497">
        <v>0</v>
      </c>
      <c r="BZ80" s="497">
        <v>13901463</v>
      </c>
      <c r="CA80" s="497">
        <v>106076</v>
      </c>
      <c r="CB80" s="497">
        <v>-3426477</v>
      </c>
      <c r="CC80" s="497">
        <v>385679</v>
      </c>
      <c r="CD80" s="497">
        <v>1030239</v>
      </c>
      <c r="CE80" s="497">
        <v>29280258</v>
      </c>
    </row>
    <row r="81" spans="1:83" x14ac:dyDescent="0.25">
      <c r="A81" s="635">
        <v>255</v>
      </c>
      <c r="B81" s="752">
        <v>255</v>
      </c>
      <c r="C81" s="635" t="s">
        <v>262</v>
      </c>
      <c r="D81" s="635" t="s">
        <v>459</v>
      </c>
      <c r="E81" s="497">
        <v>1263287</v>
      </c>
      <c r="F81" s="497">
        <v>253860</v>
      </c>
      <c r="G81" s="497">
        <v>-72587</v>
      </c>
      <c r="H81" s="497">
        <v>79427</v>
      </c>
      <c r="I81" s="497">
        <v>102357</v>
      </c>
      <c r="J81" s="497">
        <v>152693</v>
      </c>
      <c r="K81" s="497">
        <v>-4579</v>
      </c>
      <c r="L81" s="497">
        <v>22926</v>
      </c>
      <c r="M81" s="497">
        <v>797797</v>
      </c>
      <c r="N81" s="497">
        <v>7347844</v>
      </c>
      <c r="O81" s="497">
        <v>-32792</v>
      </c>
      <c r="P81" s="497">
        <v>1718236</v>
      </c>
      <c r="Q81" s="497">
        <v>17462</v>
      </c>
      <c r="R81" s="497">
        <v>-758633</v>
      </c>
      <c r="S81" s="497">
        <v>2443</v>
      </c>
      <c r="T81" s="497">
        <v>27036</v>
      </c>
      <c r="U81" s="497">
        <v>13184</v>
      </c>
      <c r="V81" s="497">
        <v>-444307</v>
      </c>
      <c r="W81" s="497">
        <v>652516</v>
      </c>
      <c r="X81" s="497">
        <v>-184005</v>
      </c>
      <c r="Y81" s="497">
        <v>-40100</v>
      </c>
      <c r="Z81" s="497">
        <v>-39373</v>
      </c>
      <c r="AA81" s="497">
        <v>13500339</v>
      </c>
      <c r="AB81" s="497">
        <v>605298</v>
      </c>
      <c r="AC81" s="497">
        <v>78972</v>
      </c>
      <c r="AD81" s="497">
        <v>-548355</v>
      </c>
      <c r="AE81" s="497">
        <v>24646</v>
      </c>
      <c r="AF81" s="497">
        <v>0</v>
      </c>
      <c r="AG81" s="497">
        <v>3342486</v>
      </c>
      <c r="AH81" s="497">
        <v>46251</v>
      </c>
      <c r="AI81" s="497">
        <v>42313</v>
      </c>
      <c r="AJ81" s="497">
        <v>-210731</v>
      </c>
      <c r="AK81" s="497">
        <v>43975</v>
      </c>
      <c r="AL81" s="497">
        <v>2774</v>
      </c>
      <c r="AM81" s="497">
        <v>0</v>
      </c>
      <c r="AN81" s="497">
        <v>30191</v>
      </c>
      <c r="AO81" s="497">
        <v>507616</v>
      </c>
      <c r="AP81" s="497">
        <v>-19968</v>
      </c>
      <c r="AQ81" s="497">
        <v>164265</v>
      </c>
      <c r="AR81" s="497">
        <v>234518</v>
      </c>
      <c r="AS81" s="497">
        <v>90153</v>
      </c>
      <c r="AT81" s="497">
        <v>79298</v>
      </c>
      <c r="AU81" s="497">
        <v>115911</v>
      </c>
      <c r="AV81" s="497">
        <v>-13159235</v>
      </c>
      <c r="AW81" s="497">
        <v>13204525</v>
      </c>
      <c r="AX81" s="497">
        <v>-64771</v>
      </c>
      <c r="AY81" s="497">
        <v>17335</v>
      </c>
      <c r="AZ81" s="497">
        <v>-1310</v>
      </c>
      <c r="BA81" s="497">
        <v>31012</v>
      </c>
      <c r="BB81" s="497">
        <v>0</v>
      </c>
      <c r="BC81" s="497">
        <v>-878903</v>
      </c>
      <c r="BD81" s="497">
        <v>18358</v>
      </c>
      <c r="BE81" s="497">
        <v>10404</v>
      </c>
      <c r="BF81" s="497">
        <v>2619</v>
      </c>
      <c r="BG81" s="497">
        <v>4819204</v>
      </c>
      <c r="BH81" s="497">
        <v>2547</v>
      </c>
      <c r="BI81" s="497">
        <v>1109304</v>
      </c>
      <c r="BJ81" s="497">
        <v>-154049</v>
      </c>
      <c r="BK81" s="497">
        <v>68330</v>
      </c>
      <c r="BL81" s="497">
        <v>-5022</v>
      </c>
      <c r="BM81" s="497">
        <v>752227</v>
      </c>
      <c r="BN81" s="497">
        <v>-445793</v>
      </c>
      <c r="BO81" s="497">
        <v>47801</v>
      </c>
      <c r="BP81" s="497">
        <v>2666427</v>
      </c>
      <c r="BQ81" s="497">
        <v>-817615</v>
      </c>
      <c r="BR81" s="497">
        <v>69945</v>
      </c>
      <c r="BS81" s="497">
        <v>186282</v>
      </c>
      <c r="BT81" s="497">
        <v>-432285</v>
      </c>
      <c r="BU81" s="497">
        <v>2445553</v>
      </c>
      <c r="BV81" s="497">
        <v>-11359</v>
      </c>
      <c r="BW81" s="497">
        <v>350032</v>
      </c>
      <c r="BX81" s="497">
        <v>1345209</v>
      </c>
      <c r="BY81" s="497">
        <v>0</v>
      </c>
      <c r="BZ81" s="497">
        <v>13881511</v>
      </c>
      <c r="CA81" s="497">
        <v>-15317</v>
      </c>
      <c r="CB81" s="497">
        <v>-372565</v>
      </c>
      <c r="CC81" s="497">
        <v>89186</v>
      </c>
      <c r="CD81" s="497">
        <v>147811</v>
      </c>
      <c r="CE81" s="497">
        <v>12077827</v>
      </c>
    </row>
    <row r="82" spans="1:83" x14ac:dyDescent="0.25">
      <c r="B82" s="752">
        <v>274</v>
      </c>
      <c r="C82" s="635" t="s">
        <v>460</v>
      </c>
      <c r="D82" s="635" t="s">
        <v>461</v>
      </c>
      <c r="E82" s="497"/>
      <c r="F82" s="497"/>
      <c r="G82" s="497"/>
      <c r="H82" s="497"/>
      <c r="I82" s="497"/>
      <c r="J82" s="497"/>
      <c r="K82" s="497"/>
      <c r="L82" s="497"/>
      <c r="M82" s="497"/>
      <c r="N82" s="497"/>
      <c r="O82" s="497"/>
      <c r="P82" s="497"/>
      <c r="Q82" s="497"/>
      <c r="R82" s="497"/>
      <c r="S82" s="497"/>
      <c r="T82" s="497"/>
      <c r="U82" s="497"/>
      <c r="V82" s="497"/>
      <c r="W82" s="497"/>
      <c r="X82" s="497"/>
      <c r="Y82" s="497"/>
      <c r="Z82" s="497"/>
      <c r="AA82" s="497"/>
      <c r="AB82" s="497"/>
      <c r="AC82" s="497"/>
      <c r="AD82" s="497"/>
      <c r="AE82" s="497"/>
      <c r="AF82" s="497"/>
      <c r="AG82" s="497"/>
      <c r="AH82" s="497"/>
      <c r="AI82" s="497"/>
      <c r="AJ82" s="497"/>
      <c r="AK82" s="497"/>
      <c r="AL82" s="497"/>
      <c r="AM82" s="497"/>
      <c r="AN82" s="497"/>
      <c r="AO82" s="497"/>
      <c r="AP82" s="497"/>
      <c r="AQ82" s="497"/>
      <c r="AR82" s="497"/>
      <c r="AS82" s="497"/>
      <c r="AT82" s="497"/>
      <c r="AU82" s="497"/>
      <c r="AV82" s="497"/>
      <c r="AW82" s="497"/>
      <c r="AX82" s="497"/>
      <c r="AY82" s="497"/>
      <c r="AZ82" s="497"/>
      <c r="BA82" s="497"/>
      <c r="BB82" s="497"/>
      <c r="BC82" s="497"/>
      <c r="BD82" s="497"/>
      <c r="BE82" s="497"/>
      <c r="BF82" s="497"/>
      <c r="BG82" s="497"/>
      <c r="BH82" s="497"/>
      <c r="BI82" s="497"/>
      <c r="BJ82" s="497"/>
      <c r="BK82" s="497"/>
      <c r="BL82" s="497"/>
      <c r="BM82" s="497"/>
      <c r="BN82" s="497"/>
      <c r="BO82" s="497"/>
      <c r="BP82" s="497"/>
      <c r="BQ82" s="497"/>
      <c r="BR82" s="497"/>
      <c r="BS82" s="497"/>
      <c r="BT82" s="497"/>
      <c r="BU82" s="497"/>
      <c r="BV82" s="497"/>
      <c r="BW82" s="497"/>
      <c r="BX82" s="497"/>
      <c r="BY82" s="497"/>
      <c r="BZ82" s="497"/>
      <c r="CA82" s="497"/>
      <c r="CB82" s="497"/>
      <c r="CC82" s="497"/>
      <c r="CD82" s="497"/>
      <c r="CE82" s="497"/>
    </row>
    <row r="83" spans="1:83" x14ac:dyDescent="0.25">
      <c r="B83" s="752">
        <v>294</v>
      </c>
      <c r="C83" s="635" t="s">
        <v>1178</v>
      </c>
      <c r="D83" s="635" t="s">
        <v>462</v>
      </c>
      <c r="E83" s="497"/>
      <c r="F83" s="497"/>
      <c r="G83" s="497"/>
      <c r="H83" s="497"/>
      <c r="I83" s="497"/>
      <c r="J83" s="497"/>
      <c r="K83" s="497"/>
      <c r="L83" s="497"/>
      <c r="M83" s="497"/>
      <c r="N83" s="497"/>
      <c r="O83" s="497"/>
      <c r="P83" s="497"/>
      <c r="Q83" s="497"/>
      <c r="R83" s="497"/>
      <c r="S83" s="497"/>
      <c r="T83" s="497"/>
      <c r="U83" s="497"/>
      <c r="V83" s="497"/>
      <c r="W83" s="497"/>
      <c r="X83" s="497"/>
      <c r="Y83" s="497"/>
      <c r="Z83" s="497"/>
      <c r="AA83" s="497"/>
      <c r="AB83" s="497"/>
      <c r="AC83" s="497"/>
      <c r="AD83" s="497"/>
      <c r="AE83" s="497"/>
      <c r="AF83" s="497"/>
      <c r="AG83" s="497"/>
      <c r="AH83" s="497"/>
      <c r="AI83" s="497"/>
      <c r="AJ83" s="497"/>
      <c r="AK83" s="497"/>
      <c r="AL83" s="497"/>
      <c r="AM83" s="497"/>
      <c r="AN83" s="497"/>
      <c r="AO83" s="497"/>
      <c r="AP83" s="497"/>
      <c r="AQ83" s="497"/>
      <c r="AR83" s="497"/>
      <c r="AS83" s="497"/>
      <c r="AT83" s="497"/>
      <c r="AU83" s="497"/>
      <c r="AV83" s="497"/>
      <c r="AW83" s="497"/>
      <c r="AX83" s="497"/>
      <c r="AY83" s="497"/>
      <c r="AZ83" s="497"/>
      <c r="BA83" s="497"/>
      <c r="BB83" s="497"/>
      <c r="BC83" s="497"/>
      <c r="BD83" s="497"/>
      <c r="BE83" s="497"/>
      <c r="BF83" s="497"/>
      <c r="BG83" s="497"/>
      <c r="BH83" s="497"/>
      <c r="BI83" s="497"/>
      <c r="BJ83" s="497"/>
      <c r="BK83" s="497"/>
      <c r="BL83" s="497"/>
      <c r="BM83" s="497"/>
      <c r="BN83" s="497"/>
      <c r="BO83" s="497"/>
      <c r="BP83" s="497"/>
      <c r="BQ83" s="497"/>
      <c r="BR83" s="497"/>
      <c r="BS83" s="497"/>
      <c r="BT83" s="497"/>
      <c r="BU83" s="497"/>
      <c r="BV83" s="497"/>
      <c r="BW83" s="497"/>
      <c r="BX83" s="497"/>
      <c r="BY83" s="497"/>
      <c r="BZ83" s="497"/>
      <c r="CA83" s="497"/>
      <c r="CB83" s="497"/>
      <c r="CC83" s="497"/>
      <c r="CD83" s="497"/>
      <c r="CE83" s="497"/>
    </row>
    <row r="84" spans="1:83" x14ac:dyDescent="0.25">
      <c r="B84" s="752">
        <v>314</v>
      </c>
      <c r="C84" s="635" t="s">
        <v>463</v>
      </c>
      <c r="D84" s="635" t="s">
        <v>464</v>
      </c>
      <c r="E84" s="497"/>
      <c r="F84" s="497"/>
      <c r="G84" s="497"/>
      <c r="H84" s="497"/>
      <c r="I84" s="497"/>
      <c r="J84" s="497"/>
      <c r="K84" s="497"/>
      <c r="L84" s="497"/>
      <c r="M84" s="497"/>
      <c r="N84" s="497"/>
      <c r="O84" s="497"/>
      <c r="P84" s="497"/>
      <c r="Q84" s="497"/>
      <c r="R84" s="497"/>
      <c r="S84" s="497"/>
      <c r="T84" s="497"/>
      <c r="U84" s="497"/>
      <c r="V84" s="497"/>
      <c r="W84" s="497"/>
      <c r="X84" s="497"/>
      <c r="Y84" s="497"/>
      <c r="Z84" s="497"/>
      <c r="AA84" s="497"/>
      <c r="AB84" s="497"/>
      <c r="AC84" s="497"/>
      <c r="AD84" s="497"/>
      <c r="AE84" s="497"/>
      <c r="AF84" s="497"/>
      <c r="AG84" s="497"/>
      <c r="AH84" s="497"/>
      <c r="AI84" s="497"/>
      <c r="AJ84" s="497"/>
      <c r="AK84" s="497"/>
      <c r="AL84" s="497"/>
      <c r="AM84" s="497"/>
      <c r="AN84" s="497"/>
      <c r="AO84" s="497"/>
      <c r="AP84" s="497"/>
      <c r="AQ84" s="497"/>
      <c r="AR84" s="497"/>
      <c r="AS84" s="497"/>
      <c r="AT84" s="497"/>
      <c r="AU84" s="497"/>
      <c r="AV84" s="497"/>
      <c r="AW84" s="497"/>
      <c r="AX84" s="497"/>
      <c r="AY84" s="497"/>
      <c r="AZ84" s="497"/>
      <c r="BA84" s="497"/>
      <c r="BB84" s="497"/>
      <c r="BC84" s="497"/>
      <c r="BD84" s="497"/>
      <c r="BE84" s="497"/>
      <c r="BF84" s="497"/>
      <c r="BG84" s="497"/>
      <c r="BH84" s="497"/>
      <c r="BI84" s="497"/>
      <c r="BJ84" s="497"/>
      <c r="BK84" s="497"/>
      <c r="BL84" s="497"/>
      <c r="BM84" s="497"/>
      <c r="BN84" s="497"/>
      <c r="BO84" s="497"/>
      <c r="BP84" s="497"/>
      <c r="BQ84" s="497"/>
      <c r="BR84" s="497"/>
      <c r="BS84" s="497"/>
      <c r="BT84" s="497"/>
      <c r="BU84" s="497"/>
      <c r="BV84" s="497"/>
      <c r="BW84" s="497"/>
      <c r="BX84" s="497"/>
      <c r="BY84" s="497"/>
      <c r="BZ84" s="497"/>
      <c r="CA84" s="497"/>
      <c r="CB84" s="497"/>
      <c r="CC84" s="497"/>
      <c r="CD84" s="497"/>
      <c r="CE84" s="497"/>
    </row>
    <row r="85" spans="1:83" x14ac:dyDescent="0.25">
      <c r="B85" s="752">
        <v>315</v>
      </c>
      <c r="C85" s="635" t="s">
        <v>465</v>
      </c>
      <c r="D85" s="635" t="s">
        <v>466</v>
      </c>
      <c r="E85" s="497"/>
      <c r="F85" s="497"/>
      <c r="G85" s="497"/>
      <c r="H85" s="497"/>
      <c r="I85" s="497"/>
      <c r="J85" s="497"/>
      <c r="K85" s="497"/>
      <c r="L85" s="497"/>
      <c r="M85" s="497"/>
      <c r="N85" s="497"/>
      <c r="O85" s="497"/>
      <c r="P85" s="497"/>
      <c r="Q85" s="497"/>
      <c r="R85" s="497"/>
      <c r="S85" s="497"/>
      <c r="T85" s="497"/>
      <c r="U85" s="497"/>
      <c r="V85" s="497"/>
      <c r="W85" s="497"/>
      <c r="X85" s="497"/>
      <c r="Y85" s="497"/>
      <c r="Z85" s="497"/>
      <c r="AA85" s="497"/>
      <c r="AB85" s="497"/>
      <c r="AC85" s="497"/>
      <c r="AD85" s="497"/>
      <c r="AE85" s="497"/>
      <c r="AF85" s="497"/>
      <c r="AG85" s="497"/>
      <c r="AH85" s="497"/>
      <c r="AI85" s="497"/>
      <c r="AJ85" s="497"/>
      <c r="AK85" s="497"/>
      <c r="AL85" s="497"/>
      <c r="AM85" s="497"/>
      <c r="AN85" s="497"/>
      <c r="AO85" s="497"/>
      <c r="AP85" s="497"/>
      <c r="AQ85" s="497"/>
      <c r="AR85" s="497"/>
      <c r="AS85" s="497"/>
      <c r="AT85" s="497"/>
      <c r="AU85" s="497"/>
      <c r="AV85" s="497"/>
      <c r="AW85" s="497"/>
      <c r="AX85" s="497"/>
      <c r="AY85" s="497"/>
      <c r="AZ85" s="497"/>
      <c r="BA85" s="497"/>
      <c r="BB85" s="497"/>
      <c r="BC85" s="497"/>
      <c r="BD85" s="497"/>
      <c r="BE85" s="497"/>
      <c r="BF85" s="497"/>
      <c r="BG85" s="497"/>
      <c r="BH85" s="497"/>
      <c r="BI85" s="497"/>
      <c r="BJ85" s="497"/>
      <c r="BK85" s="497"/>
      <c r="BL85" s="497"/>
      <c r="BM85" s="497"/>
      <c r="BN85" s="497"/>
      <c r="BO85" s="497"/>
      <c r="BP85" s="497"/>
      <c r="BQ85" s="497"/>
      <c r="BR85" s="497"/>
      <c r="BS85" s="497"/>
      <c r="BT85" s="497"/>
      <c r="BU85" s="497"/>
      <c r="BV85" s="497"/>
      <c r="BW85" s="497"/>
      <c r="BX85" s="497"/>
      <c r="BY85" s="497"/>
      <c r="BZ85" s="497"/>
      <c r="CA85" s="497"/>
      <c r="CB85" s="497"/>
      <c r="CC85" s="497"/>
      <c r="CD85" s="497"/>
      <c r="CE85" s="497"/>
    </row>
    <row r="86" spans="1:83" x14ac:dyDescent="0.25">
      <c r="B86" s="752">
        <v>316</v>
      </c>
      <c r="C86" s="635" t="s">
        <v>467</v>
      </c>
      <c r="D86" s="635" t="s">
        <v>468</v>
      </c>
      <c r="E86" s="497"/>
      <c r="F86" s="497"/>
      <c r="G86" s="497"/>
      <c r="H86" s="497"/>
      <c r="I86" s="497"/>
      <c r="J86" s="497"/>
      <c r="K86" s="497"/>
      <c r="L86" s="497"/>
      <c r="M86" s="497"/>
      <c r="N86" s="497"/>
      <c r="O86" s="497"/>
      <c r="P86" s="497"/>
      <c r="Q86" s="497"/>
      <c r="R86" s="497"/>
      <c r="S86" s="497"/>
      <c r="T86" s="497"/>
      <c r="U86" s="497"/>
      <c r="V86" s="497"/>
      <c r="W86" s="497"/>
      <c r="X86" s="497"/>
      <c r="Y86" s="497"/>
      <c r="Z86" s="497"/>
      <c r="AA86" s="497"/>
      <c r="AB86" s="497"/>
      <c r="AC86" s="497"/>
      <c r="AD86" s="497"/>
      <c r="AE86" s="497"/>
      <c r="AF86" s="497"/>
      <c r="AG86" s="497"/>
      <c r="AH86" s="497"/>
      <c r="AI86" s="497"/>
      <c r="AJ86" s="497"/>
      <c r="AK86" s="497"/>
      <c r="AL86" s="497"/>
      <c r="AM86" s="497"/>
      <c r="AN86" s="497"/>
      <c r="AO86" s="497"/>
      <c r="AP86" s="497"/>
      <c r="AQ86" s="497"/>
      <c r="AR86" s="497"/>
      <c r="AS86" s="497"/>
      <c r="AT86" s="497"/>
      <c r="AU86" s="497"/>
      <c r="AV86" s="497"/>
      <c r="AW86" s="497"/>
      <c r="AX86" s="497"/>
      <c r="AY86" s="497"/>
      <c r="AZ86" s="497"/>
      <c r="BA86" s="497"/>
      <c r="BB86" s="497"/>
      <c r="BC86" s="497"/>
      <c r="BD86" s="497"/>
      <c r="BE86" s="497"/>
      <c r="BF86" s="497"/>
      <c r="BG86" s="497"/>
      <c r="BH86" s="497"/>
      <c r="BI86" s="497"/>
      <c r="BJ86" s="497"/>
      <c r="BK86" s="497"/>
      <c r="BL86" s="497"/>
      <c r="BM86" s="497"/>
      <c r="BN86" s="497"/>
      <c r="BO86" s="497"/>
      <c r="BP86" s="497"/>
      <c r="BQ86" s="497"/>
      <c r="BR86" s="497"/>
      <c r="BS86" s="497"/>
      <c r="BT86" s="497"/>
      <c r="BU86" s="497"/>
      <c r="BV86" s="497"/>
      <c r="BW86" s="497"/>
      <c r="BX86" s="497"/>
      <c r="BY86" s="497"/>
      <c r="BZ86" s="497"/>
      <c r="CA86" s="497"/>
      <c r="CB86" s="497"/>
      <c r="CC86" s="497"/>
      <c r="CD86" s="497"/>
      <c r="CE86" s="497"/>
    </row>
    <row r="87" spans="1:83" x14ac:dyDescent="0.25">
      <c r="B87" s="752">
        <v>320</v>
      </c>
      <c r="C87" s="635" t="s">
        <v>323</v>
      </c>
      <c r="D87" s="635" t="s">
        <v>469</v>
      </c>
      <c r="E87" s="497"/>
      <c r="F87" s="497"/>
      <c r="G87" s="497"/>
      <c r="H87" s="497"/>
      <c r="I87" s="497"/>
      <c r="J87" s="497"/>
      <c r="K87" s="497"/>
      <c r="L87" s="497"/>
      <c r="M87" s="497"/>
      <c r="N87" s="497"/>
      <c r="O87" s="497"/>
      <c r="P87" s="497"/>
      <c r="Q87" s="497"/>
      <c r="R87" s="497"/>
      <c r="S87" s="497"/>
      <c r="T87" s="497"/>
      <c r="U87" s="497"/>
      <c r="V87" s="497"/>
      <c r="W87" s="497"/>
      <c r="X87" s="497"/>
      <c r="Y87" s="497"/>
      <c r="Z87" s="497"/>
      <c r="AA87" s="497"/>
      <c r="AB87" s="497"/>
      <c r="AC87" s="497"/>
      <c r="AD87" s="497"/>
      <c r="AE87" s="497"/>
      <c r="AF87" s="497"/>
      <c r="AG87" s="497"/>
      <c r="AH87" s="497"/>
      <c r="AI87" s="497"/>
      <c r="AJ87" s="497"/>
      <c r="AK87" s="497"/>
      <c r="AL87" s="497"/>
      <c r="AM87" s="497"/>
      <c r="AN87" s="497"/>
      <c r="AO87" s="497"/>
      <c r="AP87" s="497"/>
      <c r="AQ87" s="497"/>
      <c r="AR87" s="497"/>
      <c r="AS87" s="497"/>
      <c r="AT87" s="497"/>
      <c r="AU87" s="497"/>
      <c r="AV87" s="497"/>
      <c r="AW87" s="497"/>
      <c r="AX87" s="497"/>
      <c r="AY87" s="497"/>
      <c r="AZ87" s="497"/>
      <c r="BA87" s="497"/>
      <c r="BB87" s="497"/>
      <c r="BC87" s="497"/>
      <c r="BD87" s="497"/>
      <c r="BE87" s="497"/>
      <c r="BF87" s="497"/>
      <c r="BG87" s="497"/>
      <c r="BH87" s="497"/>
      <c r="BI87" s="497"/>
      <c r="BJ87" s="497"/>
      <c r="BK87" s="497"/>
      <c r="BL87" s="497"/>
      <c r="BM87" s="497"/>
      <c r="BN87" s="497"/>
      <c r="BO87" s="497"/>
      <c r="BP87" s="497"/>
      <c r="BQ87" s="497"/>
      <c r="BR87" s="497"/>
      <c r="BS87" s="497"/>
      <c r="BT87" s="497"/>
      <c r="BU87" s="497"/>
      <c r="BV87" s="497"/>
      <c r="BW87" s="497"/>
      <c r="BX87" s="497"/>
      <c r="BY87" s="497"/>
      <c r="BZ87" s="497"/>
      <c r="CA87" s="497"/>
      <c r="CB87" s="497"/>
      <c r="CC87" s="497"/>
      <c r="CD87" s="497"/>
      <c r="CE87" s="497"/>
    </row>
    <row r="88" spans="1:83" x14ac:dyDescent="0.25">
      <c r="B88" s="752">
        <v>321</v>
      </c>
      <c r="C88" s="635" t="s">
        <v>1179</v>
      </c>
      <c r="D88" s="635" t="s">
        <v>470</v>
      </c>
      <c r="E88" s="497"/>
      <c r="F88" s="497"/>
      <c r="G88" s="497"/>
      <c r="H88" s="497"/>
      <c r="I88" s="497"/>
      <c r="J88" s="497"/>
      <c r="K88" s="497"/>
      <c r="L88" s="497"/>
      <c r="M88" s="497"/>
      <c r="N88" s="497"/>
      <c r="O88" s="497"/>
      <c r="P88" s="497"/>
      <c r="Q88" s="497"/>
      <c r="R88" s="497"/>
      <c r="S88" s="497"/>
      <c r="T88" s="497"/>
      <c r="U88" s="497"/>
      <c r="V88" s="497"/>
      <c r="W88" s="497"/>
      <c r="X88" s="497"/>
      <c r="Y88" s="497"/>
      <c r="Z88" s="497"/>
      <c r="AA88" s="497"/>
      <c r="AB88" s="497"/>
      <c r="AC88" s="497"/>
      <c r="AD88" s="497"/>
      <c r="AE88" s="497"/>
      <c r="AF88" s="497"/>
      <c r="AG88" s="497"/>
      <c r="AH88" s="497"/>
      <c r="AI88" s="497"/>
      <c r="AJ88" s="497"/>
      <c r="AK88" s="497"/>
      <c r="AL88" s="497"/>
      <c r="AM88" s="497"/>
      <c r="AN88" s="497"/>
      <c r="AO88" s="497"/>
      <c r="AP88" s="497"/>
      <c r="AQ88" s="497"/>
      <c r="AR88" s="497"/>
      <c r="AS88" s="497"/>
      <c r="AT88" s="497"/>
      <c r="AU88" s="497"/>
      <c r="AV88" s="497"/>
      <c r="AW88" s="497"/>
      <c r="AX88" s="497"/>
      <c r="AY88" s="497"/>
      <c r="AZ88" s="497"/>
      <c r="BA88" s="497"/>
      <c r="BB88" s="497"/>
      <c r="BC88" s="497"/>
      <c r="BD88" s="497"/>
      <c r="BE88" s="497"/>
      <c r="BF88" s="497"/>
      <c r="BG88" s="497"/>
      <c r="BH88" s="497"/>
      <c r="BI88" s="497"/>
      <c r="BJ88" s="497"/>
      <c r="BK88" s="497"/>
      <c r="BL88" s="497"/>
      <c r="BM88" s="497"/>
      <c r="BN88" s="497"/>
      <c r="BO88" s="497"/>
      <c r="BP88" s="497"/>
      <c r="BQ88" s="497"/>
      <c r="BR88" s="497"/>
      <c r="BS88" s="497"/>
      <c r="BT88" s="497"/>
      <c r="BU88" s="497"/>
      <c r="BV88" s="497"/>
      <c r="BW88" s="497"/>
      <c r="BX88" s="497"/>
      <c r="BY88" s="497"/>
      <c r="BZ88" s="497"/>
      <c r="CA88" s="497"/>
      <c r="CB88" s="497"/>
      <c r="CC88" s="497"/>
      <c r="CD88" s="497"/>
      <c r="CE88" s="497"/>
    </row>
    <row r="89" spans="1:83" x14ac:dyDescent="0.25">
      <c r="B89" s="752">
        <v>322</v>
      </c>
      <c r="C89" s="635" t="s">
        <v>325</v>
      </c>
      <c r="D89" s="635" t="s">
        <v>471</v>
      </c>
      <c r="E89" s="497"/>
      <c r="F89" s="497"/>
      <c r="G89" s="497"/>
      <c r="H89" s="497"/>
      <c r="I89" s="497"/>
      <c r="J89" s="497"/>
      <c r="K89" s="497"/>
      <c r="L89" s="497"/>
      <c r="M89" s="497"/>
      <c r="N89" s="497"/>
      <c r="O89" s="497"/>
      <c r="P89" s="497"/>
      <c r="Q89" s="497"/>
      <c r="R89" s="497"/>
      <c r="S89" s="497"/>
      <c r="T89" s="497"/>
      <c r="U89" s="497"/>
      <c r="V89" s="497"/>
      <c r="W89" s="497"/>
      <c r="X89" s="497"/>
      <c r="Y89" s="497"/>
      <c r="Z89" s="497"/>
      <c r="AA89" s="497"/>
      <c r="AB89" s="497"/>
      <c r="AC89" s="497"/>
      <c r="AD89" s="497"/>
      <c r="AE89" s="497"/>
      <c r="AF89" s="497"/>
      <c r="AG89" s="497"/>
      <c r="AH89" s="497"/>
      <c r="AI89" s="497"/>
      <c r="AJ89" s="497"/>
      <c r="AK89" s="497"/>
      <c r="AL89" s="497"/>
      <c r="AM89" s="497"/>
      <c r="AN89" s="497"/>
      <c r="AO89" s="497"/>
      <c r="AP89" s="497"/>
      <c r="AQ89" s="497"/>
      <c r="AR89" s="497"/>
      <c r="AS89" s="497"/>
      <c r="AT89" s="497"/>
      <c r="AU89" s="497"/>
      <c r="AV89" s="497"/>
      <c r="AW89" s="497"/>
      <c r="AX89" s="497"/>
      <c r="AY89" s="497"/>
      <c r="AZ89" s="497"/>
      <c r="BA89" s="497"/>
      <c r="BB89" s="497"/>
      <c r="BC89" s="497"/>
      <c r="BD89" s="497"/>
      <c r="BE89" s="497"/>
      <c r="BF89" s="497"/>
      <c r="BG89" s="497"/>
      <c r="BH89" s="497"/>
      <c r="BI89" s="497"/>
      <c r="BJ89" s="497"/>
      <c r="BK89" s="497"/>
      <c r="BL89" s="497"/>
      <c r="BM89" s="497"/>
      <c r="BN89" s="497"/>
      <c r="BO89" s="497"/>
      <c r="BP89" s="497"/>
      <c r="BQ89" s="497"/>
      <c r="BR89" s="497"/>
      <c r="BS89" s="497"/>
      <c r="BT89" s="497"/>
      <c r="BU89" s="497"/>
      <c r="BV89" s="497"/>
      <c r="BW89" s="497"/>
      <c r="BX89" s="497"/>
      <c r="BY89" s="497"/>
      <c r="BZ89" s="497"/>
      <c r="CA89" s="497"/>
      <c r="CB89" s="497"/>
      <c r="CC89" s="497"/>
      <c r="CD89" s="497"/>
      <c r="CE89" s="497"/>
    </row>
    <row r="90" spans="1:83" x14ac:dyDescent="0.25">
      <c r="B90" s="752">
        <v>323</v>
      </c>
      <c r="C90" s="635" t="s">
        <v>324</v>
      </c>
      <c r="D90" s="635" t="s">
        <v>472</v>
      </c>
      <c r="E90" s="497"/>
      <c r="F90" s="497"/>
      <c r="G90" s="497"/>
      <c r="H90" s="497"/>
      <c r="I90" s="497"/>
      <c r="J90" s="497"/>
      <c r="K90" s="497"/>
      <c r="L90" s="497"/>
      <c r="M90" s="497"/>
      <c r="N90" s="497"/>
      <c r="O90" s="497"/>
      <c r="P90" s="497"/>
      <c r="Q90" s="497"/>
      <c r="R90" s="497"/>
      <c r="S90" s="497"/>
      <c r="T90" s="497"/>
      <c r="U90" s="497"/>
      <c r="V90" s="497"/>
      <c r="W90" s="497"/>
      <c r="X90" s="497"/>
      <c r="Y90" s="497"/>
      <c r="Z90" s="497"/>
      <c r="AA90" s="497"/>
      <c r="AB90" s="497"/>
      <c r="AC90" s="497"/>
      <c r="AD90" s="497"/>
      <c r="AE90" s="497"/>
      <c r="AF90" s="497"/>
      <c r="AG90" s="497"/>
      <c r="AH90" s="497"/>
      <c r="AI90" s="497"/>
      <c r="AJ90" s="497"/>
      <c r="AK90" s="497"/>
      <c r="AL90" s="497"/>
      <c r="AM90" s="497"/>
      <c r="AN90" s="497"/>
      <c r="AO90" s="497"/>
      <c r="AP90" s="497"/>
      <c r="AQ90" s="497"/>
      <c r="AR90" s="497"/>
      <c r="AS90" s="497"/>
      <c r="AT90" s="497"/>
      <c r="AU90" s="497"/>
      <c r="AV90" s="497"/>
      <c r="AW90" s="497"/>
      <c r="AX90" s="497"/>
      <c r="AY90" s="497"/>
      <c r="AZ90" s="497"/>
      <c r="BA90" s="497"/>
      <c r="BB90" s="497"/>
      <c r="BC90" s="497"/>
      <c r="BD90" s="497"/>
      <c r="BE90" s="497"/>
      <c r="BF90" s="497"/>
      <c r="BG90" s="497"/>
      <c r="BH90" s="497"/>
      <c r="BI90" s="497"/>
      <c r="BJ90" s="497"/>
      <c r="BK90" s="497"/>
      <c r="BL90" s="497"/>
      <c r="BM90" s="497"/>
      <c r="BN90" s="497"/>
      <c r="BO90" s="497"/>
      <c r="BP90" s="497"/>
      <c r="BQ90" s="497"/>
      <c r="BR90" s="497"/>
      <c r="BS90" s="497"/>
      <c r="BT90" s="497"/>
      <c r="BU90" s="497"/>
      <c r="BV90" s="497"/>
      <c r="BW90" s="497"/>
      <c r="BX90" s="497"/>
      <c r="BY90" s="497"/>
      <c r="BZ90" s="497"/>
      <c r="CA90" s="497"/>
      <c r="CB90" s="497"/>
      <c r="CC90" s="497"/>
      <c r="CD90" s="497"/>
      <c r="CE90" s="497"/>
    </row>
    <row r="91" spans="1:83" x14ac:dyDescent="0.25">
      <c r="B91" s="752">
        <v>324</v>
      </c>
      <c r="C91" s="635" t="s">
        <v>322</v>
      </c>
      <c r="D91" s="635" t="s">
        <v>473</v>
      </c>
      <c r="E91" s="497"/>
      <c r="F91" s="497"/>
      <c r="G91" s="497"/>
      <c r="H91" s="497"/>
      <c r="I91" s="497"/>
      <c r="J91" s="497"/>
      <c r="K91" s="497"/>
      <c r="L91" s="497"/>
      <c r="M91" s="497"/>
      <c r="N91" s="497"/>
      <c r="O91" s="497"/>
      <c r="P91" s="497"/>
      <c r="Q91" s="497"/>
      <c r="R91" s="497"/>
      <c r="S91" s="497"/>
      <c r="T91" s="497"/>
      <c r="U91" s="497"/>
      <c r="V91" s="497"/>
      <c r="W91" s="497"/>
      <c r="X91" s="497"/>
      <c r="Y91" s="497"/>
      <c r="Z91" s="497"/>
      <c r="AA91" s="497"/>
      <c r="AB91" s="497"/>
      <c r="AC91" s="497"/>
      <c r="AD91" s="497"/>
      <c r="AE91" s="497"/>
      <c r="AF91" s="497"/>
      <c r="AG91" s="497"/>
      <c r="AH91" s="497"/>
      <c r="AI91" s="497"/>
      <c r="AJ91" s="497"/>
      <c r="AK91" s="497"/>
      <c r="AL91" s="497"/>
      <c r="AM91" s="497"/>
      <c r="AN91" s="497"/>
      <c r="AO91" s="497"/>
      <c r="AP91" s="497"/>
      <c r="AQ91" s="497"/>
      <c r="AR91" s="497"/>
      <c r="AS91" s="497"/>
      <c r="AT91" s="497"/>
      <c r="AU91" s="497"/>
      <c r="AV91" s="497"/>
      <c r="AW91" s="497"/>
      <c r="AX91" s="497"/>
      <c r="AY91" s="497"/>
      <c r="AZ91" s="497"/>
      <c r="BA91" s="497"/>
      <c r="BB91" s="497"/>
      <c r="BC91" s="497"/>
      <c r="BD91" s="497"/>
      <c r="BE91" s="497"/>
      <c r="BF91" s="497"/>
      <c r="BG91" s="497"/>
      <c r="BH91" s="497"/>
      <c r="BI91" s="497"/>
      <c r="BJ91" s="497"/>
      <c r="BK91" s="497"/>
      <c r="BL91" s="497"/>
      <c r="BM91" s="497"/>
      <c r="BN91" s="497"/>
      <c r="BO91" s="497"/>
      <c r="BP91" s="497"/>
      <c r="BQ91" s="497"/>
      <c r="BR91" s="497"/>
      <c r="BS91" s="497"/>
      <c r="BT91" s="497"/>
      <c r="BU91" s="497"/>
      <c r="BV91" s="497"/>
      <c r="BW91" s="497"/>
      <c r="BX91" s="497"/>
      <c r="BY91" s="497"/>
      <c r="BZ91" s="497"/>
      <c r="CA91" s="497"/>
      <c r="CB91" s="497"/>
      <c r="CC91" s="497"/>
      <c r="CD91" s="497"/>
      <c r="CE91" s="497"/>
    </row>
    <row r="92" spans="1:83" x14ac:dyDescent="0.25">
      <c r="B92" s="752">
        <v>325</v>
      </c>
      <c r="C92" s="635" t="s">
        <v>326</v>
      </c>
      <c r="D92" s="635" t="s">
        <v>474</v>
      </c>
      <c r="E92" s="390"/>
      <c r="F92" s="390"/>
      <c r="G92" s="390"/>
      <c r="H92" s="390"/>
      <c r="I92" s="390"/>
      <c r="J92" s="390"/>
      <c r="K92" s="390"/>
      <c r="L92" s="390"/>
      <c r="M92" s="390"/>
      <c r="N92" s="390"/>
      <c r="O92" s="390"/>
      <c r="P92" s="390"/>
      <c r="Q92" s="390"/>
      <c r="R92" s="390"/>
      <c r="S92" s="390"/>
      <c r="T92" s="390"/>
      <c r="U92" s="390"/>
      <c r="V92" s="390"/>
      <c r="W92" s="390"/>
      <c r="X92" s="390"/>
      <c r="Y92" s="390"/>
      <c r="Z92" s="390"/>
      <c r="AA92" s="390"/>
      <c r="AB92" s="390"/>
      <c r="AC92" s="390"/>
      <c r="AD92" s="390"/>
      <c r="AE92" s="390"/>
      <c r="AF92" s="390"/>
      <c r="AG92" s="390"/>
      <c r="AH92" s="390"/>
      <c r="AI92" s="390"/>
      <c r="AJ92" s="390"/>
      <c r="AK92" s="390"/>
      <c r="AL92" s="390"/>
      <c r="AM92" s="390"/>
      <c r="AN92" s="390"/>
      <c r="AO92" s="390"/>
      <c r="AP92" s="390"/>
      <c r="AQ92" s="390"/>
      <c r="AR92" s="390"/>
      <c r="AS92" s="390"/>
      <c r="AT92" s="390"/>
      <c r="AU92" s="390"/>
      <c r="AV92" s="390"/>
      <c r="AW92" s="390"/>
      <c r="AX92" s="390"/>
      <c r="AY92" s="390"/>
      <c r="AZ92" s="390"/>
      <c r="BA92" s="390"/>
      <c r="BB92" s="390"/>
      <c r="BC92" s="390"/>
      <c r="BD92" s="390"/>
      <c r="BE92" s="390"/>
      <c r="BF92" s="390"/>
      <c r="BG92" s="390"/>
      <c r="BH92" s="390"/>
      <c r="BI92" s="390"/>
      <c r="BJ92" s="390"/>
      <c r="BK92" s="390"/>
      <c r="BL92" s="390"/>
      <c r="BM92" s="390"/>
      <c r="BN92" s="390"/>
      <c r="BO92" s="390"/>
      <c r="BP92" s="390"/>
      <c r="BQ92" s="390"/>
      <c r="BR92" s="390"/>
      <c r="BS92" s="390"/>
      <c r="BT92" s="390"/>
      <c r="BU92" s="390"/>
      <c r="BV92" s="390"/>
      <c r="BW92" s="390"/>
      <c r="BX92" s="390"/>
      <c r="BY92" s="390"/>
      <c r="BZ92" s="390"/>
      <c r="CA92" s="390"/>
      <c r="CB92" s="390"/>
      <c r="CC92" s="390"/>
      <c r="CD92" s="390"/>
      <c r="CE92" s="390"/>
    </row>
    <row r="93" spans="1:83" x14ac:dyDescent="0.25">
      <c r="B93" s="752">
        <v>326</v>
      </c>
      <c r="C93" s="635" t="s">
        <v>809</v>
      </c>
      <c r="D93" s="635" t="s">
        <v>475</v>
      </c>
      <c r="E93" s="497"/>
      <c r="F93" s="497"/>
      <c r="G93" s="497"/>
      <c r="H93" s="497"/>
      <c r="I93" s="497"/>
      <c r="J93" s="497"/>
      <c r="K93" s="497"/>
      <c r="L93" s="497"/>
      <c r="M93" s="497"/>
      <c r="N93" s="497"/>
      <c r="O93" s="497"/>
      <c r="P93" s="497"/>
      <c r="Q93" s="497"/>
      <c r="R93" s="497"/>
      <c r="S93" s="497"/>
      <c r="T93" s="497"/>
      <c r="U93" s="497"/>
      <c r="V93" s="497"/>
      <c r="W93" s="497"/>
      <c r="X93" s="497"/>
      <c r="Y93" s="497"/>
      <c r="Z93" s="497"/>
      <c r="AA93" s="497"/>
      <c r="AB93" s="497"/>
      <c r="AC93" s="497"/>
      <c r="AD93" s="497"/>
      <c r="AE93" s="497"/>
      <c r="AF93" s="497"/>
      <c r="AG93" s="497"/>
      <c r="AH93" s="497"/>
      <c r="AI93" s="497"/>
      <c r="AJ93" s="497"/>
      <c r="AK93" s="497"/>
      <c r="AL93" s="497"/>
      <c r="AM93" s="497"/>
      <c r="AN93" s="497"/>
      <c r="AO93" s="497"/>
      <c r="AP93" s="497"/>
      <c r="AQ93" s="497"/>
      <c r="AR93" s="497"/>
      <c r="AS93" s="497"/>
      <c r="AT93" s="497"/>
      <c r="AU93" s="497"/>
      <c r="AV93" s="497"/>
      <c r="AW93" s="497"/>
      <c r="AX93" s="497"/>
      <c r="AY93" s="497"/>
      <c r="AZ93" s="497"/>
      <c r="BA93" s="497"/>
      <c r="BB93" s="497"/>
      <c r="BC93" s="497"/>
      <c r="BD93" s="497"/>
      <c r="BE93" s="497"/>
      <c r="BF93" s="497"/>
      <c r="BG93" s="497"/>
      <c r="BH93" s="497"/>
      <c r="BI93" s="497"/>
      <c r="BJ93" s="497"/>
      <c r="BK93" s="497"/>
      <c r="BL93" s="497"/>
      <c r="BM93" s="497"/>
      <c r="BN93" s="497"/>
      <c r="BO93" s="497"/>
      <c r="BP93" s="497"/>
      <c r="BQ93" s="497"/>
      <c r="BR93" s="497"/>
      <c r="BS93" s="497"/>
      <c r="BT93" s="497"/>
      <c r="BU93" s="497"/>
      <c r="BV93" s="497"/>
      <c r="BW93" s="497"/>
      <c r="BX93" s="497"/>
      <c r="BY93" s="497"/>
      <c r="BZ93" s="497"/>
      <c r="CA93" s="497"/>
      <c r="CB93" s="497"/>
      <c r="CC93" s="497"/>
      <c r="CD93" s="497"/>
      <c r="CE93" s="497"/>
    </row>
    <row r="94" spans="1:83" x14ac:dyDescent="0.25">
      <c r="A94" s="635">
        <v>327</v>
      </c>
      <c r="B94" s="752">
        <v>327</v>
      </c>
      <c r="C94" s="635" t="s">
        <v>731</v>
      </c>
      <c r="D94" s="635" t="s">
        <v>476</v>
      </c>
      <c r="E94" s="497">
        <v>10626</v>
      </c>
      <c r="F94" s="497">
        <v>7091</v>
      </c>
      <c r="G94" s="497">
        <v>0</v>
      </c>
      <c r="H94" s="497">
        <v>338738</v>
      </c>
      <c r="I94" s="497">
        <v>7337</v>
      </c>
      <c r="J94" s="497">
        <v>0</v>
      </c>
      <c r="K94" s="497">
        <v>0</v>
      </c>
      <c r="L94" s="497">
        <v>5700</v>
      </c>
      <c r="M94" s="497">
        <v>189134</v>
      </c>
      <c r="N94" s="497">
        <v>0</v>
      </c>
      <c r="O94" s="497">
        <v>0</v>
      </c>
      <c r="P94" s="497">
        <v>0</v>
      </c>
      <c r="Q94" s="497">
        <v>0</v>
      </c>
      <c r="R94" s="497">
        <v>177882</v>
      </c>
      <c r="S94" s="497">
        <v>0</v>
      </c>
      <c r="T94" s="497">
        <v>0</v>
      </c>
      <c r="U94" s="497">
        <v>48416</v>
      </c>
      <c r="V94" s="497">
        <v>85035</v>
      </c>
      <c r="W94" s="497">
        <v>1025550</v>
      </c>
      <c r="X94" s="497">
        <v>0</v>
      </c>
      <c r="Y94" s="497">
        <v>42275</v>
      </c>
      <c r="Z94" s="497">
        <v>215800</v>
      </c>
      <c r="AA94" s="497">
        <v>457070</v>
      </c>
      <c r="AB94" s="497">
        <v>0</v>
      </c>
      <c r="AC94" s="497">
        <v>51113</v>
      </c>
      <c r="AD94" s="497">
        <v>0</v>
      </c>
      <c r="AE94" s="497">
        <v>0</v>
      </c>
      <c r="AF94" s="497">
        <v>0</v>
      </c>
      <c r="AG94" s="497">
        <v>12277593</v>
      </c>
      <c r="AH94" s="497">
        <v>0</v>
      </c>
      <c r="AI94" s="497">
        <v>12410</v>
      </c>
      <c r="AJ94" s="497">
        <v>18591</v>
      </c>
      <c r="AK94" s="497">
        <v>0</v>
      </c>
      <c r="AL94" s="497">
        <v>0</v>
      </c>
      <c r="AM94" s="497">
        <v>0</v>
      </c>
      <c r="AN94" s="497">
        <v>0</v>
      </c>
      <c r="AO94" s="497">
        <v>1281547</v>
      </c>
      <c r="AP94" s="497">
        <v>0</v>
      </c>
      <c r="AQ94" s="497">
        <v>165740</v>
      </c>
      <c r="AR94" s="497">
        <v>0</v>
      </c>
      <c r="AS94" s="497">
        <v>0</v>
      </c>
      <c r="AT94" s="497">
        <v>20097</v>
      </c>
      <c r="AU94" s="497">
        <v>36050</v>
      </c>
      <c r="AV94" s="497">
        <v>44773852</v>
      </c>
      <c r="AW94" s="497">
        <v>3780635</v>
      </c>
      <c r="AX94" s="497">
        <v>0</v>
      </c>
      <c r="AY94" s="497">
        <v>11826</v>
      </c>
      <c r="AZ94" s="497">
        <v>328737</v>
      </c>
      <c r="BA94" s="497">
        <v>11712</v>
      </c>
      <c r="BB94" s="497">
        <v>0</v>
      </c>
      <c r="BC94" s="497">
        <v>243585</v>
      </c>
      <c r="BD94" s="497">
        <v>130000</v>
      </c>
      <c r="BE94" s="497">
        <v>0</v>
      </c>
      <c r="BF94" s="497">
        <v>3281</v>
      </c>
      <c r="BG94" s="497">
        <v>858549</v>
      </c>
      <c r="BH94" s="497">
        <v>0</v>
      </c>
      <c r="BI94" s="497">
        <v>306658</v>
      </c>
      <c r="BJ94" s="497">
        <v>1040</v>
      </c>
      <c r="BK94" s="497">
        <v>0</v>
      </c>
      <c r="BL94" s="497">
        <v>0</v>
      </c>
      <c r="BM94" s="497">
        <v>5352310</v>
      </c>
      <c r="BN94" s="497">
        <v>2856684</v>
      </c>
      <c r="BO94" s="497">
        <v>379893</v>
      </c>
      <c r="BP94" s="497">
        <v>1384534</v>
      </c>
      <c r="BQ94" s="497">
        <v>7717480</v>
      </c>
      <c r="BR94" s="497">
        <v>50</v>
      </c>
      <c r="BS94" s="497">
        <v>399040</v>
      </c>
      <c r="BT94" s="497">
        <v>0</v>
      </c>
      <c r="BU94" s="497">
        <v>6132444</v>
      </c>
      <c r="BV94" s="497">
        <v>40050</v>
      </c>
      <c r="BW94" s="497">
        <v>0</v>
      </c>
      <c r="BX94" s="497">
        <v>140295</v>
      </c>
      <c r="BY94" s="497">
        <v>0</v>
      </c>
      <c r="BZ94" s="497">
        <v>153725</v>
      </c>
      <c r="CA94" s="497">
        <v>0</v>
      </c>
      <c r="CB94" s="497">
        <v>0</v>
      </c>
      <c r="CC94" s="497">
        <v>4000</v>
      </c>
      <c r="CD94" s="497">
        <v>0</v>
      </c>
      <c r="CE94" s="497">
        <v>0</v>
      </c>
    </row>
    <row r="95" spans="1:83" x14ac:dyDescent="0.25">
      <c r="A95" s="635">
        <v>328</v>
      </c>
      <c r="B95" s="752">
        <v>328</v>
      </c>
      <c r="C95" s="635" t="s">
        <v>643</v>
      </c>
      <c r="D95" s="635" t="s">
        <v>477</v>
      </c>
      <c r="E95" s="497">
        <v>632275</v>
      </c>
      <c r="F95" s="497">
        <v>3500</v>
      </c>
      <c r="G95" s="497">
        <v>0</v>
      </c>
      <c r="H95" s="497">
        <v>387163</v>
      </c>
      <c r="I95" s="497">
        <v>0</v>
      </c>
      <c r="J95" s="497">
        <v>0</v>
      </c>
      <c r="K95" s="497">
        <v>0</v>
      </c>
      <c r="L95" s="497">
        <v>2266385</v>
      </c>
      <c r="M95" s="497">
        <v>700853</v>
      </c>
      <c r="N95" s="497">
        <v>0</v>
      </c>
      <c r="O95" s="497">
        <v>0</v>
      </c>
      <c r="P95" s="497">
        <v>0</v>
      </c>
      <c r="Q95" s="497">
        <v>625413</v>
      </c>
      <c r="R95" s="497">
        <v>264654</v>
      </c>
      <c r="S95" s="497">
        <v>0</v>
      </c>
      <c r="T95" s="497">
        <v>0</v>
      </c>
      <c r="U95" s="497">
        <v>0</v>
      </c>
      <c r="V95" s="497">
        <v>0</v>
      </c>
      <c r="W95" s="497">
        <v>0</v>
      </c>
      <c r="X95" s="497">
        <v>0</v>
      </c>
      <c r="Y95" s="497">
        <v>0</v>
      </c>
      <c r="Z95" s="497">
        <v>856</v>
      </c>
      <c r="AA95" s="497">
        <v>3906197</v>
      </c>
      <c r="AB95" s="497">
        <v>0</v>
      </c>
      <c r="AC95" s="497">
        <v>853</v>
      </c>
      <c r="AD95" s="497">
        <v>0</v>
      </c>
      <c r="AE95" s="497">
        <v>0</v>
      </c>
      <c r="AF95" s="497">
        <v>0</v>
      </c>
      <c r="AG95" s="497">
        <v>76255696</v>
      </c>
      <c r="AH95" s="497">
        <v>0</v>
      </c>
      <c r="AI95" s="497">
        <v>0</v>
      </c>
      <c r="AJ95" s="497">
        <v>247878</v>
      </c>
      <c r="AK95" s="497">
        <v>0</v>
      </c>
      <c r="AL95" s="497">
        <v>25650</v>
      </c>
      <c r="AM95" s="497">
        <v>0</v>
      </c>
      <c r="AN95" s="497">
        <v>0</v>
      </c>
      <c r="AO95" s="497">
        <v>642352</v>
      </c>
      <c r="AP95" s="497">
        <v>0</v>
      </c>
      <c r="AQ95" s="497">
        <v>43997</v>
      </c>
      <c r="AR95" s="497">
        <v>0</v>
      </c>
      <c r="AS95" s="497">
        <v>0</v>
      </c>
      <c r="AT95" s="497">
        <v>318971</v>
      </c>
      <c r="AU95" s="497">
        <v>266390</v>
      </c>
      <c r="AV95" s="497">
        <v>115878014</v>
      </c>
      <c r="AW95" s="497">
        <v>14407873</v>
      </c>
      <c r="AX95" s="497">
        <v>7085</v>
      </c>
      <c r="AY95" s="497">
        <v>0</v>
      </c>
      <c r="AZ95" s="497">
        <v>0</v>
      </c>
      <c r="BA95" s="497">
        <v>0</v>
      </c>
      <c r="BB95" s="497">
        <v>0</v>
      </c>
      <c r="BC95" s="497">
        <v>0</v>
      </c>
      <c r="BD95" s="497">
        <v>0</v>
      </c>
      <c r="BE95" s="497">
        <v>0</v>
      </c>
      <c r="BF95" s="497">
        <v>0</v>
      </c>
      <c r="BG95" s="497">
        <v>824089</v>
      </c>
      <c r="BH95" s="497">
        <v>0</v>
      </c>
      <c r="BI95" s="497">
        <v>699933</v>
      </c>
      <c r="BJ95" s="497">
        <v>97580</v>
      </c>
      <c r="BK95" s="497">
        <v>0</v>
      </c>
      <c r="BL95" s="497">
        <v>0</v>
      </c>
      <c r="BM95" s="497">
        <v>7163439</v>
      </c>
      <c r="BN95" s="497">
        <v>8426971</v>
      </c>
      <c r="BO95" s="497">
        <v>57287</v>
      </c>
      <c r="BP95" s="497">
        <v>11687456</v>
      </c>
      <c r="BQ95" s="497">
        <v>73659574</v>
      </c>
      <c r="BR95" s="497">
        <v>235060</v>
      </c>
      <c r="BS95" s="497">
        <v>1222411</v>
      </c>
      <c r="BT95" s="497">
        <v>0</v>
      </c>
      <c r="BU95" s="497">
        <v>9205410</v>
      </c>
      <c r="BV95" s="497">
        <v>0</v>
      </c>
      <c r="BW95" s="497">
        <v>0</v>
      </c>
      <c r="BX95" s="497">
        <v>0</v>
      </c>
      <c r="BY95" s="497">
        <v>0</v>
      </c>
      <c r="BZ95" s="497">
        <v>1199217</v>
      </c>
      <c r="CA95" s="497">
        <v>717858</v>
      </c>
      <c r="CB95" s="497">
        <v>0</v>
      </c>
      <c r="CC95" s="497">
        <v>23030</v>
      </c>
      <c r="CD95" s="497">
        <v>0</v>
      </c>
      <c r="CE95" s="497">
        <v>0</v>
      </c>
    </row>
    <row r="96" spans="1:83" x14ac:dyDescent="0.25">
      <c r="B96" s="752">
        <v>330</v>
      </c>
      <c r="C96" s="635" t="s">
        <v>732</v>
      </c>
      <c r="D96" s="635" t="s">
        <v>478</v>
      </c>
      <c r="E96" s="497"/>
      <c r="F96" s="497"/>
      <c r="G96" s="497"/>
      <c r="H96" s="497"/>
      <c r="I96" s="497"/>
      <c r="J96" s="497"/>
      <c r="K96" s="497"/>
      <c r="L96" s="497"/>
      <c r="M96" s="497"/>
      <c r="N96" s="497"/>
      <c r="O96" s="497"/>
      <c r="P96" s="497"/>
      <c r="Q96" s="497"/>
      <c r="R96" s="497"/>
      <c r="S96" s="497"/>
      <c r="T96" s="497"/>
      <c r="U96" s="497"/>
      <c r="V96" s="497"/>
      <c r="W96" s="497"/>
      <c r="X96" s="497"/>
      <c r="Y96" s="497"/>
      <c r="Z96" s="497"/>
      <c r="AA96" s="497"/>
      <c r="AB96" s="497"/>
      <c r="AC96" s="497"/>
      <c r="AD96" s="497"/>
      <c r="AE96" s="497"/>
      <c r="AF96" s="497"/>
      <c r="AG96" s="497"/>
      <c r="AH96" s="497"/>
      <c r="AI96" s="497"/>
      <c r="AJ96" s="497"/>
      <c r="AK96" s="497"/>
      <c r="AL96" s="497"/>
      <c r="AM96" s="497"/>
      <c r="AN96" s="497"/>
      <c r="AO96" s="497"/>
      <c r="AP96" s="497"/>
      <c r="AQ96" s="497"/>
      <c r="AR96" s="497"/>
      <c r="AS96" s="497"/>
      <c r="AT96" s="497"/>
      <c r="AU96" s="497"/>
      <c r="AV96" s="497"/>
      <c r="AW96" s="497"/>
      <c r="AX96" s="497"/>
      <c r="AY96" s="497"/>
      <c r="AZ96" s="497"/>
      <c r="BA96" s="497"/>
      <c r="BB96" s="497"/>
      <c r="BC96" s="497"/>
      <c r="BD96" s="497"/>
      <c r="BE96" s="497"/>
      <c r="BF96" s="497"/>
      <c r="BG96" s="497"/>
      <c r="BH96" s="497"/>
      <c r="BI96" s="497"/>
      <c r="BJ96" s="497"/>
      <c r="BK96" s="497"/>
      <c r="BL96" s="497"/>
      <c r="BM96" s="497"/>
      <c r="BN96" s="497"/>
      <c r="BO96" s="497"/>
      <c r="BP96" s="497"/>
      <c r="BQ96" s="497"/>
      <c r="BR96" s="497"/>
      <c r="BS96" s="497"/>
      <c r="BT96" s="497"/>
      <c r="BU96" s="497"/>
      <c r="BV96" s="497"/>
      <c r="BW96" s="497"/>
      <c r="BX96" s="497"/>
      <c r="BY96" s="497"/>
      <c r="BZ96" s="497"/>
      <c r="CA96" s="497"/>
      <c r="CB96" s="497"/>
      <c r="CC96" s="497"/>
      <c r="CD96" s="497"/>
      <c r="CE96" s="497"/>
    </row>
    <row r="97" spans="1:83" x14ac:dyDescent="0.25">
      <c r="A97" s="635">
        <v>331</v>
      </c>
      <c r="B97" s="752">
        <v>331</v>
      </c>
      <c r="C97" s="635" t="s">
        <v>312</v>
      </c>
      <c r="D97" s="635" t="s">
        <v>479</v>
      </c>
      <c r="E97" s="497">
        <v>311500</v>
      </c>
      <c r="F97" s="497">
        <v>69500</v>
      </c>
      <c r="G97" s="497">
        <v>0</v>
      </c>
      <c r="H97" s="497">
        <v>25086</v>
      </c>
      <c r="I97" s="497">
        <v>30000</v>
      </c>
      <c r="J97" s="497">
        <v>0</v>
      </c>
      <c r="K97" s="497">
        <v>0</v>
      </c>
      <c r="L97" s="497">
        <v>0</v>
      </c>
      <c r="M97" s="497">
        <v>467556</v>
      </c>
      <c r="N97" s="497">
        <v>0</v>
      </c>
      <c r="O97" s="497">
        <v>0</v>
      </c>
      <c r="P97" s="497">
        <v>0</v>
      </c>
      <c r="Q97" s="497">
        <v>0</v>
      </c>
      <c r="R97" s="497">
        <v>93532</v>
      </c>
      <c r="S97" s="497">
        <v>0</v>
      </c>
      <c r="T97" s="497">
        <v>0</v>
      </c>
      <c r="U97" s="497">
        <v>59167</v>
      </c>
      <c r="V97" s="497">
        <v>89294</v>
      </c>
      <c r="W97" s="497">
        <v>833826</v>
      </c>
      <c r="X97" s="497">
        <v>0</v>
      </c>
      <c r="Y97" s="497">
        <v>10266</v>
      </c>
      <c r="Z97" s="497">
        <v>67203</v>
      </c>
      <c r="AA97" s="497">
        <v>2527941</v>
      </c>
      <c r="AB97" s="497">
        <v>0</v>
      </c>
      <c r="AC97" s="497">
        <v>12719</v>
      </c>
      <c r="AD97" s="497">
        <v>0</v>
      </c>
      <c r="AE97" s="497">
        <v>0</v>
      </c>
      <c r="AF97" s="497">
        <v>0</v>
      </c>
      <c r="AG97" s="497">
        <v>6084248</v>
      </c>
      <c r="AH97" s="497">
        <v>0</v>
      </c>
      <c r="AI97" s="497">
        <v>0</v>
      </c>
      <c r="AJ97" s="497">
        <v>47801</v>
      </c>
      <c r="AK97" s="497">
        <v>0</v>
      </c>
      <c r="AL97" s="497">
        <v>0</v>
      </c>
      <c r="AM97" s="497">
        <v>0</v>
      </c>
      <c r="AN97" s="497">
        <v>48946</v>
      </c>
      <c r="AO97" s="497">
        <v>531800</v>
      </c>
      <c r="AP97" s="497">
        <v>0</v>
      </c>
      <c r="AQ97" s="497">
        <v>149470</v>
      </c>
      <c r="AR97" s="497">
        <v>0</v>
      </c>
      <c r="AS97" s="497">
        <v>0</v>
      </c>
      <c r="AT97" s="497">
        <v>169376</v>
      </c>
      <c r="AU97" s="497">
        <v>0</v>
      </c>
      <c r="AV97" s="497">
        <v>16135000</v>
      </c>
      <c r="AW97" s="497">
        <v>8960650</v>
      </c>
      <c r="AX97" s="497">
        <v>31500</v>
      </c>
      <c r="AY97" s="497">
        <v>12297</v>
      </c>
      <c r="AZ97" s="497">
        <v>0</v>
      </c>
      <c r="BA97" s="497">
        <v>0</v>
      </c>
      <c r="BB97" s="497">
        <v>0</v>
      </c>
      <c r="BC97" s="497">
        <v>106250</v>
      </c>
      <c r="BD97" s="497">
        <v>4000</v>
      </c>
      <c r="BE97" s="497">
        <v>0</v>
      </c>
      <c r="BF97" s="497">
        <v>19041</v>
      </c>
      <c r="BG97" s="497">
        <v>1378320</v>
      </c>
      <c r="BH97" s="497">
        <v>0</v>
      </c>
      <c r="BI97" s="497">
        <v>540038</v>
      </c>
      <c r="BJ97" s="497">
        <v>13000</v>
      </c>
      <c r="BK97" s="497">
        <v>0</v>
      </c>
      <c r="BL97" s="497">
        <v>0</v>
      </c>
      <c r="BM97" s="497">
        <v>2416733</v>
      </c>
      <c r="BN97" s="497">
        <v>1914347</v>
      </c>
      <c r="BO97" s="497">
        <v>382980</v>
      </c>
      <c r="BP97" s="497">
        <v>2718538</v>
      </c>
      <c r="BQ97" s="497">
        <v>9520828</v>
      </c>
      <c r="BR97" s="497">
        <v>0</v>
      </c>
      <c r="BS97" s="497">
        <v>93349</v>
      </c>
      <c r="BT97" s="497">
        <v>0</v>
      </c>
      <c r="BU97" s="497">
        <v>1171275</v>
      </c>
      <c r="BV97" s="497">
        <v>0</v>
      </c>
      <c r="BW97" s="497">
        <v>0</v>
      </c>
      <c r="BX97" s="497">
        <v>709646</v>
      </c>
      <c r="BY97" s="497">
        <v>0</v>
      </c>
      <c r="BZ97" s="497">
        <v>2821190</v>
      </c>
      <c r="CA97" s="497">
        <v>8208</v>
      </c>
      <c r="CB97" s="497">
        <v>0</v>
      </c>
      <c r="CC97" s="497">
        <v>19098</v>
      </c>
      <c r="CD97" s="497">
        <v>0</v>
      </c>
      <c r="CE97" s="497">
        <v>0</v>
      </c>
    </row>
    <row r="98" spans="1:83" x14ac:dyDescent="0.25">
      <c r="A98" s="635">
        <v>332</v>
      </c>
      <c r="B98" s="752">
        <v>332</v>
      </c>
      <c r="C98" s="635" t="s">
        <v>313</v>
      </c>
      <c r="D98" s="635" t="s">
        <v>480</v>
      </c>
      <c r="E98" s="497">
        <v>108587</v>
      </c>
      <c r="F98" s="497">
        <v>406251</v>
      </c>
      <c r="G98" s="497">
        <v>0</v>
      </c>
      <c r="H98" s="497">
        <v>415630</v>
      </c>
      <c r="I98" s="497">
        <v>0</v>
      </c>
      <c r="J98" s="497">
        <v>0</v>
      </c>
      <c r="K98" s="497">
        <v>0</v>
      </c>
      <c r="L98" s="497">
        <v>2217007</v>
      </c>
      <c r="M98" s="497">
        <v>928917</v>
      </c>
      <c r="N98" s="497">
        <v>0</v>
      </c>
      <c r="O98" s="497">
        <v>0</v>
      </c>
      <c r="P98" s="497">
        <v>0</v>
      </c>
      <c r="Q98" s="497">
        <v>531811</v>
      </c>
      <c r="R98" s="497">
        <v>910953</v>
      </c>
      <c r="S98" s="497">
        <v>0</v>
      </c>
      <c r="T98" s="497">
        <v>1021896</v>
      </c>
      <c r="U98" s="497">
        <v>83897</v>
      </c>
      <c r="V98" s="497">
        <v>30484</v>
      </c>
      <c r="W98" s="497">
        <v>2380063</v>
      </c>
      <c r="X98" s="497">
        <v>0</v>
      </c>
      <c r="Y98" s="497">
        <v>115995</v>
      </c>
      <c r="Z98" s="497">
        <v>490837</v>
      </c>
      <c r="AA98" s="497">
        <v>3273050</v>
      </c>
      <c r="AB98" s="497">
        <v>0</v>
      </c>
      <c r="AC98" s="497">
        <v>170511</v>
      </c>
      <c r="AD98" s="497">
        <v>0</v>
      </c>
      <c r="AE98" s="497">
        <v>0</v>
      </c>
      <c r="AF98" s="497">
        <v>0</v>
      </c>
      <c r="AG98" s="497">
        <v>10701425</v>
      </c>
      <c r="AH98" s="497">
        <v>0</v>
      </c>
      <c r="AI98" s="497">
        <v>0</v>
      </c>
      <c r="AJ98" s="497">
        <v>352240</v>
      </c>
      <c r="AK98" s="497">
        <v>0</v>
      </c>
      <c r="AL98" s="497">
        <v>4950</v>
      </c>
      <c r="AM98" s="497">
        <v>0</v>
      </c>
      <c r="AN98" s="497">
        <v>331024</v>
      </c>
      <c r="AO98" s="497">
        <v>618969</v>
      </c>
      <c r="AP98" s="497">
        <v>0</v>
      </c>
      <c r="AQ98" s="497">
        <v>484970</v>
      </c>
      <c r="AR98" s="497">
        <v>0</v>
      </c>
      <c r="AS98" s="497">
        <v>0</v>
      </c>
      <c r="AT98" s="497">
        <v>253444</v>
      </c>
      <c r="AU98" s="497">
        <v>38000</v>
      </c>
      <c r="AV98" s="497">
        <v>75258798</v>
      </c>
      <c r="AW98" s="497">
        <v>7860570</v>
      </c>
      <c r="AX98" s="497">
        <v>120611</v>
      </c>
      <c r="AY98" s="497">
        <v>0</v>
      </c>
      <c r="AZ98" s="497">
        <v>55423</v>
      </c>
      <c r="BA98" s="497">
        <v>2245</v>
      </c>
      <c r="BB98" s="497">
        <v>0</v>
      </c>
      <c r="BC98" s="497">
        <v>87481</v>
      </c>
      <c r="BD98" s="497">
        <v>0</v>
      </c>
      <c r="BE98" s="497">
        <v>0</v>
      </c>
      <c r="BF98" s="497">
        <v>0</v>
      </c>
      <c r="BG98" s="497">
        <v>2392388</v>
      </c>
      <c r="BH98" s="497">
        <v>0</v>
      </c>
      <c r="BI98" s="497">
        <v>762636</v>
      </c>
      <c r="BJ98" s="497">
        <v>175872</v>
      </c>
      <c r="BK98" s="497">
        <v>0</v>
      </c>
      <c r="BL98" s="497">
        <v>0</v>
      </c>
      <c r="BM98" s="497">
        <v>5835212</v>
      </c>
      <c r="BN98" s="497">
        <v>4932399</v>
      </c>
      <c r="BO98" s="497">
        <v>20609</v>
      </c>
      <c r="BP98" s="497">
        <v>5079051</v>
      </c>
      <c r="BQ98" s="497">
        <v>14973028</v>
      </c>
      <c r="BR98" s="497">
        <v>145782</v>
      </c>
      <c r="BS98" s="497">
        <v>1631959</v>
      </c>
      <c r="BT98" s="497">
        <v>0</v>
      </c>
      <c r="BU98" s="497">
        <v>6172577</v>
      </c>
      <c r="BV98" s="497">
        <v>0</v>
      </c>
      <c r="BW98" s="497">
        <v>0</v>
      </c>
      <c r="BX98" s="497">
        <v>1603287</v>
      </c>
      <c r="BY98" s="497">
        <v>0</v>
      </c>
      <c r="BZ98" s="497">
        <v>1297996</v>
      </c>
      <c r="CA98" s="497">
        <v>28270</v>
      </c>
      <c r="CB98" s="497">
        <v>0</v>
      </c>
      <c r="CC98" s="497">
        <v>11450</v>
      </c>
      <c r="CD98" s="497">
        <v>0</v>
      </c>
      <c r="CE98" s="497">
        <v>0</v>
      </c>
    </row>
    <row r="99" spans="1:83" x14ac:dyDescent="0.25">
      <c r="A99" s="635">
        <v>333</v>
      </c>
      <c r="B99" s="752">
        <v>333</v>
      </c>
      <c r="C99" s="635" t="s">
        <v>249</v>
      </c>
      <c r="D99" s="635" t="s">
        <v>481</v>
      </c>
      <c r="E99" s="497">
        <v>409601</v>
      </c>
      <c r="F99" s="497">
        <v>737056</v>
      </c>
      <c r="G99" s="497">
        <v>426750</v>
      </c>
      <c r="H99" s="497">
        <v>974918</v>
      </c>
      <c r="I99" s="497">
        <v>612745</v>
      </c>
      <c r="J99" s="497">
        <v>173652</v>
      </c>
      <c r="K99" s="497">
        <v>97959</v>
      </c>
      <c r="L99" s="497">
        <v>451483</v>
      </c>
      <c r="M99" s="497">
        <v>2688990</v>
      </c>
      <c r="N99" s="497">
        <v>99184223</v>
      </c>
      <c r="O99" s="497">
        <v>3092539</v>
      </c>
      <c r="P99" s="497">
        <v>3897399</v>
      </c>
      <c r="Q99" s="497">
        <v>101497</v>
      </c>
      <c r="R99" s="497">
        <v>4311690</v>
      </c>
      <c r="S99" s="497">
        <v>125495</v>
      </c>
      <c r="T99" s="497">
        <v>480095</v>
      </c>
      <c r="U99" s="497">
        <v>454497</v>
      </c>
      <c r="V99" s="497">
        <v>1030579</v>
      </c>
      <c r="W99" s="497">
        <v>2968894</v>
      </c>
      <c r="X99" s="497">
        <v>1012922</v>
      </c>
      <c r="Y99" s="497">
        <v>523822</v>
      </c>
      <c r="Z99" s="497">
        <v>172128</v>
      </c>
      <c r="AA99" s="497">
        <v>38845755</v>
      </c>
      <c r="AB99" s="497">
        <v>4089872</v>
      </c>
      <c r="AC99" s="497">
        <v>706874</v>
      </c>
      <c r="AD99" s="497">
        <v>31193353</v>
      </c>
      <c r="AE99" s="497">
        <v>400595</v>
      </c>
      <c r="AF99" s="497">
        <v>0</v>
      </c>
      <c r="AG99" s="497">
        <v>30658904</v>
      </c>
      <c r="AH99" s="497">
        <v>823858</v>
      </c>
      <c r="AI99" s="497">
        <v>281499</v>
      </c>
      <c r="AJ99" s="497">
        <v>2494793</v>
      </c>
      <c r="AK99" s="497">
        <v>735914</v>
      </c>
      <c r="AL99" s="497">
        <v>38623</v>
      </c>
      <c r="AM99" s="497">
        <v>0</v>
      </c>
      <c r="AN99" s="497">
        <v>559548</v>
      </c>
      <c r="AO99" s="497">
        <v>11828699</v>
      </c>
      <c r="AP99" s="497">
        <v>50284</v>
      </c>
      <c r="AQ99" s="497">
        <v>2886787</v>
      </c>
      <c r="AR99" s="497">
        <v>1974749</v>
      </c>
      <c r="AS99" s="497">
        <v>197349</v>
      </c>
      <c r="AT99" s="497">
        <v>564113</v>
      </c>
      <c r="AU99" s="497">
        <v>466810</v>
      </c>
      <c r="AV99" s="497">
        <v>149607861</v>
      </c>
      <c r="AW99" s="497">
        <v>38393662</v>
      </c>
      <c r="AX99" s="497">
        <v>690046</v>
      </c>
      <c r="AY99" s="497">
        <v>255862</v>
      </c>
      <c r="AZ99" s="497">
        <v>241793</v>
      </c>
      <c r="BA99" s="497">
        <v>95057</v>
      </c>
      <c r="BB99" s="497">
        <v>0</v>
      </c>
      <c r="BC99" s="497">
        <v>2616300</v>
      </c>
      <c r="BD99" s="497">
        <v>1117806</v>
      </c>
      <c r="BE99" s="497">
        <v>194170</v>
      </c>
      <c r="BF99" s="497">
        <v>113502</v>
      </c>
      <c r="BG99" s="497">
        <v>9664143</v>
      </c>
      <c r="BH99" s="497">
        <v>61413</v>
      </c>
      <c r="BI99" s="497">
        <v>10219042</v>
      </c>
      <c r="BJ99" s="497">
        <v>372065</v>
      </c>
      <c r="BK99" s="497">
        <v>398002</v>
      </c>
      <c r="BL99" s="497">
        <v>478727</v>
      </c>
      <c r="BM99" s="497">
        <v>11299385</v>
      </c>
      <c r="BN99" s="497">
        <v>5849729</v>
      </c>
      <c r="BO99" s="497">
        <v>1436647</v>
      </c>
      <c r="BP99" s="497">
        <v>44158477</v>
      </c>
      <c r="BQ99" s="497">
        <v>48171951</v>
      </c>
      <c r="BR99" s="497">
        <v>230131</v>
      </c>
      <c r="BS99" s="497">
        <v>4687316</v>
      </c>
      <c r="BT99" s="497">
        <v>2452329</v>
      </c>
      <c r="BU99" s="497">
        <v>5362995</v>
      </c>
      <c r="BV99" s="497">
        <v>236798</v>
      </c>
      <c r="BW99" s="497">
        <v>970292</v>
      </c>
      <c r="BX99" s="497">
        <v>9253743</v>
      </c>
      <c r="BY99" s="497">
        <v>0</v>
      </c>
      <c r="BZ99" s="497">
        <v>33048965</v>
      </c>
      <c r="CA99" s="497">
        <v>288357</v>
      </c>
      <c r="CB99" s="497">
        <v>7111755</v>
      </c>
      <c r="CC99" s="497">
        <v>353649</v>
      </c>
      <c r="CD99" s="497">
        <v>1499521</v>
      </c>
      <c r="CE99" s="497">
        <v>42954800</v>
      </c>
    </row>
    <row r="100" spans="1:83" x14ac:dyDescent="0.25">
      <c r="A100" s="635">
        <v>334</v>
      </c>
      <c r="B100" s="752">
        <v>334</v>
      </c>
      <c r="C100" s="635" t="s">
        <v>341</v>
      </c>
      <c r="D100" s="635" t="s">
        <v>482</v>
      </c>
      <c r="E100" s="497">
        <v>927262</v>
      </c>
      <c r="F100" s="497">
        <v>4083471</v>
      </c>
      <c r="G100" s="497">
        <v>1517236</v>
      </c>
      <c r="H100" s="497">
        <v>1145284</v>
      </c>
      <c r="I100" s="497">
        <v>1364104</v>
      </c>
      <c r="J100" s="497">
        <v>488714</v>
      </c>
      <c r="K100" s="497">
        <v>151151</v>
      </c>
      <c r="L100" s="497">
        <v>105289</v>
      </c>
      <c r="M100" s="497">
        <v>10086932</v>
      </c>
      <c r="N100" s="497">
        <v>719093461</v>
      </c>
      <c r="O100" s="497">
        <v>3774782</v>
      </c>
      <c r="P100" s="497">
        <v>14693793</v>
      </c>
      <c r="Q100" s="497">
        <v>76699</v>
      </c>
      <c r="R100" s="497">
        <v>25604231</v>
      </c>
      <c r="S100" s="497">
        <v>269105</v>
      </c>
      <c r="T100" s="497">
        <v>553383</v>
      </c>
      <c r="U100" s="497">
        <v>2835128</v>
      </c>
      <c r="V100" s="497">
        <v>1339144</v>
      </c>
      <c r="W100" s="497">
        <v>9793996</v>
      </c>
      <c r="X100" s="497">
        <v>1886884</v>
      </c>
      <c r="Y100" s="497">
        <v>864577</v>
      </c>
      <c r="Z100" s="497">
        <v>1949024</v>
      </c>
      <c r="AA100" s="497">
        <v>102421824</v>
      </c>
      <c r="AB100" s="497">
        <v>1149423</v>
      </c>
      <c r="AC100" s="497">
        <v>726670</v>
      </c>
      <c r="AD100" s="497">
        <v>134837140</v>
      </c>
      <c r="AE100" s="497">
        <v>2055789</v>
      </c>
      <c r="AF100" s="497">
        <v>0</v>
      </c>
      <c r="AG100" s="497">
        <v>426966739</v>
      </c>
      <c r="AH100" s="497">
        <v>534624</v>
      </c>
      <c r="AI100" s="497">
        <v>364477</v>
      </c>
      <c r="AJ100" s="497">
        <v>8788798</v>
      </c>
      <c r="AK100" s="497">
        <v>1723812</v>
      </c>
      <c r="AL100" s="497">
        <v>671242</v>
      </c>
      <c r="AM100" s="497">
        <v>0</v>
      </c>
      <c r="AN100" s="497">
        <v>882914</v>
      </c>
      <c r="AO100" s="497">
        <v>27983054</v>
      </c>
      <c r="AP100" s="497">
        <v>0</v>
      </c>
      <c r="AQ100" s="497">
        <v>7552483</v>
      </c>
      <c r="AR100" s="497">
        <v>4575900</v>
      </c>
      <c r="AS100" s="497">
        <v>300791</v>
      </c>
      <c r="AT100" s="497">
        <v>3145606</v>
      </c>
      <c r="AU100" s="497">
        <v>510519</v>
      </c>
      <c r="AV100" s="497">
        <v>775443271</v>
      </c>
      <c r="AW100" s="497">
        <v>291685435</v>
      </c>
      <c r="AX100" s="497">
        <v>8460838</v>
      </c>
      <c r="AY100" s="497">
        <v>628684</v>
      </c>
      <c r="AZ100" s="497">
        <v>540415</v>
      </c>
      <c r="BA100" s="497">
        <v>178469</v>
      </c>
      <c r="BB100" s="497">
        <v>0</v>
      </c>
      <c r="BC100" s="497">
        <v>22119031</v>
      </c>
      <c r="BD100" s="497">
        <v>734432</v>
      </c>
      <c r="BE100" s="497">
        <v>433421</v>
      </c>
      <c r="BF100" s="497">
        <v>54824</v>
      </c>
      <c r="BG100" s="497">
        <v>25912487</v>
      </c>
      <c r="BH100" s="497">
        <v>63857</v>
      </c>
      <c r="BI100" s="497">
        <v>20539102</v>
      </c>
      <c r="BJ100" s="497">
        <v>5251587</v>
      </c>
      <c r="BK100" s="497">
        <v>1254013</v>
      </c>
      <c r="BL100" s="497">
        <v>274596</v>
      </c>
      <c r="BM100" s="497">
        <v>41962936</v>
      </c>
      <c r="BN100" s="497">
        <v>44544715</v>
      </c>
      <c r="BO100" s="497">
        <v>4309067</v>
      </c>
      <c r="BP100" s="497">
        <v>135953350</v>
      </c>
      <c r="BQ100" s="497">
        <v>730212457</v>
      </c>
      <c r="BR100" s="497">
        <v>1523627</v>
      </c>
      <c r="BS100" s="497">
        <v>22591629</v>
      </c>
      <c r="BT100" s="497">
        <v>4012860</v>
      </c>
      <c r="BU100" s="497">
        <v>26798143</v>
      </c>
      <c r="BV100" s="497">
        <v>2113840</v>
      </c>
      <c r="BW100" s="497">
        <v>1217434</v>
      </c>
      <c r="BX100" s="497">
        <v>6335347</v>
      </c>
      <c r="BY100" s="497">
        <v>0</v>
      </c>
      <c r="BZ100" s="497">
        <v>133085387</v>
      </c>
      <c r="CA100" s="497">
        <v>1908668</v>
      </c>
      <c r="CB100" s="497">
        <v>36819766</v>
      </c>
      <c r="CC100" s="497">
        <v>1101945</v>
      </c>
      <c r="CD100" s="497">
        <v>6290559</v>
      </c>
      <c r="CE100" s="497">
        <v>131598047</v>
      </c>
    </row>
    <row r="101" spans="1:83" x14ac:dyDescent="0.25">
      <c r="A101" s="635">
        <v>335</v>
      </c>
      <c r="B101" s="752">
        <v>335</v>
      </c>
      <c r="C101" s="635" t="s">
        <v>124</v>
      </c>
      <c r="D101" s="635" t="s">
        <v>483</v>
      </c>
      <c r="E101" s="497">
        <v>0</v>
      </c>
      <c r="F101" s="497">
        <v>0</v>
      </c>
      <c r="G101" s="497">
        <v>0</v>
      </c>
      <c r="H101" s="497">
        <v>0</v>
      </c>
      <c r="I101" s="497">
        <v>0</v>
      </c>
      <c r="J101" s="497">
        <v>0</v>
      </c>
      <c r="K101" s="497">
        <v>0</v>
      </c>
      <c r="L101" s="497">
        <v>0</v>
      </c>
      <c r="M101" s="497">
        <v>0</v>
      </c>
      <c r="N101" s="497">
        <v>667748</v>
      </c>
      <c r="O101" s="497">
        <v>0</v>
      </c>
      <c r="P101" s="497">
        <v>0</v>
      </c>
      <c r="Q101" s="497">
        <v>6610</v>
      </c>
      <c r="R101" s="497">
        <v>0</v>
      </c>
      <c r="S101" s="497">
        <v>0</v>
      </c>
      <c r="T101" s="497">
        <v>0</v>
      </c>
      <c r="U101" s="497">
        <v>0</v>
      </c>
      <c r="V101" s="497">
        <v>0</v>
      </c>
      <c r="W101" s="497">
        <v>0</v>
      </c>
      <c r="X101" s="497">
        <v>0</v>
      </c>
      <c r="Y101" s="497">
        <v>0</v>
      </c>
      <c r="Z101" s="497">
        <v>0</v>
      </c>
      <c r="AA101" s="497">
        <v>995165</v>
      </c>
      <c r="AB101" s="497">
        <v>0</v>
      </c>
      <c r="AC101" s="497">
        <v>0</v>
      </c>
      <c r="AD101" s="497">
        <v>0</v>
      </c>
      <c r="AE101" s="497">
        <v>0</v>
      </c>
      <c r="AF101" s="497">
        <v>0</v>
      </c>
      <c r="AG101" s="497">
        <v>0</v>
      </c>
      <c r="AH101" s="497">
        <v>0</v>
      </c>
      <c r="AI101" s="497">
        <v>0</v>
      </c>
      <c r="AJ101" s="497">
        <v>0</v>
      </c>
      <c r="AK101" s="497">
        <v>0</v>
      </c>
      <c r="AL101" s="497">
        <v>0</v>
      </c>
      <c r="AM101" s="497">
        <v>0</v>
      </c>
      <c r="AN101" s="497">
        <v>0</v>
      </c>
      <c r="AO101" s="497">
        <v>0</v>
      </c>
      <c r="AP101" s="497">
        <v>0</v>
      </c>
      <c r="AQ101" s="497">
        <v>0</v>
      </c>
      <c r="AR101" s="497">
        <v>0</v>
      </c>
      <c r="AS101" s="497">
        <v>0</v>
      </c>
      <c r="AT101" s="497">
        <v>0</v>
      </c>
      <c r="AU101" s="497">
        <v>0</v>
      </c>
      <c r="AV101" s="497">
        <v>2919735</v>
      </c>
      <c r="AW101" s="497">
        <v>0</v>
      </c>
      <c r="AX101" s="497">
        <v>0</v>
      </c>
      <c r="AY101" s="497">
        <v>0</v>
      </c>
      <c r="AZ101" s="497">
        <v>0</v>
      </c>
      <c r="BA101" s="497">
        <v>0</v>
      </c>
      <c r="BB101" s="497">
        <v>0</v>
      </c>
      <c r="BC101" s="497">
        <v>0</v>
      </c>
      <c r="BD101" s="497">
        <v>0</v>
      </c>
      <c r="BE101" s="497">
        <v>0</v>
      </c>
      <c r="BF101" s="497">
        <v>0</v>
      </c>
      <c r="BG101" s="497">
        <v>31700</v>
      </c>
      <c r="BH101" s="497">
        <v>0</v>
      </c>
      <c r="BI101" s="497">
        <v>109291</v>
      </c>
      <c r="BJ101" s="497">
        <v>0</v>
      </c>
      <c r="BK101" s="497">
        <v>0</v>
      </c>
      <c r="BL101" s="497">
        <v>0</v>
      </c>
      <c r="BM101" s="497">
        <v>0</v>
      </c>
      <c r="BN101" s="497">
        <v>1600</v>
      </c>
      <c r="BO101" s="497">
        <v>0</v>
      </c>
      <c r="BP101" s="497">
        <v>0</v>
      </c>
      <c r="BQ101" s="497">
        <v>0</v>
      </c>
      <c r="BR101" s="497">
        <v>0</v>
      </c>
      <c r="BS101" s="497">
        <v>0</v>
      </c>
      <c r="BT101" s="497">
        <v>0</v>
      </c>
      <c r="BU101" s="497">
        <v>27381</v>
      </c>
      <c r="BV101" s="497">
        <v>0</v>
      </c>
      <c r="BW101" s="497">
        <v>0</v>
      </c>
      <c r="BX101" s="497">
        <v>0</v>
      </c>
      <c r="BY101" s="497">
        <v>0</v>
      </c>
      <c r="BZ101" s="497">
        <v>0</v>
      </c>
      <c r="CA101" s="497">
        <v>0</v>
      </c>
      <c r="CB101" s="497">
        <v>0</v>
      </c>
      <c r="CC101" s="497">
        <v>0</v>
      </c>
      <c r="CD101" s="497">
        <v>4525</v>
      </c>
      <c r="CE101" s="497">
        <v>362609</v>
      </c>
    </row>
    <row r="102" spans="1:83" x14ac:dyDescent="0.25">
      <c r="A102" s="635">
        <v>336</v>
      </c>
      <c r="B102" s="752">
        <v>336</v>
      </c>
      <c r="C102" s="635" t="s">
        <v>733</v>
      </c>
      <c r="D102" s="635" t="s">
        <v>484</v>
      </c>
      <c r="E102" s="497">
        <v>2329</v>
      </c>
      <c r="F102" s="497">
        <v>73078</v>
      </c>
      <c r="G102" s="497">
        <v>69760</v>
      </c>
      <c r="H102" s="497">
        <v>44129</v>
      </c>
      <c r="I102" s="497">
        <v>166368</v>
      </c>
      <c r="J102" s="497">
        <v>7226</v>
      </c>
      <c r="K102" s="497">
        <v>467</v>
      </c>
      <c r="L102" s="497">
        <v>998</v>
      </c>
      <c r="M102" s="497">
        <v>362673</v>
      </c>
      <c r="N102" s="497">
        <v>25459937</v>
      </c>
      <c r="O102" s="497">
        <v>17769</v>
      </c>
      <c r="P102" s="497">
        <v>704264</v>
      </c>
      <c r="Q102" s="497">
        <v>9891</v>
      </c>
      <c r="R102" s="497">
        <v>1000757</v>
      </c>
      <c r="S102" s="497">
        <v>0</v>
      </c>
      <c r="T102" s="497">
        <v>12510</v>
      </c>
      <c r="U102" s="497">
        <v>106689</v>
      </c>
      <c r="V102" s="497">
        <v>50606</v>
      </c>
      <c r="W102" s="497">
        <v>238471</v>
      </c>
      <c r="X102" s="497">
        <v>19618</v>
      </c>
      <c r="Y102" s="497">
        <v>64065</v>
      </c>
      <c r="Z102" s="497">
        <v>197578</v>
      </c>
      <c r="AA102" s="497">
        <v>10647275</v>
      </c>
      <c r="AB102" s="497">
        <v>2766</v>
      </c>
      <c r="AC102" s="497">
        <v>30187</v>
      </c>
      <c r="AD102" s="497">
        <v>5235052</v>
      </c>
      <c r="AE102" s="497">
        <v>59927</v>
      </c>
      <c r="AF102" s="497">
        <v>0</v>
      </c>
      <c r="AG102" s="497">
        <v>11899529</v>
      </c>
      <c r="AH102" s="497">
        <v>12398</v>
      </c>
      <c r="AI102" s="497">
        <v>7112</v>
      </c>
      <c r="AJ102" s="497">
        <v>727647</v>
      </c>
      <c r="AK102" s="497">
        <v>6057</v>
      </c>
      <c r="AL102" s="497">
        <v>2046</v>
      </c>
      <c r="AM102" s="497">
        <v>0</v>
      </c>
      <c r="AN102" s="497">
        <v>0</v>
      </c>
      <c r="AO102" s="497">
        <v>469772</v>
      </c>
      <c r="AP102" s="497">
        <v>1400</v>
      </c>
      <c r="AQ102" s="497">
        <v>229570</v>
      </c>
      <c r="AR102" s="497">
        <v>235543</v>
      </c>
      <c r="AS102" s="497">
        <v>976</v>
      </c>
      <c r="AT102" s="497">
        <v>87366</v>
      </c>
      <c r="AU102" s="497">
        <v>16843</v>
      </c>
      <c r="AV102" s="497">
        <v>77023347</v>
      </c>
      <c r="AW102" s="497">
        <v>10509590</v>
      </c>
      <c r="AX102" s="497">
        <v>111439</v>
      </c>
      <c r="AY102" s="497">
        <v>3060</v>
      </c>
      <c r="AZ102" s="497">
        <v>23021</v>
      </c>
      <c r="BA102" s="497">
        <v>0</v>
      </c>
      <c r="BB102" s="497">
        <v>0</v>
      </c>
      <c r="BC102" s="497">
        <v>262469</v>
      </c>
      <c r="BD102" s="497">
        <v>3027</v>
      </c>
      <c r="BE102" s="497">
        <v>3010</v>
      </c>
      <c r="BF102" s="497">
        <v>3688</v>
      </c>
      <c r="BG102" s="497">
        <v>1122858</v>
      </c>
      <c r="BH102" s="497">
        <v>0</v>
      </c>
      <c r="BI102" s="497">
        <v>870176</v>
      </c>
      <c r="BJ102" s="497">
        <v>113296</v>
      </c>
      <c r="BK102" s="497">
        <v>9812</v>
      </c>
      <c r="BL102" s="497">
        <v>784</v>
      </c>
      <c r="BM102" s="497">
        <v>1044292</v>
      </c>
      <c r="BN102" s="497">
        <v>1863540</v>
      </c>
      <c r="BO102" s="497">
        <v>166832</v>
      </c>
      <c r="BP102" s="497">
        <v>6343664</v>
      </c>
      <c r="BQ102" s="497">
        <v>28546949</v>
      </c>
      <c r="BR102" s="497">
        <v>30792</v>
      </c>
      <c r="BS102" s="497">
        <v>713267</v>
      </c>
      <c r="BT102" s="497">
        <v>26870</v>
      </c>
      <c r="BU102" s="497">
        <v>1323628</v>
      </c>
      <c r="BV102" s="497">
        <v>5210</v>
      </c>
      <c r="BW102" s="497">
        <v>23981</v>
      </c>
      <c r="BX102" s="497">
        <v>1587274</v>
      </c>
      <c r="BY102" s="497">
        <v>0</v>
      </c>
      <c r="BZ102" s="497">
        <v>13359255</v>
      </c>
      <c r="CA102" s="497">
        <v>187935</v>
      </c>
      <c r="CB102" s="497">
        <v>1776979</v>
      </c>
      <c r="CC102" s="497">
        <v>27492</v>
      </c>
      <c r="CD102" s="497">
        <v>181574</v>
      </c>
      <c r="CE102" s="497">
        <v>6815827</v>
      </c>
    </row>
    <row r="103" spans="1:83" x14ac:dyDescent="0.25">
      <c r="A103" s="635">
        <v>337</v>
      </c>
      <c r="B103" s="752">
        <v>337</v>
      </c>
      <c r="C103" s="635" t="s">
        <v>319</v>
      </c>
      <c r="D103" s="635" t="s">
        <v>485</v>
      </c>
      <c r="E103" s="497">
        <v>700000</v>
      </c>
      <c r="F103" s="497">
        <v>108964</v>
      </c>
      <c r="G103" s="497">
        <v>600000</v>
      </c>
      <c r="H103" s="497">
        <v>0</v>
      </c>
      <c r="I103" s="497">
        <v>114577</v>
      </c>
      <c r="J103" s="497">
        <v>0</v>
      </c>
      <c r="K103" s="497">
        <v>0</v>
      </c>
      <c r="L103" s="497">
        <v>0</v>
      </c>
      <c r="M103" s="497">
        <v>109670</v>
      </c>
      <c r="N103" s="497">
        <v>90961336</v>
      </c>
      <c r="O103" s="497">
        <v>0</v>
      </c>
      <c r="P103" s="497">
        <v>6833276</v>
      </c>
      <c r="Q103" s="497">
        <v>0</v>
      </c>
      <c r="R103" s="497">
        <v>621270</v>
      </c>
      <c r="S103" s="497">
        <v>0</v>
      </c>
      <c r="T103" s="497">
        <v>178714</v>
      </c>
      <c r="U103" s="497">
        <v>918275</v>
      </c>
      <c r="V103" s="497">
        <v>40495</v>
      </c>
      <c r="W103" s="497">
        <v>779674</v>
      </c>
      <c r="X103" s="497">
        <v>0</v>
      </c>
      <c r="Y103" s="497">
        <v>0</v>
      </c>
      <c r="Z103" s="497">
        <v>117842</v>
      </c>
      <c r="AA103" s="497">
        <v>46260417</v>
      </c>
      <c r="AB103" s="497">
        <v>0</v>
      </c>
      <c r="AC103" s="497">
        <v>50507</v>
      </c>
      <c r="AD103" s="497">
        <v>0</v>
      </c>
      <c r="AE103" s="497">
        <v>949665</v>
      </c>
      <c r="AF103" s="497">
        <v>0</v>
      </c>
      <c r="AG103" s="497">
        <v>40630433</v>
      </c>
      <c r="AH103" s="497">
        <v>0</v>
      </c>
      <c r="AI103" s="497">
        <v>0</v>
      </c>
      <c r="AJ103" s="497">
        <v>2025270</v>
      </c>
      <c r="AK103" s="497">
        <v>0</v>
      </c>
      <c r="AL103" s="497">
        <v>0</v>
      </c>
      <c r="AM103" s="497">
        <v>0</v>
      </c>
      <c r="AN103" s="497">
        <v>0</v>
      </c>
      <c r="AO103" s="497">
        <v>0</v>
      </c>
      <c r="AP103" s="497">
        <v>0</v>
      </c>
      <c r="AQ103" s="497">
        <v>162680</v>
      </c>
      <c r="AR103" s="497">
        <v>200000</v>
      </c>
      <c r="AS103" s="497">
        <v>0</v>
      </c>
      <c r="AT103" s="497">
        <v>1905164</v>
      </c>
      <c r="AU103" s="497">
        <v>0</v>
      </c>
      <c r="AV103" s="497">
        <v>378283261</v>
      </c>
      <c r="AW103" s="497">
        <v>33109020</v>
      </c>
      <c r="AX103" s="497">
        <v>1265253</v>
      </c>
      <c r="AY103" s="497">
        <v>0</v>
      </c>
      <c r="AZ103" s="497">
        <v>0</v>
      </c>
      <c r="BA103" s="497">
        <v>16600</v>
      </c>
      <c r="BB103" s="497">
        <v>0</v>
      </c>
      <c r="BC103" s="497">
        <v>108550</v>
      </c>
      <c r="BD103" s="497">
        <v>0</v>
      </c>
      <c r="BE103" s="497">
        <v>0</v>
      </c>
      <c r="BF103" s="497">
        <v>0</v>
      </c>
      <c r="BG103" s="497">
        <v>8222787</v>
      </c>
      <c r="BH103" s="497">
        <v>0</v>
      </c>
      <c r="BI103" s="497">
        <v>6154022</v>
      </c>
      <c r="BJ103" s="497">
        <v>220717</v>
      </c>
      <c r="BK103" s="497">
        <v>0</v>
      </c>
      <c r="BL103" s="497">
        <v>0</v>
      </c>
      <c r="BM103" s="497">
        <v>2166590</v>
      </c>
      <c r="BN103" s="497">
        <v>8949261</v>
      </c>
      <c r="BO103" s="497">
        <v>712400</v>
      </c>
      <c r="BP103" s="497">
        <v>17644693</v>
      </c>
      <c r="BQ103" s="497">
        <v>104746798</v>
      </c>
      <c r="BR103" s="497">
        <v>195000</v>
      </c>
      <c r="BS103" s="497">
        <v>4722164</v>
      </c>
      <c r="BT103" s="497">
        <v>0</v>
      </c>
      <c r="BU103" s="497">
        <v>4632280</v>
      </c>
      <c r="BV103" s="497">
        <v>30352</v>
      </c>
      <c r="BW103" s="497">
        <v>0</v>
      </c>
      <c r="BX103" s="497">
        <v>11191954</v>
      </c>
      <c r="BY103" s="497">
        <v>0</v>
      </c>
      <c r="BZ103" s="497">
        <v>36631911</v>
      </c>
      <c r="CA103" s="497">
        <v>31021</v>
      </c>
      <c r="CB103" s="497">
        <v>5865714</v>
      </c>
      <c r="CC103" s="497">
        <v>162356</v>
      </c>
      <c r="CD103" s="497">
        <v>183363</v>
      </c>
      <c r="CE103" s="497">
        <v>34861233</v>
      </c>
    </row>
    <row r="104" spans="1:83" x14ac:dyDescent="0.25">
      <c r="A104" s="635">
        <v>338</v>
      </c>
      <c r="B104" s="752">
        <v>338</v>
      </c>
      <c r="C104" s="635" t="s">
        <v>123</v>
      </c>
      <c r="D104" s="635" t="s">
        <v>486</v>
      </c>
      <c r="E104" s="497">
        <v>940543</v>
      </c>
      <c r="F104" s="497">
        <v>2151222</v>
      </c>
      <c r="G104" s="497">
        <v>629774</v>
      </c>
      <c r="H104" s="497">
        <v>320767</v>
      </c>
      <c r="I104" s="497">
        <v>283023</v>
      </c>
      <c r="J104" s="497">
        <v>10587</v>
      </c>
      <c r="K104" s="497">
        <v>467</v>
      </c>
      <c r="L104" s="497">
        <v>998</v>
      </c>
      <c r="M104" s="497">
        <v>4014073</v>
      </c>
      <c r="N104" s="497">
        <v>216395840</v>
      </c>
      <c r="O104" s="497">
        <v>62719</v>
      </c>
      <c r="P104" s="497">
        <v>8429411</v>
      </c>
      <c r="Q104" s="497">
        <v>9891</v>
      </c>
      <c r="R104" s="497">
        <v>15731616</v>
      </c>
      <c r="S104" s="497">
        <v>0</v>
      </c>
      <c r="T104" s="497">
        <v>184037</v>
      </c>
      <c r="U104" s="497">
        <v>1252092</v>
      </c>
      <c r="V104" s="497">
        <v>231570</v>
      </c>
      <c r="W104" s="497">
        <v>3812328</v>
      </c>
      <c r="X104" s="497">
        <v>567306</v>
      </c>
      <c r="Y104" s="497">
        <v>73077</v>
      </c>
      <c r="Z104" s="497">
        <v>885321</v>
      </c>
      <c r="AA104" s="497">
        <v>62559206</v>
      </c>
      <c r="AB104" s="497">
        <v>2766</v>
      </c>
      <c r="AC104" s="497">
        <v>93114</v>
      </c>
      <c r="AD104" s="497">
        <v>65984058</v>
      </c>
      <c r="AE104" s="497">
        <v>1088664</v>
      </c>
      <c r="AF104" s="497">
        <v>0</v>
      </c>
      <c r="AG104" s="497">
        <v>127979241</v>
      </c>
      <c r="AH104" s="497">
        <v>12398</v>
      </c>
      <c r="AI104" s="497">
        <v>23482</v>
      </c>
      <c r="AJ104" s="497">
        <v>4679063</v>
      </c>
      <c r="AK104" s="497">
        <v>188121</v>
      </c>
      <c r="AL104" s="497">
        <v>2046</v>
      </c>
      <c r="AM104" s="497">
        <v>0</v>
      </c>
      <c r="AN104" s="497">
        <v>263</v>
      </c>
      <c r="AO104" s="497">
        <v>15045473</v>
      </c>
      <c r="AP104" s="497">
        <v>1400</v>
      </c>
      <c r="AQ104" s="497">
        <v>1467498</v>
      </c>
      <c r="AR104" s="497">
        <v>843093</v>
      </c>
      <c r="AS104" s="497">
        <v>976</v>
      </c>
      <c r="AT104" s="497">
        <v>2049060</v>
      </c>
      <c r="AU104" s="497">
        <v>16843</v>
      </c>
      <c r="AV104" s="497">
        <v>636737058</v>
      </c>
      <c r="AW104" s="497">
        <v>116084309</v>
      </c>
      <c r="AX104" s="497">
        <v>1589182</v>
      </c>
      <c r="AY104" s="497">
        <v>24832</v>
      </c>
      <c r="AZ104" s="497">
        <v>49368</v>
      </c>
      <c r="BA104" s="497">
        <v>16719</v>
      </c>
      <c r="BB104" s="497">
        <v>0</v>
      </c>
      <c r="BC104" s="497">
        <v>8302763</v>
      </c>
      <c r="BD104" s="497">
        <v>3027</v>
      </c>
      <c r="BE104" s="497">
        <v>3010</v>
      </c>
      <c r="BF104" s="497">
        <v>3688</v>
      </c>
      <c r="BG104" s="497">
        <v>11036181</v>
      </c>
      <c r="BH104" s="497">
        <v>0</v>
      </c>
      <c r="BI104" s="497">
        <v>12078665</v>
      </c>
      <c r="BJ104" s="497">
        <v>1981840</v>
      </c>
      <c r="BK104" s="497">
        <v>9812</v>
      </c>
      <c r="BL104" s="497">
        <v>784</v>
      </c>
      <c r="BM104" s="497">
        <v>17732498</v>
      </c>
      <c r="BN104" s="497">
        <v>16274506</v>
      </c>
      <c r="BO104" s="497">
        <v>1209086</v>
      </c>
      <c r="BP104" s="497">
        <v>57474569</v>
      </c>
      <c r="BQ104" s="497">
        <v>178019706</v>
      </c>
      <c r="BR104" s="497">
        <v>200792</v>
      </c>
      <c r="BS104" s="497">
        <v>6405982</v>
      </c>
      <c r="BT104" s="497">
        <v>155730</v>
      </c>
      <c r="BU104" s="497">
        <v>8823598</v>
      </c>
      <c r="BV104" s="497">
        <v>48061</v>
      </c>
      <c r="BW104" s="497">
        <v>23981</v>
      </c>
      <c r="BX104" s="497">
        <v>12164543</v>
      </c>
      <c r="BY104" s="497">
        <v>0</v>
      </c>
      <c r="BZ104" s="497">
        <v>58859825</v>
      </c>
      <c r="CA104" s="497">
        <v>233459</v>
      </c>
      <c r="CB104" s="497">
        <v>18445484</v>
      </c>
      <c r="CC104" s="497">
        <v>180685</v>
      </c>
      <c r="CD104" s="497">
        <v>1134169</v>
      </c>
      <c r="CE104" s="497">
        <v>49665107</v>
      </c>
    </row>
    <row r="105" spans="1:83" x14ac:dyDescent="0.25">
      <c r="A105" s="635">
        <v>339</v>
      </c>
      <c r="B105" s="752">
        <v>339</v>
      </c>
      <c r="C105" s="635" t="s">
        <v>255</v>
      </c>
      <c r="D105" s="635" t="s">
        <v>487</v>
      </c>
      <c r="E105" s="497">
        <v>89017</v>
      </c>
      <c r="F105" s="497">
        <v>238096</v>
      </c>
      <c r="G105" s="497">
        <v>21880</v>
      </c>
      <c r="H105" s="497">
        <v>123122</v>
      </c>
      <c r="I105" s="497">
        <v>19759</v>
      </c>
      <c r="J105" s="497">
        <v>7495</v>
      </c>
      <c r="K105" s="497">
        <v>2425</v>
      </c>
      <c r="L105" s="497">
        <v>0</v>
      </c>
      <c r="M105" s="497">
        <v>1009657</v>
      </c>
      <c r="N105" s="497">
        <v>16962010</v>
      </c>
      <c r="O105" s="497">
        <v>5095</v>
      </c>
      <c r="P105" s="497">
        <v>129198</v>
      </c>
      <c r="Q105" s="497">
        <v>140793</v>
      </c>
      <c r="R105" s="497">
        <v>1901982</v>
      </c>
      <c r="S105" s="497">
        <v>0</v>
      </c>
      <c r="T105" s="497">
        <v>35387</v>
      </c>
      <c r="U105" s="497">
        <v>378704</v>
      </c>
      <c r="V105" s="497">
        <v>37709</v>
      </c>
      <c r="W105" s="497">
        <v>148887</v>
      </c>
      <c r="X105" s="497">
        <v>60762</v>
      </c>
      <c r="Y105" s="497">
        <v>65329</v>
      </c>
      <c r="Z105" s="497">
        <v>106732</v>
      </c>
      <c r="AA105" s="497">
        <v>5315991</v>
      </c>
      <c r="AB105" s="497">
        <v>350</v>
      </c>
      <c r="AC105" s="497">
        <v>137695</v>
      </c>
      <c r="AD105" s="497">
        <v>3157240</v>
      </c>
      <c r="AE105" s="497">
        <v>102151</v>
      </c>
      <c r="AF105" s="497">
        <v>0</v>
      </c>
      <c r="AG105" s="497">
        <v>12236423</v>
      </c>
      <c r="AH105" s="497">
        <v>1200</v>
      </c>
      <c r="AI105" s="497">
        <v>44046</v>
      </c>
      <c r="AJ105" s="497">
        <v>480577</v>
      </c>
      <c r="AK105" s="497">
        <v>47895</v>
      </c>
      <c r="AL105" s="497">
        <v>0</v>
      </c>
      <c r="AM105" s="497">
        <v>0</v>
      </c>
      <c r="AN105" s="497">
        <v>10450</v>
      </c>
      <c r="AO105" s="497">
        <v>1204718</v>
      </c>
      <c r="AP105" s="497">
        <v>5000</v>
      </c>
      <c r="AQ105" s="497">
        <v>321920</v>
      </c>
      <c r="AR105" s="497">
        <v>142111</v>
      </c>
      <c r="AS105" s="497">
        <v>0</v>
      </c>
      <c r="AT105" s="497">
        <v>50975</v>
      </c>
      <c r="AU105" s="497">
        <v>3800</v>
      </c>
      <c r="AV105" s="497">
        <v>35446781</v>
      </c>
      <c r="AW105" s="497">
        <v>11725556</v>
      </c>
      <c r="AX105" s="497">
        <v>152251</v>
      </c>
      <c r="AY105" s="497">
        <v>2451</v>
      </c>
      <c r="AZ105" s="497">
        <v>50886</v>
      </c>
      <c r="BA105" s="497">
        <v>39111</v>
      </c>
      <c r="BB105" s="497">
        <v>0</v>
      </c>
      <c r="BC105" s="497">
        <v>795319</v>
      </c>
      <c r="BD105" s="497">
        <v>8800</v>
      </c>
      <c r="BE105" s="497">
        <v>12638</v>
      </c>
      <c r="BF105" s="497">
        <v>5548</v>
      </c>
      <c r="BG105" s="497">
        <v>791531</v>
      </c>
      <c r="BH105" s="497">
        <v>0</v>
      </c>
      <c r="BI105" s="497">
        <v>1746716</v>
      </c>
      <c r="BJ105" s="497">
        <v>124794</v>
      </c>
      <c r="BK105" s="497">
        <v>2555</v>
      </c>
      <c r="BL105" s="497">
        <v>8660</v>
      </c>
      <c r="BM105" s="497">
        <v>3754123</v>
      </c>
      <c r="BN105" s="497">
        <v>876782</v>
      </c>
      <c r="BO105" s="497">
        <v>265783</v>
      </c>
      <c r="BP105" s="497">
        <v>9768164</v>
      </c>
      <c r="BQ105" s="497">
        <v>27259832</v>
      </c>
      <c r="BR105" s="497">
        <v>37886</v>
      </c>
      <c r="BS105" s="497">
        <v>473005</v>
      </c>
      <c r="BT105" s="497">
        <v>29887</v>
      </c>
      <c r="BU105" s="497">
        <v>210734</v>
      </c>
      <c r="BV105" s="497">
        <v>38617</v>
      </c>
      <c r="BW105" s="497">
        <v>8145</v>
      </c>
      <c r="BX105" s="497">
        <v>357687</v>
      </c>
      <c r="BY105" s="497">
        <v>0</v>
      </c>
      <c r="BZ105" s="497">
        <v>12967129</v>
      </c>
      <c r="CA105" s="497">
        <v>68816</v>
      </c>
      <c r="CB105" s="497">
        <v>1546050</v>
      </c>
      <c r="CC105" s="497">
        <v>479</v>
      </c>
      <c r="CD105" s="497">
        <v>398218</v>
      </c>
      <c r="CE105" s="497">
        <v>2085808</v>
      </c>
    </row>
    <row r="106" spans="1:83" x14ac:dyDescent="0.25">
      <c r="B106" s="752">
        <v>340</v>
      </c>
      <c r="C106" s="635" t="s">
        <v>734</v>
      </c>
      <c r="D106" s="635" t="s">
        <v>488</v>
      </c>
      <c r="E106" s="497"/>
      <c r="F106" s="497"/>
      <c r="G106" s="497"/>
      <c r="H106" s="497"/>
      <c r="I106" s="497"/>
      <c r="J106" s="497"/>
      <c r="K106" s="497"/>
      <c r="L106" s="497"/>
      <c r="M106" s="497"/>
      <c r="N106" s="497"/>
      <c r="O106" s="497"/>
      <c r="P106" s="497"/>
      <c r="Q106" s="497"/>
      <c r="R106" s="497"/>
      <c r="S106" s="497"/>
      <c r="T106" s="497"/>
      <c r="U106" s="497"/>
      <c r="V106" s="497"/>
      <c r="W106" s="497"/>
      <c r="X106" s="497"/>
      <c r="Y106" s="497"/>
      <c r="Z106" s="497"/>
      <c r="AA106" s="497"/>
      <c r="AB106" s="497"/>
      <c r="AC106" s="497"/>
      <c r="AD106" s="497"/>
      <c r="AE106" s="497"/>
      <c r="AF106" s="497"/>
      <c r="AG106" s="497"/>
      <c r="AH106" s="497"/>
      <c r="AI106" s="497"/>
      <c r="AJ106" s="497"/>
      <c r="AK106" s="497"/>
      <c r="AL106" s="497"/>
      <c r="AM106" s="497"/>
      <c r="AN106" s="497"/>
      <c r="AO106" s="497"/>
      <c r="AP106" s="497"/>
      <c r="AQ106" s="497"/>
      <c r="AR106" s="497"/>
      <c r="AS106" s="497"/>
      <c r="AT106" s="497"/>
      <c r="AU106" s="497"/>
      <c r="AV106" s="497"/>
      <c r="AW106" s="497"/>
      <c r="AX106" s="497"/>
      <c r="AY106" s="497"/>
      <c r="AZ106" s="497"/>
      <c r="BA106" s="497"/>
      <c r="BB106" s="497"/>
      <c r="BC106" s="497"/>
      <c r="BD106" s="497"/>
      <c r="BE106" s="497"/>
      <c r="BF106" s="497"/>
      <c r="BG106" s="497"/>
      <c r="BH106" s="497"/>
      <c r="BI106" s="497"/>
      <c r="BJ106" s="497"/>
      <c r="BK106" s="497"/>
      <c r="BL106" s="497"/>
      <c r="BM106" s="497"/>
      <c r="BN106" s="497"/>
      <c r="BO106" s="497"/>
      <c r="BP106" s="497"/>
      <c r="BQ106" s="497"/>
      <c r="BR106" s="497"/>
      <c r="BS106" s="497"/>
      <c r="BT106" s="497"/>
      <c r="BU106" s="497"/>
      <c r="BV106" s="497"/>
      <c r="BW106" s="497"/>
      <c r="BX106" s="497"/>
      <c r="BY106" s="497"/>
      <c r="BZ106" s="497"/>
      <c r="CA106" s="497"/>
      <c r="CB106" s="497"/>
      <c r="CC106" s="497"/>
      <c r="CD106" s="497"/>
      <c r="CE106" s="497"/>
    </row>
    <row r="107" spans="1:83" x14ac:dyDescent="0.25">
      <c r="A107" s="635">
        <v>341</v>
      </c>
      <c r="B107" s="752">
        <v>341</v>
      </c>
      <c r="C107" s="635" t="s">
        <v>258</v>
      </c>
      <c r="D107" s="635" t="s">
        <v>489</v>
      </c>
      <c r="E107" s="497">
        <v>607752</v>
      </c>
      <c r="F107" s="497">
        <v>2020146</v>
      </c>
      <c r="G107" s="497">
        <v>277487</v>
      </c>
      <c r="H107" s="497">
        <v>667995</v>
      </c>
      <c r="I107" s="497">
        <v>569140</v>
      </c>
      <c r="J107" s="497">
        <v>128774</v>
      </c>
      <c r="K107" s="497">
        <v>47123</v>
      </c>
      <c r="L107" s="497">
        <v>72794</v>
      </c>
      <c r="M107" s="497">
        <v>3445337</v>
      </c>
      <c r="N107" s="497">
        <v>144542330</v>
      </c>
      <c r="O107" s="497">
        <v>1752113</v>
      </c>
      <c r="P107" s="497">
        <v>6746930</v>
      </c>
      <c r="Q107" s="497">
        <v>13342</v>
      </c>
      <c r="R107" s="497">
        <v>7854766</v>
      </c>
      <c r="S107" s="497">
        <v>71258</v>
      </c>
      <c r="T107" s="497">
        <v>270033</v>
      </c>
      <c r="U107" s="497">
        <v>1408155</v>
      </c>
      <c r="V107" s="497">
        <v>283619</v>
      </c>
      <c r="W107" s="497">
        <v>4687726</v>
      </c>
      <c r="X107" s="497">
        <v>1531396</v>
      </c>
      <c r="Y107" s="497">
        <v>554145</v>
      </c>
      <c r="Z107" s="497">
        <v>684811</v>
      </c>
      <c r="AA107" s="497">
        <v>25007007</v>
      </c>
      <c r="AB107" s="497">
        <v>1140645</v>
      </c>
      <c r="AC107" s="497">
        <v>470263</v>
      </c>
      <c r="AD107" s="497">
        <v>30318330</v>
      </c>
      <c r="AE107" s="497">
        <v>557735</v>
      </c>
      <c r="AF107" s="497">
        <v>0</v>
      </c>
      <c r="AG107" s="497">
        <v>56338261</v>
      </c>
      <c r="AH107" s="497">
        <v>163857</v>
      </c>
      <c r="AI107" s="497">
        <v>197352</v>
      </c>
      <c r="AJ107" s="497">
        <v>5379473</v>
      </c>
      <c r="AK107" s="497">
        <v>783209</v>
      </c>
      <c r="AL107" s="497">
        <v>68360</v>
      </c>
      <c r="AM107" s="497">
        <v>0</v>
      </c>
      <c r="AN107" s="497">
        <v>158766</v>
      </c>
      <c r="AO107" s="497">
        <v>10882772</v>
      </c>
      <c r="AP107" s="497">
        <v>40218</v>
      </c>
      <c r="AQ107" s="497">
        <v>3583294</v>
      </c>
      <c r="AR107" s="497">
        <v>2003295</v>
      </c>
      <c r="AS107" s="497">
        <v>68092</v>
      </c>
      <c r="AT107" s="497">
        <v>987371</v>
      </c>
      <c r="AU107" s="497">
        <v>267348</v>
      </c>
      <c r="AV107" s="497">
        <v>269374143</v>
      </c>
      <c r="AW107" s="497">
        <v>72784634</v>
      </c>
      <c r="AX107" s="497">
        <v>1348093</v>
      </c>
      <c r="AY107" s="497">
        <v>264693</v>
      </c>
      <c r="AZ107" s="497">
        <v>230948</v>
      </c>
      <c r="BA107" s="497">
        <v>134210</v>
      </c>
      <c r="BB107" s="497">
        <v>0</v>
      </c>
      <c r="BC107" s="497">
        <v>4455338</v>
      </c>
      <c r="BD107" s="497">
        <v>233159</v>
      </c>
      <c r="BE107" s="497">
        <v>95492</v>
      </c>
      <c r="BF107" s="497">
        <v>41837</v>
      </c>
      <c r="BG107" s="497">
        <v>11776778</v>
      </c>
      <c r="BH107" s="497">
        <v>19501</v>
      </c>
      <c r="BI107" s="497">
        <v>9443949</v>
      </c>
      <c r="BJ107" s="497">
        <v>1888460</v>
      </c>
      <c r="BK107" s="497">
        <v>190408</v>
      </c>
      <c r="BL107" s="497">
        <v>71838</v>
      </c>
      <c r="BM107" s="497">
        <v>11352342</v>
      </c>
      <c r="BN107" s="497">
        <v>14524698</v>
      </c>
      <c r="BO107" s="497">
        <v>1253525</v>
      </c>
      <c r="BP107" s="497">
        <v>47756396</v>
      </c>
      <c r="BQ107" s="497">
        <v>99585732</v>
      </c>
      <c r="BR107" s="497">
        <v>242202</v>
      </c>
      <c r="BS107" s="497">
        <v>4527721</v>
      </c>
      <c r="BT107" s="497">
        <v>916218</v>
      </c>
      <c r="BU107" s="497">
        <v>9621429</v>
      </c>
      <c r="BV107" s="497">
        <v>118455</v>
      </c>
      <c r="BW107" s="497">
        <v>229112</v>
      </c>
      <c r="BX107" s="497">
        <v>6645457</v>
      </c>
      <c r="BY107" s="497">
        <v>0</v>
      </c>
      <c r="BZ107" s="497">
        <v>31410427</v>
      </c>
      <c r="CA107" s="497">
        <v>171204</v>
      </c>
      <c r="CB107" s="497">
        <v>11685614</v>
      </c>
      <c r="CC107" s="497">
        <v>559886</v>
      </c>
      <c r="CD107" s="497">
        <v>2530953</v>
      </c>
      <c r="CE107" s="497">
        <v>40760208</v>
      </c>
    </row>
    <row r="108" spans="1:83" x14ac:dyDescent="0.25">
      <c r="B108" s="752">
        <v>342</v>
      </c>
      <c r="C108" s="635" t="s">
        <v>735</v>
      </c>
      <c r="D108" s="635" t="s">
        <v>490</v>
      </c>
      <c r="E108" s="497"/>
      <c r="F108" s="497"/>
      <c r="G108" s="497"/>
      <c r="H108" s="497"/>
      <c r="I108" s="497"/>
      <c r="J108" s="497"/>
      <c r="K108" s="497"/>
      <c r="L108" s="497"/>
      <c r="M108" s="497"/>
      <c r="N108" s="497"/>
      <c r="O108" s="497"/>
      <c r="P108" s="497"/>
      <c r="Q108" s="497"/>
      <c r="R108" s="497"/>
      <c r="S108" s="497"/>
      <c r="T108" s="497"/>
      <c r="U108" s="497"/>
      <c r="V108" s="497"/>
      <c r="W108" s="497"/>
      <c r="X108" s="497"/>
      <c r="Y108" s="497"/>
      <c r="Z108" s="497"/>
      <c r="AA108" s="497"/>
      <c r="AB108" s="497"/>
      <c r="AC108" s="497"/>
      <c r="AD108" s="497"/>
      <c r="AE108" s="497"/>
      <c r="AF108" s="497"/>
      <c r="AG108" s="497"/>
      <c r="AH108" s="497"/>
      <c r="AI108" s="497"/>
      <c r="AJ108" s="497"/>
      <c r="AK108" s="497"/>
      <c r="AL108" s="497"/>
      <c r="AM108" s="497"/>
      <c r="AN108" s="497"/>
      <c r="AO108" s="497"/>
      <c r="AP108" s="497"/>
      <c r="AQ108" s="497"/>
      <c r="AR108" s="497"/>
      <c r="AS108" s="497"/>
      <c r="AT108" s="497"/>
      <c r="AU108" s="497"/>
      <c r="AV108" s="497"/>
      <c r="AW108" s="497"/>
      <c r="AX108" s="497"/>
      <c r="AY108" s="497"/>
      <c r="AZ108" s="497"/>
      <c r="BA108" s="497"/>
      <c r="BB108" s="497"/>
      <c r="BC108" s="497"/>
      <c r="BD108" s="497"/>
      <c r="BE108" s="497"/>
      <c r="BF108" s="497"/>
      <c r="BG108" s="497"/>
      <c r="BH108" s="497"/>
      <c r="BI108" s="497"/>
      <c r="BJ108" s="497"/>
      <c r="BK108" s="497"/>
      <c r="BL108" s="497"/>
      <c r="BM108" s="497"/>
      <c r="BN108" s="497"/>
      <c r="BO108" s="497"/>
      <c r="BP108" s="497"/>
      <c r="BQ108" s="497"/>
      <c r="BR108" s="497"/>
      <c r="BS108" s="497"/>
      <c r="BT108" s="497"/>
      <c r="BU108" s="497"/>
      <c r="BV108" s="497"/>
      <c r="BW108" s="497"/>
      <c r="BX108" s="497"/>
      <c r="BY108" s="497"/>
      <c r="BZ108" s="497"/>
      <c r="CA108" s="497"/>
      <c r="CB108" s="497"/>
      <c r="CC108" s="497"/>
      <c r="CD108" s="497"/>
      <c r="CE108" s="497"/>
    </row>
    <row r="109" spans="1:83" x14ac:dyDescent="0.25">
      <c r="A109" s="635">
        <v>343</v>
      </c>
      <c r="B109" s="752">
        <v>343</v>
      </c>
      <c r="C109" s="635" t="s">
        <v>320</v>
      </c>
      <c r="D109" s="635" t="s">
        <v>491</v>
      </c>
      <c r="E109" s="497">
        <v>26743</v>
      </c>
      <c r="F109" s="497">
        <v>24918</v>
      </c>
      <c r="G109" s="497">
        <v>0</v>
      </c>
      <c r="H109" s="497">
        <v>0</v>
      </c>
      <c r="I109" s="497">
        <v>33827</v>
      </c>
      <c r="J109" s="497">
        <v>0</v>
      </c>
      <c r="K109" s="497">
        <v>0</v>
      </c>
      <c r="L109" s="497">
        <v>0</v>
      </c>
      <c r="M109" s="497">
        <v>75878</v>
      </c>
      <c r="N109" s="497">
        <v>8784805</v>
      </c>
      <c r="O109" s="497">
        <v>0</v>
      </c>
      <c r="P109" s="497">
        <v>333682</v>
      </c>
      <c r="Q109" s="497">
        <v>0</v>
      </c>
      <c r="R109" s="497">
        <v>205141</v>
      </c>
      <c r="S109" s="497">
        <v>0</v>
      </c>
      <c r="T109" s="497">
        <v>8235</v>
      </c>
      <c r="U109" s="497">
        <v>75834</v>
      </c>
      <c r="V109" s="497">
        <v>782546</v>
      </c>
      <c r="W109" s="497">
        <v>243152</v>
      </c>
      <c r="X109" s="497">
        <v>163471</v>
      </c>
      <c r="Y109" s="497">
        <v>0</v>
      </c>
      <c r="Z109" s="497">
        <v>124350</v>
      </c>
      <c r="AA109" s="497">
        <v>1277505</v>
      </c>
      <c r="AB109" s="497">
        <v>0</v>
      </c>
      <c r="AC109" s="497">
        <v>4120</v>
      </c>
      <c r="AD109" s="497">
        <v>0</v>
      </c>
      <c r="AE109" s="497">
        <v>60005</v>
      </c>
      <c r="AF109" s="497">
        <v>0</v>
      </c>
      <c r="AG109" s="497">
        <v>6512378</v>
      </c>
      <c r="AH109" s="497">
        <v>0</v>
      </c>
      <c r="AI109" s="497">
        <v>0</v>
      </c>
      <c r="AJ109" s="497">
        <v>232283</v>
      </c>
      <c r="AK109" s="497">
        <v>0</v>
      </c>
      <c r="AL109" s="497">
        <v>0</v>
      </c>
      <c r="AM109" s="497">
        <v>0</v>
      </c>
      <c r="AN109" s="497">
        <v>0</v>
      </c>
      <c r="AO109" s="497">
        <v>0</v>
      </c>
      <c r="AP109" s="497">
        <v>0</v>
      </c>
      <c r="AQ109" s="497">
        <v>78555</v>
      </c>
      <c r="AR109" s="497">
        <v>50000</v>
      </c>
      <c r="AS109" s="497">
        <v>0</v>
      </c>
      <c r="AT109" s="497">
        <v>15663</v>
      </c>
      <c r="AU109" s="497">
        <v>0</v>
      </c>
      <c r="AV109" s="497">
        <v>20174333</v>
      </c>
      <c r="AW109" s="497">
        <v>4293452</v>
      </c>
      <c r="AX109" s="497">
        <v>78669</v>
      </c>
      <c r="AY109" s="497">
        <v>0</v>
      </c>
      <c r="AZ109" s="497">
        <v>0</v>
      </c>
      <c r="BA109" s="497">
        <v>2075</v>
      </c>
      <c r="BB109" s="497">
        <v>0</v>
      </c>
      <c r="BC109" s="497">
        <v>127232</v>
      </c>
      <c r="BD109" s="497">
        <v>0</v>
      </c>
      <c r="BE109" s="497">
        <v>0</v>
      </c>
      <c r="BF109" s="497">
        <v>0</v>
      </c>
      <c r="BG109" s="497">
        <v>699817</v>
      </c>
      <c r="BH109" s="497">
        <v>0</v>
      </c>
      <c r="BI109" s="497">
        <v>187406</v>
      </c>
      <c r="BJ109" s="497">
        <v>81963</v>
      </c>
      <c r="BK109" s="497">
        <v>11000</v>
      </c>
      <c r="BL109" s="497">
        <v>0</v>
      </c>
      <c r="BM109" s="497">
        <v>519489</v>
      </c>
      <c r="BN109" s="497">
        <v>631138</v>
      </c>
      <c r="BO109" s="497">
        <v>69067</v>
      </c>
      <c r="BP109" s="497">
        <v>671034</v>
      </c>
      <c r="BQ109" s="497">
        <v>6680335</v>
      </c>
      <c r="BR109" s="497">
        <v>55000</v>
      </c>
      <c r="BS109" s="497">
        <v>61082</v>
      </c>
      <c r="BT109" s="497">
        <v>175600</v>
      </c>
      <c r="BU109" s="497">
        <v>1196951</v>
      </c>
      <c r="BV109" s="497">
        <v>1786</v>
      </c>
      <c r="BW109" s="497">
        <v>0</v>
      </c>
      <c r="BX109" s="497">
        <v>1400000</v>
      </c>
      <c r="BY109" s="497">
        <v>0</v>
      </c>
      <c r="BZ109" s="497">
        <v>3389935</v>
      </c>
      <c r="CA109" s="497">
        <v>9355</v>
      </c>
      <c r="CB109" s="497">
        <v>977267</v>
      </c>
      <c r="CC109" s="497">
        <v>130720</v>
      </c>
      <c r="CD109" s="497">
        <v>66068</v>
      </c>
      <c r="CE109" s="497">
        <v>3649750</v>
      </c>
    </row>
    <row r="110" spans="1:83" x14ac:dyDescent="0.25">
      <c r="A110" s="635">
        <v>344</v>
      </c>
      <c r="B110" s="752">
        <v>344</v>
      </c>
      <c r="C110" s="635" t="s">
        <v>253</v>
      </c>
      <c r="D110" s="635" t="s">
        <v>492</v>
      </c>
      <c r="E110" s="497">
        <v>499</v>
      </c>
      <c r="F110" s="497">
        <v>4337</v>
      </c>
      <c r="G110" s="497">
        <v>11604</v>
      </c>
      <c r="H110" s="497">
        <v>0</v>
      </c>
      <c r="I110" s="497">
        <v>4436</v>
      </c>
      <c r="J110" s="497">
        <v>0</v>
      </c>
      <c r="K110" s="497">
        <v>0</v>
      </c>
      <c r="L110" s="497">
        <v>0</v>
      </c>
      <c r="M110" s="497">
        <v>2992</v>
      </c>
      <c r="N110" s="497">
        <v>2662901</v>
      </c>
      <c r="O110" s="497">
        <v>0</v>
      </c>
      <c r="P110" s="497">
        <v>275659</v>
      </c>
      <c r="Q110" s="497">
        <v>0</v>
      </c>
      <c r="R110" s="497">
        <v>17422</v>
      </c>
      <c r="S110" s="497">
        <v>0</v>
      </c>
      <c r="T110" s="497">
        <v>6542</v>
      </c>
      <c r="U110" s="497">
        <v>40010</v>
      </c>
      <c r="V110" s="497">
        <v>25442</v>
      </c>
      <c r="W110" s="497">
        <v>23246</v>
      </c>
      <c r="X110" s="497">
        <v>5315</v>
      </c>
      <c r="Y110" s="497">
        <v>0</v>
      </c>
      <c r="Z110" s="497">
        <v>12490</v>
      </c>
      <c r="AA110" s="497">
        <v>998708</v>
      </c>
      <c r="AB110" s="497">
        <v>0</v>
      </c>
      <c r="AC110" s="497">
        <v>689</v>
      </c>
      <c r="AD110" s="497">
        <v>1146684</v>
      </c>
      <c r="AE110" s="497">
        <v>43632</v>
      </c>
      <c r="AF110" s="497">
        <v>0</v>
      </c>
      <c r="AG110" s="497">
        <v>1614413</v>
      </c>
      <c r="AH110" s="497">
        <v>0</v>
      </c>
      <c r="AI110" s="497">
        <v>0</v>
      </c>
      <c r="AJ110" s="497">
        <v>72254</v>
      </c>
      <c r="AK110" s="497">
        <v>0</v>
      </c>
      <c r="AL110" s="497">
        <v>0</v>
      </c>
      <c r="AM110" s="497">
        <v>0</v>
      </c>
      <c r="AN110" s="497">
        <v>0</v>
      </c>
      <c r="AO110" s="497">
        <v>0</v>
      </c>
      <c r="AP110" s="497">
        <v>0</v>
      </c>
      <c r="AQ110" s="497">
        <v>9404</v>
      </c>
      <c r="AR110" s="497">
        <v>9166</v>
      </c>
      <c r="AS110" s="497">
        <v>0</v>
      </c>
      <c r="AT110" s="497">
        <v>1261</v>
      </c>
      <c r="AU110" s="497">
        <v>0</v>
      </c>
      <c r="AV110" s="497">
        <v>10974782</v>
      </c>
      <c r="AW110" s="497">
        <v>1112654</v>
      </c>
      <c r="AX110" s="497">
        <v>48314</v>
      </c>
      <c r="AY110" s="497">
        <v>0</v>
      </c>
      <c r="AZ110" s="497">
        <v>0</v>
      </c>
      <c r="BA110" s="497">
        <v>0</v>
      </c>
      <c r="BB110" s="497">
        <v>0</v>
      </c>
      <c r="BC110" s="497">
        <v>7709</v>
      </c>
      <c r="BD110" s="497">
        <v>0</v>
      </c>
      <c r="BE110" s="497">
        <v>0</v>
      </c>
      <c r="BF110" s="497">
        <v>0</v>
      </c>
      <c r="BG110" s="497">
        <v>299081</v>
      </c>
      <c r="BH110" s="497">
        <v>0</v>
      </c>
      <c r="BI110" s="497">
        <v>153973</v>
      </c>
      <c r="BJ110" s="497">
        <v>6881</v>
      </c>
      <c r="BK110" s="497">
        <v>447</v>
      </c>
      <c r="BL110" s="497">
        <v>0</v>
      </c>
      <c r="BM110" s="497">
        <v>76958</v>
      </c>
      <c r="BN110" s="497">
        <v>253558</v>
      </c>
      <c r="BO110" s="497">
        <v>27334</v>
      </c>
      <c r="BP110" s="497">
        <v>579073</v>
      </c>
      <c r="BQ110" s="497">
        <v>3947980</v>
      </c>
      <c r="BR110" s="497">
        <v>7299</v>
      </c>
      <c r="BS110" s="497">
        <v>56820</v>
      </c>
      <c r="BT110" s="497">
        <v>0</v>
      </c>
      <c r="BU110" s="497">
        <v>140004</v>
      </c>
      <c r="BV110" s="497">
        <v>1362</v>
      </c>
      <c r="BW110" s="497">
        <v>0</v>
      </c>
      <c r="BX110" s="497">
        <v>291694</v>
      </c>
      <c r="BY110" s="497">
        <v>0</v>
      </c>
      <c r="BZ110" s="497">
        <v>788902</v>
      </c>
      <c r="CA110" s="497">
        <v>1352</v>
      </c>
      <c r="CB110" s="497">
        <v>158051</v>
      </c>
      <c r="CC110" s="497">
        <v>4358</v>
      </c>
      <c r="CD110" s="497">
        <v>1991</v>
      </c>
      <c r="CE110" s="497">
        <v>1314244</v>
      </c>
    </row>
    <row r="111" spans="1:83" x14ac:dyDescent="0.25">
      <c r="B111" s="752">
        <v>346</v>
      </c>
      <c r="C111" s="635" t="s">
        <v>736</v>
      </c>
      <c r="D111" s="635" t="s">
        <v>493</v>
      </c>
      <c r="E111" s="497"/>
      <c r="F111" s="497"/>
      <c r="G111" s="497"/>
      <c r="H111" s="497"/>
      <c r="I111" s="497"/>
      <c r="J111" s="497"/>
      <c r="K111" s="497"/>
      <c r="L111" s="497"/>
      <c r="M111" s="497"/>
      <c r="N111" s="497"/>
      <c r="O111" s="497"/>
      <c r="P111" s="497"/>
      <c r="Q111" s="497"/>
      <c r="R111" s="497"/>
      <c r="S111" s="497"/>
      <c r="T111" s="497"/>
      <c r="U111" s="497"/>
      <c r="V111" s="497"/>
      <c r="W111" s="497"/>
      <c r="X111" s="497"/>
      <c r="Y111" s="497"/>
      <c r="Z111" s="497"/>
      <c r="AA111" s="497"/>
      <c r="AB111" s="497"/>
      <c r="AC111" s="497"/>
      <c r="AD111" s="497"/>
      <c r="AE111" s="497"/>
      <c r="AF111" s="497"/>
      <c r="AG111" s="497"/>
      <c r="AH111" s="497"/>
      <c r="AI111" s="497"/>
      <c r="AJ111" s="497"/>
      <c r="AK111" s="497"/>
      <c r="AL111" s="497"/>
      <c r="AM111" s="497"/>
      <c r="AN111" s="497"/>
      <c r="AO111" s="497"/>
      <c r="AP111" s="497"/>
      <c r="AQ111" s="497"/>
      <c r="AR111" s="497"/>
      <c r="AS111" s="497"/>
      <c r="AT111" s="497"/>
      <c r="AU111" s="497"/>
      <c r="AV111" s="497"/>
      <c r="AW111" s="497"/>
      <c r="AX111" s="497"/>
      <c r="AY111" s="497"/>
      <c r="AZ111" s="497"/>
      <c r="BA111" s="497"/>
      <c r="BB111" s="497"/>
      <c r="BC111" s="497"/>
      <c r="BD111" s="497"/>
      <c r="BE111" s="497"/>
      <c r="BF111" s="497"/>
      <c r="BG111" s="497"/>
      <c r="BH111" s="497"/>
      <c r="BI111" s="497"/>
      <c r="BJ111" s="497"/>
      <c r="BK111" s="497"/>
      <c r="BL111" s="497"/>
      <c r="BM111" s="497"/>
      <c r="BN111" s="497"/>
      <c r="BO111" s="497"/>
      <c r="BP111" s="497"/>
      <c r="BQ111" s="497"/>
      <c r="BR111" s="497"/>
      <c r="BS111" s="497"/>
      <c r="BT111" s="497"/>
      <c r="BU111" s="497"/>
      <c r="BV111" s="497"/>
      <c r="BW111" s="497"/>
      <c r="BX111" s="497"/>
      <c r="BY111" s="497"/>
      <c r="BZ111" s="497"/>
      <c r="CA111" s="497"/>
      <c r="CB111" s="497"/>
      <c r="CC111" s="497"/>
      <c r="CD111" s="497"/>
      <c r="CE111" s="497"/>
    </row>
    <row r="112" spans="1:83" x14ac:dyDescent="0.25">
      <c r="B112" s="752">
        <v>347</v>
      </c>
      <c r="C112" s="635" t="s">
        <v>737</v>
      </c>
      <c r="D112" s="635" t="s">
        <v>494</v>
      </c>
      <c r="E112" s="497"/>
      <c r="F112" s="497"/>
      <c r="G112" s="497"/>
      <c r="H112" s="497"/>
      <c r="I112" s="497"/>
      <c r="J112" s="497"/>
      <c r="K112" s="497"/>
      <c r="L112" s="497"/>
      <c r="M112" s="497"/>
      <c r="N112" s="497"/>
      <c r="O112" s="497"/>
      <c r="P112" s="497"/>
      <c r="Q112" s="497"/>
      <c r="R112" s="497"/>
      <c r="S112" s="497"/>
      <c r="T112" s="497"/>
      <c r="U112" s="497"/>
      <c r="V112" s="497"/>
      <c r="W112" s="497"/>
      <c r="X112" s="497"/>
      <c r="Y112" s="497"/>
      <c r="Z112" s="497"/>
      <c r="AA112" s="497"/>
      <c r="AB112" s="497"/>
      <c r="AC112" s="497"/>
      <c r="AD112" s="497"/>
      <c r="AE112" s="497"/>
      <c r="AF112" s="497"/>
      <c r="AG112" s="497"/>
      <c r="AH112" s="497"/>
      <c r="AI112" s="497"/>
      <c r="AJ112" s="497"/>
      <c r="AK112" s="497"/>
      <c r="AL112" s="497"/>
      <c r="AM112" s="497"/>
      <c r="AN112" s="497"/>
      <c r="AO112" s="497"/>
      <c r="AP112" s="497"/>
      <c r="AQ112" s="497"/>
      <c r="AR112" s="497"/>
      <c r="AS112" s="497"/>
      <c r="AT112" s="497"/>
      <c r="AU112" s="497"/>
      <c r="AV112" s="497"/>
      <c r="AW112" s="497"/>
      <c r="AX112" s="497"/>
      <c r="AY112" s="497"/>
      <c r="AZ112" s="497"/>
      <c r="BA112" s="497"/>
      <c r="BB112" s="497"/>
      <c r="BC112" s="497"/>
      <c r="BD112" s="497"/>
      <c r="BE112" s="497"/>
      <c r="BF112" s="497"/>
      <c r="BG112" s="497"/>
      <c r="BH112" s="497"/>
      <c r="BI112" s="497"/>
      <c r="BJ112" s="497"/>
      <c r="BK112" s="497"/>
      <c r="BL112" s="497"/>
      <c r="BM112" s="497"/>
      <c r="BN112" s="497"/>
      <c r="BO112" s="497"/>
      <c r="BP112" s="497"/>
      <c r="BQ112" s="497"/>
      <c r="BR112" s="497"/>
      <c r="BS112" s="497"/>
      <c r="BT112" s="497"/>
      <c r="BU112" s="497"/>
      <c r="BV112" s="497"/>
      <c r="BW112" s="497"/>
      <c r="BX112" s="497"/>
      <c r="BY112" s="497"/>
      <c r="BZ112" s="497"/>
      <c r="CA112" s="497"/>
      <c r="CB112" s="497"/>
      <c r="CC112" s="497"/>
      <c r="CD112" s="497"/>
      <c r="CE112" s="497"/>
    </row>
    <row r="113" spans="1:83" x14ac:dyDescent="0.25">
      <c r="A113" s="635">
        <v>349</v>
      </c>
      <c r="B113" s="752">
        <v>349</v>
      </c>
      <c r="C113" s="635" t="s">
        <v>129</v>
      </c>
      <c r="D113" s="635" t="s">
        <v>495</v>
      </c>
      <c r="E113" s="497">
        <v>159854</v>
      </c>
      <c r="F113" s="497">
        <v>3273114</v>
      </c>
      <c r="G113" s="497">
        <v>0</v>
      </c>
      <c r="H113" s="497">
        <v>822212</v>
      </c>
      <c r="I113" s="497">
        <v>1421372</v>
      </c>
      <c r="J113" s="497">
        <v>42716</v>
      </c>
      <c r="K113" s="497">
        <v>0</v>
      </c>
      <c r="L113" s="497">
        <v>2065150</v>
      </c>
      <c r="M113" s="497">
        <v>12276699</v>
      </c>
      <c r="N113" s="497">
        <v>0</v>
      </c>
      <c r="O113" s="497">
        <v>0</v>
      </c>
      <c r="P113" s="497">
        <v>0</v>
      </c>
      <c r="Q113" s="497">
        <v>120936</v>
      </c>
      <c r="R113" s="497">
        <v>5051294</v>
      </c>
      <c r="S113" s="497">
        <v>0</v>
      </c>
      <c r="T113" s="497">
        <v>322331</v>
      </c>
      <c r="U113" s="497">
        <v>856317</v>
      </c>
      <c r="V113" s="497">
        <v>172806</v>
      </c>
      <c r="W113" s="497">
        <v>10199951</v>
      </c>
      <c r="X113" s="497">
        <v>0</v>
      </c>
      <c r="Y113" s="497">
        <v>412039</v>
      </c>
      <c r="Z113" s="497">
        <v>1534435</v>
      </c>
      <c r="AA113" s="497">
        <v>45803508</v>
      </c>
      <c r="AB113" s="497">
        <v>0</v>
      </c>
      <c r="AC113" s="497">
        <v>257647</v>
      </c>
      <c r="AD113" s="497">
        <v>0</v>
      </c>
      <c r="AE113" s="497">
        <v>0</v>
      </c>
      <c r="AF113" s="497">
        <v>0</v>
      </c>
      <c r="AG113" s="497">
        <v>76128934</v>
      </c>
      <c r="AH113" s="497">
        <v>1959</v>
      </c>
      <c r="AI113" s="497">
        <v>29963</v>
      </c>
      <c r="AJ113" s="497">
        <v>715982</v>
      </c>
      <c r="AK113" s="497">
        <v>471</v>
      </c>
      <c r="AL113" s="497">
        <v>93579</v>
      </c>
      <c r="AM113" s="497">
        <v>0</v>
      </c>
      <c r="AN113" s="497">
        <v>2819808</v>
      </c>
      <c r="AO113" s="497">
        <v>8728922</v>
      </c>
      <c r="AP113" s="497">
        <v>0</v>
      </c>
      <c r="AQ113" s="497">
        <v>3103230</v>
      </c>
      <c r="AR113" s="497">
        <v>0</v>
      </c>
      <c r="AS113" s="497">
        <v>0</v>
      </c>
      <c r="AT113" s="497">
        <v>3608154</v>
      </c>
      <c r="AU113" s="497">
        <v>247965</v>
      </c>
      <c r="AV113" s="497">
        <v>338071942</v>
      </c>
      <c r="AW113" s="497">
        <v>116562441</v>
      </c>
      <c r="AX113" s="497">
        <v>760565</v>
      </c>
      <c r="AY113" s="497">
        <v>523117</v>
      </c>
      <c r="AZ113" s="497">
        <v>91733</v>
      </c>
      <c r="BA113" s="497">
        <v>14448</v>
      </c>
      <c r="BB113" s="497">
        <v>0</v>
      </c>
      <c r="BC113" s="497">
        <v>3017824</v>
      </c>
      <c r="BD113" s="497">
        <v>224826</v>
      </c>
      <c r="BE113" s="497">
        <v>0</v>
      </c>
      <c r="BF113" s="497">
        <v>339185</v>
      </c>
      <c r="BG113" s="497">
        <v>14517408</v>
      </c>
      <c r="BH113" s="497">
        <v>0</v>
      </c>
      <c r="BI113" s="497">
        <v>15704281</v>
      </c>
      <c r="BJ113" s="497">
        <v>1502728</v>
      </c>
      <c r="BK113" s="497">
        <v>0</v>
      </c>
      <c r="BL113" s="497">
        <v>0</v>
      </c>
      <c r="BM113" s="497">
        <v>27051055</v>
      </c>
      <c r="BN113" s="497">
        <v>22595989</v>
      </c>
      <c r="BO113" s="497">
        <v>7528023</v>
      </c>
      <c r="BP113" s="497">
        <v>33505675</v>
      </c>
      <c r="BQ113" s="497">
        <v>192843777</v>
      </c>
      <c r="BR113" s="497">
        <v>33261</v>
      </c>
      <c r="BS113" s="497">
        <v>1777261</v>
      </c>
      <c r="BT113" s="497">
        <v>0</v>
      </c>
      <c r="BU113" s="497">
        <v>29887166</v>
      </c>
      <c r="BV113" s="497">
        <v>41899</v>
      </c>
      <c r="BW113" s="497">
        <v>0</v>
      </c>
      <c r="BX113" s="497">
        <v>1372362</v>
      </c>
      <c r="BY113" s="497">
        <v>0</v>
      </c>
      <c r="BZ113" s="497">
        <v>42300905</v>
      </c>
      <c r="CA113" s="497">
        <v>440076</v>
      </c>
      <c r="CB113" s="497">
        <v>0</v>
      </c>
      <c r="CC113" s="497">
        <v>157410</v>
      </c>
      <c r="CD113" s="497">
        <v>0</v>
      </c>
      <c r="CE113" s="497">
        <v>0</v>
      </c>
    </row>
    <row r="114" spans="1:83" x14ac:dyDescent="0.25">
      <c r="A114" s="635">
        <v>350</v>
      </c>
      <c r="B114" s="752">
        <v>350</v>
      </c>
      <c r="C114" s="635" t="s">
        <v>296</v>
      </c>
      <c r="D114" s="635" t="s">
        <v>496</v>
      </c>
      <c r="E114" s="497">
        <v>516597</v>
      </c>
      <c r="F114" s="497">
        <v>209525</v>
      </c>
      <c r="G114" s="497">
        <v>0</v>
      </c>
      <c r="H114" s="497">
        <v>7450</v>
      </c>
      <c r="I114" s="497">
        <v>711</v>
      </c>
      <c r="J114" s="497">
        <v>1309</v>
      </c>
      <c r="K114" s="497">
        <v>0</v>
      </c>
      <c r="L114" s="497">
        <v>420656</v>
      </c>
      <c r="M114" s="497">
        <v>61634</v>
      </c>
      <c r="N114" s="497">
        <v>0</v>
      </c>
      <c r="O114" s="497">
        <v>0</v>
      </c>
      <c r="P114" s="497">
        <v>0</v>
      </c>
      <c r="Q114" s="497">
        <v>0</v>
      </c>
      <c r="R114" s="497">
        <v>162744</v>
      </c>
      <c r="S114" s="497">
        <v>0</v>
      </c>
      <c r="T114" s="497">
        <v>1685</v>
      </c>
      <c r="U114" s="497">
        <v>7362</v>
      </c>
      <c r="V114" s="497">
        <v>452</v>
      </c>
      <c r="W114" s="497">
        <v>122992</v>
      </c>
      <c r="X114" s="497">
        <v>0</v>
      </c>
      <c r="Y114" s="497">
        <v>0</v>
      </c>
      <c r="Z114" s="497">
        <v>33591</v>
      </c>
      <c r="AA114" s="497">
        <v>4017913</v>
      </c>
      <c r="AB114" s="497">
        <v>0</v>
      </c>
      <c r="AC114" s="497">
        <v>0</v>
      </c>
      <c r="AD114" s="497">
        <v>0</v>
      </c>
      <c r="AE114" s="497">
        <v>0</v>
      </c>
      <c r="AF114" s="497">
        <v>0</v>
      </c>
      <c r="AG114" s="497">
        <v>464673</v>
      </c>
      <c r="AH114" s="497">
        <v>0</v>
      </c>
      <c r="AI114" s="497">
        <v>20713</v>
      </c>
      <c r="AJ114" s="497">
        <v>495</v>
      </c>
      <c r="AK114" s="497">
        <v>0</v>
      </c>
      <c r="AL114" s="497">
        <v>0</v>
      </c>
      <c r="AM114" s="497">
        <v>0</v>
      </c>
      <c r="AN114" s="497">
        <v>518839</v>
      </c>
      <c r="AO114" s="497">
        <v>217253</v>
      </c>
      <c r="AP114" s="497">
        <v>0</v>
      </c>
      <c r="AQ114" s="497">
        <v>328385</v>
      </c>
      <c r="AR114" s="497">
        <v>0</v>
      </c>
      <c r="AS114" s="497">
        <v>0</v>
      </c>
      <c r="AT114" s="497">
        <v>24029</v>
      </c>
      <c r="AU114" s="497">
        <v>32410</v>
      </c>
      <c r="AV114" s="497">
        <v>3811152</v>
      </c>
      <c r="AW114" s="497">
        <v>2111511</v>
      </c>
      <c r="AX114" s="497">
        <v>152806</v>
      </c>
      <c r="AY114" s="497">
        <v>1867</v>
      </c>
      <c r="AZ114" s="497">
        <v>83164</v>
      </c>
      <c r="BA114" s="497">
        <v>0</v>
      </c>
      <c r="BB114" s="497">
        <v>0</v>
      </c>
      <c r="BC114" s="497">
        <v>81420</v>
      </c>
      <c r="BD114" s="497">
        <v>1670</v>
      </c>
      <c r="BE114" s="497">
        <v>0</v>
      </c>
      <c r="BF114" s="497">
        <v>2390</v>
      </c>
      <c r="BG114" s="497">
        <v>157250</v>
      </c>
      <c r="BH114" s="497">
        <v>0</v>
      </c>
      <c r="BI114" s="497">
        <v>81240</v>
      </c>
      <c r="BJ114" s="497">
        <v>11464</v>
      </c>
      <c r="BK114" s="497">
        <v>0</v>
      </c>
      <c r="BL114" s="497">
        <v>0</v>
      </c>
      <c r="BM114" s="497">
        <v>247829</v>
      </c>
      <c r="BN114" s="497">
        <v>822971</v>
      </c>
      <c r="BO114" s="497">
        <v>102760</v>
      </c>
      <c r="BP114" s="497">
        <v>1046320</v>
      </c>
      <c r="BQ114" s="497">
        <v>2899903</v>
      </c>
      <c r="BR114" s="497">
        <v>136170</v>
      </c>
      <c r="BS114" s="497">
        <v>11867</v>
      </c>
      <c r="BT114" s="497">
        <v>0</v>
      </c>
      <c r="BU114" s="497">
        <v>323891</v>
      </c>
      <c r="BV114" s="497">
        <v>0</v>
      </c>
      <c r="BW114" s="497">
        <v>0</v>
      </c>
      <c r="BX114" s="497">
        <v>1683185</v>
      </c>
      <c r="BY114" s="497">
        <v>0</v>
      </c>
      <c r="BZ114" s="497">
        <v>796779</v>
      </c>
      <c r="CA114" s="497">
        <v>59</v>
      </c>
      <c r="CB114" s="497">
        <v>0</v>
      </c>
      <c r="CC114" s="497">
        <v>23030</v>
      </c>
      <c r="CD114" s="497">
        <v>0</v>
      </c>
      <c r="CE114" s="497">
        <v>0</v>
      </c>
    </row>
    <row r="115" spans="1:83" x14ac:dyDescent="0.25">
      <c r="A115" s="635">
        <v>351</v>
      </c>
      <c r="B115" s="752">
        <v>351</v>
      </c>
      <c r="C115" s="635" t="s">
        <v>297</v>
      </c>
      <c r="D115" s="635" t="s">
        <v>497</v>
      </c>
      <c r="E115" s="497">
        <v>15091</v>
      </c>
      <c r="F115" s="497">
        <v>112792</v>
      </c>
      <c r="G115" s="497">
        <v>0</v>
      </c>
      <c r="H115" s="497">
        <v>0</v>
      </c>
      <c r="I115" s="497">
        <v>64244</v>
      </c>
      <c r="J115" s="497">
        <v>0</v>
      </c>
      <c r="K115" s="497">
        <v>0</v>
      </c>
      <c r="L115" s="497">
        <v>63586</v>
      </c>
      <c r="M115" s="497">
        <v>362989</v>
      </c>
      <c r="N115" s="497">
        <v>0</v>
      </c>
      <c r="O115" s="497">
        <v>0</v>
      </c>
      <c r="P115" s="497">
        <v>0</v>
      </c>
      <c r="Q115" s="497">
        <v>0</v>
      </c>
      <c r="R115" s="497">
        <v>2314</v>
      </c>
      <c r="S115" s="497">
        <v>0</v>
      </c>
      <c r="T115" s="497">
        <v>0</v>
      </c>
      <c r="U115" s="497">
        <v>50436</v>
      </c>
      <c r="V115" s="497">
        <v>69886</v>
      </c>
      <c r="W115" s="497">
        <v>201371</v>
      </c>
      <c r="X115" s="497">
        <v>0</v>
      </c>
      <c r="Y115" s="497">
        <v>11261</v>
      </c>
      <c r="Z115" s="497">
        <v>34307</v>
      </c>
      <c r="AA115" s="497">
        <v>1439049</v>
      </c>
      <c r="AB115" s="497">
        <v>0</v>
      </c>
      <c r="AC115" s="497">
        <v>0</v>
      </c>
      <c r="AD115" s="497">
        <v>0</v>
      </c>
      <c r="AE115" s="497">
        <v>0</v>
      </c>
      <c r="AF115" s="497">
        <v>0</v>
      </c>
      <c r="AG115" s="497">
        <v>964162</v>
      </c>
      <c r="AH115" s="497">
        <v>0</v>
      </c>
      <c r="AI115" s="497">
        <v>0</v>
      </c>
      <c r="AJ115" s="497">
        <v>917</v>
      </c>
      <c r="AK115" s="497">
        <v>0</v>
      </c>
      <c r="AL115" s="497">
        <v>0</v>
      </c>
      <c r="AM115" s="497">
        <v>0</v>
      </c>
      <c r="AN115" s="497">
        <v>77054</v>
      </c>
      <c r="AO115" s="497">
        <v>131193</v>
      </c>
      <c r="AP115" s="497">
        <v>0</v>
      </c>
      <c r="AQ115" s="497">
        <v>104346</v>
      </c>
      <c r="AR115" s="497">
        <v>0</v>
      </c>
      <c r="AS115" s="497">
        <v>0</v>
      </c>
      <c r="AT115" s="497">
        <v>156959</v>
      </c>
      <c r="AU115" s="497">
        <v>0</v>
      </c>
      <c r="AV115" s="497">
        <v>7362236</v>
      </c>
      <c r="AW115" s="497">
        <v>2652357</v>
      </c>
      <c r="AX115" s="497">
        <v>18292</v>
      </c>
      <c r="AY115" s="497">
        <v>15783</v>
      </c>
      <c r="AZ115" s="497">
        <v>0</v>
      </c>
      <c r="BA115" s="497">
        <v>0</v>
      </c>
      <c r="BB115" s="497">
        <v>0</v>
      </c>
      <c r="BC115" s="497">
        <v>4865</v>
      </c>
      <c r="BD115" s="497">
        <v>9581</v>
      </c>
      <c r="BE115" s="497">
        <v>0</v>
      </c>
      <c r="BF115" s="497">
        <v>17061</v>
      </c>
      <c r="BG115" s="497">
        <v>428949</v>
      </c>
      <c r="BH115" s="497">
        <v>0</v>
      </c>
      <c r="BI115" s="497">
        <v>480926</v>
      </c>
      <c r="BJ115" s="497">
        <v>19908</v>
      </c>
      <c r="BK115" s="497">
        <v>0</v>
      </c>
      <c r="BL115" s="497">
        <v>0</v>
      </c>
      <c r="BM115" s="497">
        <v>1650061</v>
      </c>
      <c r="BN115" s="497">
        <v>398649</v>
      </c>
      <c r="BO115" s="497">
        <v>226260</v>
      </c>
      <c r="BP115" s="497">
        <v>713552</v>
      </c>
      <c r="BQ115" s="497">
        <v>8631195</v>
      </c>
      <c r="BR115" s="497">
        <v>0</v>
      </c>
      <c r="BS115" s="497">
        <v>0</v>
      </c>
      <c r="BT115" s="497">
        <v>0</v>
      </c>
      <c r="BU115" s="497">
        <v>832828</v>
      </c>
      <c r="BV115" s="497">
        <v>0</v>
      </c>
      <c r="BW115" s="497">
        <v>0</v>
      </c>
      <c r="BX115" s="497">
        <v>1196221</v>
      </c>
      <c r="BY115" s="497">
        <v>0</v>
      </c>
      <c r="BZ115" s="497">
        <v>2960051</v>
      </c>
      <c r="CA115" s="497">
        <v>17522</v>
      </c>
      <c r="CB115" s="497">
        <v>0</v>
      </c>
      <c r="CC115" s="497">
        <v>6223</v>
      </c>
      <c r="CD115" s="497">
        <v>0</v>
      </c>
      <c r="CE115" s="497">
        <v>0</v>
      </c>
    </row>
    <row r="116" spans="1:83" x14ac:dyDescent="0.25">
      <c r="A116" s="635">
        <v>352</v>
      </c>
      <c r="B116" s="752">
        <v>352</v>
      </c>
      <c r="C116" s="635" t="s">
        <v>299</v>
      </c>
      <c r="D116" s="635" t="s">
        <v>498</v>
      </c>
      <c r="E116" s="497">
        <v>0</v>
      </c>
      <c r="F116" s="497">
        <v>0</v>
      </c>
      <c r="G116" s="497">
        <v>0</v>
      </c>
      <c r="H116" s="497">
        <v>0</v>
      </c>
      <c r="I116" s="497">
        <v>0</v>
      </c>
      <c r="J116" s="497">
        <v>0</v>
      </c>
      <c r="K116" s="497">
        <v>0</v>
      </c>
      <c r="L116" s="497">
        <v>0</v>
      </c>
      <c r="M116" s="497">
        <v>0</v>
      </c>
      <c r="N116" s="497">
        <v>0</v>
      </c>
      <c r="O116" s="497">
        <v>0</v>
      </c>
      <c r="P116" s="497">
        <v>0</v>
      </c>
      <c r="Q116" s="497">
        <v>0</v>
      </c>
      <c r="R116" s="497">
        <v>0</v>
      </c>
      <c r="S116" s="497">
        <v>0</v>
      </c>
      <c r="T116" s="497">
        <v>0</v>
      </c>
      <c r="U116" s="497">
        <v>0</v>
      </c>
      <c r="V116" s="497">
        <v>0</v>
      </c>
      <c r="W116" s="497">
        <v>0</v>
      </c>
      <c r="X116" s="497">
        <v>0</v>
      </c>
      <c r="Y116" s="497">
        <v>0</v>
      </c>
      <c r="Z116" s="497">
        <v>67600</v>
      </c>
      <c r="AA116" s="497">
        <v>0</v>
      </c>
      <c r="AB116" s="497">
        <v>0</v>
      </c>
      <c r="AC116" s="497">
        <v>0</v>
      </c>
      <c r="AD116" s="497">
        <v>0</v>
      </c>
      <c r="AE116" s="497">
        <v>0</v>
      </c>
      <c r="AF116" s="497">
        <v>0</v>
      </c>
      <c r="AG116" s="497">
        <v>0</v>
      </c>
      <c r="AH116" s="497">
        <v>0</v>
      </c>
      <c r="AI116" s="497">
        <v>0</v>
      </c>
      <c r="AJ116" s="497">
        <v>0</v>
      </c>
      <c r="AK116" s="497">
        <v>4000</v>
      </c>
      <c r="AL116" s="497">
        <v>0</v>
      </c>
      <c r="AM116" s="497">
        <v>0</v>
      </c>
      <c r="AN116" s="497">
        <v>0</v>
      </c>
      <c r="AO116" s="497">
        <v>0</v>
      </c>
      <c r="AP116" s="497">
        <v>0</v>
      </c>
      <c r="AQ116" s="497">
        <v>0</v>
      </c>
      <c r="AR116" s="497">
        <v>0</v>
      </c>
      <c r="AS116" s="497">
        <v>0</v>
      </c>
      <c r="AT116" s="497">
        <v>0</v>
      </c>
      <c r="AU116" s="497">
        <v>0</v>
      </c>
      <c r="AV116" s="497">
        <v>0</v>
      </c>
      <c r="AW116" s="497">
        <v>0</v>
      </c>
      <c r="AX116" s="497">
        <v>0</v>
      </c>
      <c r="AY116" s="497">
        <v>0</v>
      </c>
      <c r="AZ116" s="497">
        <v>0</v>
      </c>
      <c r="BA116" s="497">
        <v>0</v>
      </c>
      <c r="BB116" s="497">
        <v>0</v>
      </c>
      <c r="BC116" s="497">
        <v>0</v>
      </c>
      <c r="BD116" s="497">
        <v>0</v>
      </c>
      <c r="BE116" s="497">
        <v>0</v>
      </c>
      <c r="BF116" s="497">
        <v>0</v>
      </c>
      <c r="BG116" s="497">
        <v>0</v>
      </c>
      <c r="BH116" s="497">
        <v>0</v>
      </c>
      <c r="BI116" s="497">
        <v>0</v>
      </c>
      <c r="BJ116" s="497">
        <v>0</v>
      </c>
      <c r="BK116" s="497">
        <v>0</v>
      </c>
      <c r="BL116" s="497">
        <v>0</v>
      </c>
      <c r="BM116" s="497">
        <v>516230</v>
      </c>
      <c r="BN116" s="497">
        <v>0</v>
      </c>
      <c r="BO116" s="497">
        <v>0</v>
      </c>
      <c r="BP116" s="497">
        <v>2200000</v>
      </c>
      <c r="BQ116" s="497">
        <v>0</v>
      </c>
      <c r="BR116" s="497">
        <v>0</v>
      </c>
      <c r="BS116" s="497">
        <v>1694364</v>
      </c>
      <c r="BT116" s="497">
        <v>0</v>
      </c>
      <c r="BU116" s="497">
        <v>175449</v>
      </c>
      <c r="BV116" s="497">
        <v>0</v>
      </c>
      <c r="BW116" s="497">
        <v>0</v>
      </c>
      <c r="BX116" s="497">
        <v>0</v>
      </c>
      <c r="BY116" s="497">
        <v>0</v>
      </c>
      <c r="BZ116" s="497">
        <v>11814690</v>
      </c>
      <c r="CA116" s="497">
        <v>0</v>
      </c>
      <c r="CB116" s="497">
        <v>0</v>
      </c>
      <c r="CC116" s="497">
        <v>79300</v>
      </c>
      <c r="CD116" s="497">
        <v>0</v>
      </c>
      <c r="CE116" s="497">
        <v>0</v>
      </c>
    </row>
    <row r="117" spans="1:83" x14ac:dyDescent="0.25">
      <c r="A117" s="635">
        <v>353</v>
      </c>
      <c r="B117" s="752">
        <v>353</v>
      </c>
      <c r="C117" s="635" t="s">
        <v>300</v>
      </c>
      <c r="D117" s="635" t="s">
        <v>499</v>
      </c>
      <c r="E117" s="497">
        <v>0</v>
      </c>
      <c r="F117" s="497">
        <v>0</v>
      </c>
      <c r="G117" s="497">
        <v>0</v>
      </c>
      <c r="H117" s="497">
        <v>0</v>
      </c>
      <c r="I117" s="497">
        <v>0</v>
      </c>
      <c r="J117" s="497">
        <v>0</v>
      </c>
      <c r="K117" s="497">
        <v>0</v>
      </c>
      <c r="L117" s="497">
        <v>0</v>
      </c>
      <c r="M117" s="497">
        <v>161823</v>
      </c>
      <c r="N117" s="497">
        <v>0</v>
      </c>
      <c r="O117" s="497">
        <v>0</v>
      </c>
      <c r="P117" s="497">
        <v>0</v>
      </c>
      <c r="Q117" s="497">
        <v>0</v>
      </c>
      <c r="R117" s="497">
        <v>259245</v>
      </c>
      <c r="S117" s="497">
        <v>0</v>
      </c>
      <c r="T117" s="497">
        <v>0</v>
      </c>
      <c r="U117" s="497">
        <v>0</v>
      </c>
      <c r="V117" s="497">
        <v>0</v>
      </c>
      <c r="W117" s="497">
        <v>0</v>
      </c>
      <c r="X117" s="497">
        <v>0</v>
      </c>
      <c r="Y117" s="497">
        <v>0</v>
      </c>
      <c r="Z117" s="497">
        <v>0</v>
      </c>
      <c r="AA117" s="497">
        <v>283406</v>
      </c>
      <c r="AB117" s="497">
        <v>0</v>
      </c>
      <c r="AC117" s="497">
        <v>0</v>
      </c>
      <c r="AD117" s="497">
        <v>0</v>
      </c>
      <c r="AE117" s="497">
        <v>0</v>
      </c>
      <c r="AF117" s="497">
        <v>0</v>
      </c>
      <c r="AG117" s="497">
        <v>0</v>
      </c>
      <c r="AH117" s="497">
        <v>0</v>
      </c>
      <c r="AI117" s="497">
        <v>0</v>
      </c>
      <c r="AJ117" s="497">
        <v>0</v>
      </c>
      <c r="AK117" s="497">
        <v>0</v>
      </c>
      <c r="AL117" s="497">
        <v>0</v>
      </c>
      <c r="AM117" s="497">
        <v>0</v>
      </c>
      <c r="AN117" s="497">
        <v>0</v>
      </c>
      <c r="AO117" s="497">
        <v>0</v>
      </c>
      <c r="AP117" s="497">
        <v>0</v>
      </c>
      <c r="AQ117" s="497">
        <v>0</v>
      </c>
      <c r="AR117" s="497">
        <v>0</v>
      </c>
      <c r="AS117" s="497">
        <v>0</v>
      </c>
      <c r="AT117" s="497">
        <v>0</v>
      </c>
      <c r="AU117" s="497">
        <v>0</v>
      </c>
      <c r="AV117" s="497">
        <v>0</v>
      </c>
      <c r="AW117" s="497">
        <v>0</v>
      </c>
      <c r="AX117" s="497">
        <v>9000</v>
      </c>
      <c r="AY117" s="497">
        <v>0</v>
      </c>
      <c r="AZ117" s="497">
        <v>0</v>
      </c>
      <c r="BA117" s="497">
        <v>0</v>
      </c>
      <c r="BB117" s="497">
        <v>0</v>
      </c>
      <c r="BC117" s="497">
        <v>0</v>
      </c>
      <c r="BD117" s="497">
        <v>0</v>
      </c>
      <c r="BE117" s="497">
        <v>0</v>
      </c>
      <c r="BF117" s="497">
        <v>0</v>
      </c>
      <c r="BG117" s="497">
        <v>0</v>
      </c>
      <c r="BH117" s="497">
        <v>0</v>
      </c>
      <c r="BI117" s="497">
        <v>0</v>
      </c>
      <c r="BJ117" s="497">
        <v>0</v>
      </c>
      <c r="BK117" s="497">
        <v>0</v>
      </c>
      <c r="BL117" s="497">
        <v>0</v>
      </c>
      <c r="BM117" s="497">
        <v>436330</v>
      </c>
      <c r="BN117" s="497">
        <v>378250</v>
      </c>
      <c r="BO117" s="497">
        <v>0</v>
      </c>
      <c r="BP117" s="497">
        <v>858454</v>
      </c>
      <c r="BQ117" s="497">
        <v>150000</v>
      </c>
      <c r="BR117" s="497">
        <v>12500</v>
      </c>
      <c r="BS117" s="497">
        <v>0</v>
      </c>
      <c r="BT117" s="497">
        <v>0</v>
      </c>
      <c r="BU117" s="497">
        <v>0</v>
      </c>
      <c r="BV117" s="497">
        <v>0</v>
      </c>
      <c r="BW117" s="497">
        <v>0</v>
      </c>
      <c r="BX117" s="497">
        <v>38599</v>
      </c>
      <c r="BY117" s="497">
        <v>0</v>
      </c>
      <c r="BZ117" s="497">
        <v>15786372</v>
      </c>
      <c r="CA117" s="497">
        <v>0</v>
      </c>
      <c r="CB117" s="497">
        <v>0</v>
      </c>
      <c r="CC117" s="497">
        <v>0</v>
      </c>
      <c r="CD117" s="497">
        <v>0</v>
      </c>
      <c r="CE117" s="497">
        <v>0</v>
      </c>
    </row>
    <row r="118" spans="1:83" x14ac:dyDescent="0.25">
      <c r="A118" s="635">
        <v>356</v>
      </c>
      <c r="B118" s="752">
        <v>356</v>
      </c>
      <c r="C118" s="635" t="s">
        <v>644</v>
      </c>
      <c r="D118" s="635" t="s">
        <v>500</v>
      </c>
      <c r="E118" s="497">
        <v>0</v>
      </c>
      <c r="F118" s="497">
        <v>0</v>
      </c>
      <c r="G118" s="497">
        <v>0</v>
      </c>
      <c r="H118" s="497">
        <v>0</v>
      </c>
      <c r="I118" s="497">
        <v>0</v>
      </c>
      <c r="J118" s="497">
        <v>0</v>
      </c>
      <c r="K118" s="497">
        <v>0</v>
      </c>
      <c r="L118" s="497">
        <v>0</v>
      </c>
      <c r="M118" s="497">
        <v>9215204</v>
      </c>
      <c r="N118" s="497">
        <v>0</v>
      </c>
      <c r="O118" s="497">
        <v>0</v>
      </c>
      <c r="P118" s="497">
        <v>0</v>
      </c>
      <c r="Q118" s="497">
        <v>0</v>
      </c>
      <c r="R118" s="497">
        <v>13535802</v>
      </c>
      <c r="S118" s="497">
        <v>0</v>
      </c>
      <c r="T118" s="497">
        <v>772875</v>
      </c>
      <c r="U118" s="497">
        <v>0</v>
      </c>
      <c r="V118" s="497">
        <v>0</v>
      </c>
      <c r="W118" s="497">
        <v>0</v>
      </c>
      <c r="X118" s="497">
        <v>0</v>
      </c>
      <c r="Y118" s="497">
        <v>0</v>
      </c>
      <c r="Z118" s="497">
        <v>1031857</v>
      </c>
      <c r="AA118" s="497">
        <v>0</v>
      </c>
      <c r="AB118" s="497">
        <v>0</v>
      </c>
      <c r="AC118" s="497">
        <v>0</v>
      </c>
      <c r="AD118" s="497">
        <v>0</v>
      </c>
      <c r="AE118" s="497">
        <v>0</v>
      </c>
      <c r="AF118" s="497">
        <v>0</v>
      </c>
      <c r="AG118" s="497">
        <v>100208711</v>
      </c>
      <c r="AH118" s="497">
        <v>0</v>
      </c>
      <c r="AI118" s="497">
        <v>0</v>
      </c>
      <c r="AJ118" s="497">
        <v>0</v>
      </c>
      <c r="AK118" s="497">
        <v>0</v>
      </c>
      <c r="AL118" s="497">
        <v>0</v>
      </c>
      <c r="AM118" s="497">
        <v>0</v>
      </c>
      <c r="AN118" s="497">
        <v>0</v>
      </c>
      <c r="AO118" s="497">
        <v>0</v>
      </c>
      <c r="AP118" s="497">
        <v>0</v>
      </c>
      <c r="AQ118" s="497">
        <v>7214746</v>
      </c>
      <c r="AR118" s="497">
        <v>0</v>
      </c>
      <c r="AS118" s="497">
        <v>0</v>
      </c>
      <c r="AT118" s="497">
        <v>0</v>
      </c>
      <c r="AU118" s="497">
        <v>0</v>
      </c>
      <c r="AV118" s="497">
        <v>0</v>
      </c>
      <c r="AW118" s="497">
        <v>302109064</v>
      </c>
      <c r="AX118" s="497">
        <v>0</v>
      </c>
      <c r="AY118" s="497">
        <v>0</v>
      </c>
      <c r="AZ118" s="497">
        <v>0</v>
      </c>
      <c r="BA118" s="497">
        <v>0</v>
      </c>
      <c r="BB118" s="497">
        <v>0</v>
      </c>
      <c r="BC118" s="497">
        <v>0</v>
      </c>
      <c r="BD118" s="497">
        <v>0</v>
      </c>
      <c r="BE118" s="497">
        <v>0</v>
      </c>
      <c r="BF118" s="497">
        <v>0</v>
      </c>
      <c r="BG118" s="497">
        <v>0</v>
      </c>
      <c r="BH118" s="497">
        <v>0</v>
      </c>
      <c r="BI118" s="497">
        <v>0</v>
      </c>
      <c r="BJ118" s="497">
        <v>0</v>
      </c>
      <c r="BK118" s="497">
        <v>0</v>
      </c>
      <c r="BL118" s="497">
        <v>0</v>
      </c>
      <c r="BM118" s="497">
        <v>0</v>
      </c>
      <c r="BN118" s="497">
        <v>0</v>
      </c>
      <c r="BO118" s="497">
        <v>2910733</v>
      </c>
      <c r="BP118" s="497">
        <v>0</v>
      </c>
      <c r="BQ118" s="497">
        <v>138070666</v>
      </c>
      <c r="BR118" s="497">
        <v>0</v>
      </c>
      <c r="BS118" s="497">
        <v>3561835</v>
      </c>
      <c r="BT118" s="497">
        <v>0</v>
      </c>
      <c r="BU118" s="497">
        <v>0</v>
      </c>
      <c r="BV118" s="497">
        <v>438651</v>
      </c>
      <c r="BW118" s="497">
        <v>0</v>
      </c>
      <c r="BX118" s="497">
        <v>0</v>
      </c>
      <c r="BY118" s="497">
        <v>0</v>
      </c>
      <c r="BZ118" s="497">
        <v>0</v>
      </c>
      <c r="CA118" s="497">
        <v>742433</v>
      </c>
      <c r="CB118" s="497">
        <v>0</v>
      </c>
      <c r="CC118" s="497">
        <v>0</v>
      </c>
      <c r="CD118" s="497">
        <v>0</v>
      </c>
      <c r="CE118" s="497">
        <v>34308953</v>
      </c>
    </row>
    <row r="119" spans="1:83" x14ac:dyDescent="0.25">
      <c r="A119" s="635">
        <v>357</v>
      </c>
      <c r="B119" s="752">
        <v>357</v>
      </c>
      <c r="C119" s="635" t="s">
        <v>645</v>
      </c>
      <c r="D119" s="635" t="s">
        <v>501</v>
      </c>
      <c r="E119" s="497">
        <v>0</v>
      </c>
      <c r="F119" s="497">
        <v>0</v>
      </c>
      <c r="G119" s="497">
        <v>0</v>
      </c>
      <c r="H119" s="497">
        <v>0</v>
      </c>
      <c r="I119" s="497">
        <v>0</v>
      </c>
      <c r="J119" s="497">
        <v>0</v>
      </c>
      <c r="K119" s="497">
        <v>0</v>
      </c>
      <c r="L119" s="497">
        <v>0</v>
      </c>
      <c r="M119" s="497">
        <v>5023062</v>
      </c>
      <c r="N119" s="497">
        <v>0</v>
      </c>
      <c r="O119" s="497">
        <v>0</v>
      </c>
      <c r="P119" s="497">
        <v>0</v>
      </c>
      <c r="Q119" s="497">
        <v>0</v>
      </c>
      <c r="R119" s="497">
        <v>10198504</v>
      </c>
      <c r="S119" s="497">
        <v>0</v>
      </c>
      <c r="T119" s="497">
        <v>590596</v>
      </c>
      <c r="U119" s="497">
        <v>0</v>
      </c>
      <c r="V119" s="497">
        <v>0</v>
      </c>
      <c r="W119" s="497">
        <v>0</v>
      </c>
      <c r="X119" s="497">
        <v>0</v>
      </c>
      <c r="Y119" s="497">
        <v>0</v>
      </c>
      <c r="Z119" s="497">
        <v>985662</v>
      </c>
      <c r="AA119" s="497">
        <v>0</v>
      </c>
      <c r="AB119" s="497">
        <v>0</v>
      </c>
      <c r="AC119" s="497">
        <v>0</v>
      </c>
      <c r="AD119" s="497">
        <v>0</v>
      </c>
      <c r="AE119" s="497">
        <v>0</v>
      </c>
      <c r="AF119" s="497">
        <v>0</v>
      </c>
      <c r="AG119" s="497">
        <v>62183605</v>
      </c>
      <c r="AH119" s="497">
        <v>0</v>
      </c>
      <c r="AI119" s="497">
        <v>0</v>
      </c>
      <c r="AJ119" s="497">
        <v>0</v>
      </c>
      <c r="AK119" s="497">
        <v>0</v>
      </c>
      <c r="AL119" s="497">
        <v>0</v>
      </c>
      <c r="AM119" s="497">
        <v>0</v>
      </c>
      <c r="AN119" s="497">
        <v>0</v>
      </c>
      <c r="AO119" s="497">
        <v>0</v>
      </c>
      <c r="AP119" s="497">
        <v>0</v>
      </c>
      <c r="AQ119" s="497">
        <v>3724672</v>
      </c>
      <c r="AR119" s="497">
        <v>0</v>
      </c>
      <c r="AS119" s="497">
        <v>0</v>
      </c>
      <c r="AT119" s="497">
        <v>0</v>
      </c>
      <c r="AU119" s="497">
        <v>0</v>
      </c>
      <c r="AV119" s="497">
        <v>0</v>
      </c>
      <c r="AW119" s="497">
        <v>198588889</v>
      </c>
      <c r="AX119" s="497">
        <v>0</v>
      </c>
      <c r="AY119" s="497">
        <v>0</v>
      </c>
      <c r="AZ119" s="497">
        <v>0</v>
      </c>
      <c r="BA119" s="497">
        <v>0</v>
      </c>
      <c r="BB119" s="497">
        <v>0</v>
      </c>
      <c r="BC119" s="497">
        <v>0</v>
      </c>
      <c r="BD119" s="497">
        <v>0</v>
      </c>
      <c r="BE119" s="497">
        <v>0</v>
      </c>
      <c r="BF119" s="497">
        <v>0</v>
      </c>
      <c r="BG119" s="497">
        <v>0</v>
      </c>
      <c r="BH119" s="497">
        <v>0</v>
      </c>
      <c r="BI119" s="497">
        <v>0</v>
      </c>
      <c r="BJ119" s="497">
        <v>0</v>
      </c>
      <c r="BK119" s="497">
        <v>0</v>
      </c>
      <c r="BL119" s="497">
        <v>0</v>
      </c>
      <c r="BM119" s="497">
        <v>0</v>
      </c>
      <c r="BN119" s="497">
        <v>0</v>
      </c>
      <c r="BO119" s="497">
        <v>2382029</v>
      </c>
      <c r="BP119" s="497">
        <v>0</v>
      </c>
      <c r="BQ119" s="497">
        <v>95956595</v>
      </c>
      <c r="BR119" s="497">
        <v>0</v>
      </c>
      <c r="BS119" s="497">
        <v>2510521</v>
      </c>
      <c r="BT119" s="497">
        <v>0</v>
      </c>
      <c r="BU119" s="497">
        <v>0</v>
      </c>
      <c r="BV119" s="497">
        <v>385339</v>
      </c>
      <c r="BW119" s="497">
        <v>0</v>
      </c>
      <c r="BX119" s="497">
        <v>0</v>
      </c>
      <c r="BY119" s="497">
        <v>0</v>
      </c>
      <c r="BZ119" s="497">
        <v>0</v>
      </c>
      <c r="CA119" s="497">
        <v>493402</v>
      </c>
      <c r="CB119" s="497">
        <v>0</v>
      </c>
      <c r="CC119" s="497">
        <v>0</v>
      </c>
      <c r="CD119" s="497">
        <v>0</v>
      </c>
      <c r="CE119" s="497">
        <v>13070466</v>
      </c>
    </row>
    <row r="120" spans="1:83" x14ac:dyDescent="0.25">
      <c r="A120" s="635">
        <v>359</v>
      </c>
      <c r="B120" s="752">
        <v>359</v>
      </c>
      <c r="C120" s="635" t="s">
        <v>321</v>
      </c>
      <c r="D120" s="635" t="s">
        <v>502</v>
      </c>
      <c r="E120" s="497">
        <v>0</v>
      </c>
      <c r="F120" s="497">
        <v>0</v>
      </c>
      <c r="G120" s="497">
        <v>0</v>
      </c>
      <c r="H120" s="497">
        <v>0</v>
      </c>
      <c r="I120" s="497">
        <v>0</v>
      </c>
      <c r="J120" s="497">
        <v>0</v>
      </c>
      <c r="K120" s="497">
        <v>0</v>
      </c>
      <c r="L120" s="497">
        <v>0</v>
      </c>
      <c r="M120" s="497">
        <v>740432</v>
      </c>
      <c r="N120" s="497">
        <v>0</v>
      </c>
      <c r="O120" s="497">
        <v>0</v>
      </c>
      <c r="P120" s="497">
        <v>0</v>
      </c>
      <c r="Q120" s="497">
        <v>0</v>
      </c>
      <c r="R120" s="497">
        <v>16612</v>
      </c>
      <c r="S120" s="497">
        <v>0</v>
      </c>
      <c r="T120" s="497">
        <v>0</v>
      </c>
      <c r="U120" s="497">
        <v>0</v>
      </c>
      <c r="V120" s="497">
        <v>0</v>
      </c>
      <c r="W120" s="497">
        <v>0</v>
      </c>
      <c r="X120" s="497">
        <v>0</v>
      </c>
      <c r="Y120" s="497">
        <v>0</v>
      </c>
      <c r="Z120" s="497">
        <v>1524</v>
      </c>
      <c r="AA120" s="497">
        <v>0</v>
      </c>
      <c r="AB120" s="497">
        <v>0</v>
      </c>
      <c r="AC120" s="497">
        <v>0</v>
      </c>
      <c r="AD120" s="497">
        <v>0</v>
      </c>
      <c r="AE120" s="497">
        <v>0</v>
      </c>
      <c r="AF120" s="497">
        <v>0</v>
      </c>
      <c r="AG120" s="497">
        <v>430000</v>
      </c>
      <c r="AH120" s="497">
        <v>0</v>
      </c>
      <c r="AI120" s="497">
        <v>0</v>
      </c>
      <c r="AJ120" s="497">
        <v>0</v>
      </c>
      <c r="AK120" s="497">
        <v>0</v>
      </c>
      <c r="AL120" s="497">
        <v>0</v>
      </c>
      <c r="AM120" s="497">
        <v>0</v>
      </c>
      <c r="AN120" s="497">
        <v>0</v>
      </c>
      <c r="AO120" s="497">
        <v>0</v>
      </c>
      <c r="AP120" s="497">
        <v>0</v>
      </c>
      <c r="AQ120" s="497">
        <v>0</v>
      </c>
      <c r="AR120" s="497">
        <v>0</v>
      </c>
      <c r="AS120" s="497">
        <v>0</v>
      </c>
      <c r="AT120" s="497">
        <v>0</v>
      </c>
      <c r="AU120" s="497">
        <v>0</v>
      </c>
      <c r="AV120" s="497">
        <v>0</v>
      </c>
      <c r="AW120" s="497">
        <v>65803369</v>
      </c>
      <c r="AX120" s="497">
        <v>0</v>
      </c>
      <c r="AY120" s="497">
        <v>0</v>
      </c>
      <c r="AZ120" s="497">
        <v>0</v>
      </c>
      <c r="BA120" s="497">
        <v>0</v>
      </c>
      <c r="BB120" s="497">
        <v>0</v>
      </c>
      <c r="BC120" s="497">
        <v>0</v>
      </c>
      <c r="BD120" s="497">
        <v>0</v>
      </c>
      <c r="BE120" s="497">
        <v>0</v>
      </c>
      <c r="BF120" s="497">
        <v>0</v>
      </c>
      <c r="BG120" s="497">
        <v>0</v>
      </c>
      <c r="BH120" s="497">
        <v>0</v>
      </c>
      <c r="BI120" s="497">
        <v>0</v>
      </c>
      <c r="BJ120" s="497">
        <v>0</v>
      </c>
      <c r="BK120" s="497">
        <v>0</v>
      </c>
      <c r="BL120" s="497">
        <v>0</v>
      </c>
      <c r="BM120" s="497">
        <v>0</v>
      </c>
      <c r="BN120" s="497">
        <v>0</v>
      </c>
      <c r="BO120" s="497">
        <v>206281</v>
      </c>
      <c r="BP120" s="497">
        <v>0</v>
      </c>
      <c r="BQ120" s="497">
        <v>0</v>
      </c>
      <c r="BR120" s="497">
        <v>0</v>
      </c>
      <c r="BS120" s="497">
        <v>1600000</v>
      </c>
      <c r="BT120" s="497">
        <v>0</v>
      </c>
      <c r="BU120" s="497">
        <v>0</v>
      </c>
      <c r="BV120" s="497">
        <v>0</v>
      </c>
      <c r="BW120" s="497">
        <v>0</v>
      </c>
      <c r="BX120" s="497">
        <v>0</v>
      </c>
      <c r="BY120" s="497">
        <v>0</v>
      </c>
      <c r="BZ120" s="497">
        <v>0</v>
      </c>
      <c r="CA120" s="497">
        <v>0</v>
      </c>
      <c r="CB120" s="497">
        <v>0</v>
      </c>
      <c r="CC120" s="497">
        <v>0</v>
      </c>
      <c r="CD120" s="497">
        <v>0</v>
      </c>
      <c r="CE120" s="497">
        <v>0</v>
      </c>
    </row>
    <row r="121" spans="1:83" x14ac:dyDescent="0.25">
      <c r="A121" s="635">
        <v>360</v>
      </c>
      <c r="B121" s="752">
        <v>360</v>
      </c>
      <c r="C121" s="635" t="s">
        <v>132</v>
      </c>
      <c r="D121" s="635" t="s">
        <v>503</v>
      </c>
      <c r="E121" s="497">
        <v>0</v>
      </c>
      <c r="F121" s="497">
        <v>0</v>
      </c>
      <c r="G121" s="497">
        <v>0</v>
      </c>
      <c r="H121" s="497">
        <v>0</v>
      </c>
      <c r="I121" s="497">
        <v>0</v>
      </c>
      <c r="J121" s="497">
        <v>0</v>
      </c>
      <c r="K121" s="497">
        <v>0</v>
      </c>
      <c r="L121" s="497">
        <v>0</v>
      </c>
      <c r="M121" s="497">
        <v>1858025</v>
      </c>
      <c r="N121" s="497">
        <v>0</v>
      </c>
      <c r="O121" s="497">
        <v>0</v>
      </c>
      <c r="P121" s="497">
        <v>0</v>
      </c>
      <c r="Q121" s="497">
        <v>0</v>
      </c>
      <c r="R121" s="497">
        <v>1996707</v>
      </c>
      <c r="S121" s="497">
        <v>0</v>
      </c>
      <c r="T121" s="497">
        <v>135954</v>
      </c>
      <c r="U121" s="497">
        <v>0</v>
      </c>
      <c r="V121" s="497">
        <v>0</v>
      </c>
      <c r="W121" s="497">
        <v>0</v>
      </c>
      <c r="X121" s="497">
        <v>0</v>
      </c>
      <c r="Y121" s="497">
        <v>0</v>
      </c>
      <c r="Z121" s="497">
        <v>340281</v>
      </c>
      <c r="AA121" s="497">
        <v>0</v>
      </c>
      <c r="AB121" s="497">
        <v>0</v>
      </c>
      <c r="AC121" s="497">
        <v>0</v>
      </c>
      <c r="AD121" s="497">
        <v>0</v>
      </c>
      <c r="AE121" s="497">
        <v>0</v>
      </c>
      <c r="AF121" s="497">
        <v>0</v>
      </c>
      <c r="AG121" s="497">
        <v>12499331</v>
      </c>
      <c r="AH121" s="497">
        <v>0</v>
      </c>
      <c r="AI121" s="497">
        <v>0</v>
      </c>
      <c r="AJ121" s="497">
        <v>0</v>
      </c>
      <c r="AK121" s="497">
        <v>0</v>
      </c>
      <c r="AL121" s="497">
        <v>0</v>
      </c>
      <c r="AM121" s="497">
        <v>0</v>
      </c>
      <c r="AN121" s="497">
        <v>0</v>
      </c>
      <c r="AO121" s="497">
        <v>0</v>
      </c>
      <c r="AP121" s="497">
        <v>0</v>
      </c>
      <c r="AQ121" s="497">
        <v>1162707</v>
      </c>
      <c r="AR121" s="497">
        <v>0</v>
      </c>
      <c r="AS121" s="497">
        <v>0</v>
      </c>
      <c r="AT121" s="497">
        <v>0</v>
      </c>
      <c r="AU121" s="497">
        <v>0</v>
      </c>
      <c r="AV121" s="497">
        <v>0</v>
      </c>
      <c r="AW121" s="497">
        <v>112587654</v>
      </c>
      <c r="AX121" s="497">
        <v>0</v>
      </c>
      <c r="AY121" s="497">
        <v>0</v>
      </c>
      <c r="AZ121" s="497">
        <v>0</v>
      </c>
      <c r="BA121" s="497">
        <v>0</v>
      </c>
      <c r="BB121" s="497">
        <v>0</v>
      </c>
      <c r="BC121" s="497">
        <v>0</v>
      </c>
      <c r="BD121" s="497">
        <v>0</v>
      </c>
      <c r="BE121" s="497">
        <v>0</v>
      </c>
      <c r="BF121" s="497">
        <v>0</v>
      </c>
      <c r="BG121" s="497">
        <v>0</v>
      </c>
      <c r="BH121" s="497">
        <v>0</v>
      </c>
      <c r="BI121" s="497">
        <v>0</v>
      </c>
      <c r="BJ121" s="497">
        <v>0</v>
      </c>
      <c r="BK121" s="497">
        <v>0</v>
      </c>
      <c r="BL121" s="497">
        <v>0</v>
      </c>
      <c r="BM121" s="497">
        <v>0</v>
      </c>
      <c r="BN121" s="497">
        <v>0</v>
      </c>
      <c r="BO121" s="497">
        <v>614261</v>
      </c>
      <c r="BP121" s="497">
        <v>0</v>
      </c>
      <c r="BQ121" s="497">
        <v>16754383</v>
      </c>
      <c r="BR121" s="497">
        <v>0</v>
      </c>
      <c r="BS121" s="497">
        <v>2226574</v>
      </c>
      <c r="BT121" s="497">
        <v>0</v>
      </c>
      <c r="BU121" s="497">
        <v>0</v>
      </c>
      <c r="BV121" s="497">
        <v>94966</v>
      </c>
      <c r="BW121" s="497">
        <v>0</v>
      </c>
      <c r="BX121" s="497">
        <v>0</v>
      </c>
      <c r="BY121" s="497">
        <v>0</v>
      </c>
      <c r="BZ121" s="497">
        <v>0</v>
      </c>
      <c r="CA121" s="497">
        <v>132539</v>
      </c>
      <c r="CB121" s="497">
        <v>0</v>
      </c>
      <c r="CC121" s="497">
        <v>0</v>
      </c>
      <c r="CD121" s="497">
        <v>0</v>
      </c>
      <c r="CE121" s="497">
        <v>2205197</v>
      </c>
    </row>
    <row r="122" spans="1:83" x14ac:dyDescent="0.25">
      <c r="A122" s="635">
        <v>361</v>
      </c>
      <c r="B122" s="752">
        <v>361</v>
      </c>
      <c r="C122" s="635" t="s">
        <v>113</v>
      </c>
      <c r="D122" s="635" t="s">
        <v>504</v>
      </c>
      <c r="E122" s="497">
        <v>0</v>
      </c>
      <c r="F122" s="497">
        <v>0</v>
      </c>
      <c r="G122" s="497">
        <v>0</v>
      </c>
      <c r="H122" s="497">
        <v>0</v>
      </c>
      <c r="I122" s="497">
        <v>0</v>
      </c>
      <c r="J122" s="497">
        <v>0</v>
      </c>
      <c r="K122" s="497">
        <v>0</v>
      </c>
      <c r="L122" s="497">
        <v>0</v>
      </c>
      <c r="M122" s="497">
        <v>1453364</v>
      </c>
      <c r="N122" s="497">
        <v>0</v>
      </c>
      <c r="O122" s="497">
        <v>0</v>
      </c>
      <c r="P122" s="497">
        <v>0</v>
      </c>
      <c r="Q122" s="497">
        <v>0</v>
      </c>
      <c r="R122" s="497">
        <v>5746932</v>
      </c>
      <c r="S122" s="497">
        <v>0</v>
      </c>
      <c r="T122" s="497">
        <v>927122</v>
      </c>
      <c r="U122" s="497">
        <v>0</v>
      </c>
      <c r="V122" s="497">
        <v>0</v>
      </c>
      <c r="W122" s="497">
        <v>0</v>
      </c>
      <c r="X122" s="497">
        <v>0</v>
      </c>
      <c r="Y122" s="497">
        <v>0</v>
      </c>
      <c r="Z122" s="497">
        <v>350193</v>
      </c>
      <c r="AA122" s="497">
        <v>0</v>
      </c>
      <c r="AB122" s="497">
        <v>0</v>
      </c>
      <c r="AC122" s="497">
        <v>0</v>
      </c>
      <c r="AD122" s="497">
        <v>0</v>
      </c>
      <c r="AE122" s="497">
        <v>0</v>
      </c>
      <c r="AF122" s="497">
        <v>0</v>
      </c>
      <c r="AG122" s="497">
        <v>22045721</v>
      </c>
      <c r="AH122" s="497">
        <v>0</v>
      </c>
      <c r="AI122" s="497">
        <v>0</v>
      </c>
      <c r="AJ122" s="497">
        <v>0</v>
      </c>
      <c r="AK122" s="497">
        <v>0</v>
      </c>
      <c r="AL122" s="497">
        <v>0</v>
      </c>
      <c r="AM122" s="497">
        <v>0</v>
      </c>
      <c r="AN122" s="497">
        <v>0</v>
      </c>
      <c r="AO122" s="497">
        <v>0</v>
      </c>
      <c r="AP122" s="497">
        <v>0</v>
      </c>
      <c r="AQ122" s="497">
        <v>4146026</v>
      </c>
      <c r="AR122" s="497">
        <v>0</v>
      </c>
      <c r="AS122" s="497">
        <v>0</v>
      </c>
      <c r="AT122" s="497">
        <v>0</v>
      </c>
      <c r="AU122" s="497">
        <v>0</v>
      </c>
      <c r="AV122" s="497">
        <v>0</v>
      </c>
      <c r="AW122" s="497">
        <v>74023836</v>
      </c>
      <c r="AX122" s="497">
        <v>0</v>
      </c>
      <c r="AY122" s="497">
        <v>0</v>
      </c>
      <c r="AZ122" s="497">
        <v>0</v>
      </c>
      <c r="BA122" s="497">
        <v>0</v>
      </c>
      <c r="BB122" s="497">
        <v>0</v>
      </c>
      <c r="BC122" s="497">
        <v>0</v>
      </c>
      <c r="BD122" s="497">
        <v>0</v>
      </c>
      <c r="BE122" s="497">
        <v>0</v>
      </c>
      <c r="BF122" s="497">
        <v>0</v>
      </c>
      <c r="BG122" s="497">
        <v>0</v>
      </c>
      <c r="BH122" s="497">
        <v>0</v>
      </c>
      <c r="BI122" s="497">
        <v>0</v>
      </c>
      <c r="BJ122" s="497">
        <v>0</v>
      </c>
      <c r="BK122" s="497">
        <v>0</v>
      </c>
      <c r="BL122" s="497">
        <v>0</v>
      </c>
      <c r="BM122" s="497">
        <v>0</v>
      </c>
      <c r="BN122" s="497">
        <v>0</v>
      </c>
      <c r="BO122" s="497">
        <v>1114267</v>
      </c>
      <c r="BP122" s="497">
        <v>0</v>
      </c>
      <c r="BQ122" s="497">
        <v>59281859</v>
      </c>
      <c r="BR122" s="497">
        <v>0</v>
      </c>
      <c r="BS122" s="497">
        <v>4462114</v>
      </c>
      <c r="BT122" s="497">
        <v>0</v>
      </c>
      <c r="BU122" s="497">
        <v>0</v>
      </c>
      <c r="BV122" s="497">
        <v>360817</v>
      </c>
      <c r="BW122" s="497">
        <v>0</v>
      </c>
      <c r="BX122" s="497">
        <v>0</v>
      </c>
      <c r="BY122" s="497">
        <v>0</v>
      </c>
      <c r="BZ122" s="497">
        <v>0</v>
      </c>
      <c r="CA122" s="497">
        <v>717032</v>
      </c>
      <c r="CB122" s="497">
        <v>0</v>
      </c>
      <c r="CC122" s="497">
        <v>0</v>
      </c>
      <c r="CD122" s="497">
        <v>0</v>
      </c>
      <c r="CE122" s="497">
        <v>2902663</v>
      </c>
    </row>
    <row r="123" spans="1:83" x14ac:dyDescent="0.25">
      <c r="A123" s="635">
        <v>362</v>
      </c>
      <c r="B123" s="752">
        <v>362</v>
      </c>
      <c r="C123" s="635" t="s">
        <v>114</v>
      </c>
      <c r="D123" s="635" t="s">
        <v>505</v>
      </c>
      <c r="E123" s="497">
        <v>0</v>
      </c>
      <c r="F123" s="497">
        <v>0</v>
      </c>
      <c r="G123" s="497">
        <v>0</v>
      </c>
      <c r="H123" s="497">
        <v>0</v>
      </c>
      <c r="I123" s="497">
        <v>0</v>
      </c>
      <c r="J123" s="497">
        <v>0</v>
      </c>
      <c r="K123" s="497">
        <v>0</v>
      </c>
      <c r="L123" s="497">
        <v>0</v>
      </c>
      <c r="M123" s="497">
        <v>4963974</v>
      </c>
      <c r="N123" s="497">
        <v>0</v>
      </c>
      <c r="O123" s="497">
        <v>0</v>
      </c>
      <c r="P123" s="497">
        <v>0</v>
      </c>
      <c r="Q123" s="497">
        <v>0</v>
      </c>
      <c r="R123" s="497">
        <v>9183333</v>
      </c>
      <c r="S123" s="497">
        <v>0</v>
      </c>
      <c r="T123" s="497">
        <v>1109401</v>
      </c>
      <c r="U123" s="497">
        <v>0</v>
      </c>
      <c r="V123" s="497">
        <v>0</v>
      </c>
      <c r="W123" s="497">
        <v>0</v>
      </c>
      <c r="X123" s="497">
        <v>0</v>
      </c>
      <c r="Y123" s="497">
        <v>0</v>
      </c>
      <c r="Z123" s="497">
        <v>532132</v>
      </c>
      <c r="AA123" s="497">
        <v>0</v>
      </c>
      <c r="AB123" s="497">
        <v>0</v>
      </c>
      <c r="AC123" s="497">
        <v>0</v>
      </c>
      <c r="AD123" s="497">
        <v>0</v>
      </c>
      <c r="AE123" s="497">
        <v>0</v>
      </c>
      <c r="AF123" s="497">
        <v>0</v>
      </c>
      <c r="AG123" s="497">
        <v>69392200</v>
      </c>
      <c r="AH123" s="497">
        <v>0</v>
      </c>
      <c r="AI123" s="497">
        <v>0</v>
      </c>
      <c r="AJ123" s="497">
        <v>0</v>
      </c>
      <c r="AK123" s="497">
        <v>0</v>
      </c>
      <c r="AL123" s="497">
        <v>0</v>
      </c>
      <c r="AM123" s="497">
        <v>0</v>
      </c>
      <c r="AN123" s="497">
        <v>0</v>
      </c>
      <c r="AO123" s="497">
        <v>0</v>
      </c>
      <c r="AP123" s="497">
        <v>0</v>
      </c>
      <c r="AQ123" s="497">
        <v>7683500</v>
      </c>
      <c r="AR123" s="497">
        <v>0</v>
      </c>
      <c r="AS123" s="497">
        <v>0</v>
      </c>
      <c r="AT123" s="497">
        <v>0</v>
      </c>
      <c r="AU123" s="497">
        <v>0</v>
      </c>
      <c r="AV123" s="497">
        <v>0</v>
      </c>
      <c r="AW123" s="497">
        <v>153143899</v>
      </c>
      <c r="AX123" s="497">
        <v>0</v>
      </c>
      <c r="AY123" s="497">
        <v>0</v>
      </c>
      <c r="AZ123" s="497">
        <v>0</v>
      </c>
      <c r="BA123" s="497">
        <v>0</v>
      </c>
      <c r="BB123" s="497">
        <v>0</v>
      </c>
      <c r="BC123" s="497">
        <v>0</v>
      </c>
      <c r="BD123" s="497">
        <v>0</v>
      </c>
      <c r="BE123" s="497">
        <v>0</v>
      </c>
      <c r="BF123" s="497">
        <v>0</v>
      </c>
      <c r="BG123" s="497">
        <v>0</v>
      </c>
      <c r="BH123" s="497">
        <v>0</v>
      </c>
      <c r="BI123" s="497">
        <v>0</v>
      </c>
      <c r="BJ123" s="497">
        <v>0</v>
      </c>
      <c r="BK123" s="497">
        <v>0</v>
      </c>
      <c r="BL123" s="497">
        <v>0</v>
      </c>
      <c r="BM123" s="497">
        <v>0</v>
      </c>
      <c r="BN123" s="497">
        <v>0</v>
      </c>
      <c r="BO123" s="497">
        <v>1436690</v>
      </c>
      <c r="BP123" s="497">
        <v>0</v>
      </c>
      <c r="BQ123" s="497">
        <v>128088544</v>
      </c>
      <c r="BR123" s="497">
        <v>0</v>
      </c>
      <c r="BS123" s="497">
        <v>5513428</v>
      </c>
      <c r="BT123" s="497">
        <v>0</v>
      </c>
      <c r="BU123" s="497">
        <v>0</v>
      </c>
      <c r="BV123" s="497">
        <v>414129</v>
      </c>
      <c r="BW123" s="497">
        <v>0</v>
      </c>
      <c r="BX123" s="497">
        <v>0</v>
      </c>
      <c r="BY123" s="497">
        <v>0</v>
      </c>
      <c r="BZ123" s="497">
        <v>0</v>
      </c>
      <c r="CA123" s="497">
        <v>958641</v>
      </c>
      <c r="CB123" s="497">
        <v>0</v>
      </c>
      <c r="CC123" s="497">
        <v>0</v>
      </c>
      <c r="CD123" s="497">
        <v>0</v>
      </c>
      <c r="CE123" s="497">
        <v>24554921</v>
      </c>
    </row>
    <row r="124" spans="1:83" x14ac:dyDescent="0.25">
      <c r="A124" s="635">
        <v>363</v>
      </c>
      <c r="B124" s="752">
        <v>363</v>
      </c>
      <c r="C124" s="635" t="s">
        <v>307</v>
      </c>
      <c r="D124" s="635" t="s">
        <v>506</v>
      </c>
      <c r="E124" s="497">
        <v>0</v>
      </c>
      <c r="F124" s="497">
        <v>0</v>
      </c>
      <c r="G124" s="497">
        <v>0</v>
      </c>
      <c r="H124" s="497">
        <v>0</v>
      </c>
      <c r="I124" s="497">
        <v>0</v>
      </c>
      <c r="J124" s="497">
        <v>0</v>
      </c>
      <c r="K124" s="497">
        <v>0</v>
      </c>
      <c r="L124" s="497">
        <v>0</v>
      </c>
      <c r="M124" s="497">
        <v>31692</v>
      </c>
      <c r="N124" s="497">
        <v>0</v>
      </c>
      <c r="O124" s="497">
        <v>0</v>
      </c>
      <c r="P124" s="497">
        <v>0</v>
      </c>
      <c r="Q124" s="497">
        <v>0</v>
      </c>
      <c r="R124" s="497">
        <v>63802</v>
      </c>
      <c r="S124" s="497">
        <v>0</v>
      </c>
      <c r="T124" s="497">
        <v>538</v>
      </c>
      <c r="U124" s="497">
        <v>0</v>
      </c>
      <c r="V124" s="497">
        <v>0</v>
      </c>
      <c r="W124" s="497">
        <v>0</v>
      </c>
      <c r="X124" s="497">
        <v>0</v>
      </c>
      <c r="Y124" s="497">
        <v>0</v>
      </c>
      <c r="Z124" s="497">
        <v>48763</v>
      </c>
      <c r="AA124" s="497">
        <v>0</v>
      </c>
      <c r="AB124" s="497">
        <v>0</v>
      </c>
      <c r="AC124" s="497">
        <v>0</v>
      </c>
      <c r="AD124" s="497">
        <v>0</v>
      </c>
      <c r="AE124" s="497">
        <v>0</v>
      </c>
      <c r="AF124" s="497">
        <v>0</v>
      </c>
      <c r="AG124" s="497">
        <v>347877</v>
      </c>
      <c r="AH124" s="497">
        <v>0</v>
      </c>
      <c r="AI124" s="497">
        <v>0</v>
      </c>
      <c r="AJ124" s="497">
        <v>0</v>
      </c>
      <c r="AK124" s="497">
        <v>0</v>
      </c>
      <c r="AL124" s="497">
        <v>0</v>
      </c>
      <c r="AM124" s="497">
        <v>0</v>
      </c>
      <c r="AN124" s="497">
        <v>0</v>
      </c>
      <c r="AO124" s="497">
        <v>0</v>
      </c>
      <c r="AP124" s="497">
        <v>0</v>
      </c>
      <c r="AQ124" s="497">
        <v>62202</v>
      </c>
      <c r="AR124" s="497">
        <v>0</v>
      </c>
      <c r="AS124" s="497">
        <v>0</v>
      </c>
      <c r="AT124" s="497">
        <v>0</v>
      </c>
      <c r="AU124" s="497">
        <v>0</v>
      </c>
      <c r="AV124" s="497">
        <v>0</v>
      </c>
      <c r="AW124" s="497">
        <v>3450192</v>
      </c>
      <c r="AX124" s="497">
        <v>0</v>
      </c>
      <c r="AY124" s="497">
        <v>0</v>
      </c>
      <c r="AZ124" s="497">
        <v>0</v>
      </c>
      <c r="BA124" s="497">
        <v>0</v>
      </c>
      <c r="BB124" s="497">
        <v>0</v>
      </c>
      <c r="BC124" s="497">
        <v>0</v>
      </c>
      <c r="BD124" s="497">
        <v>0</v>
      </c>
      <c r="BE124" s="497">
        <v>0</v>
      </c>
      <c r="BF124" s="497">
        <v>0</v>
      </c>
      <c r="BG124" s="497">
        <v>0</v>
      </c>
      <c r="BH124" s="497">
        <v>0</v>
      </c>
      <c r="BI124" s="497">
        <v>0</v>
      </c>
      <c r="BJ124" s="497">
        <v>0</v>
      </c>
      <c r="BK124" s="497">
        <v>0</v>
      </c>
      <c r="BL124" s="497">
        <v>0</v>
      </c>
      <c r="BM124" s="497">
        <v>0</v>
      </c>
      <c r="BN124" s="497">
        <v>0</v>
      </c>
      <c r="BO124" s="497">
        <v>17</v>
      </c>
      <c r="BP124" s="497">
        <v>0</v>
      </c>
      <c r="BQ124" s="497">
        <v>1675508</v>
      </c>
      <c r="BR124" s="497">
        <v>0</v>
      </c>
      <c r="BS124" s="497">
        <v>74819</v>
      </c>
      <c r="BT124" s="497">
        <v>0</v>
      </c>
      <c r="BU124" s="497">
        <v>0</v>
      </c>
      <c r="BV124" s="497">
        <v>0</v>
      </c>
      <c r="BW124" s="497">
        <v>0</v>
      </c>
      <c r="BX124" s="497">
        <v>0</v>
      </c>
      <c r="BY124" s="497">
        <v>0</v>
      </c>
      <c r="BZ124" s="497">
        <v>0</v>
      </c>
      <c r="CA124" s="497">
        <v>8753</v>
      </c>
      <c r="CB124" s="497">
        <v>0</v>
      </c>
      <c r="CC124" s="497">
        <v>0</v>
      </c>
      <c r="CD124" s="497">
        <v>0</v>
      </c>
      <c r="CE124" s="497">
        <v>14015</v>
      </c>
    </row>
    <row r="125" spans="1:83" x14ac:dyDescent="0.25">
      <c r="A125" s="635">
        <v>364</v>
      </c>
      <c r="B125" s="752">
        <v>364</v>
      </c>
      <c r="C125" s="635" t="s">
        <v>308</v>
      </c>
      <c r="D125" s="635" t="s">
        <v>507</v>
      </c>
      <c r="E125" s="497">
        <v>0</v>
      </c>
      <c r="F125" s="497">
        <v>0</v>
      </c>
      <c r="G125" s="497">
        <v>0</v>
      </c>
      <c r="H125" s="497">
        <v>0</v>
      </c>
      <c r="I125" s="497">
        <v>0</v>
      </c>
      <c r="J125" s="497">
        <v>0</v>
      </c>
      <c r="K125" s="497">
        <v>0</v>
      </c>
      <c r="L125" s="497">
        <v>0</v>
      </c>
      <c r="M125" s="497">
        <v>67437</v>
      </c>
      <c r="N125" s="497">
        <v>0</v>
      </c>
      <c r="O125" s="497">
        <v>0</v>
      </c>
      <c r="P125" s="497">
        <v>0</v>
      </c>
      <c r="Q125" s="497">
        <v>0</v>
      </c>
      <c r="R125" s="497">
        <v>524</v>
      </c>
      <c r="S125" s="497">
        <v>0</v>
      </c>
      <c r="T125" s="497">
        <v>0</v>
      </c>
      <c r="U125" s="497">
        <v>0</v>
      </c>
      <c r="V125" s="497">
        <v>0</v>
      </c>
      <c r="W125" s="497">
        <v>0</v>
      </c>
      <c r="X125" s="497">
        <v>0</v>
      </c>
      <c r="Y125" s="497">
        <v>0</v>
      </c>
      <c r="Z125" s="497">
        <v>105</v>
      </c>
      <c r="AA125" s="497">
        <v>0</v>
      </c>
      <c r="AB125" s="497">
        <v>0</v>
      </c>
      <c r="AC125" s="497">
        <v>0</v>
      </c>
      <c r="AD125" s="497">
        <v>0</v>
      </c>
      <c r="AE125" s="497">
        <v>0</v>
      </c>
      <c r="AF125" s="497">
        <v>0</v>
      </c>
      <c r="AG125" s="497">
        <v>16869</v>
      </c>
      <c r="AH125" s="497">
        <v>0</v>
      </c>
      <c r="AI125" s="497">
        <v>0</v>
      </c>
      <c r="AJ125" s="497">
        <v>0</v>
      </c>
      <c r="AK125" s="497">
        <v>0</v>
      </c>
      <c r="AL125" s="497">
        <v>0</v>
      </c>
      <c r="AM125" s="497">
        <v>0</v>
      </c>
      <c r="AN125" s="497">
        <v>0</v>
      </c>
      <c r="AO125" s="497">
        <v>0</v>
      </c>
      <c r="AP125" s="497">
        <v>0</v>
      </c>
      <c r="AQ125" s="497">
        <v>0</v>
      </c>
      <c r="AR125" s="497">
        <v>0</v>
      </c>
      <c r="AS125" s="497">
        <v>0</v>
      </c>
      <c r="AT125" s="497">
        <v>0</v>
      </c>
      <c r="AU125" s="497">
        <v>0</v>
      </c>
      <c r="AV125" s="497">
        <v>0</v>
      </c>
      <c r="AW125" s="497">
        <v>1841442</v>
      </c>
      <c r="AX125" s="497">
        <v>0</v>
      </c>
      <c r="AY125" s="497">
        <v>0</v>
      </c>
      <c r="AZ125" s="497">
        <v>0</v>
      </c>
      <c r="BA125" s="497">
        <v>0</v>
      </c>
      <c r="BB125" s="497">
        <v>0</v>
      </c>
      <c r="BC125" s="497">
        <v>0</v>
      </c>
      <c r="BD125" s="497">
        <v>0</v>
      </c>
      <c r="BE125" s="497">
        <v>0</v>
      </c>
      <c r="BF125" s="497">
        <v>0</v>
      </c>
      <c r="BG125" s="497">
        <v>0</v>
      </c>
      <c r="BH125" s="497">
        <v>0</v>
      </c>
      <c r="BI125" s="497">
        <v>0</v>
      </c>
      <c r="BJ125" s="497">
        <v>0</v>
      </c>
      <c r="BK125" s="497">
        <v>0</v>
      </c>
      <c r="BL125" s="497">
        <v>0</v>
      </c>
      <c r="BM125" s="497">
        <v>0</v>
      </c>
      <c r="BN125" s="497">
        <v>0</v>
      </c>
      <c r="BO125" s="497">
        <v>9520</v>
      </c>
      <c r="BP125" s="497">
        <v>0</v>
      </c>
      <c r="BQ125" s="497">
        <v>0</v>
      </c>
      <c r="BR125" s="497">
        <v>0</v>
      </c>
      <c r="BS125" s="497">
        <v>1199747</v>
      </c>
      <c r="BT125" s="497">
        <v>0</v>
      </c>
      <c r="BU125" s="497">
        <v>0</v>
      </c>
      <c r="BV125" s="497">
        <v>0</v>
      </c>
      <c r="BW125" s="497">
        <v>0</v>
      </c>
      <c r="BX125" s="497">
        <v>0</v>
      </c>
      <c r="BY125" s="497">
        <v>0</v>
      </c>
      <c r="BZ125" s="497">
        <v>0</v>
      </c>
      <c r="CA125" s="497">
        <v>597</v>
      </c>
      <c r="CB125" s="497">
        <v>0</v>
      </c>
      <c r="CC125" s="497">
        <v>0</v>
      </c>
      <c r="CD125" s="497">
        <v>0</v>
      </c>
      <c r="CE125" s="497">
        <v>0</v>
      </c>
    </row>
    <row r="126" spans="1:83" x14ac:dyDescent="0.25">
      <c r="A126" s="635">
        <v>365</v>
      </c>
      <c r="B126" s="752">
        <v>365</v>
      </c>
      <c r="C126" s="635" t="s">
        <v>310</v>
      </c>
      <c r="D126" s="635" t="s">
        <v>508</v>
      </c>
      <c r="E126" s="497">
        <v>0</v>
      </c>
      <c r="F126" s="497">
        <v>0</v>
      </c>
      <c r="G126" s="497">
        <v>0</v>
      </c>
      <c r="H126" s="497">
        <v>0</v>
      </c>
      <c r="I126" s="497">
        <v>0</v>
      </c>
      <c r="J126" s="497">
        <v>0</v>
      </c>
      <c r="K126" s="497">
        <v>0</v>
      </c>
      <c r="L126" s="497">
        <v>0</v>
      </c>
      <c r="M126" s="497">
        <v>0</v>
      </c>
      <c r="N126" s="497">
        <v>0</v>
      </c>
      <c r="O126" s="497">
        <v>0</v>
      </c>
      <c r="P126" s="497">
        <v>0</v>
      </c>
      <c r="Q126" s="497">
        <v>0</v>
      </c>
      <c r="R126" s="497">
        <v>0</v>
      </c>
      <c r="S126" s="497">
        <v>0</v>
      </c>
      <c r="T126" s="497">
        <v>0</v>
      </c>
      <c r="U126" s="497">
        <v>0</v>
      </c>
      <c r="V126" s="497">
        <v>0</v>
      </c>
      <c r="W126" s="497">
        <v>0</v>
      </c>
      <c r="X126" s="497">
        <v>0</v>
      </c>
      <c r="Y126" s="497">
        <v>0</v>
      </c>
      <c r="Z126" s="497">
        <v>0</v>
      </c>
      <c r="AA126" s="497">
        <v>0</v>
      </c>
      <c r="AB126" s="497">
        <v>0</v>
      </c>
      <c r="AC126" s="497">
        <v>0</v>
      </c>
      <c r="AD126" s="497">
        <v>0</v>
      </c>
      <c r="AE126" s="497">
        <v>0</v>
      </c>
      <c r="AF126" s="497">
        <v>0</v>
      </c>
      <c r="AG126" s="497">
        <v>0</v>
      </c>
      <c r="AH126" s="497">
        <v>0</v>
      </c>
      <c r="AI126" s="497">
        <v>0</v>
      </c>
      <c r="AJ126" s="497">
        <v>0</v>
      </c>
      <c r="AK126" s="497">
        <v>0</v>
      </c>
      <c r="AL126" s="497">
        <v>0</v>
      </c>
      <c r="AM126" s="497">
        <v>0</v>
      </c>
      <c r="AN126" s="497">
        <v>0</v>
      </c>
      <c r="AO126" s="497">
        <v>0</v>
      </c>
      <c r="AP126" s="497">
        <v>0</v>
      </c>
      <c r="AQ126" s="497">
        <v>0</v>
      </c>
      <c r="AR126" s="497">
        <v>0</v>
      </c>
      <c r="AS126" s="497">
        <v>0</v>
      </c>
      <c r="AT126" s="497">
        <v>0</v>
      </c>
      <c r="AU126" s="497">
        <v>0</v>
      </c>
      <c r="AV126" s="497">
        <v>0</v>
      </c>
      <c r="AW126" s="497">
        <v>0</v>
      </c>
      <c r="AX126" s="497">
        <v>0</v>
      </c>
      <c r="AY126" s="497">
        <v>0</v>
      </c>
      <c r="AZ126" s="497">
        <v>0</v>
      </c>
      <c r="BA126" s="497">
        <v>0</v>
      </c>
      <c r="BB126" s="497">
        <v>0</v>
      </c>
      <c r="BC126" s="497">
        <v>0</v>
      </c>
      <c r="BD126" s="497">
        <v>0</v>
      </c>
      <c r="BE126" s="497">
        <v>0</v>
      </c>
      <c r="BF126" s="497">
        <v>0</v>
      </c>
      <c r="BG126" s="497">
        <v>0</v>
      </c>
      <c r="BH126" s="497">
        <v>0</v>
      </c>
      <c r="BI126" s="497">
        <v>0</v>
      </c>
      <c r="BJ126" s="497">
        <v>0</v>
      </c>
      <c r="BK126" s="497">
        <v>0</v>
      </c>
      <c r="BL126" s="497">
        <v>0</v>
      </c>
      <c r="BM126" s="497">
        <v>0</v>
      </c>
      <c r="BN126" s="497">
        <v>0</v>
      </c>
      <c r="BO126" s="497">
        <v>0</v>
      </c>
      <c r="BP126" s="497">
        <v>0</v>
      </c>
      <c r="BQ126" s="497">
        <v>0</v>
      </c>
      <c r="BR126" s="497">
        <v>0</v>
      </c>
      <c r="BS126" s="497">
        <v>0</v>
      </c>
      <c r="BT126" s="497">
        <v>0</v>
      </c>
      <c r="BU126" s="497">
        <v>0</v>
      </c>
      <c r="BV126" s="497">
        <v>0</v>
      </c>
      <c r="BW126" s="497">
        <v>0</v>
      </c>
      <c r="BX126" s="497">
        <v>0</v>
      </c>
      <c r="BY126" s="497">
        <v>0</v>
      </c>
      <c r="BZ126" s="497">
        <v>0</v>
      </c>
      <c r="CA126" s="497">
        <v>0</v>
      </c>
      <c r="CB126" s="497">
        <v>0</v>
      </c>
      <c r="CC126" s="497">
        <v>0</v>
      </c>
      <c r="CD126" s="497">
        <v>0</v>
      </c>
      <c r="CE126" s="497">
        <v>0</v>
      </c>
    </row>
    <row r="127" spans="1:83" x14ac:dyDescent="0.25">
      <c r="A127" s="635">
        <v>366</v>
      </c>
      <c r="B127" s="752">
        <v>366</v>
      </c>
      <c r="C127" s="635" t="s">
        <v>623</v>
      </c>
      <c r="D127" s="635" t="s">
        <v>509</v>
      </c>
      <c r="E127" s="497">
        <v>0</v>
      </c>
      <c r="F127" s="497">
        <v>0</v>
      </c>
      <c r="G127" s="497">
        <v>0</v>
      </c>
      <c r="H127" s="497">
        <v>0</v>
      </c>
      <c r="I127" s="497">
        <v>0</v>
      </c>
      <c r="J127" s="497">
        <v>0</v>
      </c>
      <c r="K127" s="497">
        <v>0</v>
      </c>
      <c r="L127" s="497">
        <v>0</v>
      </c>
      <c r="M127" s="497">
        <v>369670</v>
      </c>
      <c r="N127" s="497">
        <v>0</v>
      </c>
      <c r="O127" s="497">
        <v>0</v>
      </c>
      <c r="P127" s="497">
        <v>0</v>
      </c>
      <c r="Q127" s="497">
        <v>0</v>
      </c>
      <c r="R127" s="497">
        <v>2387240</v>
      </c>
      <c r="S127" s="497">
        <v>0</v>
      </c>
      <c r="T127" s="497">
        <v>0</v>
      </c>
      <c r="U127" s="497">
        <v>0</v>
      </c>
      <c r="V127" s="497">
        <v>0</v>
      </c>
      <c r="W127" s="497">
        <v>0</v>
      </c>
      <c r="X127" s="497">
        <v>0</v>
      </c>
      <c r="Y127" s="497">
        <v>0</v>
      </c>
      <c r="Z127" s="497">
        <v>85372</v>
      </c>
      <c r="AA127" s="497">
        <v>0</v>
      </c>
      <c r="AB127" s="497">
        <v>0</v>
      </c>
      <c r="AC127" s="497">
        <v>0</v>
      </c>
      <c r="AD127" s="497">
        <v>0</v>
      </c>
      <c r="AE127" s="497">
        <v>0</v>
      </c>
      <c r="AF127" s="497">
        <v>0</v>
      </c>
      <c r="AG127" s="497">
        <v>3100000</v>
      </c>
      <c r="AH127" s="497">
        <v>0</v>
      </c>
      <c r="AI127" s="497">
        <v>0</v>
      </c>
      <c r="AJ127" s="497">
        <v>0</v>
      </c>
      <c r="AK127" s="497">
        <v>0</v>
      </c>
      <c r="AL127" s="497">
        <v>0</v>
      </c>
      <c r="AM127" s="497">
        <v>0</v>
      </c>
      <c r="AN127" s="497">
        <v>0</v>
      </c>
      <c r="AO127" s="497">
        <v>0</v>
      </c>
      <c r="AP127" s="497">
        <v>0</v>
      </c>
      <c r="AQ127" s="497">
        <v>0</v>
      </c>
      <c r="AR127" s="497">
        <v>0</v>
      </c>
      <c r="AS127" s="497">
        <v>0</v>
      </c>
      <c r="AT127" s="497">
        <v>0</v>
      </c>
      <c r="AU127" s="497">
        <v>0</v>
      </c>
      <c r="AV127" s="497">
        <v>0</v>
      </c>
      <c r="AW127" s="497">
        <v>4993763</v>
      </c>
      <c r="AX127" s="497">
        <v>0</v>
      </c>
      <c r="AY127" s="497">
        <v>0</v>
      </c>
      <c r="AZ127" s="497">
        <v>0</v>
      </c>
      <c r="BA127" s="497">
        <v>0</v>
      </c>
      <c r="BB127" s="497">
        <v>0</v>
      </c>
      <c r="BC127" s="497">
        <v>0</v>
      </c>
      <c r="BD127" s="497">
        <v>0</v>
      </c>
      <c r="BE127" s="497">
        <v>0</v>
      </c>
      <c r="BF127" s="497">
        <v>0</v>
      </c>
      <c r="BG127" s="497">
        <v>0</v>
      </c>
      <c r="BH127" s="497">
        <v>0</v>
      </c>
      <c r="BI127" s="497">
        <v>0</v>
      </c>
      <c r="BJ127" s="497">
        <v>0</v>
      </c>
      <c r="BK127" s="497">
        <v>0</v>
      </c>
      <c r="BL127" s="497">
        <v>0</v>
      </c>
      <c r="BM127" s="497">
        <v>0</v>
      </c>
      <c r="BN127" s="497">
        <v>0</v>
      </c>
      <c r="BO127" s="497">
        <v>84000</v>
      </c>
      <c r="BP127" s="497">
        <v>0</v>
      </c>
      <c r="BQ127" s="497">
        <v>2107139</v>
      </c>
      <c r="BR127" s="497">
        <v>0</v>
      </c>
      <c r="BS127" s="497">
        <v>1573666</v>
      </c>
      <c r="BT127" s="497">
        <v>0</v>
      </c>
      <c r="BU127" s="497">
        <v>0</v>
      </c>
      <c r="BV127" s="497">
        <v>0</v>
      </c>
      <c r="BW127" s="497">
        <v>0</v>
      </c>
      <c r="BX127" s="497">
        <v>0</v>
      </c>
      <c r="BY127" s="497">
        <v>0</v>
      </c>
      <c r="BZ127" s="497">
        <v>0</v>
      </c>
      <c r="CA127" s="497">
        <v>0</v>
      </c>
      <c r="CB127" s="497">
        <v>0</v>
      </c>
      <c r="CC127" s="497">
        <v>0</v>
      </c>
      <c r="CD127" s="497">
        <v>0</v>
      </c>
      <c r="CE127" s="497">
        <v>0</v>
      </c>
    </row>
    <row r="128" spans="1:83" x14ac:dyDescent="0.25">
      <c r="B128" s="752">
        <v>367</v>
      </c>
      <c r="C128" s="635" t="s">
        <v>738</v>
      </c>
      <c r="D128" s="635" t="s">
        <v>510</v>
      </c>
      <c r="E128" s="497"/>
      <c r="F128" s="497"/>
      <c r="G128" s="497"/>
      <c r="H128" s="497"/>
      <c r="I128" s="497"/>
      <c r="J128" s="497"/>
      <c r="K128" s="497"/>
      <c r="L128" s="497"/>
      <c r="M128" s="497"/>
      <c r="N128" s="497"/>
      <c r="O128" s="497"/>
      <c r="P128" s="497"/>
      <c r="Q128" s="497"/>
      <c r="R128" s="497"/>
      <c r="S128" s="497"/>
      <c r="T128" s="497"/>
      <c r="U128" s="497"/>
      <c r="V128" s="497"/>
      <c r="W128" s="497"/>
      <c r="X128" s="497"/>
      <c r="Y128" s="497"/>
      <c r="Z128" s="497"/>
      <c r="AA128" s="497"/>
      <c r="AB128" s="497"/>
      <c r="AC128" s="497"/>
      <c r="AD128" s="497"/>
      <c r="AE128" s="497"/>
      <c r="AF128" s="497"/>
      <c r="AG128" s="497"/>
      <c r="AH128" s="497"/>
      <c r="AI128" s="497"/>
      <c r="AJ128" s="497"/>
      <c r="AK128" s="497"/>
      <c r="AL128" s="497"/>
      <c r="AM128" s="497"/>
      <c r="AN128" s="497"/>
      <c r="AO128" s="497"/>
      <c r="AP128" s="497"/>
      <c r="AQ128" s="497"/>
      <c r="AR128" s="497"/>
      <c r="AS128" s="497"/>
      <c r="AT128" s="497"/>
      <c r="AU128" s="497"/>
      <c r="AV128" s="497"/>
      <c r="AW128" s="497"/>
      <c r="AX128" s="497"/>
      <c r="AY128" s="497"/>
      <c r="AZ128" s="497"/>
      <c r="BA128" s="497"/>
      <c r="BB128" s="497"/>
      <c r="BC128" s="497"/>
      <c r="BD128" s="497"/>
      <c r="BE128" s="497"/>
      <c r="BF128" s="497"/>
      <c r="BG128" s="497"/>
      <c r="BH128" s="497"/>
      <c r="BI128" s="497"/>
      <c r="BJ128" s="497"/>
      <c r="BK128" s="497"/>
      <c r="BL128" s="497"/>
      <c r="BM128" s="497"/>
      <c r="BN128" s="497"/>
      <c r="BO128" s="497"/>
      <c r="BP128" s="497"/>
      <c r="BQ128" s="497"/>
      <c r="BR128" s="497"/>
      <c r="BS128" s="497"/>
      <c r="BT128" s="497"/>
      <c r="BU128" s="497"/>
      <c r="BV128" s="497"/>
      <c r="BW128" s="497"/>
      <c r="BX128" s="497"/>
      <c r="BY128" s="497"/>
      <c r="BZ128" s="497"/>
      <c r="CA128" s="497"/>
      <c r="CB128" s="497"/>
      <c r="CC128" s="497"/>
      <c r="CD128" s="497"/>
      <c r="CE128" s="497"/>
    </row>
    <row r="129" spans="1:83" x14ac:dyDescent="0.25">
      <c r="A129" s="635">
        <v>368</v>
      </c>
      <c r="B129" s="752">
        <v>368</v>
      </c>
      <c r="C129" s="635" t="s">
        <v>265</v>
      </c>
      <c r="D129" s="635" t="s">
        <v>511</v>
      </c>
      <c r="E129" s="497">
        <v>0</v>
      </c>
      <c r="F129" s="497">
        <v>0</v>
      </c>
      <c r="G129" s="497">
        <v>0</v>
      </c>
      <c r="H129" s="497">
        <v>0</v>
      </c>
      <c r="I129" s="497">
        <v>0</v>
      </c>
      <c r="J129" s="497">
        <v>0</v>
      </c>
      <c r="K129" s="497">
        <v>0</v>
      </c>
      <c r="L129" s="497">
        <v>0</v>
      </c>
      <c r="M129" s="497">
        <v>0</v>
      </c>
      <c r="N129" s="497">
        <v>506531</v>
      </c>
      <c r="O129" s="497">
        <v>0</v>
      </c>
      <c r="P129" s="497">
        <v>0</v>
      </c>
      <c r="Q129" s="497">
        <v>0</v>
      </c>
      <c r="R129" s="497">
        <v>0</v>
      </c>
      <c r="S129" s="497">
        <v>0</v>
      </c>
      <c r="T129" s="497">
        <v>0</v>
      </c>
      <c r="U129" s="497">
        <v>0</v>
      </c>
      <c r="V129" s="497">
        <v>0</v>
      </c>
      <c r="W129" s="497">
        <v>0</v>
      </c>
      <c r="X129" s="497">
        <v>3660</v>
      </c>
      <c r="Y129" s="497">
        <v>0</v>
      </c>
      <c r="Z129" s="497">
        <v>0</v>
      </c>
      <c r="AA129" s="497">
        <v>0</v>
      </c>
      <c r="AB129" s="497">
        <v>0</v>
      </c>
      <c r="AC129" s="497">
        <v>0</v>
      </c>
      <c r="AD129" s="497">
        <v>0</v>
      </c>
      <c r="AE129" s="497">
        <v>0</v>
      </c>
      <c r="AF129" s="497">
        <v>0</v>
      </c>
      <c r="AG129" s="497">
        <v>0</v>
      </c>
      <c r="AH129" s="497">
        <v>0</v>
      </c>
      <c r="AI129" s="497">
        <v>0</v>
      </c>
      <c r="AJ129" s="497">
        <v>0</v>
      </c>
      <c r="AK129" s="497">
        <v>0</v>
      </c>
      <c r="AL129" s="497">
        <v>0</v>
      </c>
      <c r="AM129" s="497">
        <v>0</v>
      </c>
      <c r="AN129" s="497">
        <v>0</v>
      </c>
      <c r="AO129" s="497">
        <v>35720</v>
      </c>
      <c r="AP129" s="497">
        <v>0</v>
      </c>
      <c r="AQ129" s="497">
        <v>0</v>
      </c>
      <c r="AR129" s="497">
        <v>0</v>
      </c>
      <c r="AS129" s="497">
        <v>0</v>
      </c>
      <c r="AT129" s="497">
        <v>0</v>
      </c>
      <c r="AU129" s="497">
        <v>0</v>
      </c>
      <c r="AV129" s="497">
        <v>1455326</v>
      </c>
      <c r="AW129" s="497">
        <v>0</v>
      </c>
      <c r="AX129" s="497">
        <v>0</v>
      </c>
      <c r="AY129" s="497">
        <v>0</v>
      </c>
      <c r="AZ129" s="497">
        <v>0</v>
      </c>
      <c r="BA129" s="497">
        <v>0</v>
      </c>
      <c r="BB129" s="497">
        <v>0</v>
      </c>
      <c r="BC129" s="497">
        <v>0</v>
      </c>
      <c r="BD129" s="497">
        <v>0</v>
      </c>
      <c r="BE129" s="497">
        <v>0</v>
      </c>
      <c r="BF129" s="497">
        <v>0</v>
      </c>
      <c r="BG129" s="497">
        <v>162378</v>
      </c>
      <c r="BH129" s="497">
        <v>0</v>
      </c>
      <c r="BI129" s="497">
        <v>0</v>
      </c>
      <c r="BJ129" s="497">
        <v>0</v>
      </c>
      <c r="BK129" s="497">
        <v>0</v>
      </c>
      <c r="BL129" s="497">
        <v>0</v>
      </c>
      <c r="BM129" s="497">
        <v>0</v>
      </c>
      <c r="BN129" s="497">
        <v>0</v>
      </c>
      <c r="BO129" s="497">
        <v>0</v>
      </c>
      <c r="BP129" s="497">
        <v>76648</v>
      </c>
      <c r="BQ129" s="497">
        <v>628395</v>
      </c>
      <c r="BR129" s="497">
        <v>0</v>
      </c>
      <c r="BS129" s="497">
        <v>0</v>
      </c>
      <c r="BT129" s="497">
        <v>1850</v>
      </c>
      <c r="BU129" s="497">
        <v>0</v>
      </c>
      <c r="BV129" s="497">
        <v>0</v>
      </c>
      <c r="BW129" s="497">
        <v>0</v>
      </c>
      <c r="BX129" s="497">
        <v>0</v>
      </c>
      <c r="BY129" s="497">
        <v>0</v>
      </c>
      <c r="BZ129" s="497">
        <v>795237</v>
      </c>
      <c r="CA129" s="497">
        <v>0</v>
      </c>
      <c r="CB129" s="497">
        <v>0</v>
      </c>
      <c r="CC129" s="497">
        <v>0</v>
      </c>
      <c r="CD129" s="497">
        <v>0</v>
      </c>
      <c r="CE129" s="497">
        <v>5819</v>
      </c>
    </row>
    <row r="130" spans="1:83" x14ac:dyDescent="0.25">
      <c r="A130" s="635">
        <v>369</v>
      </c>
      <c r="B130" s="752">
        <v>369</v>
      </c>
      <c r="C130" s="635" t="s">
        <v>270</v>
      </c>
      <c r="D130" s="635" t="s">
        <v>512</v>
      </c>
      <c r="E130" s="497">
        <v>2241067</v>
      </c>
      <c r="F130" s="497">
        <v>1263781</v>
      </c>
      <c r="G130" s="497">
        <v>187386</v>
      </c>
      <c r="H130" s="497">
        <v>383015</v>
      </c>
      <c r="I130" s="497">
        <v>345927</v>
      </c>
      <c r="J130" s="497">
        <v>106082</v>
      </c>
      <c r="K130" s="497">
        <v>27448</v>
      </c>
      <c r="L130" s="497">
        <v>65821</v>
      </c>
      <c r="M130" s="497">
        <v>1815872</v>
      </c>
      <c r="N130" s="497">
        <v>82739049</v>
      </c>
      <c r="O130" s="497">
        <v>659535</v>
      </c>
      <c r="P130" s="497">
        <v>2899766</v>
      </c>
      <c r="Q130" s="497">
        <v>10591</v>
      </c>
      <c r="R130" s="497">
        <v>1875626</v>
      </c>
      <c r="S130" s="497">
        <v>39497</v>
      </c>
      <c r="T130" s="497">
        <v>137093</v>
      </c>
      <c r="U130" s="497">
        <v>660919</v>
      </c>
      <c r="V130" s="497">
        <v>419101</v>
      </c>
      <c r="W130" s="497">
        <v>1653577</v>
      </c>
      <c r="X130" s="497">
        <v>698944</v>
      </c>
      <c r="Y130" s="497">
        <v>388495</v>
      </c>
      <c r="Z130" s="497">
        <v>514910</v>
      </c>
      <c r="AA130" s="497">
        <v>10522154</v>
      </c>
      <c r="AB130" s="497">
        <v>120512</v>
      </c>
      <c r="AC130" s="497">
        <v>275414</v>
      </c>
      <c r="AD130" s="497">
        <v>3443787</v>
      </c>
      <c r="AE130" s="497">
        <v>320439</v>
      </c>
      <c r="AF130" s="497">
        <v>0</v>
      </c>
      <c r="AG130" s="497">
        <v>5524781</v>
      </c>
      <c r="AH130" s="497">
        <v>118350</v>
      </c>
      <c r="AI130" s="497">
        <v>99679</v>
      </c>
      <c r="AJ130" s="497">
        <v>2179433</v>
      </c>
      <c r="AK130" s="497">
        <v>552267</v>
      </c>
      <c r="AL130" s="497">
        <v>43209</v>
      </c>
      <c r="AM130" s="497">
        <v>0</v>
      </c>
      <c r="AN130" s="497">
        <v>28677</v>
      </c>
      <c r="AO130" s="497">
        <v>5909983</v>
      </c>
      <c r="AP130" s="497">
        <v>39785</v>
      </c>
      <c r="AQ130" s="497">
        <v>686540</v>
      </c>
      <c r="AR130" s="497">
        <v>1450800</v>
      </c>
      <c r="AS130" s="497">
        <v>35723</v>
      </c>
      <c r="AT130" s="497">
        <v>146552</v>
      </c>
      <c r="AU130" s="497">
        <v>209077</v>
      </c>
      <c r="AV130" s="497">
        <v>33357828</v>
      </c>
      <c r="AW130" s="497">
        <v>10246347</v>
      </c>
      <c r="AX130" s="497">
        <v>278360</v>
      </c>
      <c r="AY130" s="497">
        <v>151689</v>
      </c>
      <c r="AZ130" s="497">
        <v>75140</v>
      </c>
      <c r="BA130" s="497">
        <v>32653</v>
      </c>
      <c r="BB130" s="497">
        <v>0</v>
      </c>
      <c r="BC130" s="497">
        <v>2463372</v>
      </c>
      <c r="BD130" s="497">
        <v>48350</v>
      </c>
      <c r="BE130" s="497">
        <v>76010</v>
      </c>
      <c r="BF130" s="497">
        <v>18874</v>
      </c>
      <c r="BG130" s="497">
        <v>4757043</v>
      </c>
      <c r="BH130" s="497">
        <v>12807</v>
      </c>
      <c r="BI130" s="497">
        <v>5524247</v>
      </c>
      <c r="BJ130" s="497">
        <v>1181982</v>
      </c>
      <c r="BK130" s="497">
        <v>101908</v>
      </c>
      <c r="BL130" s="497">
        <v>57461</v>
      </c>
      <c r="BM130" s="497">
        <v>4909942</v>
      </c>
      <c r="BN130" s="497">
        <v>5576157</v>
      </c>
      <c r="BO130" s="497">
        <v>791480</v>
      </c>
      <c r="BP130" s="497">
        <v>3129054</v>
      </c>
      <c r="BQ130" s="497">
        <v>36961018</v>
      </c>
      <c r="BR130" s="497">
        <v>162898</v>
      </c>
      <c r="BS130" s="497">
        <v>1024415</v>
      </c>
      <c r="BT130" s="497">
        <v>212833</v>
      </c>
      <c r="BU130" s="497">
        <v>1360099</v>
      </c>
      <c r="BV130" s="497">
        <v>56939</v>
      </c>
      <c r="BW130" s="497">
        <v>193903</v>
      </c>
      <c r="BX130" s="497">
        <v>422180</v>
      </c>
      <c r="BY130" s="497">
        <v>0</v>
      </c>
      <c r="BZ130" s="497">
        <v>10586685</v>
      </c>
      <c r="CA130" s="497">
        <v>84803</v>
      </c>
      <c r="CB130" s="497">
        <v>5449678</v>
      </c>
      <c r="CC130" s="497">
        <v>234252</v>
      </c>
      <c r="CD130" s="497">
        <v>554853</v>
      </c>
      <c r="CE130" s="497">
        <v>8867218</v>
      </c>
    </row>
    <row r="131" spans="1:83" x14ac:dyDescent="0.25">
      <c r="A131" s="635">
        <v>370</v>
      </c>
      <c r="B131" s="752">
        <v>370</v>
      </c>
      <c r="C131" s="635" t="s">
        <v>272</v>
      </c>
      <c r="D131" s="635" t="s">
        <v>513</v>
      </c>
      <c r="E131" s="497">
        <v>27242</v>
      </c>
      <c r="F131" s="497">
        <v>0</v>
      </c>
      <c r="G131" s="497">
        <v>0</v>
      </c>
      <c r="H131" s="497">
        <v>0</v>
      </c>
      <c r="I131" s="497">
        <v>39629</v>
      </c>
      <c r="J131" s="497">
        <v>0</v>
      </c>
      <c r="K131" s="497">
        <v>0</v>
      </c>
      <c r="L131" s="497">
        <v>0</v>
      </c>
      <c r="M131" s="497">
        <v>80021</v>
      </c>
      <c r="N131" s="497">
        <v>11265141</v>
      </c>
      <c r="O131" s="497">
        <v>0</v>
      </c>
      <c r="P131" s="497">
        <v>610528</v>
      </c>
      <c r="Q131" s="497">
        <v>0</v>
      </c>
      <c r="R131" s="497">
        <v>222563</v>
      </c>
      <c r="S131" s="497">
        <v>0</v>
      </c>
      <c r="T131" s="497">
        <v>14778</v>
      </c>
      <c r="U131" s="497">
        <v>79796</v>
      </c>
      <c r="V131" s="497">
        <v>807988</v>
      </c>
      <c r="W131" s="497">
        <v>267546</v>
      </c>
      <c r="X131" s="497">
        <v>168786</v>
      </c>
      <c r="Y131" s="497">
        <v>0</v>
      </c>
      <c r="Z131" s="497">
        <v>114663</v>
      </c>
      <c r="AA131" s="497">
        <v>0</v>
      </c>
      <c r="AB131" s="497">
        <v>0</v>
      </c>
      <c r="AC131" s="497">
        <v>4809</v>
      </c>
      <c r="AD131" s="497">
        <v>3773106</v>
      </c>
      <c r="AE131" s="497">
        <v>103636</v>
      </c>
      <c r="AF131" s="497">
        <v>0</v>
      </c>
      <c r="AG131" s="497">
        <v>4732656</v>
      </c>
      <c r="AH131" s="497">
        <v>0</v>
      </c>
      <c r="AI131" s="497">
        <v>0</v>
      </c>
      <c r="AJ131" s="497">
        <v>280527</v>
      </c>
      <c r="AK131" s="497">
        <v>0</v>
      </c>
      <c r="AL131" s="497">
        <v>0</v>
      </c>
      <c r="AM131" s="497">
        <v>0</v>
      </c>
      <c r="AN131" s="497">
        <v>0</v>
      </c>
      <c r="AO131" s="497">
        <v>0</v>
      </c>
      <c r="AP131" s="497">
        <v>0</v>
      </c>
      <c r="AQ131" s="497">
        <v>87959</v>
      </c>
      <c r="AR131" s="497">
        <v>59166</v>
      </c>
      <c r="AS131" s="497">
        <v>0</v>
      </c>
      <c r="AT131" s="497">
        <v>16924</v>
      </c>
      <c r="AU131" s="497">
        <v>0</v>
      </c>
      <c r="AV131" s="497">
        <v>0</v>
      </c>
      <c r="AW131" s="497">
        <v>0</v>
      </c>
      <c r="AX131" s="497">
        <v>142859</v>
      </c>
      <c r="AY131" s="497">
        <v>0</v>
      </c>
      <c r="AZ131" s="497">
        <v>0</v>
      </c>
      <c r="BA131" s="497">
        <v>2075</v>
      </c>
      <c r="BB131" s="497">
        <v>0</v>
      </c>
      <c r="BC131" s="497">
        <v>134941</v>
      </c>
      <c r="BD131" s="497">
        <v>0</v>
      </c>
      <c r="BE131" s="497">
        <v>0</v>
      </c>
      <c r="BF131" s="497">
        <v>0</v>
      </c>
      <c r="BG131" s="497">
        <v>975053</v>
      </c>
      <c r="BH131" s="497">
        <v>0</v>
      </c>
      <c r="BI131" s="497">
        <v>341379</v>
      </c>
      <c r="BJ131" s="497">
        <v>86943</v>
      </c>
      <c r="BK131" s="497">
        <v>11550</v>
      </c>
      <c r="BL131" s="497">
        <v>0</v>
      </c>
      <c r="BM131" s="497">
        <v>564641</v>
      </c>
      <c r="BN131" s="497">
        <v>860850</v>
      </c>
      <c r="BO131" s="497">
        <v>96401</v>
      </c>
      <c r="BP131" s="497">
        <v>1034050</v>
      </c>
      <c r="BQ131" s="497">
        <v>409098</v>
      </c>
      <c r="BR131" s="497">
        <v>62299</v>
      </c>
      <c r="BS131" s="497">
        <v>66239</v>
      </c>
      <c r="BT131" s="497">
        <v>181922</v>
      </c>
      <c r="BU131" s="497">
        <v>1164783</v>
      </c>
      <c r="BV131" s="497">
        <v>3148</v>
      </c>
      <c r="BW131" s="497">
        <v>0</v>
      </c>
      <c r="BX131" s="497">
        <v>285181</v>
      </c>
      <c r="BY131" s="497">
        <v>0</v>
      </c>
      <c r="BZ131" s="497">
        <v>4539381</v>
      </c>
      <c r="CA131" s="497">
        <v>11414</v>
      </c>
      <c r="CB131" s="497">
        <v>992408</v>
      </c>
      <c r="CC131" s="497">
        <v>140405</v>
      </c>
      <c r="CD131" s="497">
        <v>68059</v>
      </c>
      <c r="CE131" s="497">
        <v>3995299</v>
      </c>
    </row>
    <row r="132" spans="1:83" x14ac:dyDescent="0.25">
      <c r="A132" s="635">
        <v>371</v>
      </c>
      <c r="B132" s="752">
        <v>371</v>
      </c>
      <c r="C132" s="635" t="s">
        <v>327</v>
      </c>
      <c r="D132" s="635" t="s">
        <v>514</v>
      </c>
      <c r="E132" s="497">
        <v>0</v>
      </c>
      <c r="F132" s="497">
        <v>0</v>
      </c>
      <c r="G132" s="497">
        <v>0</v>
      </c>
      <c r="H132" s="497">
        <v>0</v>
      </c>
      <c r="I132" s="497">
        <v>0</v>
      </c>
      <c r="J132" s="497">
        <v>0</v>
      </c>
      <c r="K132" s="497">
        <v>0</v>
      </c>
      <c r="L132" s="497">
        <v>0</v>
      </c>
      <c r="M132" s="497">
        <v>0</v>
      </c>
      <c r="N132" s="497">
        <v>0</v>
      </c>
      <c r="O132" s="497">
        <v>0</v>
      </c>
      <c r="P132" s="497">
        <v>0</v>
      </c>
      <c r="Q132" s="497">
        <v>0</v>
      </c>
      <c r="R132" s="497">
        <v>0</v>
      </c>
      <c r="S132" s="497">
        <v>0</v>
      </c>
      <c r="T132" s="497">
        <v>0</v>
      </c>
      <c r="U132" s="497">
        <v>0</v>
      </c>
      <c r="V132" s="497">
        <v>0</v>
      </c>
      <c r="W132" s="497">
        <v>0</v>
      </c>
      <c r="X132" s="497">
        <v>0</v>
      </c>
      <c r="Y132" s="497">
        <v>0</v>
      </c>
      <c r="Z132" s="497">
        <v>0</v>
      </c>
      <c r="AA132" s="497">
        <v>1494113</v>
      </c>
      <c r="AB132" s="497">
        <v>0</v>
      </c>
      <c r="AC132" s="497">
        <v>0</v>
      </c>
      <c r="AD132" s="497">
        <v>0</v>
      </c>
      <c r="AE132" s="497">
        <v>0</v>
      </c>
      <c r="AF132" s="497">
        <v>0</v>
      </c>
      <c r="AG132" s="497">
        <v>0</v>
      </c>
      <c r="AH132" s="497">
        <v>0</v>
      </c>
      <c r="AI132" s="497">
        <v>0</v>
      </c>
      <c r="AJ132" s="497">
        <v>0</v>
      </c>
      <c r="AK132" s="497">
        <v>0</v>
      </c>
      <c r="AL132" s="497">
        <v>0</v>
      </c>
      <c r="AM132" s="497">
        <v>0</v>
      </c>
      <c r="AN132" s="497">
        <v>0</v>
      </c>
      <c r="AO132" s="497">
        <v>0</v>
      </c>
      <c r="AP132" s="497">
        <v>0</v>
      </c>
      <c r="AQ132" s="497">
        <v>0</v>
      </c>
      <c r="AR132" s="497">
        <v>0</v>
      </c>
      <c r="AS132" s="497">
        <v>0</v>
      </c>
      <c r="AT132" s="497">
        <v>0</v>
      </c>
      <c r="AU132" s="497">
        <v>0</v>
      </c>
      <c r="AV132" s="497">
        <v>23405610</v>
      </c>
      <c r="AW132" s="497">
        <v>4687002</v>
      </c>
      <c r="AX132" s="497">
        <v>0</v>
      </c>
      <c r="AY132" s="497">
        <v>0</v>
      </c>
      <c r="AZ132" s="497">
        <v>0</v>
      </c>
      <c r="BA132" s="497">
        <v>0</v>
      </c>
      <c r="BB132" s="497">
        <v>0</v>
      </c>
      <c r="BC132" s="497">
        <v>0</v>
      </c>
      <c r="BD132" s="497">
        <v>0</v>
      </c>
      <c r="BE132" s="497">
        <v>0</v>
      </c>
      <c r="BF132" s="497">
        <v>0</v>
      </c>
      <c r="BG132" s="497">
        <v>0</v>
      </c>
      <c r="BH132" s="497">
        <v>0</v>
      </c>
      <c r="BI132" s="497">
        <v>0</v>
      </c>
      <c r="BJ132" s="497">
        <v>0</v>
      </c>
      <c r="BK132" s="497">
        <v>0</v>
      </c>
      <c r="BL132" s="497">
        <v>0</v>
      </c>
      <c r="BM132" s="497">
        <v>0</v>
      </c>
      <c r="BN132" s="497">
        <v>0</v>
      </c>
      <c r="BO132" s="497">
        <v>0</v>
      </c>
      <c r="BP132" s="497">
        <v>0</v>
      </c>
      <c r="BQ132" s="497">
        <v>793000</v>
      </c>
      <c r="BR132" s="497">
        <v>0</v>
      </c>
      <c r="BS132" s="497">
        <v>0</v>
      </c>
      <c r="BT132" s="497">
        <v>0</v>
      </c>
      <c r="BU132" s="497">
        <v>0</v>
      </c>
      <c r="BV132" s="497">
        <v>0</v>
      </c>
      <c r="BW132" s="497">
        <v>0</v>
      </c>
      <c r="BX132" s="497">
        <v>0</v>
      </c>
      <c r="BY132" s="497">
        <v>0</v>
      </c>
      <c r="BZ132" s="497">
        <v>0</v>
      </c>
      <c r="CA132" s="497">
        <v>0</v>
      </c>
      <c r="CB132" s="497">
        <v>0</v>
      </c>
      <c r="CC132" s="497">
        <v>0</v>
      </c>
      <c r="CD132" s="497">
        <v>0</v>
      </c>
      <c r="CE132" s="497">
        <v>0</v>
      </c>
    </row>
    <row r="133" spans="1:83" x14ac:dyDescent="0.25">
      <c r="A133" s="635">
        <v>373</v>
      </c>
      <c r="B133" s="752">
        <v>373</v>
      </c>
      <c r="C133" s="635" t="s">
        <v>641</v>
      </c>
      <c r="D133" s="635" t="s">
        <v>515</v>
      </c>
      <c r="E133" s="497">
        <v>537431</v>
      </c>
      <c r="F133" s="497">
        <v>3355466</v>
      </c>
      <c r="G133" s="497">
        <v>214943</v>
      </c>
      <c r="H133" s="497">
        <v>549788</v>
      </c>
      <c r="I133" s="497">
        <v>946050</v>
      </c>
      <c r="J133" s="497">
        <v>368854</v>
      </c>
      <c r="K133" s="497">
        <v>77810</v>
      </c>
      <c r="L133" s="497">
        <v>67045</v>
      </c>
      <c r="M133" s="497">
        <v>5813889</v>
      </c>
      <c r="N133" s="497">
        <v>397528881</v>
      </c>
      <c r="O133" s="497">
        <v>1095647</v>
      </c>
      <c r="P133" s="497">
        <v>3101140</v>
      </c>
      <c r="Q133" s="497">
        <v>55925</v>
      </c>
      <c r="R133" s="497">
        <v>12581234</v>
      </c>
      <c r="S133" s="497">
        <v>70402</v>
      </c>
      <c r="T133" s="497">
        <v>384625</v>
      </c>
      <c r="U133" s="497">
        <v>1717890</v>
      </c>
      <c r="V133" s="497">
        <v>433216</v>
      </c>
      <c r="W133" s="497">
        <v>6637060</v>
      </c>
      <c r="X133" s="497">
        <v>1213310</v>
      </c>
      <c r="Y133" s="497">
        <v>571662</v>
      </c>
      <c r="Z133" s="497">
        <v>1454598</v>
      </c>
      <c r="AA133" s="497">
        <v>29752635</v>
      </c>
      <c r="AB133" s="497">
        <v>362810</v>
      </c>
      <c r="AC133" s="497">
        <v>579733</v>
      </c>
      <c r="AD133" s="497">
        <v>81349799</v>
      </c>
      <c r="AE133" s="497">
        <v>943258</v>
      </c>
      <c r="AF133" s="497">
        <v>0</v>
      </c>
      <c r="AG133" s="497">
        <v>301383367</v>
      </c>
      <c r="AH133" s="497">
        <v>410923</v>
      </c>
      <c r="AI133" s="497">
        <v>272554</v>
      </c>
      <c r="AJ133" s="497">
        <v>6100316</v>
      </c>
      <c r="AK133" s="497">
        <v>1230091</v>
      </c>
      <c r="AL133" s="497">
        <v>85530</v>
      </c>
      <c r="AM133" s="497">
        <v>0</v>
      </c>
      <c r="AN133" s="497">
        <v>418876</v>
      </c>
      <c r="AO133" s="497">
        <v>13305283</v>
      </c>
      <c r="AP133" s="497">
        <v>0</v>
      </c>
      <c r="AQ133" s="497">
        <v>3268701</v>
      </c>
      <c r="AR133" s="497">
        <v>2559374</v>
      </c>
      <c r="AS133" s="497">
        <v>218565</v>
      </c>
      <c r="AT133" s="497">
        <v>1697842</v>
      </c>
      <c r="AU133" s="497">
        <v>394585</v>
      </c>
      <c r="AV133" s="497">
        <v>404259056</v>
      </c>
      <c r="AW133" s="497">
        <v>95494104</v>
      </c>
      <c r="AX133" s="497">
        <v>6880934</v>
      </c>
      <c r="AY133" s="497">
        <v>330884</v>
      </c>
      <c r="AZ133" s="497">
        <v>397151</v>
      </c>
      <c r="BA133" s="497">
        <v>116854</v>
      </c>
      <c r="BB133" s="497">
        <v>0</v>
      </c>
      <c r="BC133" s="497">
        <v>13307432</v>
      </c>
      <c r="BD133" s="497">
        <v>287409</v>
      </c>
      <c r="BE133" s="497">
        <v>286687</v>
      </c>
      <c r="BF133" s="497">
        <v>45944</v>
      </c>
      <c r="BG133" s="497">
        <v>7103874</v>
      </c>
      <c r="BH133" s="497">
        <v>53485</v>
      </c>
      <c r="BI133" s="497">
        <v>10629132</v>
      </c>
      <c r="BJ133" s="497">
        <v>3366731</v>
      </c>
      <c r="BK133" s="497">
        <v>722043</v>
      </c>
      <c r="BL133" s="497">
        <v>186326</v>
      </c>
      <c r="BM133" s="497">
        <v>26002246</v>
      </c>
      <c r="BN133" s="497">
        <v>22279426</v>
      </c>
      <c r="BO133" s="497">
        <v>2984690</v>
      </c>
      <c r="BP133" s="497">
        <v>101502175</v>
      </c>
      <c r="BQ133" s="497">
        <v>550020405</v>
      </c>
      <c r="BR133" s="497">
        <v>569265</v>
      </c>
      <c r="BS133" s="497">
        <v>9974321</v>
      </c>
      <c r="BT133" s="497">
        <v>1414331</v>
      </c>
      <c r="BU133" s="497">
        <v>7484674</v>
      </c>
      <c r="BV133" s="497">
        <v>830103</v>
      </c>
      <c r="BW133" s="497">
        <v>702215</v>
      </c>
      <c r="BX133" s="497">
        <v>1704810</v>
      </c>
      <c r="BY133" s="497">
        <v>0</v>
      </c>
      <c r="BZ133" s="497">
        <v>39246439</v>
      </c>
      <c r="CA133" s="497">
        <v>846847</v>
      </c>
      <c r="CB133" s="497">
        <v>13880240</v>
      </c>
      <c r="CC133" s="497">
        <v>805874</v>
      </c>
      <c r="CD133" s="497">
        <v>3000978</v>
      </c>
      <c r="CE133" s="497">
        <v>53778569</v>
      </c>
    </row>
    <row r="134" spans="1:83" x14ac:dyDescent="0.25">
      <c r="A134" s="635">
        <v>375</v>
      </c>
      <c r="B134" s="752">
        <v>375</v>
      </c>
      <c r="C134" s="635" t="s">
        <v>287</v>
      </c>
      <c r="D134" s="635" t="s">
        <v>516</v>
      </c>
      <c r="E134" s="497">
        <v>177037</v>
      </c>
      <c r="F134" s="497">
        <v>-220441</v>
      </c>
      <c r="G134" s="497">
        <v>0</v>
      </c>
      <c r="H134" s="497">
        <v>543569</v>
      </c>
      <c r="I134" s="497">
        <v>497416</v>
      </c>
      <c r="J134" s="497">
        <v>110037</v>
      </c>
      <c r="K134" s="497">
        <v>0</v>
      </c>
      <c r="L134" s="497">
        <v>237910</v>
      </c>
      <c r="M134" s="497">
        <v>3409130</v>
      </c>
      <c r="N134" s="497">
        <v>0</v>
      </c>
      <c r="O134" s="497">
        <v>0</v>
      </c>
      <c r="P134" s="497">
        <v>0</v>
      </c>
      <c r="Q134" s="497">
        <v>12574</v>
      </c>
      <c r="R134" s="497">
        <v>2512832</v>
      </c>
      <c r="S134" s="497">
        <v>0</v>
      </c>
      <c r="T134" s="497">
        <v>208066</v>
      </c>
      <c r="U134" s="497">
        <v>1026924</v>
      </c>
      <c r="V134" s="497">
        <v>533908</v>
      </c>
      <c r="W134" s="497">
        <v>4820922</v>
      </c>
      <c r="X134" s="497">
        <v>0</v>
      </c>
      <c r="Y134" s="497">
        <v>387378</v>
      </c>
      <c r="Z134" s="497">
        <v>-365866</v>
      </c>
      <c r="AA134" s="497">
        <v>20800317</v>
      </c>
      <c r="AB134" s="497">
        <v>15647</v>
      </c>
      <c r="AC134" s="497">
        <v>467026</v>
      </c>
      <c r="AD134" s="497">
        <v>0</v>
      </c>
      <c r="AE134" s="497">
        <v>0</v>
      </c>
      <c r="AF134" s="497">
        <v>0</v>
      </c>
      <c r="AG134" s="497">
        <v>17124739</v>
      </c>
      <c r="AH134" s="497">
        <v>704</v>
      </c>
      <c r="AI134" s="497">
        <v>887670</v>
      </c>
      <c r="AJ134" s="497">
        <v>1643592</v>
      </c>
      <c r="AK134" s="497">
        <v>94170</v>
      </c>
      <c r="AL134" s="497">
        <v>4626</v>
      </c>
      <c r="AM134" s="497">
        <v>0</v>
      </c>
      <c r="AN134" s="497">
        <v>257904</v>
      </c>
      <c r="AO134" s="497">
        <v>12268195</v>
      </c>
      <c r="AP134" s="497">
        <v>0</v>
      </c>
      <c r="AQ134" s="497">
        <v>2616508</v>
      </c>
      <c r="AR134" s="497">
        <v>0</v>
      </c>
      <c r="AS134" s="497">
        <v>0</v>
      </c>
      <c r="AT134" s="497">
        <v>1530134</v>
      </c>
      <c r="AU134" s="497">
        <v>150039</v>
      </c>
      <c r="AV134" s="497">
        <v>39057716</v>
      </c>
      <c r="AW134" s="497">
        <v>17606223</v>
      </c>
      <c r="AX134" s="497">
        <v>522900</v>
      </c>
      <c r="AY134" s="497">
        <v>102714</v>
      </c>
      <c r="AZ134" s="497">
        <v>197116</v>
      </c>
      <c r="BA134" s="497">
        <v>68076</v>
      </c>
      <c r="BB134" s="497">
        <v>0</v>
      </c>
      <c r="BC134" s="497">
        <v>1045805</v>
      </c>
      <c r="BD134" s="497">
        <v>507664</v>
      </c>
      <c r="BE134" s="497">
        <v>0</v>
      </c>
      <c r="BF134" s="497">
        <v>142674</v>
      </c>
      <c r="BG134" s="497">
        <v>9060864</v>
      </c>
      <c r="BH134" s="497">
        <v>0</v>
      </c>
      <c r="BI134" s="497">
        <v>9073617</v>
      </c>
      <c r="BJ134" s="497">
        <v>694275</v>
      </c>
      <c r="BK134" s="497">
        <v>0</v>
      </c>
      <c r="BL134" s="497">
        <v>0</v>
      </c>
      <c r="BM134" s="497">
        <v>24289035</v>
      </c>
      <c r="BN134" s="497">
        <v>13196690</v>
      </c>
      <c r="BO134" s="497">
        <v>906163</v>
      </c>
      <c r="BP134" s="497">
        <v>33554579</v>
      </c>
      <c r="BQ134" s="497">
        <v>47242190</v>
      </c>
      <c r="BR134" s="497">
        <v>163817</v>
      </c>
      <c r="BS134" s="497">
        <v>1700615</v>
      </c>
      <c r="BT134" s="497">
        <v>0</v>
      </c>
      <c r="BU134" s="497">
        <v>10849705</v>
      </c>
      <c r="BV134" s="497">
        <v>269920</v>
      </c>
      <c r="BW134" s="497">
        <v>0</v>
      </c>
      <c r="BX134" s="497">
        <v>3488566</v>
      </c>
      <c r="BY134" s="497">
        <v>0</v>
      </c>
      <c r="BZ134" s="497">
        <v>41385395</v>
      </c>
      <c r="CA134" s="497">
        <v>532646</v>
      </c>
      <c r="CB134" s="497">
        <v>0</v>
      </c>
      <c r="CC134" s="497">
        <v>118465</v>
      </c>
      <c r="CD134" s="497">
        <v>0</v>
      </c>
      <c r="CE134" s="497">
        <v>0</v>
      </c>
    </row>
    <row r="135" spans="1:83" x14ac:dyDescent="0.25">
      <c r="A135" s="635">
        <v>376</v>
      </c>
      <c r="B135" s="752">
        <v>376</v>
      </c>
      <c r="C135" s="635" t="s">
        <v>115</v>
      </c>
      <c r="D135" s="635" t="s">
        <v>517</v>
      </c>
      <c r="E135" s="497">
        <v>0</v>
      </c>
      <c r="F135" s="497">
        <v>476036</v>
      </c>
      <c r="G135" s="497">
        <v>0</v>
      </c>
      <c r="H135" s="497">
        <v>0</v>
      </c>
      <c r="I135" s="497">
        <v>0</v>
      </c>
      <c r="J135" s="497">
        <v>0</v>
      </c>
      <c r="K135" s="497">
        <v>0</v>
      </c>
      <c r="L135" s="497">
        <v>0</v>
      </c>
      <c r="M135" s="497">
        <v>0</v>
      </c>
      <c r="N135" s="497">
        <v>0</v>
      </c>
      <c r="O135" s="497">
        <v>0</v>
      </c>
      <c r="P135" s="497">
        <v>0</v>
      </c>
      <c r="Q135" s="497">
        <v>0</v>
      </c>
      <c r="R135" s="497">
        <v>154658</v>
      </c>
      <c r="S135" s="497">
        <v>0</v>
      </c>
      <c r="T135" s="497">
        <v>0</v>
      </c>
      <c r="U135" s="497">
        <v>0</v>
      </c>
      <c r="V135" s="497">
        <v>0</v>
      </c>
      <c r="W135" s="497">
        <v>0</v>
      </c>
      <c r="X135" s="497">
        <v>0</v>
      </c>
      <c r="Y135" s="497">
        <v>-46255</v>
      </c>
      <c r="Z135" s="497">
        <v>343454</v>
      </c>
      <c r="AA135" s="497">
        <v>0</v>
      </c>
      <c r="AB135" s="497">
        <v>0</v>
      </c>
      <c r="AC135" s="497">
        <v>0</v>
      </c>
      <c r="AD135" s="497">
        <v>0</v>
      </c>
      <c r="AE135" s="497">
        <v>3</v>
      </c>
      <c r="AF135" s="497">
        <v>0</v>
      </c>
      <c r="AG135" s="497">
        <v>0</v>
      </c>
      <c r="AH135" s="497">
        <v>0</v>
      </c>
      <c r="AI135" s="497">
        <v>514</v>
      </c>
      <c r="AJ135" s="497">
        <v>0</v>
      </c>
      <c r="AK135" s="497">
        <v>-1</v>
      </c>
      <c r="AL135" s="497">
        <v>0</v>
      </c>
      <c r="AM135" s="497">
        <v>0</v>
      </c>
      <c r="AN135" s="497">
        <v>0</v>
      </c>
      <c r="AO135" s="497">
        <v>0</v>
      </c>
      <c r="AP135" s="497">
        <v>0</v>
      </c>
      <c r="AQ135" s="497">
        <v>0</v>
      </c>
      <c r="AR135" s="497">
        <v>402956</v>
      </c>
      <c r="AS135" s="497">
        <v>0</v>
      </c>
      <c r="AT135" s="497">
        <v>0</v>
      </c>
      <c r="AU135" s="497">
        <v>0</v>
      </c>
      <c r="AV135" s="497">
        <v>0</v>
      </c>
      <c r="AW135" s="497">
        <v>0</v>
      </c>
      <c r="AX135" s="497">
        <v>0</v>
      </c>
      <c r="AY135" s="497">
        <v>0</v>
      </c>
      <c r="AZ135" s="497">
        <v>0</v>
      </c>
      <c r="BA135" s="497">
        <v>0</v>
      </c>
      <c r="BB135" s="497">
        <v>0</v>
      </c>
      <c r="BC135" s="497">
        <v>0</v>
      </c>
      <c r="BD135" s="497">
        <v>0</v>
      </c>
      <c r="BE135" s="497">
        <v>0</v>
      </c>
      <c r="BF135" s="497">
        <v>-1</v>
      </c>
      <c r="BG135" s="497">
        <v>0</v>
      </c>
      <c r="BH135" s="497">
        <v>104827</v>
      </c>
      <c r="BI135" s="497">
        <v>0</v>
      </c>
      <c r="BJ135" s="497">
        <v>0</v>
      </c>
      <c r="BK135" s="497">
        <v>54522</v>
      </c>
      <c r="BL135" s="497">
        <v>0</v>
      </c>
      <c r="BM135" s="497">
        <v>0</v>
      </c>
      <c r="BN135" s="497">
        <v>0</v>
      </c>
      <c r="BO135" s="497">
        <v>0</v>
      </c>
      <c r="BP135" s="497">
        <v>0</v>
      </c>
      <c r="BQ135" s="497">
        <v>0</v>
      </c>
      <c r="BR135" s="497">
        <v>0</v>
      </c>
      <c r="BS135" s="497">
        <v>0</v>
      </c>
      <c r="BT135" s="497">
        <v>0</v>
      </c>
      <c r="BU135" s="497">
        <v>0</v>
      </c>
      <c r="BV135" s="497">
        <v>0</v>
      </c>
      <c r="BW135" s="497">
        <v>0</v>
      </c>
      <c r="BX135" s="497">
        <v>594428</v>
      </c>
      <c r="BY135" s="497">
        <v>0</v>
      </c>
      <c r="BZ135" s="497">
        <v>0</v>
      </c>
      <c r="CA135" s="497">
        <v>-1647</v>
      </c>
      <c r="CB135" s="497">
        <v>0</v>
      </c>
      <c r="CC135" s="497">
        <v>0</v>
      </c>
      <c r="CD135" s="497">
        <v>0</v>
      </c>
      <c r="CE135" s="497">
        <v>0</v>
      </c>
    </row>
    <row r="136" spans="1:83" x14ac:dyDescent="0.25">
      <c r="A136" s="635">
        <v>377</v>
      </c>
      <c r="B136" s="752">
        <v>377</v>
      </c>
      <c r="C136" s="635" t="s">
        <v>116</v>
      </c>
      <c r="D136" s="635" t="s">
        <v>518</v>
      </c>
      <c r="E136" s="497">
        <v>0</v>
      </c>
      <c r="F136" s="497">
        <v>-476036</v>
      </c>
      <c r="G136" s="497">
        <v>0</v>
      </c>
      <c r="H136" s="497">
        <v>0</v>
      </c>
      <c r="I136" s="497">
        <v>0</v>
      </c>
      <c r="J136" s="497">
        <v>0</v>
      </c>
      <c r="K136" s="497">
        <v>0</v>
      </c>
      <c r="L136" s="497">
        <v>0</v>
      </c>
      <c r="M136" s="497">
        <v>0</v>
      </c>
      <c r="N136" s="497">
        <v>0</v>
      </c>
      <c r="O136" s="497">
        <v>0</v>
      </c>
      <c r="P136" s="497">
        <v>0</v>
      </c>
      <c r="Q136" s="497">
        <v>0</v>
      </c>
      <c r="R136" s="497">
        <v>101174</v>
      </c>
      <c r="S136" s="497">
        <v>0</v>
      </c>
      <c r="T136" s="497">
        <v>0</v>
      </c>
      <c r="U136" s="497">
        <v>0</v>
      </c>
      <c r="V136" s="497">
        <v>0</v>
      </c>
      <c r="W136" s="497">
        <v>0</v>
      </c>
      <c r="X136" s="497">
        <v>0</v>
      </c>
      <c r="Y136" s="497">
        <v>0</v>
      </c>
      <c r="Z136" s="497">
        <v>49569</v>
      </c>
      <c r="AA136" s="497">
        <v>0</v>
      </c>
      <c r="AB136" s="497">
        <v>0</v>
      </c>
      <c r="AC136" s="497">
        <v>0</v>
      </c>
      <c r="AD136" s="497">
        <v>0</v>
      </c>
      <c r="AE136" s="497">
        <v>0</v>
      </c>
      <c r="AF136" s="497">
        <v>0</v>
      </c>
      <c r="AG136" s="497">
        <v>0</v>
      </c>
      <c r="AH136" s="497">
        <v>0</v>
      </c>
      <c r="AI136" s="497">
        <v>301</v>
      </c>
      <c r="AJ136" s="497">
        <v>0</v>
      </c>
      <c r="AK136" s="497">
        <v>0</v>
      </c>
      <c r="AL136" s="497">
        <v>0</v>
      </c>
      <c r="AM136" s="497">
        <v>0</v>
      </c>
      <c r="AN136" s="497">
        <v>0</v>
      </c>
      <c r="AO136" s="497">
        <v>0</v>
      </c>
      <c r="AP136" s="497">
        <v>0</v>
      </c>
      <c r="AQ136" s="497">
        <v>0</v>
      </c>
      <c r="AR136" s="497">
        <v>0</v>
      </c>
      <c r="AS136" s="497">
        <v>0</v>
      </c>
      <c r="AT136" s="497">
        <v>-1</v>
      </c>
      <c r="AU136" s="497">
        <v>0</v>
      </c>
      <c r="AV136" s="497">
        <v>0</v>
      </c>
      <c r="AW136" s="497">
        <v>0</v>
      </c>
      <c r="AX136" s="497">
        <v>-54960</v>
      </c>
      <c r="AY136" s="497">
        <v>0</v>
      </c>
      <c r="AZ136" s="497">
        <v>0</v>
      </c>
      <c r="BA136" s="497">
        <v>0</v>
      </c>
      <c r="BB136" s="497">
        <v>0</v>
      </c>
      <c r="BC136" s="497">
        <v>0</v>
      </c>
      <c r="BD136" s="497">
        <v>-2</v>
      </c>
      <c r="BE136" s="497">
        <v>0</v>
      </c>
      <c r="BF136" s="497">
        <v>0</v>
      </c>
      <c r="BG136" s="497">
        <v>0</v>
      </c>
      <c r="BH136" s="497">
        <v>0</v>
      </c>
      <c r="BI136" s="497">
        <v>0</v>
      </c>
      <c r="BJ136" s="497">
        <v>0</v>
      </c>
      <c r="BK136" s="497">
        <v>0</v>
      </c>
      <c r="BL136" s="497">
        <v>0</v>
      </c>
      <c r="BM136" s="497">
        <v>0</v>
      </c>
      <c r="BN136" s="497">
        <v>0</v>
      </c>
      <c r="BO136" s="497">
        <v>0</v>
      </c>
      <c r="BP136" s="497">
        <v>0</v>
      </c>
      <c r="BQ136" s="497">
        <v>0</v>
      </c>
      <c r="BR136" s="497">
        <v>0</v>
      </c>
      <c r="BS136" s="497">
        <v>0</v>
      </c>
      <c r="BT136" s="497">
        <v>0</v>
      </c>
      <c r="BU136" s="497">
        <v>0</v>
      </c>
      <c r="BV136" s="497">
        <v>0</v>
      </c>
      <c r="BW136" s="497">
        <v>0</v>
      </c>
      <c r="BX136" s="497">
        <v>-501626</v>
      </c>
      <c r="BY136" s="497">
        <v>0</v>
      </c>
      <c r="BZ136" s="497">
        <v>0</v>
      </c>
      <c r="CA136" s="497">
        <v>65456</v>
      </c>
      <c r="CB136" s="497">
        <v>0</v>
      </c>
      <c r="CC136" s="497">
        <v>-1</v>
      </c>
      <c r="CD136" s="497">
        <v>0</v>
      </c>
      <c r="CE136" s="497">
        <v>0</v>
      </c>
    </row>
    <row r="137" spans="1:83" x14ac:dyDescent="0.25">
      <c r="A137" s="635">
        <v>378</v>
      </c>
      <c r="B137" s="752">
        <v>378</v>
      </c>
      <c r="C137" s="635" t="s">
        <v>117</v>
      </c>
      <c r="D137" s="635" t="s">
        <v>519</v>
      </c>
      <c r="E137" s="497">
        <v>0</v>
      </c>
      <c r="F137" s="497">
        <v>0</v>
      </c>
      <c r="G137" s="497">
        <v>0</v>
      </c>
      <c r="H137" s="497">
        <v>0</v>
      </c>
      <c r="I137" s="497">
        <v>0</v>
      </c>
      <c r="J137" s="497">
        <v>0</v>
      </c>
      <c r="K137" s="497">
        <v>0</v>
      </c>
      <c r="L137" s="497">
        <v>0</v>
      </c>
      <c r="M137" s="497">
        <v>0</v>
      </c>
      <c r="N137" s="497">
        <v>0</v>
      </c>
      <c r="O137" s="497">
        <v>0</v>
      </c>
      <c r="P137" s="497">
        <v>0</v>
      </c>
      <c r="Q137" s="497">
        <v>0</v>
      </c>
      <c r="R137" s="497">
        <v>0</v>
      </c>
      <c r="S137" s="497">
        <v>0</v>
      </c>
      <c r="T137" s="497">
        <v>0</v>
      </c>
      <c r="U137" s="497">
        <v>0</v>
      </c>
      <c r="V137" s="497">
        <v>0</v>
      </c>
      <c r="W137" s="497">
        <v>0</v>
      </c>
      <c r="X137" s="497">
        <v>0</v>
      </c>
      <c r="Y137" s="497">
        <v>0</v>
      </c>
      <c r="Z137" s="497">
        <v>127525</v>
      </c>
      <c r="AA137" s="497">
        <v>0</v>
      </c>
      <c r="AB137" s="497">
        <v>0</v>
      </c>
      <c r="AC137" s="497">
        <v>0</v>
      </c>
      <c r="AD137" s="497">
        <v>0</v>
      </c>
      <c r="AE137" s="497">
        <v>0</v>
      </c>
      <c r="AF137" s="497">
        <v>0</v>
      </c>
      <c r="AG137" s="497">
        <v>0</v>
      </c>
      <c r="AH137" s="497">
        <v>0</v>
      </c>
      <c r="AI137" s="497">
        <v>0</v>
      </c>
      <c r="AJ137" s="497">
        <v>0</v>
      </c>
      <c r="AK137" s="497">
        <v>0</v>
      </c>
      <c r="AL137" s="497">
        <v>0</v>
      </c>
      <c r="AM137" s="497">
        <v>0</v>
      </c>
      <c r="AN137" s="497">
        <v>0</v>
      </c>
      <c r="AO137" s="497">
        <v>0</v>
      </c>
      <c r="AP137" s="497">
        <v>0</v>
      </c>
      <c r="AQ137" s="497">
        <v>0</v>
      </c>
      <c r="AR137" s="497">
        <v>0</v>
      </c>
      <c r="AS137" s="497">
        <v>0</v>
      </c>
      <c r="AT137" s="497">
        <v>0</v>
      </c>
      <c r="AU137" s="497">
        <v>0</v>
      </c>
      <c r="AV137" s="497">
        <v>0</v>
      </c>
      <c r="AW137" s="497">
        <v>0</v>
      </c>
      <c r="AX137" s="497">
        <v>0</v>
      </c>
      <c r="AY137" s="497">
        <v>0</v>
      </c>
      <c r="AZ137" s="497">
        <v>0</v>
      </c>
      <c r="BA137" s="497">
        <v>0</v>
      </c>
      <c r="BB137" s="497">
        <v>0</v>
      </c>
      <c r="BC137" s="497">
        <v>0</v>
      </c>
      <c r="BD137" s="497">
        <v>0</v>
      </c>
      <c r="BE137" s="497">
        <v>0</v>
      </c>
      <c r="BF137" s="497">
        <v>0</v>
      </c>
      <c r="BG137" s="497">
        <v>0</v>
      </c>
      <c r="BH137" s="497">
        <v>0</v>
      </c>
      <c r="BI137" s="497">
        <v>0</v>
      </c>
      <c r="BJ137" s="497">
        <v>0</v>
      </c>
      <c r="BK137" s="497">
        <v>0</v>
      </c>
      <c r="BL137" s="497">
        <v>0</v>
      </c>
      <c r="BM137" s="497">
        <v>0</v>
      </c>
      <c r="BN137" s="497">
        <v>0</v>
      </c>
      <c r="BO137" s="497">
        <v>0</v>
      </c>
      <c r="BP137" s="497">
        <v>0</v>
      </c>
      <c r="BQ137" s="497">
        <v>0</v>
      </c>
      <c r="BR137" s="497">
        <v>0</v>
      </c>
      <c r="BS137" s="497">
        <v>0</v>
      </c>
      <c r="BT137" s="497">
        <v>0</v>
      </c>
      <c r="BU137" s="497">
        <v>0</v>
      </c>
      <c r="BV137" s="497">
        <v>0</v>
      </c>
      <c r="BW137" s="497">
        <v>0</v>
      </c>
      <c r="BX137" s="497">
        <v>0</v>
      </c>
      <c r="BY137" s="497">
        <v>0</v>
      </c>
      <c r="BZ137" s="497">
        <v>0</v>
      </c>
      <c r="CA137" s="497">
        <v>7034</v>
      </c>
      <c r="CB137" s="497">
        <v>0</v>
      </c>
      <c r="CC137" s="497">
        <v>0</v>
      </c>
      <c r="CD137" s="497">
        <v>0</v>
      </c>
      <c r="CE137" s="497">
        <v>0</v>
      </c>
    </row>
    <row r="138" spans="1:83" x14ac:dyDescent="0.25">
      <c r="A138" s="635">
        <v>379</v>
      </c>
      <c r="B138" s="752">
        <v>379</v>
      </c>
      <c r="C138" s="635" t="s">
        <v>125</v>
      </c>
      <c r="D138" s="635" t="s">
        <v>520</v>
      </c>
      <c r="E138" s="497">
        <v>739085</v>
      </c>
      <c r="F138" s="497">
        <v>1445357</v>
      </c>
      <c r="G138" s="497">
        <v>468287</v>
      </c>
      <c r="H138" s="497">
        <v>1080809</v>
      </c>
      <c r="I138" s="497">
        <v>862762</v>
      </c>
      <c r="J138" s="497">
        <v>194336</v>
      </c>
      <c r="K138" s="497">
        <v>133318</v>
      </c>
      <c r="L138" s="497">
        <v>670157</v>
      </c>
      <c r="M138" s="497">
        <v>3485990</v>
      </c>
      <c r="N138" s="497">
        <v>93770229</v>
      </c>
      <c r="O138" s="497">
        <v>2891124</v>
      </c>
      <c r="P138" s="497">
        <v>5364264</v>
      </c>
      <c r="Q138" s="497">
        <v>208170</v>
      </c>
      <c r="R138" s="497">
        <v>6495236</v>
      </c>
      <c r="S138" s="497">
        <v>140918</v>
      </c>
      <c r="T138" s="497">
        <v>582196</v>
      </c>
      <c r="U138" s="497">
        <v>668089</v>
      </c>
      <c r="V138" s="497">
        <v>1139788</v>
      </c>
      <c r="W138" s="497">
        <v>4222806</v>
      </c>
      <c r="X138" s="497">
        <v>1308722</v>
      </c>
      <c r="Y138" s="497">
        <v>616960</v>
      </c>
      <c r="Z138" s="497">
        <v>434576</v>
      </c>
      <c r="AA138" s="497">
        <v>26848735</v>
      </c>
      <c r="AB138" s="497">
        <v>7363396</v>
      </c>
      <c r="AC138" s="497">
        <v>845061</v>
      </c>
      <c r="AD138" s="497">
        <v>29787200</v>
      </c>
      <c r="AE138" s="497">
        <v>633367</v>
      </c>
      <c r="AF138" s="497">
        <v>0</v>
      </c>
      <c r="AG138" s="497">
        <v>37630590</v>
      </c>
      <c r="AH138" s="497">
        <v>895984</v>
      </c>
      <c r="AI138" s="497">
        <v>344851</v>
      </c>
      <c r="AJ138" s="497">
        <v>3455558</v>
      </c>
      <c r="AK138" s="497">
        <v>882991</v>
      </c>
      <c r="AL138" s="497">
        <v>144767</v>
      </c>
      <c r="AM138" s="497">
        <v>0</v>
      </c>
      <c r="AN138" s="497">
        <v>687164</v>
      </c>
      <c r="AO138" s="497">
        <v>12051637</v>
      </c>
      <c r="AP138" s="497">
        <v>52134</v>
      </c>
      <c r="AQ138" s="497">
        <v>3385595</v>
      </c>
      <c r="AR138" s="497">
        <v>2407174</v>
      </c>
      <c r="AS138" s="497">
        <v>207730</v>
      </c>
      <c r="AT138" s="497">
        <v>1228586</v>
      </c>
      <c r="AU138" s="497">
        <v>701312</v>
      </c>
      <c r="AV138" s="497">
        <v>84848409</v>
      </c>
      <c r="AW138" s="497">
        <v>30516356</v>
      </c>
      <c r="AX138" s="497">
        <v>890764</v>
      </c>
      <c r="AY138" s="497">
        <v>337104</v>
      </c>
      <c r="AZ138" s="497">
        <v>353972</v>
      </c>
      <c r="BA138" s="497">
        <v>189484</v>
      </c>
      <c r="BB138" s="497">
        <v>0</v>
      </c>
      <c r="BC138" s="497">
        <v>3476384</v>
      </c>
      <c r="BD138" s="497">
        <v>1164972</v>
      </c>
      <c r="BE138" s="497">
        <v>254109</v>
      </c>
      <c r="BF138" s="497">
        <v>137116</v>
      </c>
      <c r="BG138" s="497">
        <v>6280058</v>
      </c>
      <c r="BH138" s="497">
        <v>87002</v>
      </c>
      <c r="BI138" s="497">
        <v>12513130</v>
      </c>
      <c r="BJ138" s="497">
        <v>1262820</v>
      </c>
      <c r="BK138" s="497">
        <v>502577</v>
      </c>
      <c r="BL138" s="497">
        <v>497311</v>
      </c>
      <c r="BM138" s="497">
        <v>13118244</v>
      </c>
      <c r="BN138" s="497">
        <v>8143858</v>
      </c>
      <c r="BO138" s="497">
        <v>2142231</v>
      </c>
      <c r="BP138" s="497">
        <v>41716729</v>
      </c>
      <c r="BQ138" s="497">
        <v>34660943</v>
      </c>
      <c r="BR138" s="497">
        <v>262670</v>
      </c>
      <c r="BS138" s="497">
        <v>4369995</v>
      </c>
      <c r="BT138" s="497">
        <v>2757216</v>
      </c>
      <c r="BU138" s="497">
        <v>8470393</v>
      </c>
      <c r="BV138" s="497">
        <v>336635</v>
      </c>
      <c r="BW138" s="497">
        <v>1127080</v>
      </c>
      <c r="BX138" s="497">
        <v>2806201</v>
      </c>
      <c r="BY138" s="497">
        <v>0</v>
      </c>
      <c r="BZ138" s="497">
        <v>20689406</v>
      </c>
      <c r="CA138" s="497">
        <v>369660</v>
      </c>
      <c r="CB138" s="497">
        <v>8196276</v>
      </c>
      <c r="CC138" s="497">
        <v>517591</v>
      </c>
      <c r="CD138" s="497">
        <v>2065231</v>
      </c>
      <c r="CE138" s="497">
        <v>60177282</v>
      </c>
    </row>
    <row r="139" spans="1:83" x14ac:dyDescent="0.25">
      <c r="A139" s="635">
        <v>380</v>
      </c>
      <c r="B139" s="752">
        <v>380</v>
      </c>
      <c r="C139" s="635" t="s">
        <v>128</v>
      </c>
      <c r="D139" s="635" t="s">
        <v>521</v>
      </c>
      <c r="E139" s="497">
        <v>46783</v>
      </c>
      <c r="F139" s="497">
        <v>261537</v>
      </c>
      <c r="G139" s="497">
        <v>1523</v>
      </c>
      <c r="H139" s="497">
        <v>4882</v>
      </c>
      <c r="I139" s="497">
        <v>4305</v>
      </c>
      <c r="J139" s="497">
        <v>787</v>
      </c>
      <c r="K139" s="497">
        <v>0</v>
      </c>
      <c r="L139" s="497">
        <v>366</v>
      </c>
      <c r="M139" s="497">
        <v>258785</v>
      </c>
      <c r="N139" s="497">
        <v>7019392</v>
      </c>
      <c r="O139" s="497">
        <v>363</v>
      </c>
      <c r="P139" s="497">
        <v>41464</v>
      </c>
      <c r="Q139" s="497">
        <v>301</v>
      </c>
      <c r="R139" s="497">
        <v>195441</v>
      </c>
      <c r="S139" s="497">
        <v>503</v>
      </c>
      <c r="T139" s="497">
        <v>23416</v>
      </c>
      <c r="U139" s="497">
        <v>3983</v>
      </c>
      <c r="V139" s="497">
        <v>8801</v>
      </c>
      <c r="W139" s="497">
        <v>164450</v>
      </c>
      <c r="X139" s="497">
        <v>71504</v>
      </c>
      <c r="Y139" s="497">
        <v>15107</v>
      </c>
      <c r="Z139" s="497">
        <v>47164</v>
      </c>
      <c r="AA139" s="497">
        <v>54510</v>
      </c>
      <c r="AB139" s="497">
        <v>0</v>
      </c>
      <c r="AC139" s="497">
        <v>17114</v>
      </c>
      <c r="AD139" s="497">
        <v>79930</v>
      </c>
      <c r="AE139" s="497">
        <v>104949</v>
      </c>
      <c r="AF139" s="497">
        <v>0</v>
      </c>
      <c r="AG139" s="497">
        <v>1191095</v>
      </c>
      <c r="AH139" s="497">
        <v>2156</v>
      </c>
      <c r="AI139" s="497">
        <v>9738</v>
      </c>
      <c r="AJ139" s="497">
        <v>156557</v>
      </c>
      <c r="AK139" s="497">
        <v>4746</v>
      </c>
      <c r="AL139" s="497">
        <v>490</v>
      </c>
      <c r="AM139" s="497">
        <v>0</v>
      </c>
      <c r="AN139" s="497">
        <v>5062</v>
      </c>
      <c r="AO139" s="497">
        <v>191676</v>
      </c>
      <c r="AP139" s="497">
        <v>0</v>
      </c>
      <c r="AQ139" s="497">
        <v>54074</v>
      </c>
      <c r="AR139" s="497">
        <v>33857</v>
      </c>
      <c r="AS139" s="497">
        <v>4051</v>
      </c>
      <c r="AT139" s="497">
        <v>41065</v>
      </c>
      <c r="AU139" s="497">
        <v>25796</v>
      </c>
      <c r="AV139" s="497">
        <v>4681687</v>
      </c>
      <c r="AW139" s="497">
        <v>3484431</v>
      </c>
      <c r="AX139" s="497">
        <v>49514</v>
      </c>
      <c r="AY139" s="497">
        <v>3997</v>
      </c>
      <c r="AZ139" s="497">
        <v>4788</v>
      </c>
      <c r="BA139" s="497">
        <v>1353</v>
      </c>
      <c r="BB139" s="497">
        <v>0</v>
      </c>
      <c r="BC139" s="497">
        <v>229338</v>
      </c>
      <c r="BD139" s="497">
        <v>1609</v>
      </c>
      <c r="BE139" s="497">
        <v>3830</v>
      </c>
      <c r="BF139" s="497">
        <v>1789</v>
      </c>
      <c r="BG139" s="497">
        <v>40014</v>
      </c>
      <c r="BH139" s="497">
        <v>0</v>
      </c>
      <c r="BI139" s="497">
        <v>627078</v>
      </c>
      <c r="BJ139" s="497">
        <v>25188</v>
      </c>
      <c r="BK139" s="497">
        <v>1667</v>
      </c>
      <c r="BL139" s="497">
        <v>0</v>
      </c>
      <c r="BM139" s="497">
        <v>270970</v>
      </c>
      <c r="BN139" s="497">
        <v>227746</v>
      </c>
      <c r="BO139" s="497">
        <v>78576</v>
      </c>
      <c r="BP139" s="497">
        <v>484789</v>
      </c>
      <c r="BQ139" s="497">
        <v>1774639</v>
      </c>
      <c r="BR139" s="497">
        <v>7309</v>
      </c>
      <c r="BS139" s="497">
        <v>15691</v>
      </c>
      <c r="BT139" s="497">
        <v>45402</v>
      </c>
      <c r="BU139" s="497">
        <v>138093</v>
      </c>
      <c r="BV139" s="497">
        <v>17682</v>
      </c>
      <c r="BW139" s="497">
        <v>16787</v>
      </c>
      <c r="BX139" s="497">
        <v>115577</v>
      </c>
      <c r="BY139" s="497">
        <v>0</v>
      </c>
      <c r="BZ139" s="497">
        <v>252320</v>
      </c>
      <c r="CA139" s="497">
        <v>1521</v>
      </c>
      <c r="CB139" s="497">
        <v>78853</v>
      </c>
      <c r="CC139" s="497">
        <v>18776</v>
      </c>
      <c r="CD139" s="497">
        <v>97572</v>
      </c>
      <c r="CE139" s="497">
        <v>151696</v>
      </c>
    </row>
    <row r="140" spans="1:83" x14ac:dyDescent="0.25">
      <c r="A140" s="635">
        <v>381</v>
      </c>
      <c r="B140" s="752">
        <v>381</v>
      </c>
      <c r="C140" s="635" t="s">
        <v>120</v>
      </c>
      <c r="D140" s="635" t="s">
        <v>522</v>
      </c>
      <c r="E140" s="497">
        <v>7269174</v>
      </c>
      <c r="F140" s="497">
        <v>10133372</v>
      </c>
      <c r="G140" s="497">
        <v>0</v>
      </c>
      <c r="H140" s="497">
        <v>8799050</v>
      </c>
      <c r="I140" s="497">
        <v>5571529</v>
      </c>
      <c r="J140" s="497">
        <v>489193</v>
      </c>
      <c r="K140" s="497">
        <v>0</v>
      </c>
      <c r="L140" s="497">
        <v>4423629</v>
      </c>
      <c r="M140" s="497">
        <v>44403404</v>
      </c>
      <c r="N140" s="497">
        <v>0</v>
      </c>
      <c r="O140" s="497">
        <v>0</v>
      </c>
      <c r="P140" s="497">
        <v>0</v>
      </c>
      <c r="Q140" s="497">
        <v>3467279</v>
      </c>
      <c r="R140" s="497">
        <v>44626674</v>
      </c>
      <c r="S140" s="497">
        <v>0</v>
      </c>
      <c r="T140" s="497">
        <v>2476760</v>
      </c>
      <c r="U140" s="497">
        <v>3800038</v>
      </c>
      <c r="V140" s="497">
        <v>1783813</v>
      </c>
      <c r="W140" s="497">
        <v>31361285</v>
      </c>
      <c r="X140" s="497">
        <v>0</v>
      </c>
      <c r="Y140" s="497">
        <v>5384609</v>
      </c>
      <c r="Z140" s="497">
        <v>9885897</v>
      </c>
      <c r="AA140" s="497">
        <v>123668585</v>
      </c>
      <c r="AB140" s="497">
        <v>1700922</v>
      </c>
      <c r="AC140" s="497">
        <v>2792575</v>
      </c>
      <c r="AD140" s="497">
        <v>0</v>
      </c>
      <c r="AE140" s="497">
        <v>0</v>
      </c>
      <c r="AF140" s="497">
        <v>0</v>
      </c>
      <c r="AG140" s="497">
        <v>277537708</v>
      </c>
      <c r="AH140" s="497">
        <v>2663</v>
      </c>
      <c r="AI140" s="497">
        <v>1141586</v>
      </c>
      <c r="AJ140" s="497">
        <v>3791329</v>
      </c>
      <c r="AK140" s="497">
        <v>1619434</v>
      </c>
      <c r="AL140" s="497">
        <v>252859</v>
      </c>
      <c r="AM140" s="497">
        <v>0</v>
      </c>
      <c r="AN140" s="497">
        <v>7417009</v>
      </c>
      <c r="AO140" s="497">
        <v>57684957</v>
      </c>
      <c r="AP140" s="497">
        <v>0</v>
      </c>
      <c r="AQ140" s="497">
        <v>16818431</v>
      </c>
      <c r="AR140" s="497">
        <v>0</v>
      </c>
      <c r="AS140" s="497">
        <v>0</v>
      </c>
      <c r="AT140" s="497">
        <v>7363181</v>
      </c>
      <c r="AU140" s="497">
        <v>3571173</v>
      </c>
      <c r="AV140" s="497">
        <v>927263966</v>
      </c>
      <c r="AW140" s="497">
        <v>307330305</v>
      </c>
      <c r="AX140" s="497">
        <v>4187079</v>
      </c>
      <c r="AY140" s="497">
        <v>2999830</v>
      </c>
      <c r="AZ140" s="497">
        <v>1942541</v>
      </c>
      <c r="BA140" s="497">
        <v>3380776</v>
      </c>
      <c r="BB140" s="497">
        <v>0</v>
      </c>
      <c r="BC140" s="497">
        <v>9242519</v>
      </c>
      <c r="BD140" s="497">
        <v>3755404</v>
      </c>
      <c r="BE140" s="497">
        <v>0</v>
      </c>
      <c r="BF140" s="497">
        <v>789417</v>
      </c>
      <c r="BG140" s="497">
        <v>44077779</v>
      </c>
      <c r="BH140" s="497">
        <v>0</v>
      </c>
      <c r="BI140" s="497">
        <v>34759571</v>
      </c>
      <c r="BJ140" s="497">
        <v>5653229</v>
      </c>
      <c r="BK140" s="497">
        <v>0</v>
      </c>
      <c r="BL140" s="497">
        <v>0</v>
      </c>
      <c r="BM140" s="497">
        <v>121984230</v>
      </c>
      <c r="BN140" s="497">
        <v>97789342</v>
      </c>
      <c r="BO140" s="497">
        <v>13387631</v>
      </c>
      <c r="BP140" s="497">
        <v>164618727</v>
      </c>
      <c r="BQ140" s="497">
        <v>394701561</v>
      </c>
      <c r="BR140" s="497">
        <v>4214498</v>
      </c>
      <c r="BS140" s="497">
        <v>28359562</v>
      </c>
      <c r="BT140" s="497">
        <v>0</v>
      </c>
      <c r="BU140" s="497">
        <v>80076704</v>
      </c>
      <c r="BV140" s="497">
        <v>2859761</v>
      </c>
      <c r="BW140" s="497">
        <v>0</v>
      </c>
      <c r="BX140" s="497">
        <v>21476196</v>
      </c>
      <c r="BY140" s="497">
        <v>0</v>
      </c>
      <c r="BZ140" s="497">
        <v>161816285</v>
      </c>
      <c r="CA140" s="497">
        <v>3623446</v>
      </c>
      <c r="CB140" s="497">
        <v>0</v>
      </c>
      <c r="CC140" s="497">
        <v>1047387</v>
      </c>
      <c r="CD140" s="497">
        <v>0</v>
      </c>
      <c r="CE140" s="497">
        <v>0</v>
      </c>
    </row>
    <row r="141" spans="1:83" x14ac:dyDescent="0.25">
      <c r="A141" s="635">
        <v>382</v>
      </c>
      <c r="B141" s="752">
        <v>382</v>
      </c>
      <c r="C141" s="635" t="s">
        <v>121</v>
      </c>
      <c r="D141" s="635" t="s">
        <v>523</v>
      </c>
      <c r="E141" s="497">
        <v>0</v>
      </c>
      <c r="F141" s="497">
        <v>0</v>
      </c>
      <c r="G141" s="497">
        <v>0</v>
      </c>
      <c r="H141" s="497">
        <v>0</v>
      </c>
      <c r="I141" s="497">
        <v>0</v>
      </c>
      <c r="J141" s="497">
        <v>0</v>
      </c>
      <c r="K141" s="497">
        <v>0</v>
      </c>
      <c r="L141" s="497">
        <v>0</v>
      </c>
      <c r="M141" s="497">
        <v>6821999</v>
      </c>
      <c r="N141" s="497">
        <v>0</v>
      </c>
      <c r="O141" s="497">
        <v>0</v>
      </c>
      <c r="P141" s="497">
        <v>0</v>
      </c>
      <c r="Q141" s="497">
        <v>0</v>
      </c>
      <c r="R141" s="497">
        <v>11180040</v>
      </c>
      <c r="S141" s="497">
        <v>0</v>
      </c>
      <c r="T141" s="497">
        <v>1245355</v>
      </c>
      <c r="U141" s="497">
        <v>0</v>
      </c>
      <c r="V141" s="497">
        <v>0</v>
      </c>
      <c r="W141" s="497">
        <v>0</v>
      </c>
      <c r="X141" s="497">
        <v>0</v>
      </c>
      <c r="Y141" s="497">
        <v>0</v>
      </c>
      <c r="Z141" s="497">
        <v>872413</v>
      </c>
      <c r="AA141" s="497">
        <v>0</v>
      </c>
      <c r="AB141" s="497">
        <v>0</v>
      </c>
      <c r="AC141" s="497">
        <v>0</v>
      </c>
      <c r="AD141" s="497">
        <v>0</v>
      </c>
      <c r="AE141" s="497">
        <v>0</v>
      </c>
      <c r="AF141" s="497">
        <v>0</v>
      </c>
      <c r="AG141" s="497">
        <v>81891531</v>
      </c>
      <c r="AH141" s="497">
        <v>0</v>
      </c>
      <c r="AI141" s="497">
        <v>0</v>
      </c>
      <c r="AJ141" s="497">
        <v>0</v>
      </c>
      <c r="AK141" s="497">
        <v>0</v>
      </c>
      <c r="AL141" s="497">
        <v>0</v>
      </c>
      <c r="AM141" s="497">
        <v>0</v>
      </c>
      <c r="AN141" s="497">
        <v>0</v>
      </c>
      <c r="AO141" s="497">
        <v>0</v>
      </c>
      <c r="AP141" s="497">
        <v>0</v>
      </c>
      <c r="AQ141" s="497">
        <v>8846207</v>
      </c>
      <c r="AR141" s="497">
        <v>0</v>
      </c>
      <c r="AS141" s="497">
        <v>0</v>
      </c>
      <c r="AT141" s="497">
        <v>0</v>
      </c>
      <c r="AU141" s="497">
        <v>0</v>
      </c>
      <c r="AV141" s="497">
        <v>0</v>
      </c>
      <c r="AW141" s="497">
        <v>265731553</v>
      </c>
      <c r="AX141" s="497">
        <v>0</v>
      </c>
      <c r="AY141" s="497">
        <v>0</v>
      </c>
      <c r="AZ141" s="497">
        <v>0</v>
      </c>
      <c r="BA141" s="497">
        <v>0</v>
      </c>
      <c r="BB141" s="497">
        <v>0</v>
      </c>
      <c r="BC141" s="497">
        <v>0</v>
      </c>
      <c r="BD141" s="497">
        <v>0</v>
      </c>
      <c r="BE141" s="497">
        <v>0</v>
      </c>
      <c r="BF141" s="497">
        <v>0</v>
      </c>
      <c r="BG141" s="497">
        <v>0</v>
      </c>
      <c r="BH141" s="497">
        <v>0</v>
      </c>
      <c r="BI141" s="497">
        <v>0</v>
      </c>
      <c r="BJ141" s="497">
        <v>0</v>
      </c>
      <c r="BK141" s="497">
        <v>0</v>
      </c>
      <c r="BL141" s="497">
        <v>0</v>
      </c>
      <c r="BM141" s="497">
        <v>0</v>
      </c>
      <c r="BN141" s="497">
        <v>0</v>
      </c>
      <c r="BO141" s="497">
        <v>2050951</v>
      </c>
      <c r="BP141" s="497">
        <v>0</v>
      </c>
      <c r="BQ141" s="497">
        <v>144842927</v>
      </c>
      <c r="BR141" s="497">
        <v>0</v>
      </c>
      <c r="BS141" s="497">
        <v>7740002</v>
      </c>
      <c r="BT141" s="497">
        <v>0</v>
      </c>
      <c r="BU141" s="497">
        <v>0</v>
      </c>
      <c r="BV141" s="497">
        <v>509095</v>
      </c>
      <c r="BW141" s="497">
        <v>0</v>
      </c>
      <c r="BX141" s="497">
        <v>0</v>
      </c>
      <c r="BY141" s="497">
        <v>0</v>
      </c>
      <c r="BZ141" s="497">
        <v>0</v>
      </c>
      <c r="CA141" s="497">
        <v>1092563</v>
      </c>
      <c r="CB141" s="497">
        <v>0</v>
      </c>
      <c r="CC141" s="497">
        <v>0</v>
      </c>
      <c r="CD141" s="497">
        <v>0</v>
      </c>
      <c r="CE141" s="497">
        <v>26760118</v>
      </c>
    </row>
    <row r="142" spans="1:83" x14ac:dyDescent="0.25">
      <c r="A142" s="635">
        <v>383</v>
      </c>
      <c r="B142" s="752">
        <v>383</v>
      </c>
      <c r="C142" s="635" t="s">
        <v>286</v>
      </c>
      <c r="D142" s="635" t="s">
        <v>524</v>
      </c>
      <c r="E142" s="497">
        <v>0</v>
      </c>
      <c r="F142" s="497">
        <v>0</v>
      </c>
      <c r="G142" s="497">
        <v>0</v>
      </c>
      <c r="H142" s="497">
        <v>0</v>
      </c>
      <c r="I142" s="497">
        <v>0</v>
      </c>
      <c r="J142" s="497">
        <v>0</v>
      </c>
      <c r="K142" s="497">
        <v>0</v>
      </c>
      <c r="L142" s="497">
        <v>0</v>
      </c>
      <c r="M142" s="497">
        <v>0</v>
      </c>
      <c r="N142" s="497">
        <v>0</v>
      </c>
      <c r="O142" s="497">
        <v>0</v>
      </c>
      <c r="P142" s="497">
        <v>0</v>
      </c>
      <c r="Q142" s="497">
        <v>0</v>
      </c>
      <c r="R142" s="497">
        <v>0</v>
      </c>
      <c r="S142" s="497">
        <v>0</v>
      </c>
      <c r="T142" s="497">
        <v>0</v>
      </c>
      <c r="U142" s="497">
        <v>0</v>
      </c>
      <c r="V142" s="497">
        <v>0</v>
      </c>
      <c r="W142" s="497">
        <v>0</v>
      </c>
      <c r="X142" s="497">
        <v>0</v>
      </c>
      <c r="Y142" s="497">
        <v>0</v>
      </c>
      <c r="Z142" s="497">
        <v>0</v>
      </c>
      <c r="AA142" s="497">
        <v>0</v>
      </c>
      <c r="AB142" s="497">
        <v>0</v>
      </c>
      <c r="AC142" s="497">
        <v>0</v>
      </c>
      <c r="AD142" s="497">
        <v>0</v>
      </c>
      <c r="AE142" s="497">
        <v>0</v>
      </c>
      <c r="AF142" s="497">
        <v>0</v>
      </c>
      <c r="AG142" s="497">
        <v>1114143</v>
      </c>
      <c r="AH142" s="497">
        <v>0</v>
      </c>
      <c r="AI142" s="497">
        <v>0</v>
      </c>
      <c r="AJ142" s="497">
        <v>0</v>
      </c>
      <c r="AK142" s="497">
        <v>0</v>
      </c>
      <c r="AL142" s="497">
        <v>0</v>
      </c>
      <c r="AM142" s="497">
        <v>0</v>
      </c>
      <c r="AN142" s="497">
        <v>0</v>
      </c>
      <c r="AO142" s="497">
        <v>0</v>
      </c>
      <c r="AP142" s="497">
        <v>0</v>
      </c>
      <c r="AQ142" s="497">
        <v>0</v>
      </c>
      <c r="AR142" s="497">
        <v>0</v>
      </c>
      <c r="AS142" s="497">
        <v>0</v>
      </c>
      <c r="AT142" s="497">
        <v>0</v>
      </c>
      <c r="AU142" s="497">
        <v>0</v>
      </c>
      <c r="AV142" s="497">
        <v>0</v>
      </c>
      <c r="AW142" s="497">
        <v>192410</v>
      </c>
      <c r="AX142" s="497">
        <v>0</v>
      </c>
      <c r="AY142" s="497">
        <v>0</v>
      </c>
      <c r="AZ142" s="497">
        <v>0</v>
      </c>
      <c r="BA142" s="497">
        <v>0</v>
      </c>
      <c r="BB142" s="497">
        <v>0</v>
      </c>
      <c r="BC142" s="497">
        <v>0</v>
      </c>
      <c r="BD142" s="497">
        <v>0</v>
      </c>
      <c r="BE142" s="497">
        <v>0</v>
      </c>
      <c r="BF142" s="497">
        <v>2783</v>
      </c>
      <c r="BG142" s="497">
        <v>0</v>
      </c>
      <c r="BH142" s="497">
        <v>0</v>
      </c>
      <c r="BI142" s="497">
        <v>0</v>
      </c>
      <c r="BJ142" s="497">
        <v>0</v>
      </c>
      <c r="BK142" s="497">
        <v>0</v>
      </c>
      <c r="BL142" s="497">
        <v>0</v>
      </c>
      <c r="BM142" s="497">
        <v>0</v>
      </c>
      <c r="BN142" s="497">
        <v>0</v>
      </c>
      <c r="BO142" s="497">
        <v>0</v>
      </c>
      <c r="BP142" s="497">
        <v>67110</v>
      </c>
      <c r="BQ142" s="497">
        <v>0</v>
      </c>
      <c r="BR142" s="497">
        <v>0</v>
      </c>
      <c r="BS142" s="497">
        <v>0</v>
      </c>
      <c r="BT142" s="497">
        <v>0</v>
      </c>
      <c r="BU142" s="497">
        <v>0</v>
      </c>
      <c r="BV142" s="497">
        <v>0</v>
      </c>
      <c r="BW142" s="497">
        <v>0</v>
      </c>
      <c r="BX142" s="497">
        <v>0</v>
      </c>
      <c r="BY142" s="497">
        <v>0</v>
      </c>
      <c r="BZ142" s="497">
        <v>0</v>
      </c>
      <c r="CA142" s="497">
        <v>0</v>
      </c>
      <c r="CB142" s="497">
        <v>0</v>
      </c>
      <c r="CC142" s="497">
        <v>0</v>
      </c>
      <c r="CD142" s="497">
        <v>0</v>
      </c>
      <c r="CE142" s="497">
        <v>0</v>
      </c>
    </row>
    <row r="143" spans="1:83" x14ac:dyDescent="0.25">
      <c r="A143" s="635">
        <v>384</v>
      </c>
      <c r="B143" s="752">
        <v>384</v>
      </c>
      <c r="C143" s="635" t="s">
        <v>131</v>
      </c>
      <c r="D143" s="635" t="s">
        <v>525</v>
      </c>
      <c r="E143" s="497">
        <v>0</v>
      </c>
      <c r="F143" s="497">
        <v>0</v>
      </c>
      <c r="G143" s="497">
        <v>0</v>
      </c>
      <c r="H143" s="497">
        <v>0</v>
      </c>
      <c r="I143" s="497">
        <v>0</v>
      </c>
      <c r="J143" s="497">
        <v>0</v>
      </c>
      <c r="K143" s="497">
        <v>0</v>
      </c>
      <c r="L143" s="497">
        <v>0</v>
      </c>
      <c r="M143" s="497">
        <v>0</v>
      </c>
      <c r="N143" s="497">
        <v>0</v>
      </c>
      <c r="O143" s="497">
        <v>0</v>
      </c>
      <c r="P143" s="497">
        <v>0</v>
      </c>
      <c r="Q143" s="497">
        <v>0</v>
      </c>
      <c r="R143" s="497">
        <v>0</v>
      </c>
      <c r="S143" s="497">
        <v>0</v>
      </c>
      <c r="T143" s="497">
        <v>0</v>
      </c>
      <c r="U143" s="497">
        <v>0</v>
      </c>
      <c r="V143" s="497">
        <v>0</v>
      </c>
      <c r="W143" s="497">
        <v>0</v>
      </c>
      <c r="X143" s="497">
        <v>0</v>
      </c>
      <c r="Y143" s="497">
        <v>0</v>
      </c>
      <c r="Z143" s="497">
        <v>0</v>
      </c>
      <c r="AA143" s="497">
        <v>0</v>
      </c>
      <c r="AB143" s="497">
        <v>0</v>
      </c>
      <c r="AC143" s="497">
        <v>0</v>
      </c>
      <c r="AD143" s="497">
        <v>0</v>
      </c>
      <c r="AE143" s="497">
        <v>0</v>
      </c>
      <c r="AF143" s="497">
        <v>0</v>
      </c>
      <c r="AG143" s="497">
        <v>188001</v>
      </c>
      <c r="AH143" s="497">
        <v>0</v>
      </c>
      <c r="AI143" s="497">
        <v>0</v>
      </c>
      <c r="AJ143" s="497">
        <v>0</v>
      </c>
      <c r="AK143" s="497">
        <v>0</v>
      </c>
      <c r="AL143" s="497">
        <v>0</v>
      </c>
      <c r="AM143" s="497">
        <v>0</v>
      </c>
      <c r="AN143" s="497">
        <v>0</v>
      </c>
      <c r="AO143" s="497">
        <v>0</v>
      </c>
      <c r="AP143" s="497">
        <v>0</v>
      </c>
      <c r="AQ143" s="497">
        <v>0</v>
      </c>
      <c r="AR143" s="497">
        <v>0</v>
      </c>
      <c r="AS143" s="497">
        <v>0</v>
      </c>
      <c r="AT143" s="497">
        <v>0</v>
      </c>
      <c r="AU143" s="497">
        <v>0</v>
      </c>
      <c r="AV143" s="497">
        <v>0</v>
      </c>
      <c r="AW143" s="497">
        <v>0</v>
      </c>
      <c r="AX143" s="497">
        <v>0</v>
      </c>
      <c r="AY143" s="497">
        <v>0</v>
      </c>
      <c r="AZ143" s="497">
        <v>0</v>
      </c>
      <c r="BA143" s="497">
        <v>0</v>
      </c>
      <c r="BB143" s="497">
        <v>0</v>
      </c>
      <c r="BC143" s="497">
        <v>0</v>
      </c>
      <c r="BD143" s="497">
        <v>0</v>
      </c>
      <c r="BE143" s="497">
        <v>0</v>
      </c>
      <c r="BF143" s="497">
        <v>0</v>
      </c>
      <c r="BG143" s="497">
        <v>0</v>
      </c>
      <c r="BH143" s="497">
        <v>0</v>
      </c>
      <c r="BI143" s="497">
        <v>0</v>
      </c>
      <c r="BJ143" s="497">
        <v>0</v>
      </c>
      <c r="BK143" s="497">
        <v>0</v>
      </c>
      <c r="BL143" s="497">
        <v>0</v>
      </c>
      <c r="BM143" s="497">
        <v>0</v>
      </c>
      <c r="BN143" s="497">
        <v>0</v>
      </c>
      <c r="BO143" s="497">
        <v>0</v>
      </c>
      <c r="BP143" s="497">
        <v>0</v>
      </c>
      <c r="BQ143" s="497">
        <v>0</v>
      </c>
      <c r="BR143" s="497">
        <v>0</v>
      </c>
      <c r="BS143" s="497">
        <v>0</v>
      </c>
      <c r="BT143" s="497">
        <v>0</v>
      </c>
      <c r="BU143" s="497">
        <v>0</v>
      </c>
      <c r="BV143" s="497">
        <v>0</v>
      </c>
      <c r="BW143" s="497">
        <v>0</v>
      </c>
      <c r="BX143" s="497">
        <v>0</v>
      </c>
      <c r="BY143" s="497">
        <v>0</v>
      </c>
      <c r="BZ143" s="497">
        <v>0</v>
      </c>
      <c r="CA143" s="497">
        <v>0</v>
      </c>
      <c r="CB143" s="497">
        <v>0</v>
      </c>
      <c r="CC143" s="497">
        <v>0</v>
      </c>
      <c r="CD143" s="497">
        <v>0</v>
      </c>
      <c r="CE143" s="497">
        <v>0</v>
      </c>
    </row>
    <row r="144" spans="1:83" x14ac:dyDescent="0.25">
      <c r="A144" s="635">
        <v>385</v>
      </c>
      <c r="B144" s="752">
        <v>385</v>
      </c>
      <c r="C144" s="635" t="s">
        <v>122</v>
      </c>
      <c r="D144" s="635" t="s">
        <v>526</v>
      </c>
      <c r="E144" s="497">
        <v>3268562</v>
      </c>
      <c r="F144" s="497">
        <v>2590451</v>
      </c>
      <c r="G144" s="497">
        <v>2515611</v>
      </c>
      <c r="H144" s="497">
        <v>1788793</v>
      </c>
      <c r="I144" s="497">
        <v>1370202</v>
      </c>
      <c r="J144" s="497">
        <v>548177</v>
      </c>
      <c r="K144" s="497">
        <v>210159</v>
      </c>
      <c r="L144" s="497">
        <v>734060</v>
      </c>
      <c r="M144" s="497">
        <v>11803616</v>
      </c>
      <c r="N144" s="497">
        <v>604693146</v>
      </c>
      <c r="O144" s="497">
        <v>7302052</v>
      </c>
      <c r="P144" s="497">
        <v>23945973</v>
      </c>
      <c r="Q144" s="497">
        <v>992625</v>
      </c>
      <c r="R144" s="497">
        <v>29725571</v>
      </c>
      <c r="S144" s="497">
        <v>339621</v>
      </c>
      <c r="T144" s="497">
        <v>773440</v>
      </c>
      <c r="U144" s="497">
        <v>2136402</v>
      </c>
      <c r="V144" s="497">
        <v>2530052</v>
      </c>
      <c r="W144" s="497">
        <v>10903573</v>
      </c>
      <c r="X144" s="497">
        <v>2362174</v>
      </c>
      <c r="Y144" s="497">
        <v>1455160</v>
      </c>
      <c r="Z144" s="497">
        <v>1194710</v>
      </c>
      <c r="AA144" s="497">
        <v>176266064</v>
      </c>
      <c r="AB144" s="497">
        <v>8615862</v>
      </c>
      <c r="AC144" s="497">
        <v>1029611</v>
      </c>
      <c r="AD144" s="497">
        <v>136822035</v>
      </c>
      <c r="AE144" s="497">
        <v>1930900</v>
      </c>
      <c r="AF144" s="497">
        <v>0</v>
      </c>
      <c r="AG144" s="497">
        <v>225791944</v>
      </c>
      <c r="AH144" s="497">
        <v>1088017</v>
      </c>
      <c r="AI144" s="497">
        <v>588153</v>
      </c>
      <c r="AJ144" s="497">
        <v>10077648</v>
      </c>
      <c r="AK144" s="497">
        <v>1627453</v>
      </c>
      <c r="AL144" s="497">
        <v>870142</v>
      </c>
      <c r="AM144" s="497">
        <v>0</v>
      </c>
      <c r="AN144" s="497">
        <v>1320702</v>
      </c>
      <c r="AO144" s="497">
        <v>35819989</v>
      </c>
      <c r="AP144" s="497">
        <v>52134</v>
      </c>
      <c r="AQ144" s="497">
        <v>9761834</v>
      </c>
      <c r="AR144" s="497">
        <v>5793843</v>
      </c>
      <c r="AS144" s="497">
        <v>604061</v>
      </c>
      <c r="AT144" s="497">
        <v>4982661</v>
      </c>
      <c r="AU144" s="497">
        <v>892993</v>
      </c>
      <c r="AV144" s="497">
        <v>872720197</v>
      </c>
      <c r="AW144" s="497">
        <v>303036400</v>
      </c>
      <c r="AX144" s="497">
        <v>3049826</v>
      </c>
      <c r="AY144" s="497">
        <v>724364</v>
      </c>
      <c r="AZ144" s="497">
        <v>590825</v>
      </c>
      <c r="BA144" s="497">
        <v>284373</v>
      </c>
      <c r="BB144" s="497">
        <v>0</v>
      </c>
      <c r="BC144" s="497">
        <v>13894686</v>
      </c>
      <c r="BD144" s="497">
        <v>1895998</v>
      </c>
      <c r="BE144" s="497">
        <v>471454</v>
      </c>
      <c r="BF144" s="497">
        <v>162622</v>
      </c>
      <c r="BG144" s="497">
        <v>39149048</v>
      </c>
      <c r="BH144" s="497">
        <v>107374</v>
      </c>
      <c r="BI144" s="497">
        <v>28172344</v>
      </c>
      <c r="BJ144" s="497">
        <v>8749231</v>
      </c>
      <c r="BK144" s="497">
        <v>1277337</v>
      </c>
      <c r="BL144" s="497">
        <v>717163</v>
      </c>
      <c r="BM144" s="497">
        <v>35824089</v>
      </c>
      <c r="BN144" s="497">
        <v>41691065</v>
      </c>
      <c r="BO144" s="497">
        <v>4121306</v>
      </c>
      <c r="BP144" s="497">
        <v>131068562</v>
      </c>
      <c r="BQ144" s="497">
        <v>367521102</v>
      </c>
      <c r="BR144" s="497">
        <v>1272990</v>
      </c>
      <c r="BS144" s="497">
        <v>23534302</v>
      </c>
      <c r="BT144" s="497">
        <v>5749093</v>
      </c>
      <c r="BU144" s="497">
        <v>34405382</v>
      </c>
      <c r="BV144" s="497">
        <v>1705836</v>
      </c>
      <c r="BW144" s="497">
        <v>1901096</v>
      </c>
      <c r="BX144" s="497">
        <v>19441361</v>
      </c>
      <c r="BY144" s="497">
        <v>0</v>
      </c>
      <c r="BZ144" s="497">
        <v>191956521</v>
      </c>
      <c r="CA144" s="497">
        <v>1546154</v>
      </c>
      <c r="CB144" s="497">
        <v>35559949</v>
      </c>
      <c r="CC144" s="497">
        <v>1083880</v>
      </c>
      <c r="CD144" s="497">
        <v>6177157</v>
      </c>
      <c r="CE144" s="497">
        <v>178029359</v>
      </c>
    </row>
    <row r="145" spans="1:83" x14ac:dyDescent="0.25">
      <c r="A145" s="635">
        <v>386</v>
      </c>
      <c r="B145" s="752">
        <v>386</v>
      </c>
      <c r="C145" s="635" t="s">
        <v>259</v>
      </c>
      <c r="D145" s="635" t="s">
        <v>527</v>
      </c>
      <c r="E145" s="497">
        <v>0</v>
      </c>
      <c r="F145" s="497">
        <v>0</v>
      </c>
      <c r="G145" s="497">
        <v>0</v>
      </c>
      <c r="H145" s="497">
        <v>0</v>
      </c>
      <c r="I145" s="497">
        <v>0</v>
      </c>
      <c r="J145" s="497">
        <v>0</v>
      </c>
      <c r="K145" s="497">
        <v>0</v>
      </c>
      <c r="L145" s="497">
        <v>0</v>
      </c>
      <c r="M145" s="497">
        <v>531493</v>
      </c>
      <c r="N145" s="497">
        <v>0</v>
      </c>
      <c r="O145" s="497">
        <v>0</v>
      </c>
      <c r="P145" s="497">
        <v>0</v>
      </c>
      <c r="Q145" s="497">
        <v>0</v>
      </c>
      <c r="R145" s="497">
        <v>2646485</v>
      </c>
      <c r="S145" s="497">
        <v>0</v>
      </c>
      <c r="T145" s="497">
        <v>0</v>
      </c>
      <c r="U145" s="497">
        <v>0</v>
      </c>
      <c r="V145" s="497">
        <v>0</v>
      </c>
      <c r="W145" s="497">
        <v>0</v>
      </c>
      <c r="X145" s="497">
        <v>0</v>
      </c>
      <c r="Y145" s="497">
        <v>0</v>
      </c>
      <c r="Z145" s="497">
        <v>17772</v>
      </c>
      <c r="AA145" s="497">
        <v>283406</v>
      </c>
      <c r="AB145" s="497">
        <v>0</v>
      </c>
      <c r="AC145" s="497">
        <v>0</v>
      </c>
      <c r="AD145" s="497">
        <v>0</v>
      </c>
      <c r="AE145" s="497">
        <v>0</v>
      </c>
      <c r="AF145" s="497">
        <v>0</v>
      </c>
      <c r="AG145" s="497">
        <v>5363770</v>
      </c>
      <c r="AH145" s="497">
        <v>0</v>
      </c>
      <c r="AI145" s="497">
        <v>0</v>
      </c>
      <c r="AJ145" s="497">
        <v>0</v>
      </c>
      <c r="AK145" s="497">
        <v>0</v>
      </c>
      <c r="AL145" s="497">
        <v>0</v>
      </c>
      <c r="AM145" s="497">
        <v>0</v>
      </c>
      <c r="AN145" s="497">
        <v>0</v>
      </c>
      <c r="AO145" s="497">
        <v>0</v>
      </c>
      <c r="AP145" s="497">
        <v>0</v>
      </c>
      <c r="AQ145" s="497">
        <v>59959</v>
      </c>
      <c r="AR145" s="497">
        <v>0</v>
      </c>
      <c r="AS145" s="497">
        <v>0</v>
      </c>
      <c r="AT145" s="497">
        <v>0</v>
      </c>
      <c r="AU145" s="497">
        <v>0</v>
      </c>
      <c r="AV145" s="497">
        <v>40653715</v>
      </c>
      <c r="AW145" s="497">
        <v>6195920</v>
      </c>
      <c r="AX145" s="497">
        <v>9000</v>
      </c>
      <c r="AY145" s="497">
        <v>0</v>
      </c>
      <c r="AZ145" s="497">
        <v>0</v>
      </c>
      <c r="BA145" s="497">
        <v>0</v>
      </c>
      <c r="BB145" s="497">
        <v>0</v>
      </c>
      <c r="BC145" s="497">
        <v>0</v>
      </c>
      <c r="BD145" s="497">
        <v>0</v>
      </c>
      <c r="BE145" s="497">
        <v>0</v>
      </c>
      <c r="BF145" s="497">
        <v>0</v>
      </c>
      <c r="BG145" s="497">
        <v>0</v>
      </c>
      <c r="BH145" s="497">
        <v>0</v>
      </c>
      <c r="BI145" s="497">
        <v>0</v>
      </c>
      <c r="BJ145" s="497">
        <v>0</v>
      </c>
      <c r="BK145" s="497">
        <v>0</v>
      </c>
      <c r="BL145" s="497">
        <v>0</v>
      </c>
      <c r="BM145" s="497">
        <v>0</v>
      </c>
      <c r="BN145" s="497">
        <v>336250</v>
      </c>
      <c r="BO145" s="497">
        <v>84000</v>
      </c>
      <c r="BP145" s="497">
        <v>3922588</v>
      </c>
      <c r="BQ145" s="497">
        <v>1136945</v>
      </c>
      <c r="BR145" s="497">
        <v>12500</v>
      </c>
      <c r="BS145" s="497">
        <v>0</v>
      </c>
      <c r="BT145" s="497">
        <v>0</v>
      </c>
      <c r="BU145" s="497">
        <v>0</v>
      </c>
      <c r="BV145" s="497">
        <v>0</v>
      </c>
      <c r="BW145" s="497">
        <v>0</v>
      </c>
      <c r="BX145" s="497">
        <v>0</v>
      </c>
      <c r="BY145" s="497">
        <v>0</v>
      </c>
      <c r="BZ145" s="497">
        <v>17984579</v>
      </c>
      <c r="CA145" s="497">
        <v>0</v>
      </c>
      <c r="CB145" s="497">
        <v>0</v>
      </c>
      <c r="CC145" s="497">
        <v>0</v>
      </c>
      <c r="CD145" s="497">
        <v>0</v>
      </c>
      <c r="CE145" s="497">
        <v>0</v>
      </c>
    </row>
    <row r="146" spans="1:83" x14ac:dyDescent="0.25">
      <c r="A146" s="635">
        <v>387</v>
      </c>
      <c r="B146" s="752">
        <v>387</v>
      </c>
      <c r="C146" s="635" t="s">
        <v>260</v>
      </c>
      <c r="D146" s="635" t="s">
        <v>528</v>
      </c>
      <c r="E146" s="497">
        <v>0</v>
      </c>
      <c r="F146" s="497">
        <v>0</v>
      </c>
      <c r="G146" s="497">
        <v>0</v>
      </c>
      <c r="H146" s="497">
        <v>0</v>
      </c>
      <c r="I146" s="497">
        <v>0</v>
      </c>
      <c r="J146" s="497">
        <v>0</v>
      </c>
      <c r="K146" s="497">
        <v>0</v>
      </c>
      <c r="L146" s="497">
        <v>0</v>
      </c>
      <c r="M146" s="497">
        <v>0</v>
      </c>
      <c r="N146" s="497">
        <v>4943280</v>
      </c>
      <c r="O146" s="497">
        <v>0</v>
      </c>
      <c r="P146" s="497">
        <v>0</v>
      </c>
      <c r="Q146" s="497">
        <v>0</v>
      </c>
      <c r="R146" s="497">
        <v>0</v>
      </c>
      <c r="S146" s="497">
        <v>0</v>
      </c>
      <c r="T146" s="497">
        <v>0</v>
      </c>
      <c r="U146" s="497">
        <v>0</v>
      </c>
      <c r="V146" s="497">
        <v>0</v>
      </c>
      <c r="W146" s="497">
        <v>0</v>
      </c>
      <c r="X146" s="497">
        <v>0</v>
      </c>
      <c r="Y146" s="497">
        <v>0</v>
      </c>
      <c r="Z146" s="497">
        <v>0</v>
      </c>
      <c r="AA146" s="497">
        <v>0</v>
      </c>
      <c r="AB146" s="497">
        <v>0</v>
      </c>
      <c r="AC146" s="497">
        <v>0</v>
      </c>
      <c r="AD146" s="497">
        <v>0</v>
      </c>
      <c r="AE146" s="497">
        <v>0</v>
      </c>
      <c r="AF146" s="497">
        <v>0</v>
      </c>
      <c r="AG146" s="497">
        <v>5684264</v>
      </c>
      <c r="AH146" s="497">
        <v>0</v>
      </c>
      <c r="AI146" s="497">
        <v>0</v>
      </c>
      <c r="AJ146" s="497">
        <v>0</v>
      </c>
      <c r="AK146" s="497">
        <v>4000</v>
      </c>
      <c r="AL146" s="497">
        <v>0</v>
      </c>
      <c r="AM146" s="497">
        <v>0</v>
      </c>
      <c r="AN146" s="497">
        <v>0</v>
      </c>
      <c r="AO146" s="497">
        <v>0</v>
      </c>
      <c r="AP146" s="497">
        <v>0</v>
      </c>
      <c r="AQ146" s="497">
        <v>0</v>
      </c>
      <c r="AR146" s="497">
        <v>0</v>
      </c>
      <c r="AS146" s="497">
        <v>0</v>
      </c>
      <c r="AT146" s="497">
        <v>0</v>
      </c>
      <c r="AU146" s="497">
        <v>0</v>
      </c>
      <c r="AV146" s="497">
        <v>59949931</v>
      </c>
      <c r="AW146" s="497">
        <v>0</v>
      </c>
      <c r="AX146" s="497">
        <v>0</v>
      </c>
      <c r="AY146" s="497">
        <v>0</v>
      </c>
      <c r="AZ146" s="497">
        <v>0</v>
      </c>
      <c r="BA146" s="497">
        <v>0</v>
      </c>
      <c r="BB146" s="497">
        <v>0</v>
      </c>
      <c r="BC146" s="497">
        <v>0</v>
      </c>
      <c r="BD146" s="497">
        <v>0</v>
      </c>
      <c r="BE146" s="497">
        <v>0</v>
      </c>
      <c r="BF146" s="497">
        <v>0</v>
      </c>
      <c r="BG146" s="497">
        <v>0</v>
      </c>
      <c r="BH146" s="497">
        <v>0</v>
      </c>
      <c r="BI146" s="497">
        <v>222807</v>
      </c>
      <c r="BJ146" s="497">
        <v>0</v>
      </c>
      <c r="BK146" s="497">
        <v>0</v>
      </c>
      <c r="BL146" s="497">
        <v>0</v>
      </c>
      <c r="BM146" s="497">
        <v>79900</v>
      </c>
      <c r="BN146" s="497">
        <v>0</v>
      </c>
      <c r="BO146" s="497">
        <v>0</v>
      </c>
      <c r="BP146" s="497">
        <v>5501042</v>
      </c>
      <c r="BQ146" s="497">
        <v>0</v>
      </c>
      <c r="BR146" s="497">
        <v>0</v>
      </c>
      <c r="BS146" s="497">
        <v>175698</v>
      </c>
      <c r="BT146" s="497">
        <v>0</v>
      </c>
      <c r="BU146" s="497">
        <v>2073742</v>
      </c>
      <c r="BV146" s="497">
        <v>0</v>
      </c>
      <c r="BW146" s="497">
        <v>16272</v>
      </c>
      <c r="BX146" s="497">
        <v>0</v>
      </c>
      <c r="BY146" s="497">
        <v>0</v>
      </c>
      <c r="BZ146" s="497">
        <v>16712440</v>
      </c>
      <c r="CA146" s="497">
        <v>0</v>
      </c>
      <c r="CB146" s="497">
        <v>0</v>
      </c>
      <c r="CC146" s="497">
        <v>79300</v>
      </c>
      <c r="CD146" s="497">
        <v>0</v>
      </c>
      <c r="CE146" s="497">
        <v>545141</v>
      </c>
    </row>
    <row r="147" spans="1:83" x14ac:dyDescent="0.25">
      <c r="A147" s="635">
        <v>388</v>
      </c>
      <c r="B147" s="752">
        <v>388</v>
      </c>
      <c r="C147" s="635" t="s">
        <v>254</v>
      </c>
      <c r="D147" s="635" t="s">
        <v>529</v>
      </c>
      <c r="E147" s="497">
        <v>1745427</v>
      </c>
      <c r="F147" s="497">
        <v>2403441</v>
      </c>
      <c r="G147" s="497">
        <v>377078</v>
      </c>
      <c r="H147" s="497">
        <v>754681</v>
      </c>
      <c r="I147" s="497">
        <v>587182</v>
      </c>
      <c r="J147" s="497">
        <v>225897</v>
      </c>
      <c r="K147" s="497">
        <v>56554</v>
      </c>
      <c r="L147" s="497">
        <v>75195</v>
      </c>
      <c r="M147" s="497">
        <v>5072548</v>
      </c>
      <c r="N147" s="497">
        <v>168193268</v>
      </c>
      <c r="O147" s="497">
        <v>1919529</v>
      </c>
      <c r="P147" s="497">
        <v>6582758</v>
      </c>
      <c r="Q147" s="497">
        <v>149381</v>
      </c>
      <c r="R147" s="497">
        <v>14224183</v>
      </c>
      <c r="S147" s="497">
        <v>82137</v>
      </c>
      <c r="T147" s="497">
        <v>291252</v>
      </c>
      <c r="U147" s="497">
        <v>1942396</v>
      </c>
      <c r="V147" s="497">
        <v>808439</v>
      </c>
      <c r="W147" s="497">
        <v>4322809</v>
      </c>
      <c r="X147" s="497">
        <v>1945530</v>
      </c>
      <c r="Y147" s="497">
        <v>797536</v>
      </c>
      <c r="Z147" s="497">
        <v>1099170</v>
      </c>
      <c r="AA147" s="497">
        <v>36671506</v>
      </c>
      <c r="AB147" s="497">
        <v>535697</v>
      </c>
      <c r="AC147" s="497">
        <v>588546</v>
      </c>
      <c r="AD147" s="497">
        <v>35236668</v>
      </c>
      <c r="AE147" s="497">
        <v>677708</v>
      </c>
      <c r="AF147" s="497">
        <v>0</v>
      </c>
      <c r="AG147" s="497">
        <v>72834079</v>
      </c>
      <c r="AH147" s="497">
        <v>127828</v>
      </c>
      <c r="AI147" s="497">
        <v>216413</v>
      </c>
      <c r="AJ147" s="497">
        <v>6360113</v>
      </c>
      <c r="AK147" s="497">
        <v>861420</v>
      </c>
      <c r="AL147" s="497">
        <v>69766</v>
      </c>
      <c r="AM147" s="497">
        <v>0</v>
      </c>
      <c r="AN147" s="497">
        <v>150547</v>
      </c>
      <c r="AO147" s="497">
        <v>13023444</v>
      </c>
      <c r="AP147" s="497">
        <v>65186</v>
      </c>
      <c r="AQ147" s="497">
        <v>4128411</v>
      </c>
      <c r="AR147" s="497">
        <v>2328849</v>
      </c>
      <c r="AS147" s="497">
        <v>65115</v>
      </c>
      <c r="AT147" s="497">
        <v>1016496</v>
      </c>
      <c r="AU147" s="497">
        <v>173728</v>
      </c>
      <c r="AV147" s="497">
        <v>326343990</v>
      </c>
      <c r="AW147" s="497">
        <v>89293128</v>
      </c>
      <c r="AX147" s="497">
        <v>1719857</v>
      </c>
      <c r="AY147" s="497">
        <v>262959</v>
      </c>
      <c r="AZ147" s="497">
        <v>314127</v>
      </c>
      <c r="BA147" s="497">
        <v>208015</v>
      </c>
      <c r="BB147" s="497">
        <v>0</v>
      </c>
      <c r="BC147" s="497">
        <v>6349363</v>
      </c>
      <c r="BD147" s="497">
        <v>238600</v>
      </c>
      <c r="BE147" s="497">
        <v>109859</v>
      </c>
      <c r="BF147" s="497">
        <v>47641</v>
      </c>
      <c r="BG147" s="497">
        <v>11595978</v>
      </c>
      <c r="BH147" s="497">
        <v>16954</v>
      </c>
      <c r="BI147" s="497">
        <v>13734623</v>
      </c>
      <c r="BJ147" s="497">
        <v>2299626</v>
      </c>
      <c r="BK147" s="497">
        <v>301884</v>
      </c>
      <c r="BL147" s="497">
        <v>85520</v>
      </c>
      <c r="BM147" s="497">
        <v>15092533</v>
      </c>
      <c r="BN147" s="497">
        <v>17223650</v>
      </c>
      <c r="BO147" s="497">
        <v>1703258</v>
      </c>
      <c r="BP147" s="497">
        <v>57165781</v>
      </c>
      <c r="BQ147" s="497">
        <v>146851997</v>
      </c>
      <c r="BR147" s="497">
        <v>266744</v>
      </c>
      <c r="BS147" s="497">
        <v>5968576</v>
      </c>
      <c r="BT147" s="497">
        <v>1425492</v>
      </c>
      <c r="BU147" s="497">
        <v>8914421</v>
      </c>
      <c r="BV147" s="497">
        <v>182857</v>
      </c>
      <c r="BW147" s="497">
        <v>251421</v>
      </c>
      <c r="BX147" s="497">
        <v>5794209</v>
      </c>
      <c r="BY147" s="497">
        <v>0</v>
      </c>
      <c r="BZ147" s="497">
        <v>36670258</v>
      </c>
      <c r="CA147" s="497">
        <v>289285</v>
      </c>
      <c r="CB147" s="497">
        <v>14593957</v>
      </c>
      <c r="CC147" s="497">
        <v>422339</v>
      </c>
      <c r="CD147" s="497">
        <v>3092128</v>
      </c>
      <c r="CE147" s="497">
        <v>40377944</v>
      </c>
    </row>
    <row r="148" spans="1:83" x14ac:dyDescent="0.25">
      <c r="A148" s="635">
        <v>389</v>
      </c>
      <c r="B148" s="752">
        <v>389</v>
      </c>
      <c r="C148" s="635" t="s">
        <v>261</v>
      </c>
      <c r="D148" s="635" t="s">
        <v>530</v>
      </c>
      <c r="E148" s="497">
        <v>0</v>
      </c>
      <c r="F148" s="497">
        <v>0</v>
      </c>
      <c r="G148" s="497">
        <v>0</v>
      </c>
      <c r="H148" s="497">
        <v>0</v>
      </c>
      <c r="I148" s="497">
        <v>0</v>
      </c>
      <c r="J148" s="497">
        <v>0</v>
      </c>
      <c r="K148" s="497">
        <v>0</v>
      </c>
      <c r="L148" s="497">
        <v>0</v>
      </c>
      <c r="M148" s="497">
        <v>0</v>
      </c>
      <c r="N148" s="497">
        <v>0</v>
      </c>
      <c r="O148" s="497">
        <v>0</v>
      </c>
      <c r="P148" s="497">
        <v>0</v>
      </c>
      <c r="Q148" s="497">
        <v>0</v>
      </c>
      <c r="R148" s="497">
        <v>0</v>
      </c>
      <c r="S148" s="497">
        <v>0</v>
      </c>
      <c r="T148" s="497">
        <v>0</v>
      </c>
      <c r="U148" s="497">
        <v>0</v>
      </c>
      <c r="V148" s="497">
        <v>0</v>
      </c>
      <c r="W148" s="497">
        <v>0</v>
      </c>
      <c r="X148" s="497">
        <v>0</v>
      </c>
      <c r="Y148" s="497">
        <v>0</v>
      </c>
      <c r="Z148" s="497">
        <v>0</v>
      </c>
      <c r="AA148" s="497">
        <v>0</v>
      </c>
      <c r="AB148" s="497">
        <v>0</v>
      </c>
      <c r="AC148" s="497">
        <v>0</v>
      </c>
      <c r="AD148" s="497">
        <v>0</v>
      </c>
      <c r="AE148" s="497">
        <v>0</v>
      </c>
      <c r="AF148" s="497">
        <v>0</v>
      </c>
      <c r="AG148" s="497">
        <v>0</v>
      </c>
      <c r="AH148" s="497">
        <v>0</v>
      </c>
      <c r="AI148" s="497">
        <v>0</v>
      </c>
      <c r="AJ148" s="497">
        <v>0</v>
      </c>
      <c r="AK148" s="497">
        <v>0</v>
      </c>
      <c r="AL148" s="497">
        <v>0</v>
      </c>
      <c r="AM148" s="497">
        <v>0</v>
      </c>
      <c r="AN148" s="497">
        <v>0</v>
      </c>
      <c r="AO148" s="497">
        <v>0</v>
      </c>
      <c r="AP148" s="497">
        <v>0</v>
      </c>
      <c r="AQ148" s="497">
        <v>0</v>
      </c>
      <c r="AR148" s="497">
        <v>0</v>
      </c>
      <c r="AS148" s="497">
        <v>0</v>
      </c>
      <c r="AT148" s="497">
        <v>0</v>
      </c>
      <c r="AU148" s="497">
        <v>0</v>
      </c>
      <c r="AV148" s="497">
        <v>0</v>
      </c>
      <c r="AW148" s="497">
        <v>0</v>
      </c>
      <c r="AX148" s="497">
        <v>0</v>
      </c>
      <c r="AY148" s="497">
        <v>0</v>
      </c>
      <c r="AZ148" s="497">
        <v>0</v>
      </c>
      <c r="BA148" s="497">
        <v>0</v>
      </c>
      <c r="BB148" s="497">
        <v>0</v>
      </c>
      <c r="BC148" s="497">
        <v>0</v>
      </c>
      <c r="BD148" s="497">
        <v>0</v>
      </c>
      <c r="BE148" s="497">
        <v>0</v>
      </c>
      <c r="BF148" s="497">
        <v>0</v>
      </c>
      <c r="BG148" s="497">
        <v>0</v>
      </c>
      <c r="BH148" s="497">
        <v>0</v>
      </c>
      <c r="BI148" s="497">
        <v>0</v>
      </c>
      <c r="BJ148" s="497">
        <v>0</v>
      </c>
      <c r="BK148" s="497">
        <v>0</v>
      </c>
      <c r="BL148" s="497">
        <v>0</v>
      </c>
      <c r="BM148" s="497">
        <v>0</v>
      </c>
      <c r="BN148" s="497">
        <v>-569930</v>
      </c>
      <c r="BO148" s="497">
        <v>0</v>
      </c>
      <c r="BP148" s="497">
        <v>0</v>
      </c>
      <c r="BQ148" s="497">
        <v>0</v>
      </c>
      <c r="BR148" s="497">
        <v>0</v>
      </c>
      <c r="BS148" s="497">
        <v>0</v>
      </c>
      <c r="BT148" s="497">
        <v>0</v>
      </c>
      <c r="BU148" s="497">
        <v>0</v>
      </c>
      <c r="BV148" s="497">
        <v>0</v>
      </c>
      <c r="BW148" s="497">
        <v>0</v>
      </c>
      <c r="BX148" s="497">
        <v>0</v>
      </c>
      <c r="BY148" s="497">
        <v>0</v>
      </c>
      <c r="BZ148" s="497">
        <v>0</v>
      </c>
      <c r="CA148" s="497">
        <v>0</v>
      </c>
      <c r="CB148" s="497">
        <v>0</v>
      </c>
      <c r="CC148" s="497">
        <v>0</v>
      </c>
      <c r="CD148" s="497">
        <v>0</v>
      </c>
      <c r="CE148" s="497">
        <v>0</v>
      </c>
    </row>
    <row r="149" spans="1:83" x14ac:dyDescent="0.25">
      <c r="A149" s="635">
        <v>391</v>
      </c>
      <c r="B149" s="752">
        <v>391</v>
      </c>
      <c r="C149" s="635" t="s">
        <v>266</v>
      </c>
      <c r="D149" s="635" t="s">
        <v>531</v>
      </c>
      <c r="E149" s="497">
        <v>151350</v>
      </c>
      <c r="F149" s="497">
        <v>370624</v>
      </c>
      <c r="G149" s="497">
        <v>39154</v>
      </c>
      <c r="H149" s="497">
        <v>82891</v>
      </c>
      <c r="I149" s="497">
        <v>80712</v>
      </c>
      <c r="J149" s="497">
        <v>10068</v>
      </c>
      <c r="K149" s="497">
        <v>7113</v>
      </c>
      <c r="L149" s="497">
        <v>9088</v>
      </c>
      <c r="M149" s="497">
        <v>597274</v>
      </c>
      <c r="N149" s="497">
        <v>19162377</v>
      </c>
      <c r="O149" s="497">
        <v>136959</v>
      </c>
      <c r="P149" s="497">
        <v>826416</v>
      </c>
      <c r="Q149" s="497">
        <v>88154</v>
      </c>
      <c r="R149" s="497">
        <v>1125457</v>
      </c>
      <c r="S149" s="497">
        <v>11692</v>
      </c>
      <c r="T149" s="497">
        <v>12385</v>
      </c>
      <c r="U149" s="497">
        <v>162500</v>
      </c>
      <c r="V149" s="497">
        <v>100408</v>
      </c>
      <c r="W149" s="497">
        <v>425285</v>
      </c>
      <c r="X149" s="497">
        <v>271351</v>
      </c>
      <c r="Y149" s="497">
        <v>127058</v>
      </c>
      <c r="Z149" s="497">
        <v>105540</v>
      </c>
      <c r="AA149" s="497">
        <v>2535865</v>
      </c>
      <c r="AB149" s="497">
        <v>200119</v>
      </c>
      <c r="AC149" s="497">
        <v>104183</v>
      </c>
      <c r="AD149" s="497">
        <v>3688276</v>
      </c>
      <c r="AE149" s="497">
        <v>49678</v>
      </c>
      <c r="AF149" s="497">
        <v>0</v>
      </c>
      <c r="AG149" s="497">
        <v>9753921</v>
      </c>
      <c r="AH149" s="497">
        <v>20688</v>
      </c>
      <c r="AI149" s="497">
        <v>23267</v>
      </c>
      <c r="AJ149" s="497">
        <v>519180</v>
      </c>
      <c r="AK149" s="497">
        <v>84677</v>
      </c>
      <c r="AL149" s="497">
        <v>85207</v>
      </c>
      <c r="AM149" s="497">
        <v>0</v>
      </c>
      <c r="AN149" s="497">
        <v>17105</v>
      </c>
      <c r="AO149" s="497">
        <v>2179102</v>
      </c>
      <c r="AP149" s="497">
        <v>1850</v>
      </c>
      <c r="AQ149" s="497">
        <v>430021</v>
      </c>
      <c r="AR149" s="497">
        <v>346194</v>
      </c>
      <c r="AS149" s="497">
        <v>6920</v>
      </c>
      <c r="AT149" s="497">
        <v>474532</v>
      </c>
      <c r="AU149" s="497">
        <v>36610</v>
      </c>
      <c r="AV149" s="497">
        <v>32000861</v>
      </c>
      <c r="AW149" s="497">
        <v>8067547</v>
      </c>
      <c r="AX149" s="497">
        <v>179434</v>
      </c>
      <c r="AY149" s="497">
        <v>84369</v>
      </c>
      <c r="AZ149" s="497">
        <v>20054</v>
      </c>
      <c r="BA149" s="497">
        <v>11401</v>
      </c>
      <c r="BB149" s="497">
        <v>0</v>
      </c>
      <c r="BC149" s="497">
        <v>579429</v>
      </c>
      <c r="BD149" s="497">
        <v>35614</v>
      </c>
      <c r="BE149" s="497">
        <v>18530</v>
      </c>
      <c r="BF149" s="497">
        <v>8171</v>
      </c>
      <c r="BG149" s="497">
        <v>999685</v>
      </c>
      <c r="BH149" s="497">
        <v>1175</v>
      </c>
      <c r="BI149" s="497">
        <v>2018859</v>
      </c>
      <c r="BJ149" s="497">
        <v>279533</v>
      </c>
      <c r="BK149" s="497">
        <v>9033</v>
      </c>
      <c r="BL149" s="497">
        <v>18584</v>
      </c>
      <c r="BM149" s="497">
        <v>1445244</v>
      </c>
      <c r="BN149" s="497">
        <v>2117460</v>
      </c>
      <c r="BO149" s="497">
        <v>287477</v>
      </c>
      <c r="BP149" s="497">
        <v>6884679</v>
      </c>
      <c r="BQ149" s="497">
        <v>12294000</v>
      </c>
      <c r="BR149" s="497">
        <v>18847</v>
      </c>
      <c r="BS149" s="497">
        <v>351822</v>
      </c>
      <c r="BT149" s="497">
        <v>85138</v>
      </c>
      <c r="BU149" s="497">
        <v>3375414</v>
      </c>
      <c r="BV149" s="497">
        <v>14162</v>
      </c>
      <c r="BW149" s="497">
        <v>33143</v>
      </c>
      <c r="BX149" s="497">
        <v>124472</v>
      </c>
      <c r="BY149" s="497">
        <v>0</v>
      </c>
      <c r="BZ149" s="497">
        <v>4128858</v>
      </c>
      <c r="CA149" s="497">
        <v>52516</v>
      </c>
      <c r="CB149" s="497">
        <v>1874430</v>
      </c>
      <c r="CC149" s="497">
        <v>63093</v>
      </c>
      <c r="CD149" s="497">
        <v>266593</v>
      </c>
      <c r="CE149" s="497">
        <v>11188265</v>
      </c>
    </row>
    <row r="150" spans="1:83" x14ac:dyDescent="0.25">
      <c r="A150" s="635">
        <v>500</v>
      </c>
      <c r="B150" s="752">
        <v>500</v>
      </c>
      <c r="C150" s="635" t="s">
        <v>248</v>
      </c>
      <c r="D150" s="635" t="s">
        <v>532</v>
      </c>
      <c r="E150" s="497">
        <v>474215</v>
      </c>
      <c r="F150" s="497">
        <v>121643</v>
      </c>
      <c r="G150" s="497">
        <v>0</v>
      </c>
      <c r="H150" s="497">
        <v>18118</v>
      </c>
      <c r="I150" s="497">
        <v>165000</v>
      </c>
      <c r="J150" s="497">
        <v>9829</v>
      </c>
      <c r="K150" s="497">
        <v>25317</v>
      </c>
      <c r="L150" s="497">
        <v>202684</v>
      </c>
      <c r="M150" s="497">
        <v>662356</v>
      </c>
      <c r="N150" s="497">
        <v>29265447</v>
      </c>
      <c r="O150" s="497">
        <v>0</v>
      </c>
      <c r="P150" s="497">
        <v>571851</v>
      </c>
      <c r="Q150" s="497">
        <v>24828</v>
      </c>
      <c r="R150" s="497">
        <v>776441</v>
      </c>
      <c r="S150" s="497">
        <v>3228</v>
      </c>
      <c r="T150" s="497">
        <v>59067</v>
      </c>
      <c r="U150" s="497">
        <v>76161</v>
      </c>
      <c r="V150" s="497">
        <v>0</v>
      </c>
      <c r="W150" s="497">
        <v>664177</v>
      </c>
      <c r="X150" s="497">
        <v>24449</v>
      </c>
      <c r="Y150" s="497">
        <v>13674</v>
      </c>
      <c r="Z150" s="497">
        <v>199205</v>
      </c>
      <c r="AA150" s="497">
        <v>18582248</v>
      </c>
      <c r="AB150" s="497">
        <v>3073405</v>
      </c>
      <c r="AC150" s="497">
        <v>16890</v>
      </c>
      <c r="AD150" s="497">
        <v>0</v>
      </c>
      <c r="AE150" s="497">
        <v>78145</v>
      </c>
      <c r="AF150" s="497">
        <v>0</v>
      </c>
      <c r="AG150" s="497">
        <v>9411339</v>
      </c>
      <c r="AH150" s="497">
        <v>41500</v>
      </c>
      <c r="AI150" s="497">
        <v>30347</v>
      </c>
      <c r="AJ150" s="497">
        <v>322370</v>
      </c>
      <c r="AK150" s="497">
        <v>57654</v>
      </c>
      <c r="AL150" s="497">
        <v>20447</v>
      </c>
      <c r="AM150" s="497">
        <v>0</v>
      </c>
      <c r="AN150" s="497">
        <v>105449</v>
      </c>
      <c r="AO150" s="497">
        <v>372650</v>
      </c>
      <c r="AP150" s="497">
        <v>0</v>
      </c>
      <c r="AQ150" s="497">
        <v>14713</v>
      </c>
      <c r="AR150" s="497">
        <v>52377</v>
      </c>
      <c r="AS150" s="497">
        <v>0</v>
      </c>
      <c r="AT150" s="497">
        <v>673950</v>
      </c>
      <c r="AU150" s="497">
        <v>172096</v>
      </c>
      <c r="AV150" s="497">
        <v>99602240</v>
      </c>
      <c r="AW150" s="497">
        <v>10117078</v>
      </c>
      <c r="AX150" s="497">
        <v>22947</v>
      </c>
      <c r="AY150" s="497">
        <v>13891</v>
      </c>
      <c r="AZ150" s="497">
        <v>78342</v>
      </c>
      <c r="BA150" s="497">
        <v>81673</v>
      </c>
      <c r="BB150" s="497">
        <v>0</v>
      </c>
      <c r="BC150" s="497">
        <v>44431</v>
      </c>
      <c r="BD150" s="497">
        <v>0</v>
      </c>
      <c r="BE150" s="497">
        <v>37579</v>
      </c>
      <c r="BF150" s="497">
        <v>13654</v>
      </c>
      <c r="BG150" s="497">
        <v>981845</v>
      </c>
      <c r="BH150" s="497">
        <v>20370</v>
      </c>
      <c r="BI150" s="497">
        <v>894968</v>
      </c>
      <c r="BJ150" s="497">
        <v>1926531</v>
      </c>
      <c r="BK150" s="497">
        <v>84063</v>
      </c>
      <c r="BL150" s="497">
        <v>0</v>
      </c>
      <c r="BM150" s="497">
        <v>1122905</v>
      </c>
      <c r="BN150" s="497">
        <v>773634</v>
      </c>
      <c r="BO150" s="497">
        <v>339241</v>
      </c>
      <c r="BP150" s="497">
        <v>8482514</v>
      </c>
      <c r="BQ150" s="497">
        <v>14600614</v>
      </c>
      <c r="BR150" s="497">
        <v>6383</v>
      </c>
      <c r="BS150" s="497">
        <v>4712145</v>
      </c>
      <c r="BT150" s="497">
        <v>218347</v>
      </c>
      <c r="BU150" s="497">
        <v>1526561</v>
      </c>
      <c r="BV150" s="497">
        <v>67992</v>
      </c>
      <c r="BW150" s="497">
        <v>136238</v>
      </c>
      <c r="BX150" s="497">
        <v>0</v>
      </c>
      <c r="BY150" s="497">
        <v>0</v>
      </c>
      <c r="BZ150" s="497">
        <v>5638175</v>
      </c>
      <c r="CA150" s="497">
        <v>27266</v>
      </c>
      <c r="CB150" s="497">
        <v>29194</v>
      </c>
      <c r="CC150" s="497">
        <v>72955</v>
      </c>
      <c r="CD150" s="497">
        <v>226867</v>
      </c>
      <c r="CE150" s="497">
        <v>13557579</v>
      </c>
    </row>
    <row r="151" spans="1:83" x14ac:dyDescent="0.25">
      <c r="B151" s="752">
        <v>501</v>
      </c>
      <c r="C151" s="635" t="s">
        <v>250</v>
      </c>
      <c r="D151" s="635" t="s">
        <v>533</v>
      </c>
      <c r="E151" s="497">
        <v>0</v>
      </c>
      <c r="F151" s="497">
        <v>0</v>
      </c>
      <c r="G151" s="497">
        <v>0</v>
      </c>
      <c r="H151" s="497">
        <v>0</v>
      </c>
      <c r="I151" s="497">
        <v>0</v>
      </c>
      <c r="J151" s="497">
        <v>0</v>
      </c>
      <c r="K151" s="497">
        <v>0</v>
      </c>
      <c r="L151" s="497">
        <v>0</v>
      </c>
      <c r="M151" s="497">
        <v>0</v>
      </c>
      <c r="N151" s="497">
        <v>0</v>
      </c>
      <c r="O151" s="497">
        <v>0</v>
      </c>
      <c r="P151" s="497">
        <v>0</v>
      </c>
      <c r="Q151" s="497">
        <v>0</v>
      </c>
      <c r="R151" s="497">
        <v>0</v>
      </c>
      <c r="S151" s="497">
        <v>0</v>
      </c>
      <c r="T151" s="497">
        <v>0</v>
      </c>
      <c r="U151" s="497">
        <v>0</v>
      </c>
      <c r="V151" s="497">
        <v>0</v>
      </c>
      <c r="W151" s="497">
        <v>0</v>
      </c>
      <c r="X151" s="497">
        <v>0</v>
      </c>
      <c r="Y151" s="497">
        <v>0</v>
      </c>
      <c r="Z151" s="497">
        <v>0</v>
      </c>
      <c r="AA151" s="497">
        <v>0</v>
      </c>
      <c r="AB151" s="497">
        <v>0</v>
      </c>
      <c r="AC151" s="497">
        <v>0</v>
      </c>
      <c r="AD151" s="497">
        <v>0</v>
      </c>
      <c r="AE151" s="497">
        <v>0</v>
      </c>
      <c r="AF151" s="497">
        <v>0</v>
      </c>
      <c r="AG151" s="497">
        <v>0</v>
      </c>
      <c r="AH151" s="497">
        <v>0</v>
      </c>
      <c r="AI151" s="497">
        <v>0</v>
      </c>
      <c r="AJ151" s="497">
        <v>0</v>
      </c>
      <c r="AK151" s="497">
        <v>0</v>
      </c>
      <c r="AL151" s="497">
        <v>0</v>
      </c>
      <c r="AM151" s="497">
        <v>0</v>
      </c>
      <c r="AN151" s="497">
        <v>0</v>
      </c>
      <c r="AO151" s="497">
        <v>0</v>
      </c>
      <c r="AP151" s="497">
        <v>0</v>
      </c>
      <c r="AQ151" s="497">
        <v>0</v>
      </c>
      <c r="AR151" s="497">
        <v>0</v>
      </c>
      <c r="AS151" s="497">
        <v>0</v>
      </c>
      <c r="AT151" s="497">
        <v>0</v>
      </c>
      <c r="AU151" s="497">
        <v>0</v>
      </c>
      <c r="AV151" s="497">
        <v>0</v>
      </c>
      <c r="AW151" s="497">
        <v>0</v>
      </c>
      <c r="AX151" s="497">
        <v>0</v>
      </c>
      <c r="AY151" s="497">
        <v>0</v>
      </c>
      <c r="AZ151" s="497">
        <v>0</v>
      </c>
      <c r="BA151" s="497">
        <v>0</v>
      </c>
      <c r="BB151" s="497">
        <v>0</v>
      </c>
      <c r="BC151" s="497">
        <v>0</v>
      </c>
      <c r="BD151" s="497">
        <v>0</v>
      </c>
      <c r="BE151" s="497">
        <v>0</v>
      </c>
      <c r="BF151" s="497">
        <v>0</v>
      </c>
      <c r="BG151" s="497">
        <v>0</v>
      </c>
      <c r="BH151" s="497">
        <v>0</v>
      </c>
      <c r="BI151" s="497">
        <v>0</v>
      </c>
      <c r="BJ151" s="497">
        <v>0</v>
      </c>
      <c r="BK151" s="497">
        <v>0</v>
      </c>
      <c r="BL151" s="497">
        <v>0</v>
      </c>
      <c r="BM151" s="497">
        <v>0</v>
      </c>
      <c r="BN151" s="497">
        <v>0</v>
      </c>
      <c r="BO151" s="497">
        <v>0</v>
      </c>
      <c r="BP151" s="497">
        <v>0</v>
      </c>
      <c r="BQ151" s="497">
        <v>0</v>
      </c>
      <c r="BR151" s="497">
        <v>0</v>
      </c>
      <c r="BS151" s="497">
        <v>0</v>
      </c>
      <c r="BT151" s="497">
        <v>0</v>
      </c>
      <c r="BU151" s="497">
        <v>0</v>
      </c>
      <c r="BV151" s="497">
        <v>0</v>
      </c>
      <c r="BW151" s="497">
        <v>0</v>
      </c>
      <c r="BX151" s="497">
        <v>0</v>
      </c>
      <c r="BY151" s="497">
        <v>0</v>
      </c>
      <c r="BZ151" s="497">
        <v>0</v>
      </c>
      <c r="CA151" s="497">
        <v>0</v>
      </c>
      <c r="CB151" s="497">
        <v>0</v>
      </c>
      <c r="CC151" s="497">
        <v>0</v>
      </c>
      <c r="CD151" s="497">
        <v>0</v>
      </c>
      <c r="CE151" s="497">
        <v>0</v>
      </c>
    </row>
    <row r="152" spans="1:83" x14ac:dyDescent="0.25">
      <c r="A152" s="635">
        <v>502</v>
      </c>
      <c r="B152" s="752">
        <v>502</v>
      </c>
      <c r="C152" s="635" t="s">
        <v>251</v>
      </c>
      <c r="D152" s="635" t="s">
        <v>534</v>
      </c>
      <c r="E152" s="497">
        <v>157324</v>
      </c>
      <c r="F152" s="497">
        <v>111156</v>
      </c>
      <c r="G152" s="497">
        <v>0</v>
      </c>
      <c r="H152" s="497">
        <v>798725</v>
      </c>
      <c r="I152" s="497">
        <v>358526</v>
      </c>
      <c r="J152" s="497">
        <v>0</v>
      </c>
      <c r="K152" s="497">
        <v>0</v>
      </c>
      <c r="L152" s="497">
        <v>171528</v>
      </c>
      <c r="M152" s="497">
        <v>3975374</v>
      </c>
      <c r="N152" s="497">
        <v>27846857</v>
      </c>
      <c r="O152" s="497">
        <v>0</v>
      </c>
      <c r="P152" s="497">
        <v>0</v>
      </c>
      <c r="Q152" s="497">
        <v>19</v>
      </c>
      <c r="R152" s="497">
        <v>10719832</v>
      </c>
      <c r="S152" s="497">
        <v>0</v>
      </c>
      <c r="T152" s="497">
        <v>1148319</v>
      </c>
      <c r="U152" s="497">
        <v>945649</v>
      </c>
      <c r="V152" s="497">
        <v>808080</v>
      </c>
      <c r="W152" s="497">
        <v>3041566</v>
      </c>
      <c r="X152" s="497">
        <v>0</v>
      </c>
      <c r="Y152" s="497">
        <v>337378</v>
      </c>
      <c r="Z152" s="497">
        <v>167641</v>
      </c>
      <c r="AA152" s="497">
        <v>18912525</v>
      </c>
      <c r="AB152" s="497">
        <v>1186</v>
      </c>
      <c r="AC152" s="497">
        <v>441058</v>
      </c>
      <c r="AD152" s="497">
        <v>0</v>
      </c>
      <c r="AE152" s="497">
        <v>0</v>
      </c>
      <c r="AF152" s="497">
        <v>0</v>
      </c>
      <c r="AG152" s="497">
        <v>43589317</v>
      </c>
      <c r="AH152" s="497">
        <v>318</v>
      </c>
      <c r="AI152" s="497">
        <v>209421</v>
      </c>
      <c r="AJ152" s="497">
        <v>1839007</v>
      </c>
      <c r="AK152" s="497">
        <v>90602</v>
      </c>
      <c r="AL152" s="497">
        <v>89036</v>
      </c>
      <c r="AM152" s="497">
        <v>0</v>
      </c>
      <c r="AN152" s="497">
        <v>244501</v>
      </c>
      <c r="AO152" s="497">
        <v>10556267</v>
      </c>
      <c r="AP152" s="497">
        <v>0</v>
      </c>
      <c r="AQ152" s="497">
        <v>5390384</v>
      </c>
      <c r="AR152" s="497">
        <v>0</v>
      </c>
      <c r="AS152" s="497">
        <v>0</v>
      </c>
      <c r="AT152" s="497">
        <v>1720646</v>
      </c>
      <c r="AU152" s="497">
        <v>118257</v>
      </c>
      <c r="AV152" s="497">
        <v>80553554</v>
      </c>
      <c r="AW152" s="497">
        <v>135346280</v>
      </c>
      <c r="AX152" s="497">
        <v>421477</v>
      </c>
      <c r="AY152" s="497">
        <v>117616</v>
      </c>
      <c r="AZ152" s="497">
        <v>167993</v>
      </c>
      <c r="BA152" s="497">
        <v>58740</v>
      </c>
      <c r="BB152" s="497">
        <v>0</v>
      </c>
      <c r="BC152" s="497">
        <v>3404026</v>
      </c>
      <c r="BD152" s="497">
        <v>494755</v>
      </c>
      <c r="BE152" s="497">
        <v>0</v>
      </c>
      <c r="BF152" s="497">
        <v>149525</v>
      </c>
      <c r="BG152" s="497">
        <v>10536229</v>
      </c>
      <c r="BH152" s="497">
        <v>0</v>
      </c>
      <c r="BI152" s="497">
        <v>10612560</v>
      </c>
      <c r="BJ152" s="497">
        <v>984676</v>
      </c>
      <c r="BK152" s="497">
        <v>0</v>
      </c>
      <c r="BL152" s="497">
        <v>0</v>
      </c>
      <c r="BM152" s="497">
        <v>27036930</v>
      </c>
      <c r="BN152" s="497">
        <v>14445199</v>
      </c>
      <c r="BO152" s="497">
        <v>1370028</v>
      </c>
      <c r="BP152" s="497">
        <v>40869631</v>
      </c>
      <c r="BQ152" s="497">
        <v>170217203</v>
      </c>
      <c r="BR152" s="497">
        <v>82800</v>
      </c>
      <c r="BS152" s="497">
        <v>7173608</v>
      </c>
      <c r="BT152" s="497">
        <v>0</v>
      </c>
      <c r="BU152" s="497">
        <v>12523596</v>
      </c>
      <c r="BV152" s="497">
        <v>624264</v>
      </c>
      <c r="BW152" s="497">
        <v>1095</v>
      </c>
      <c r="BX152" s="497">
        <v>2946506</v>
      </c>
      <c r="BY152" s="497">
        <v>0</v>
      </c>
      <c r="BZ152" s="497">
        <v>39344098</v>
      </c>
      <c r="CA152" s="497">
        <v>753212</v>
      </c>
      <c r="CB152" s="497">
        <v>0</v>
      </c>
      <c r="CC152" s="497">
        <v>108797</v>
      </c>
      <c r="CD152" s="497">
        <v>0</v>
      </c>
      <c r="CE152" s="497">
        <v>2839057</v>
      </c>
    </row>
    <row r="153" spans="1:83" x14ac:dyDescent="0.25">
      <c r="A153" s="635">
        <v>503</v>
      </c>
      <c r="B153" s="752">
        <v>503</v>
      </c>
      <c r="C153" s="635" t="s">
        <v>252</v>
      </c>
      <c r="D153" s="635" t="s">
        <v>535</v>
      </c>
      <c r="E153" s="497">
        <v>135149</v>
      </c>
      <c r="F153" s="497">
        <v>0</v>
      </c>
      <c r="G153" s="497">
        <v>0</v>
      </c>
      <c r="H153" s="497">
        <v>41424</v>
      </c>
      <c r="I153" s="497">
        <v>70452</v>
      </c>
      <c r="J153" s="497">
        <v>0</v>
      </c>
      <c r="K153" s="497">
        <v>0</v>
      </c>
      <c r="L153" s="497">
        <v>2900</v>
      </c>
      <c r="M153" s="497">
        <v>735238</v>
      </c>
      <c r="N153" s="497">
        <v>5288356</v>
      </c>
      <c r="O153" s="497">
        <v>0</v>
      </c>
      <c r="P153" s="497">
        <v>0</v>
      </c>
      <c r="Q153" s="497">
        <v>400</v>
      </c>
      <c r="R153" s="497">
        <v>625411</v>
      </c>
      <c r="S153" s="497">
        <v>0</v>
      </c>
      <c r="T153" s="497">
        <v>56311</v>
      </c>
      <c r="U153" s="497">
        <v>83548</v>
      </c>
      <c r="V153" s="497">
        <v>0</v>
      </c>
      <c r="W153" s="497">
        <v>39165</v>
      </c>
      <c r="X153" s="497">
        <v>0</v>
      </c>
      <c r="Y153" s="497">
        <v>38860</v>
      </c>
      <c r="Z153" s="497">
        <v>76384</v>
      </c>
      <c r="AA153" s="497">
        <v>5224140</v>
      </c>
      <c r="AB153" s="497">
        <v>0</v>
      </c>
      <c r="AC153" s="497">
        <v>41034</v>
      </c>
      <c r="AD153" s="497">
        <v>0</v>
      </c>
      <c r="AE153" s="497">
        <v>0</v>
      </c>
      <c r="AF153" s="497">
        <v>0</v>
      </c>
      <c r="AG153" s="497">
        <v>2715858</v>
      </c>
      <c r="AH153" s="497">
        <v>1959</v>
      </c>
      <c r="AI153" s="497">
        <v>0</v>
      </c>
      <c r="AJ153" s="497">
        <v>178331</v>
      </c>
      <c r="AK153" s="497">
        <v>0</v>
      </c>
      <c r="AL153" s="497">
        <v>5800</v>
      </c>
      <c r="AM153" s="497">
        <v>0</v>
      </c>
      <c r="AN153" s="497">
        <v>3695</v>
      </c>
      <c r="AO153" s="497">
        <v>738136</v>
      </c>
      <c r="AP153" s="497">
        <v>0</v>
      </c>
      <c r="AQ153" s="497">
        <v>366284</v>
      </c>
      <c r="AR153" s="497">
        <v>0</v>
      </c>
      <c r="AS153" s="497">
        <v>0</v>
      </c>
      <c r="AT153" s="497">
        <v>81068</v>
      </c>
      <c r="AU153" s="497">
        <v>17730</v>
      </c>
      <c r="AV153" s="497">
        <v>93488883</v>
      </c>
      <c r="AW153" s="497">
        <v>60721561</v>
      </c>
      <c r="AX153" s="497">
        <v>181674</v>
      </c>
      <c r="AY153" s="497">
        <v>26048</v>
      </c>
      <c r="AZ153" s="497">
        <v>33474</v>
      </c>
      <c r="BA153" s="497">
        <v>0</v>
      </c>
      <c r="BB153" s="497">
        <v>0</v>
      </c>
      <c r="BC153" s="497">
        <v>0</v>
      </c>
      <c r="BD153" s="497">
        <v>19398</v>
      </c>
      <c r="BE153" s="497">
        <v>0</v>
      </c>
      <c r="BF153" s="497">
        <v>0</v>
      </c>
      <c r="BG153" s="497">
        <v>298861</v>
      </c>
      <c r="BH153" s="497">
        <v>0</v>
      </c>
      <c r="BI153" s="497">
        <v>363555</v>
      </c>
      <c r="BJ153" s="497">
        <v>91180</v>
      </c>
      <c r="BK153" s="497">
        <v>0</v>
      </c>
      <c r="BL153" s="497">
        <v>0</v>
      </c>
      <c r="BM153" s="497">
        <v>383972</v>
      </c>
      <c r="BN153" s="497">
        <v>0</v>
      </c>
      <c r="BO153" s="497">
        <v>135745</v>
      </c>
      <c r="BP153" s="497">
        <v>675690</v>
      </c>
      <c r="BQ153" s="497">
        <v>18607363</v>
      </c>
      <c r="BR153" s="497">
        <v>15575</v>
      </c>
      <c r="BS153" s="497">
        <v>50528</v>
      </c>
      <c r="BT153" s="497">
        <v>0</v>
      </c>
      <c r="BU153" s="497">
        <v>6288234</v>
      </c>
      <c r="BV153" s="497">
        <v>50915</v>
      </c>
      <c r="BW153" s="497">
        <v>0</v>
      </c>
      <c r="BX153" s="497">
        <v>189328</v>
      </c>
      <c r="BY153" s="497">
        <v>0</v>
      </c>
      <c r="BZ153" s="497">
        <v>1654932</v>
      </c>
      <c r="CA153" s="497">
        <v>125028</v>
      </c>
      <c r="CB153" s="497">
        <v>0</v>
      </c>
      <c r="CC153" s="497">
        <v>7740</v>
      </c>
      <c r="CD153" s="497">
        <v>0</v>
      </c>
      <c r="CE153" s="497">
        <v>261341</v>
      </c>
    </row>
    <row r="154" spans="1:83" x14ac:dyDescent="0.25">
      <c r="A154" s="635">
        <v>504</v>
      </c>
      <c r="B154" s="752">
        <v>504</v>
      </c>
      <c r="C154" s="635" t="s">
        <v>256</v>
      </c>
      <c r="D154" s="635" t="s">
        <v>536</v>
      </c>
      <c r="E154" s="497">
        <v>1059587</v>
      </c>
      <c r="F154" s="497">
        <v>399059</v>
      </c>
      <c r="G154" s="497">
        <v>5124</v>
      </c>
      <c r="H154" s="497">
        <v>42991</v>
      </c>
      <c r="I154" s="497">
        <v>92924</v>
      </c>
      <c r="J154" s="497">
        <v>10773</v>
      </c>
      <c r="K154" s="497">
        <v>2427</v>
      </c>
      <c r="L154" s="497">
        <v>25327</v>
      </c>
      <c r="M154" s="497">
        <v>270210</v>
      </c>
      <c r="N154" s="497">
        <v>14245027</v>
      </c>
      <c r="O154" s="497">
        <v>0</v>
      </c>
      <c r="P154" s="497">
        <v>270426</v>
      </c>
      <c r="Q154" s="497">
        <v>6643</v>
      </c>
      <c r="R154" s="497">
        <v>29330</v>
      </c>
      <c r="S154" s="497">
        <v>13322</v>
      </c>
      <c r="T154" s="497">
        <v>12868</v>
      </c>
      <c r="U154" s="497">
        <v>133721</v>
      </c>
      <c r="V154" s="497">
        <v>60</v>
      </c>
      <c r="W154" s="497">
        <v>1971</v>
      </c>
      <c r="X154" s="497">
        <v>169367</v>
      </c>
      <c r="Y154" s="497">
        <v>12000</v>
      </c>
      <c r="Z154" s="497">
        <v>125482</v>
      </c>
      <c r="AA154" s="497">
        <v>2745739</v>
      </c>
      <c r="AB154" s="497">
        <v>0</v>
      </c>
      <c r="AC154" s="497">
        <v>59560</v>
      </c>
      <c r="AD154" s="497">
        <v>881239</v>
      </c>
      <c r="AE154" s="497">
        <v>42468</v>
      </c>
      <c r="AF154" s="497">
        <v>0</v>
      </c>
      <c r="AG154" s="497">
        <v>4983881</v>
      </c>
      <c r="AH154" s="497">
        <v>9022</v>
      </c>
      <c r="AI154" s="497">
        <v>17328</v>
      </c>
      <c r="AJ154" s="497">
        <v>214584</v>
      </c>
      <c r="AK154" s="497">
        <v>78291</v>
      </c>
      <c r="AL154" s="497">
        <v>4180</v>
      </c>
      <c r="AM154" s="497">
        <v>0</v>
      </c>
      <c r="AN154" s="497">
        <v>11522</v>
      </c>
      <c r="AO154" s="497">
        <v>1113984</v>
      </c>
      <c r="AP154" s="497">
        <v>0</v>
      </c>
      <c r="AQ154" s="497">
        <v>51171</v>
      </c>
      <c r="AR154" s="497">
        <v>140434</v>
      </c>
      <c r="AS154" s="497">
        <v>0</v>
      </c>
      <c r="AT154" s="497">
        <v>57448</v>
      </c>
      <c r="AU154" s="497">
        <v>18491</v>
      </c>
      <c r="AV154" s="497">
        <v>21096423</v>
      </c>
      <c r="AW154" s="497">
        <v>3016824</v>
      </c>
      <c r="AX154" s="497">
        <v>145742</v>
      </c>
      <c r="AY154" s="497">
        <v>13150</v>
      </c>
      <c r="AZ154" s="497">
        <v>30983</v>
      </c>
      <c r="BA154" s="497">
        <v>65706</v>
      </c>
      <c r="BB154" s="497">
        <v>0</v>
      </c>
      <c r="BC154" s="497">
        <v>11634</v>
      </c>
      <c r="BD154" s="497">
        <v>14999</v>
      </c>
      <c r="BE154" s="497">
        <v>12133</v>
      </c>
      <c r="BF154" s="497">
        <v>2875</v>
      </c>
      <c r="BG154" s="497">
        <v>1663276</v>
      </c>
      <c r="BH154" s="497">
        <v>0</v>
      </c>
      <c r="BI154" s="497">
        <v>2763115</v>
      </c>
      <c r="BJ154" s="497">
        <v>78637</v>
      </c>
      <c r="BK154" s="497">
        <v>30399</v>
      </c>
      <c r="BL154" s="497">
        <v>0</v>
      </c>
      <c r="BM154" s="497">
        <v>685195</v>
      </c>
      <c r="BN154" s="497">
        <v>1338803</v>
      </c>
      <c r="BO154" s="497">
        <v>147751</v>
      </c>
      <c r="BP154" s="497">
        <v>3088376</v>
      </c>
      <c r="BQ154" s="497">
        <v>17108854</v>
      </c>
      <c r="BR154" s="497">
        <v>44101</v>
      </c>
      <c r="BS154" s="497">
        <v>776330</v>
      </c>
      <c r="BT154" s="497">
        <v>47102</v>
      </c>
      <c r="BU154" s="497">
        <v>221637</v>
      </c>
      <c r="BV154" s="497">
        <v>14426</v>
      </c>
      <c r="BW154" s="497">
        <v>338854</v>
      </c>
      <c r="BX154" s="497">
        <v>136274</v>
      </c>
      <c r="BY154" s="497">
        <v>0</v>
      </c>
      <c r="BZ154" s="497">
        <v>707806</v>
      </c>
      <c r="CA154" s="497">
        <v>33948</v>
      </c>
      <c r="CB154" s="497">
        <v>989728</v>
      </c>
      <c r="CC154" s="497">
        <v>22845</v>
      </c>
      <c r="CD154" s="497">
        <v>191304</v>
      </c>
      <c r="CE154" s="497">
        <v>6308078</v>
      </c>
    </row>
    <row r="155" spans="1:83" x14ac:dyDescent="0.25">
      <c r="A155" s="635">
        <v>505</v>
      </c>
      <c r="B155" s="752">
        <v>505</v>
      </c>
      <c r="C155" s="635" t="s">
        <v>257</v>
      </c>
      <c r="D155" s="635" t="s">
        <v>537</v>
      </c>
      <c r="E155" s="497">
        <v>1252358</v>
      </c>
      <c r="F155" s="497">
        <v>0</v>
      </c>
      <c r="G155" s="497">
        <v>0</v>
      </c>
      <c r="H155" s="497">
        <v>0</v>
      </c>
      <c r="I155" s="497">
        <v>7716</v>
      </c>
      <c r="J155" s="497">
        <v>231548</v>
      </c>
      <c r="K155" s="497">
        <v>0</v>
      </c>
      <c r="L155" s="497">
        <v>0</v>
      </c>
      <c r="M155" s="497">
        <v>613648</v>
      </c>
      <c r="N155" s="497">
        <v>4735025</v>
      </c>
      <c r="O155" s="497">
        <v>129529</v>
      </c>
      <c r="P155" s="497">
        <v>1154440</v>
      </c>
      <c r="Q155" s="497">
        <v>6065</v>
      </c>
      <c r="R155" s="497">
        <v>1032987</v>
      </c>
      <c r="S155" s="497">
        <v>0</v>
      </c>
      <c r="T155" s="497">
        <v>0</v>
      </c>
      <c r="U155" s="497">
        <v>35000</v>
      </c>
      <c r="V155" s="497">
        <v>42744</v>
      </c>
      <c r="W155" s="497">
        <v>136741</v>
      </c>
      <c r="X155" s="497">
        <v>0</v>
      </c>
      <c r="Y155" s="497">
        <v>125962</v>
      </c>
      <c r="Z155" s="497">
        <v>125000</v>
      </c>
      <c r="AA155" s="497">
        <v>16819702</v>
      </c>
      <c r="AB155" s="497">
        <v>0</v>
      </c>
      <c r="AC155" s="497">
        <v>0</v>
      </c>
      <c r="AD155" s="497">
        <v>331504</v>
      </c>
      <c r="AE155" s="497">
        <v>0</v>
      </c>
      <c r="AF155" s="497">
        <v>0</v>
      </c>
      <c r="AG155" s="497">
        <v>2938494</v>
      </c>
      <c r="AH155" s="497">
        <v>0</v>
      </c>
      <c r="AI155" s="497">
        <v>0</v>
      </c>
      <c r="AJ155" s="497">
        <v>74748</v>
      </c>
      <c r="AK155" s="497">
        <v>0</v>
      </c>
      <c r="AL155" s="497">
        <v>0</v>
      </c>
      <c r="AM155" s="497">
        <v>0</v>
      </c>
      <c r="AN155" s="497">
        <v>0</v>
      </c>
      <c r="AO155" s="497">
        <v>329586</v>
      </c>
      <c r="AP155" s="497">
        <v>0</v>
      </c>
      <c r="AQ155" s="497">
        <v>276332</v>
      </c>
      <c r="AR155" s="497">
        <v>277527</v>
      </c>
      <c r="AS155" s="497">
        <v>87176</v>
      </c>
      <c r="AT155" s="497">
        <v>0</v>
      </c>
      <c r="AU155" s="497">
        <v>0</v>
      </c>
      <c r="AV155" s="497">
        <v>6563624</v>
      </c>
      <c r="AW155" s="497">
        <v>8774719</v>
      </c>
      <c r="AX155" s="497">
        <v>0</v>
      </c>
      <c r="AY155" s="497">
        <v>0</v>
      </c>
      <c r="AZ155" s="497">
        <v>0</v>
      </c>
      <c r="BA155" s="497">
        <v>0</v>
      </c>
      <c r="BB155" s="497">
        <v>0</v>
      </c>
      <c r="BC155" s="497">
        <v>208169</v>
      </c>
      <c r="BD155" s="497">
        <v>0</v>
      </c>
      <c r="BE155" s="497">
        <v>0</v>
      </c>
      <c r="BF155" s="497">
        <v>0</v>
      </c>
      <c r="BG155" s="497">
        <v>2183597</v>
      </c>
      <c r="BH155" s="497">
        <v>0</v>
      </c>
      <c r="BI155" s="497">
        <v>1112954</v>
      </c>
      <c r="BJ155" s="497">
        <v>53686</v>
      </c>
      <c r="BK155" s="497">
        <v>146852</v>
      </c>
      <c r="BL155" s="497">
        <v>0</v>
      </c>
      <c r="BM155" s="497">
        <v>133000</v>
      </c>
      <c r="BN155" s="497">
        <v>271254</v>
      </c>
      <c r="BO155" s="497">
        <v>0</v>
      </c>
      <c r="BP155" s="497">
        <v>797726</v>
      </c>
      <c r="BQ155" s="497">
        <v>943019</v>
      </c>
      <c r="BR155" s="497">
        <v>0</v>
      </c>
      <c r="BS155" s="497">
        <v>553500</v>
      </c>
      <c r="BT155" s="497">
        <v>0</v>
      </c>
      <c r="BU155" s="497">
        <v>3379916</v>
      </c>
      <c r="BV155" s="497">
        <v>0</v>
      </c>
      <c r="BW155" s="497">
        <v>41614</v>
      </c>
      <c r="BX155" s="497">
        <v>0</v>
      </c>
      <c r="BY155" s="497">
        <v>0</v>
      </c>
      <c r="BZ155" s="497">
        <v>4194268</v>
      </c>
      <c r="CA155" s="497">
        <v>0</v>
      </c>
      <c r="CB155" s="497">
        <v>0</v>
      </c>
      <c r="CC155" s="497">
        <v>7615</v>
      </c>
      <c r="CD155" s="497">
        <v>119464</v>
      </c>
      <c r="CE155" s="497">
        <v>3846818</v>
      </c>
    </row>
    <row r="156" spans="1:83" x14ac:dyDescent="0.25">
      <c r="A156" s="635">
        <v>506</v>
      </c>
      <c r="B156" s="752">
        <v>506</v>
      </c>
      <c r="C156" s="635" t="s">
        <v>263</v>
      </c>
      <c r="D156" s="635" t="s">
        <v>538</v>
      </c>
      <c r="E156" s="497">
        <v>409601</v>
      </c>
      <c r="F156" s="497">
        <v>737056</v>
      </c>
      <c r="G156" s="497">
        <v>426750</v>
      </c>
      <c r="H156" s="497">
        <v>974918</v>
      </c>
      <c r="I156" s="497">
        <v>612745</v>
      </c>
      <c r="J156" s="497">
        <v>173652</v>
      </c>
      <c r="K156" s="497">
        <v>97959</v>
      </c>
      <c r="L156" s="497">
        <v>451483</v>
      </c>
      <c r="M156" s="497">
        <v>1946490</v>
      </c>
      <c r="N156" s="497">
        <v>64267389</v>
      </c>
      <c r="O156" s="497">
        <v>2747404</v>
      </c>
      <c r="P156" s="497">
        <v>3897399</v>
      </c>
      <c r="Q156" s="497">
        <v>101497</v>
      </c>
      <c r="R156" s="497">
        <v>4311690</v>
      </c>
      <c r="S156" s="497">
        <v>125495</v>
      </c>
      <c r="T156" s="497">
        <v>480095</v>
      </c>
      <c r="U156" s="497">
        <v>425445</v>
      </c>
      <c r="V156" s="497">
        <v>1030579</v>
      </c>
      <c r="W156" s="497">
        <v>2968894</v>
      </c>
      <c r="X156" s="497">
        <v>1012922</v>
      </c>
      <c r="Y156" s="497">
        <v>461121</v>
      </c>
      <c r="Z156" s="497">
        <v>172128</v>
      </c>
      <c r="AA156" s="497">
        <v>22503266</v>
      </c>
      <c r="AB156" s="497">
        <v>4089872</v>
      </c>
      <c r="AC156" s="497">
        <v>706874</v>
      </c>
      <c r="AD156" s="497">
        <v>26710575</v>
      </c>
      <c r="AE156" s="497">
        <v>400595</v>
      </c>
      <c r="AF156" s="497">
        <v>0</v>
      </c>
      <c r="AG156" s="497">
        <v>23492605</v>
      </c>
      <c r="AH156" s="497">
        <v>823858</v>
      </c>
      <c r="AI156" s="497">
        <v>281499</v>
      </c>
      <c r="AJ156" s="497">
        <v>2387105</v>
      </c>
      <c r="AK156" s="497">
        <v>735914</v>
      </c>
      <c r="AL156" s="497">
        <v>38623</v>
      </c>
      <c r="AM156" s="497">
        <v>0</v>
      </c>
      <c r="AN156" s="497">
        <v>559548</v>
      </c>
      <c r="AO156" s="497">
        <v>9308209</v>
      </c>
      <c r="AP156" s="497">
        <v>50284</v>
      </c>
      <c r="AQ156" s="497">
        <v>2886787</v>
      </c>
      <c r="AR156" s="497">
        <v>1974749</v>
      </c>
      <c r="AS156" s="497">
        <v>196759</v>
      </c>
      <c r="AT156" s="497">
        <v>564113</v>
      </c>
      <c r="AU156" s="497">
        <v>466810</v>
      </c>
      <c r="AV156" s="497">
        <v>48810690</v>
      </c>
      <c r="AW156" s="497">
        <v>18298574</v>
      </c>
      <c r="AX156" s="497">
        <v>638869</v>
      </c>
      <c r="AY156" s="497">
        <v>234847</v>
      </c>
      <c r="AZ156" s="497">
        <v>241793</v>
      </c>
      <c r="BA156" s="497">
        <v>95057</v>
      </c>
      <c r="BB156" s="497">
        <v>0</v>
      </c>
      <c r="BC156" s="497">
        <v>2616300</v>
      </c>
      <c r="BD156" s="497">
        <v>1117806</v>
      </c>
      <c r="BE156" s="497">
        <v>194170</v>
      </c>
      <c r="BF156" s="497">
        <v>113502</v>
      </c>
      <c r="BG156" s="497">
        <v>4960640</v>
      </c>
      <c r="BH156" s="497">
        <v>61413</v>
      </c>
      <c r="BI156" s="497">
        <v>9717278</v>
      </c>
      <c r="BJ156" s="497">
        <v>372065</v>
      </c>
      <c r="BK156" s="497">
        <v>398002</v>
      </c>
      <c r="BL156" s="497">
        <v>478727</v>
      </c>
      <c r="BM156" s="497">
        <v>10365408</v>
      </c>
      <c r="BN156" s="497">
        <v>5725869</v>
      </c>
      <c r="BO156" s="497">
        <v>1436647</v>
      </c>
      <c r="BP156" s="497">
        <v>33338868</v>
      </c>
      <c r="BQ156" s="497">
        <v>21991058</v>
      </c>
      <c r="BR156" s="497">
        <v>230131</v>
      </c>
      <c r="BS156" s="497">
        <v>3855727</v>
      </c>
      <c r="BT156" s="497">
        <v>2452329</v>
      </c>
      <c r="BU156" s="497">
        <v>5199110</v>
      </c>
      <c r="BV156" s="497">
        <v>236798</v>
      </c>
      <c r="BW156" s="497">
        <v>940912</v>
      </c>
      <c r="BX156" s="497">
        <v>2566152</v>
      </c>
      <c r="BY156" s="497">
        <v>0</v>
      </c>
      <c r="BZ156" s="497">
        <v>11635853</v>
      </c>
      <c r="CA156" s="497">
        <v>299051</v>
      </c>
      <c r="CB156" s="497">
        <v>6215521</v>
      </c>
      <c r="CC156" s="497">
        <v>353649</v>
      </c>
      <c r="CD156" s="497">
        <v>1466272</v>
      </c>
      <c r="CE156" s="497">
        <v>39637569</v>
      </c>
    </row>
    <row r="157" spans="1:83" x14ac:dyDescent="0.25">
      <c r="A157" s="635">
        <v>507</v>
      </c>
      <c r="B157" s="752">
        <v>507</v>
      </c>
      <c r="C157" s="635" t="s">
        <v>281</v>
      </c>
      <c r="D157" s="635" t="s">
        <v>539</v>
      </c>
      <c r="E157" s="497">
        <v>0</v>
      </c>
      <c r="F157" s="497">
        <v>0</v>
      </c>
      <c r="G157" s="497">
        <v>0</v>
      </c>
      <c r="H157" s="497">
        <v>0</v>
      </c>
      <c r="I157" s="497">
        <v>0</v>
      </c>
      <c r="J157" s="497">
        <v>0</v>
      </c>
      <c r="K157" s="497">
        <v>0</v>
      </c>
      <c r="L157" s="497">
        <v>0</v>
      </c>
      <c r="M157" s="497">
        <v>0</v>
      </c>
      <c r="N157" s="497">
        <v>0</v>
      </c>
      <c r="O157" s="497">
        <v>0</v>
      </c>
      <c r="P157" s="497">
        <v>0</v>
      </c>
      <c r="Q157" s="497">
        <v>0</v>
      </c>
      <c r="R157" s="497">
        <v>154658</v>
      </c>
      <c r="S157" s="497">
        <v>0</v>
      </c>
      <c r="T157" s="497">
        <v>0</v>
      </c>
      <c r="U157" s="497">
        <v>0</v>
      </c>
      <c r="V157" s="497">
        <v>0</v>
      </c>
      <c r="W157" s="497">
        <v>0</v>
      </c>
      <c r="X157" s="497">
        <v>0</v>
      </c>
      <c r="Y157" s="497">
        <v>-46255</v>
      </c>
      <c r="Z157" s="497">
        <v>-98315</v>
      </c>
      <c r="AA157" s="497">
        <v>0</v>
      </c>
      <c r="AB157" s="497">
        <v>0</v>
      </c>
      <c r="AC157" s="497">
        <v>0</v>
      </c>
      <c r="AD157" s="497">
        <v>0</v>
      </c>
      <c r="AE157" s="497">
        <v>0</v>
      </c>
      <c r="AF157" s="497">
        <v>0</v>
      </c>
      <c r="AG157" s="497">
        <v>-9934</v>
      </c>
      <c r="AH157" s="497">
        <v>0</v>
      </c>
      <c r="AI157" s="497">
        <v>0</v>
      </c>
      <c r="AJ157" s="497">
        <v>0</v>
      </c>
      <c r="AK157" s="497">
        <v>-1</v>
      </c>
      <c r="AL157" s="497">
        <v>0</v>
      </c>
      <c r="AM157" s="497">
        <v>0</v>
      </c>
      <c r="AN157" s="497">
        <v>0</v>
      </c>
      <c r="AO157" s="497">
        <v>0</v>
      </c>
      <c r="AP157" s="497">
        <v>0</v>
      </c>
      <c r="AQ157" s="497">
        <v>0</v>
      </c>
      <c r="AR157" s="497">
        <v>-3</v>
      </c>
      <c r="AS157" s="497">
        <v>0</v>
      </c>
      <c r="AT157" s="497">
        <v>1</v>
      </c>
      <c r="AU157" s="497">
        <v>0</v>
      </c>
      <c r="AV157" s="497">
        <v>0</v>
      </c>
      <c r="AW157" s="497">
        <v>0</v>
      </c>
      <c r="AX157" s="497">
        <v>0</v>
      </c>
      <c r="AY157" s="497">
        <v>0</v>
      </c>
      <c r="AZ157" s="497">
        <v>0</v>
      </c>
      <c r="BA157" s="497">
        <v>0</v>
      </c>
      <c r="BB157" s="497">
        <v>0</v>
      </c>
      <c r="BC157" s="497">
        <v>0</v>
      </c>
      <c r="BD157" s="497">
        <v>1</v>
      </c>
      <c r="BE157" s="497">
        <v>0</v>
      </c>
      <c r="BF157" s="497">
        <v>0</v>
      </c>
      <c r="BG157" s="497">
        <v>0</v>
      </c>
      <c r="BH157" s="497">
        <v>79459</v>
      </c>
      <c r="BI157" s="497">
        <v>0</v>
      </c>
      <c r="BJ157" s="497">
        <v>0</v>
      </c>
      <c r="BK157" s="497">
        <v>0</v>
      </c>
      <c r="BL157" s="497">
        <v>0</v>
      </c>
      <c r="BM157" s="497">
        <v>0</v>
      </c>
      <c r="BN157" s="497">
        <v>0</v>
      </c>
      <c r="BO157" s="497">
        <v>0</v>
      </c>
      <c r="BP157" s="497">
        <v>0</v>
      </c>
      <c r="BQ157" s="497">
        <v>0</v>
      </c>
      <c r="BR157" s="497">
        <v>0</v>
      </c>
      <c r="BS157" s="497">
        <v>0</v>
      </c>
      <c r="BT157" s="497">
        <v>0</v>
      </c>
      <c r="BU157" s="497">
        <v>0</v>
      </c>
      <c r="BV157" s="497">
        <v>0</v>
      </c>
      <c r="BW157" s="497">
        <v>0</v>
      </c>
      <c r="BX157" s="497">
        <v>0</v>
      </c>
      <c r="BY157" s="497">
        <v>0</v>
      </c>
      <c r="BZ157" s="497">
        <v>0</v>
      </c>
      <c r="CA157" s="497">
        <v>0</v>
      </c>
      <c r="CB157" s="497">
        <v>0</v>
      </c>
      <c r="CC157" s="497">
        <v>0</v>
      </c>
      <c r="CD157" s="497">
        <v>0</v>
      </c>
      <c r="CE157" s="497">
        <v>0</v>
      </c>
    </row>
    <row r="158" spans="1:83" x14ac:dyDescent="0.25">
      <c r="A158" s="635">
        <v>508</v>
      </c>
      <c r="B158" s="752">
        <v>508</v>
      </c>
      <c r="C158" s="635" t="s">
        <v>278</v>
      </c>
      <c r="D158" s="635" t="s">
        <v>540</v>
      </c>
      <c r="E158" s="497">
        <v>0</v>
      </c>
      <c r="F158" s="497">
        <v>0</v>
      </c>
      <c r="G158" s="497">
        <v>0</v>
      </c>
      <c r="H158" s="497">
        <v>0</v>
      </c>
      <c r="I158" s="497">
        <v>0</v>
      </c>
      <c r="J158" s="497">
        <v>0</v>
      </c>
      <c r="K158" s="497">
        <v>0</v>
      </c>
      <c r="L158" s="497">
        <v>0</v>
      </c>
      <c r="M158" s="497">
        <v>0</v>
      </c>
      <c r="N158" s="497">
        <v>24673</v>
      </c>
      <c r="O158" s="497">
        <v>0</v>
      </c>
      <c r="P158" s="497">
        <v>0</v>
      </c>
      <c r="Q158" s="497">
        <v>0</v>
      </c>
      <c r="R158" s="497">
        <v>0</v>
      </c>
      <c r="S158" s="497">
        <v>0</v>
      </c>
      <c r="T158" s="497">
        <v>0</v>
      </c>
      <c r="U158" s="497">
        <v>0</v>
      </c>
      <c r="V158" s="497">
        <v>0</v>
      </c>
      <c r="W158" s="497">
        <v>0</v>
      </c>
      <c r="X158" s="497">
        <v>0</v>
      </c>
      <c r="Y158" s="497">
        <v>0</v>
      </c>
      <c r="Z158" s="497">
        <v>0</v>
      </c>
      <c r="AA158" s="497">
        <v>0</v>
      </c>
      <c r="AB158" s="497">
        <v>0</v>
      </c>
      <c r="AC158" s="497">
        <v>0</v>
      </c>
      <c r="AD158" s="497">
        <v>0</v>
      </c>
      <c r="AE158" s="497">
        <v>0</v>
      </c>
      <c r="AF158" s="497">
        <v>0</v>
      </c>
      <c r="AG158" s="497">
        <v>0</v>
      </c>
      <c r="AH158" s="497">
        <v>0</v>
      </c>
      <c r="AI158" s="497">
        <v>0</v>
      </c>
      <c r="AJ158" s="497">
        <v>0</v>
      </c>
      <c r="AK158" s="497">
        <v>0</v>
      </c>
      <c r="AL158" s="497">
        <v>0</v>
      </c>
      <c r="AM158" s="497">
        <v>0</v>
      </c>
      <c r="AN158" s="497">
        <v>0</v>
      </c>
      <c r="AO158" s="497">
        <v>0</v>
      </c>
      <c r="AP158" s="497">
        <v>0</v>
      </c>
      <c r="AQ158" s="497">
        <v>0</v>
      </c>
      <c r="AR158" s="497">
        <v>0</v>
      </c>
      <c r="AS158" s="497">
        <v>0</v>
      </c>
      <c r="AT158" s="497">
        <v>0</v>
      </c>
      <c r="AU158" s="497">
        <v>0</v>
      </c>
      <c r="AV158" s="497">
        <v>0</v>
      </c>
      <c r="AW158" s="497">
        <v>0</v>
      </c>
      <c r="AX158" s="497">
        <v>0</v>
      </c>
      <c r="AY158" s="497">
        <v>0</v>
      </c>
      <c r="AZ158" s="497">
        <v>0</v>
      </c>
      <c r="BA158" s="497">
        <v>0</v>
      </c>
      <c r="BB158" s="497">
        <v>0</v>
      </c>
      <c r="BC158" s="497">
        <v>0</v>
      </c>
      <c r="BD158" s="497">
        <v>0</v>
      </c>
      <c r="BE158" s="497">
        <v>0</v>
      </c>
      <c r="BF158" s="497">
        <v>0</v>
      </c>
      <c r="BG158" s="497">
        <v>0</v>
      </c>
      <c r="BH158" s="497">
        <v>0</v>
      </c>
      <c r="BI158" s="497">
        <v>0</v>
      </c>
      <c r="BJ158" s="497">
        <v>0</v>
      </c>
      <c r="BK158" s="497">
        <v>0</v>
      </c>
      <c r="BL158" s="497">
        <v>0</v>
      </c>
      <c r="BM158" s="497">
        <v>0</v>
      </c>
      <c r="BN158" s="497">
        <v>0</v>
      </c>
      <c r="BO158" s="497">
        <v>0</v>
      </c>
      <c r="BP158" s="497">
        <v>0</v>
      </c>
      <c r="BQ158" s="497">
        <v>0</v>
      </c>
      <c r="BR158" s="497">
        <v>0</v>
      </c>
      <c r="BS158" s="497">
        <v>0</v>
      </c>
      <c r="BT158" s="497">
        <v>0</v>
      </c>
      <c r="BU158" s="497">
        <v>0</v>
      </c>
      <c r="BV158" s="497">
        <v>0</v>
      </c>
      <c r="BW158" s="497">
        <v>0</v>
      </c>
      <c r="BX158" s="497">
        <v>0</v>
      </c>
      <c r="BY158" s="497">
        <v>0</v>
      </c>
      <c r="BZ158" s="497">
        <v>0</v>
      </c>
      <c r="CA158" s="497">
        <v>0</v>
      </c>
      <c r="CB158" s="497">
        <v>0</v>
      </c>
      <c r="CC158" s="497">
        <v>0</v>
      </c>
      <c r="CD158" s="497">
        <v>0</v>
      </c>
      <c r="CE158" s="497">
        <v>0</v>
      </c>
    </row>
    <row r="159" spans="1:83" x14ac:dyDescent="0.25">
      <c r="A159" s="635">
        <v>509</v>
      </c>
      <c r="B159" s="752">
        <v>509</v>
      </c>
      <c r="C159" s="635" t="s">
        <v>279</v>
      </c>
      <c r="D159" s="635" t="s">
        <v>541</v>
      </c>
      <c r="E159" s="497">
        <v>0</v>
      </c>
      <c r="F159" s="497">
        <v>0</v>
      </c>
      <c r="G159" s="497">
        <v>0</v>
      </c>
      <c r="H159" s="497">
        <v>0</v>
      </c>
      <c r="I159" s="497">
        <v>0</v>
      </c>
      <c r="J159" s="497">
        <v>0</v>
      </c>
      <c r="K159" s="497">
        <v>0</v>
      </c>
      <c r="L159" s="497">
        <v>0</v>
      </c>
      <c r="M159" s="497">
        <v>0</v>
      </c>
      <c r="N159" s="497">
        <v>0</v>
      </c>
      <c r="O159" s="497">
        <v>0</v>
      </c>
      <c r="P159" s="497">
        <v>0</v>
      </c>
      <c r="Q159" s="497">
        <v>0</v>
      </c>
      <c r="R159" s="497">
        <v>0</v>
      </c>
      <c r="S159" s="497">
        <v>0</v>
      </c>
      <c r="T159" s="497">
        <v>0</v>
      </c>
      <c r="U159" s="497">
        <v>0</v>
      </c>
      <c r="V159" s="497">
        <v>0</v>
      </c>
      <c r="W159" s="497">
        <v>0</v>
      </c>
      <c r="X159" s="497">
        <v>0</v>
      </c>
      <c r="Y159" s="497">
        <v>0</v>
      </c>
      <c r="Z159" s="497">
        <v>0</v>
      </c>
      <c r="AA159" s="497">
        <v>0</v>
      </c>
      <c r="AB159" s="497">
        <v>0</v>
      </c>
      <c r="AC159" s="497">
        <v>0</v>
      </c>
      <c r="AD159" s="497">
        <v>0</v>
      </c>
      <c r="AE159" s="497">
        <v>0</v>
      </c>
      <c r="AF159" s="497">
        <v>0</v>
      </c>
      <c r="AG159" s="497">
        <v>0</v>
      </c>
      <c r="AH159" s="497">
        <v>0</v>
      </c>
      <c r="AI159" s="497">
        <v>0</v>
      </c>
      <c r="AJ159" s="497">
        <v>0</v>
      </c>
      <c r="AK159" s="497">
        <v>0</v>
      </c>
      <c r="AL159" s="497">
        <v>0</v>
      </c>
      <c r="AM159" s="497">
        <v>0</v>
      </c>
      <c r="AN159" s="497">
        <v>0</v>
      </c>
      <c r="AO159" s="497">
        <v>0</v>
      </c>
      <c r="AP159" s="497">
        <v>0</v>
      </c>
      <c r="AQ159" s="497">
        <v>0</v>
      </c>
      <c r="AR159" s="497">
        <v>0</v>
      </c>
      <c r="AS159" s="497">
        <v>0</v>
      </c>
      <c r="AT159" s="497">
        <v>0</v>
      </c>
      <c r="AU159" s="497">
        <v>0</v>
      </c>
      <c r="AV159" s="497">
        <v>0</v>
      </c>
      <c r="AW159" s="497">
        <v>0</v>
      </c>
      <c r="AX159" s="497">
        <v>0</v>
      </c>
      <c r="AY159" s="497">
        <v>0</v>
      </c>
      <c r="AZ159" s="497">
        <v>0</v>
      </c>
      <c r="BA159" s="497">
        <v>0</v>
      </c>
      <c r="BB159" s="497">
        <v>0</v>
      </c>
      <c r="BC159" s="497">
        <v>0</v>
      </c>
      <c r="BD159" s="497">
        <v>0</v>
      </c>
      <c r="BE159" s="497">
        <v>0</v>
      </c>
      <c r="BF159" s="497">
        <v>0</v>
      </c>
      <c r="BG159" s="497">
        <v>0</v>
      </c>
      <c r="BH159" s="497">
        <v>0</v>
      </c>
      <c r="BI159" s="497">
        <v>0</v>
      </c>
      <c r="BJ159" s="497">
        <v>0</v>
      </c>
      <c r="BK159" s="497">
        <v>0</v>
      </c>
      <c r="BL159" s="497">
        <v>0</v>
      </c>
      <c r="BM159" s="497">
        <v>0</v>
      </c>
      <c r="BN159" s="497">
        <v>0</v>
      </c>
      <c r="BO159" s="497">
        <v>0</v>
      </c>
      <c r="BP159" s="497">
        <v>0</v>
      </c>
      <c r="BQ159" s="497">
        <v>0</v>
      </c>
      <c r="BR159" s="497">
        <v>0</v>
      </c>
      <c r="BS159" s="497">
        <v>0</v>
      </c>
      <c r="BT159" s="497">
        <v>0</v>
      </c>
      <c r="BU159" s="497">
        <v>0</v>
      </c>
      <c r="BV159" s="497">
        <v>0</v>
      </c>
      <c r="BW159" s="497">
        <v>0</v>
      </c>
      <c r="BX159" s="497">
        <v>0</v>
      </c>
      <c r="BY159" s="497">
        <v>0</v>
      </c>
      <c r="BZ159" s="497">
        <v>0</v>
      </c>
      <c r="CA159" s="497">
        <v>0</v>
      </c>
      <c r="CB159" s="497">
        <v>0</v>
      </c>
      <c r="CC159" s="497">
        <v>0</v>
      </c>
      <c r="CD159" s="497">
        <v>0</v>
      </c>
      <c r="CE159" s="497">
        <v>0</v>
      </c>
    </row>
    <row r="160" spans="1:83" x14ac:dyDescent="0.25">
      <c r="A160" s="635">
        <v>510</v>
      </c>
      <c r="B160" s="752">
        <v>510</v>
      </c>
      <c r="C160" s="635" t="s">
        <v>285</v>
      </c>
      <c r="D160" s="635" t="s">
        <v>542</v>
      </c>
      <c r="E160" s="497">
        <v>0</v>
      </c>
      <c r="F160" s="497">
        <v>53846</v>
      </c>
      <c r="G160" s="497">
        <v>0</v>
      </c>
      <c r="H160" s="497">
        <v>0</v>
      </c>
      <c r="I160" s="497">
        <v>0</v>
      </c>
      <c r="J160" s="497">
        <v>0</v>
      </c>
      <c r="K160" s="497">
        <v>0</v>
      </c>
      <c r="L160" s="497">
        <v>390</v>
      </c>
      <c r="M160" s="497">
        <v>75777</v>
      </c>
      <c r="N160" s="497">
        <v>0</v>
      </c>
      <c r="O160" s="497">
        <v>0</v>
      </c>
      <c r="P160" s="497">
        <v>0</v>
      </c>
      <c r="Q160" s="497">
        <v>0</v>
      </c>
      <c r="R160" s="497">
        <v>0</v>
      </c>
      <c r="S160" s="497">
        <v>0</v>
      </c>
      <c r="T160" s="497">
        <v>5377</v>
      </c>
      <c r="U160" s="497">
        <v>49907</v>
      </c>
      <c r="V160" s="497">
        <v>0</v>
      </c>
      <c r="W160" s="497">
        <v>115674</v>
      </c>
      <c r="X160" s="497">
        <v>0</v>
      </c>
      <c r="Y160" s="497">
        <v>0</v>
      </c>
      <c r="Z160" s="497">
        <v>1944</v>
      </c>
      <c r="AA160" s="497">
        <v>0</v>
      </c>
      <c r="AB160" s="497">
        <v>0</v>
      </c>
      <c r="AC160" s="497">
        <v>4500</v>
      </c>
      <c r="AD160" s="497">
        <v>0</v>
      </c>
      <c r="AE160" s="497">
        <v>0</v>
      </c>
      <c r="AF160" s="497">
        <v>0</v>
      </c>
      <c r="AG160" s="497">
        <v>200817</v>
      </c>
      <c r="AH160" s="497">
        <v>0</v>
      </c>
      <c r="AI160" s="497">
        <v>0</v>
      </c>
      <c r="AJ160" s="497">
        <v>3518</v>
      </c>
      <c r="AK160" s="497">
        <v>0</v>
      </c>
      <c r="AL160" s="497">
        <v>0</v>
      </c>
      <c r="AM160" s="497">
        <v>0</v>
      </c>
      <c r="AN160" s="497">
        <v>0</v>
      </c>
      <c r="AO160" s="497">
        <v>0</v>
      </c>
      <c r="AP160" s="497">
        <v>0</v>
      </c>
      <c r="AQ160" s="497">
        <v>179580</v>
      </c>
      <c r="AR160" s="497">
        <v>0</v>
      </c>
      <c r="AS160" s="497">
        <v>0</v>
      </c>
      <c r="AT160" s="497">
        <v>0</v>
      </c>
      <c r="AU160" s="497">
        <v>0</v>
      </c>
      <c r="AV160" s="497">
        <v>4507219</v>
      </c>
      <c r="AW160" s="497">
        <v>1283589</v>
      </c>
      <c r="AX160" s="497">
        <v>0</v>
      </c>
      <c r="AY160" s="497">
        <v>500</v>
      </c>
      <c r="AZ160" s="497">
        <v>0</v>
      </c>
      <c r="BA160" s="497">
        <v>0</v>
      </c>
      <c r="BB160" s="497">
        <v>0</v>
      </c>
      <c r="BC160" s="497">
        <v>46311</v>
      </c>
      <c r="BD160" s="497">
        <v>0</v>
      </c>
      <c r="BE160" s="497">
        <v>0</v>
      </c>
      <c r="BF160" s="497">
        <v>0</v>
      </c>
      <c r="BG160" s="497">
        <v>9552</v>
      </c>
      <c r="BH160" s="497">
        <v>0</v>
      </c>
      <c r="BI160" s="497">
        <v>14502</v>
      </c>
      <c r="BJ160" s="497">
        <v>0</v>
      </c>
      <c r="BK160" s="497">
        <v>0</v>
      </c>
      <c r="BL160" s="497">
        <v>0</v>
      </c>
      <c r="BM160" s="497">
        <v>81248</v>
      </c>
      <c r="BN160" s="497">
        <v>1294570</v>
      </c>
      <c r="BO160" s="497">
        <v>0</v>
      </c>
      <c r="BP160" s="497">
        <v>540117</v>
      </c>
      <c r="BQ160" s="497">
        <v>0</v>
      </c>
      <c r="BR160" s="497">
        <v>0</v>
      </c>
      <c r="BS160" s="497">
        <v>122512</v>
      </c>
      <c r="BT160" s="497">
        <v>0</v>
      </c>
      <c r="BU160" s="497">
        <v>215</v>
      </c>
      <c r="BV160" s="497">
        <v>0</v>
      </c>
      <c r="BW160" s="497">
        <v>0</v>
      </c>
      <c r="BX160" s="497">
        <v>248269</v>
      </c>
      <c r="BY160" s="497">
        <v>0</v>
      </c>
      <c r="BZ160" s="497">
        <v>25753</v>
      </c>
      <c r="CA160" s="497">
        <v>23014</v>
      </c>
      <c r="CB160" s="497">
        <v>0</v>
      </c>
      <c r="CC160" s="497">
        <v>0</v>
      </c>
      <c r="CD160" s="497">
        <v>0</v>
      </c>
      <c r="CE160" s="497">
        <v>0</v>
      </c>
    </row>
    <row r="161" spans="1:83" x14ac:dyDescent="0.25">
      <c r="A161" s="635">
        <v>511</v>
      </c>
      <c r="B161" s="752">
        <v>511</v>
      </c>
      <c r="C161" s="635" t="s">
        <v>290</v>
      </c>
      <c r="D161" s="635" t="s">
        <v>543</v>
      </c>
      <c r="E161" s="497">
        <v>0</v>
      </c>
      <c r="F161" s="497">
        <v>0</v>
      </c>
      <c r="G161" s="497">
        <v>0</v>
      </c>
      <c r="H161" s="497">
        <v>0</v>
      </c>
      <c r="I161" s="497">
        <v>0</v>
      </c>
      <c r="J161" s="497">
        <v>0</v>
      </c>
      <c r="K161" s="497">
        <v>0</v>
      </c>
      <c r="L161" s="497">
        <v>0</v>
      </c>
      <c r="M161" s="497">
        <v>194524</v>
      </c>
      <c r="N161" s="497">
        <v>0</v>
      </c>
      <c r="O161" s="497">
        <v>0</v>
      </c>
      <c r="P161" s="497">
        <v>0</v>
      </c>
      <c r="Q161" s="497">
        <v>0</v>
      </c>
      <c r="R161" s="497">
        <v>0</v>
      </c>
      <c r="S161" s="497">
        <v>0</v>
      </c>
      <c r="T161" s="497">
        <v>17555</v>
      </c>
      <c r="U161" s="497">
        <v>0</v>
      </c>
      <c r="V161" s="497">
        <v>0</v>
      </c>
      <c r="W161" s="497">
        <v>0</v>
      </c>
      <c r="X161" s="497">
        <v>0</v>
      </c>
      <c r="Y161" s="497">
        <v>0</v>
      </c>
      <c r="Z161" s="497">
        <v>0</v>
      </c>
      <c r="AA161" s="497">
        <v>0</v>
      </c>
      <c r="AB161" s="497">
        <v>0</v>
      </c>
      <c r="AC161" s="497">
        <v>0</v>
      </c>
      <c r="AD161" s="497">
        <v>0</v>
      </c>
      <c r="AE161" s="497">
        <v>0</v>
      </c>
      <c r="AF161" s="497">
        <v>0</v>
      </c>
      <c r="AG161" s="497">
        <v>1308242</v>
      </c>
      <c r="AH161" s="497">
        <v>0</v>
      </c>
      <c r="AI161" s="497">
        <v>0</v>
      </c>
      <c r="AJ161" s="497">
        <v>0</v>
      </c>
      <c r="AK161" s="497">
        <v>0</v>
      </c>
      <c r="AL161" s="497">
        <v>0</v>
      </c>
      <c r="AM161" s="497">
        <v>0</v>
      </c>
      <c r="AN161" s="497">
        <v>0</v>
      </c>
      <c r="AO161" s="497">
        <v>0</v>
      </c>
      <c r="AP161" s="497">
        <v>0</v>
      </c>
      <c r="AQ161" s="497">
        <v>549328</v>
      </c>
      <c r="AR161" s="497">
        <v>0</v>
      </c>
      <c r="AS161" s="497">
        <v>0</v>
      </c>
      <c r="AT161" s="497">
        <v>0</v>
      </c>
      <c r="AU161" s="497">
        <v>0</v>
      </c>
      <c r="AV161" s="497">
        <v>0</v>
      </c>
      <c r="AW161" s="497">
        <v>6997034</v>
      </c>
      <c r="AX161" s="497">
        <v>0</v>
      </c>
      <c r="AY161" s="497">
        <v>0</v>
      </c>
      <c r="AZ161" s="497">
        <v>0</v>
      </c>
      <c r="BA161" s="497">
        <v>0</v>
      </c>
      <c r="BB161" s="497">
        <v>0</v>
      </c>
      <c r="BC161" s="497">
        <v>0</v>
      </c>
      <c r="BD161" s="497">
        <v>0</v>
      </c>
      <c r="BE161" s="497">
        <v>0</v>
      </c>
      <c r="BF161" s="497">
        <v>0</v>
      </c>
      <c r="BG161" s="497">
        <v>0</v>
      </c>
      <c r="BH161" s="497">
        <v>0</v>
      </c>
      <c r="BI161" s="497">
        <v>0</v>
      </c>
      <c r="BJ161" s="497">
        <v>0</v>
      </c>
      <c r="BK161" s="497">
        <v>0</v>
      </c>
      <c r="BL161" s="497">
        <v>0</v>
      </c>
      <c r="BM161" s="497">
        <v>0</v>
      </c>
      <c r="BN161" s="497">
        <v>0</v>
      </c>
      <c r="BO161" s="497">
        <v>0</v>
      </c>
      <c r="BP161" s="497">
        <v>0</v>
      </c>
      <c r="BQ161" s="497">
        <v>7077071</v>
      </c>
      <c r="BR161" s="497">
        <v>0</v>
      </c>
      <c r="BS161" s="497">
        <v>436058</v>
      </c>
      <c r="BT161" s="497">
        <v>0</v>
      </c>
      <c r="BU161" s="497">
        <v>0</v>
      </c>
      <c r="BV161" s="497">
        <v>0</v>
      </c>
      <c r="BW161" s="497">
        <v>0</v>
      </c>
      <c r="BX161" s="497">
        <v>0</v>
      </c>
      <c r="BY161" s="497">
        <v>0</v>
      </c>
      <c r="BZ161" s="497">
        <v>0</v>
      </c>
      <c r="CA161" s="497">
        <v>174378</v>
      </c>
      <c r="CB161" s="497">
        <v>0</v>
      </c>
      <c r="CC161" s="497">
        <v>0</v>
      </c>
      <c r="CD161" s="497">
        <v>0</v>
      </c>
      <c r="CE161" s="497">
        <v>159270</v>
      </c>
    </row>
    <row r="162" spans="1:83" x14ac:dyDescent="0.25">
      <c r="A162" s="635">
        <v>512</v>
      </c>
      <c r="B162" s="752">
        <v>512</v>
      </c>
      <c r="C162" s="635" t="s">
        <v>317</v>
      </c>
      <c r="D162" s="635" t="s">
        <v>544</v>
      </c>
      <c r="E162" s="497">
        <v>0</v>
      </c>
      <c r="F162" s="497">
        <v>0</v>
      </c>
      <c r="G162" s="497">
        <v>0</v>
      </c>
      <c r="H162" s="497">
        <v>0</v>
      </c>
      <c r="I162" s="497">
        <v>0</v>
      </c>
      <c r="J162" s="497">
        <v>0</v>
      </c>
      <c r="K162" s="497">
        <v>0</v>
      </c>
      <c r="L162" s="497">
        <v>0</v>
      </c>
      <c r="M162" s="497">
        <v>26088</v>
      </c>
      <c r="N162" s="497">
        <v>1510450</v>
      </c>
      <c r="O162" s="497">
        <v>0</v>
      </c>
      <c r="P162" s="497">
        <v>0</v>
      </c>
      <c r="Q162" s="497">
        <v>0</v>
      </c>
      <c r="R162" s="497">
        <v>0</v>
      </c>
      <c r="S162" s="497">
        <v>0</v>
      </c>
      <c r="T162" s="497">
        <v>0</v>
      </c>
      <c r="U162" s="497">
        <v>0</v>
      </c>
      <c r="V162" s="497">
        <v>0</v>
      </c>
      <c r="W162" s="497">
        <v>0</v>
      </c>
      <c r="X162" s="497">
        <v>0</v>
      </c>
      <c r="Y162" s="497">
        <v>0</v>
      </c>
      <c r="Z162" s="497">
        <v>0</v>
      </c>
      <c r="AA162" s="497">
        <v>0</v>
      </c>
      <c r="AB162" s="497">
        <v>0</v>
      </c>
      <c r="AC162" s="497">
        <v>0</v>
      </c>
      <c r="AD162" s="497">
        <v>21731</v>
      </c>
      <c r="AE162" s="497">
        <v>0</v>
      </c>
      <c r="AF162" s="497">
        <v>0</v>
      </c>
      <c r="AG162" s="497">
        <v>31455</v>
      </c>
      <c r="AH162" s="497">
        <v>0</v>
      </c>
      <c r="AI162" s="497">
        <v>0</v>
      </c>
      <c r="AJ162" s="497">
        <v>25946</v>
      </c>
      <c r="AK162" s="497">
        <v>0</v>
      </c>
      <c r="AL162" s="497">
        <v>0</v>
      </c>
      <c r="AM162" s="497">
        <v>0</v>
      </c>
      <c r="AN162" s="497">
        <v>0</v>
      </c>
      <c r="AO162" s="497">
        <v>0</v>
      </c>
      <c r="AP162" s="497">
        <v>0</v>
      </c>
      <c r="AQ162" s="497">
        <v>0</v>
      </c>
      <c r="AR162" s="497">
        <v>0</v>
      </c>
      <c r="AS162" s="497">
        <v>0</v>
      </c>
      <c r="AT162" s="497">
        <v>0</v>
      </c>
      <c r="AU162" s="497">
        <v>0</v>
      </c>
      <c r="AV162" s="497">
        <v>30372513</v>
      </c>
      <c r="AW162" s="497">
        <v>10356918</v>
      </c>
      <c r="AX162" s="497">
        <v>0</v>
      </c>
      <c r="AY162" s="497">
        <v>0</v>
      </c>
      <c r="AZ162" s="497">
        <v>0</v>
      </c>
      <c r="BA162" s="497">
        <v>0</v>
      </c>
      <c r="BB162" s="497">
        <v>0</v>
      </c>
      <c r="BC162" s="497">
        <v>0</v>
      </c>
      <c r="BD162" s="497">
        <v>0</v>
      </c>
      <c r="BE162" s="497">
        <v>0</v>
      </c>
      <c r="BF162" s="497">
        <v>0</v>
      </c>
      <c r="BG162" s="497">
        <v>0</v>
      </c>
      <c r="BH162" s="497">
        <v>0</v>
      </c>
      <c r="BI162" s="497">
        <v>0</v>
      </c>
      <c r="BJ162" s="497">
        <v>0</v>
      </c>
      <c r="BK162" s="497">
        <v>0</v>
      </c>
      <c r="BL162" s="497">
        <v>0</v>
      </c>
      <c r="BM162" s="497">
        <v>0</v>
      </c>
      <c r="BN162" s="497">
        <v>0</v>
      </c>
      <c r="BO162" s="497">
        <v>0</v>
      </c>
      <c r="BP162" s="497">
        <v>0</v>
      </c>
      <c r="BQ162" s="497">
        <v>348469</v>
      </c>
      <c r="BR162" s="497">
        <v>0</v>
      </c>
      <c r="BS162" s="497">
        <v>1133611</v>
      </c>
      <c r="BT162" s="497">
        <v>0</v>
      </c>
      <c r="BU162" s="497">
        <v>0</v>
      </c>
      <c r="BV162" s="497">
        <v>0</v>
      </c>
      <c r="BW162" s="497">
        <v>0</v>
      </c>
      <c r="BX162" s="497">
        <v>0</v>
      </c>
      <c r="BY162" s="497">
        <v>0</v>
      </c>
      <c r="BZ162" s="497">
        <v>0</v>
      </c>
      <c r="CA162" s="497">
        <v>0</v>
      </c>
      <c r="CB162" s="497">
        <v>0</v>
      </c>
      <c r="CC162" s="497">
        <v>0</v>
      </c>
      <c r="CD162" s="497">
        <v>0</v>
      </c>
      <c r="CE162" s="497">
        <v>0</v>
      </c>
    </row>
    <row r="163" spans="1:83" x14ac:dyDescent="0.25">
      <c r="A163" s="635">
        <v>513</v>
      </c>
      <c r="B163" s="752">
        <v>513</v>
      </c>
      <c r="C163" s="635" t="s">
        <v>328</v>
      </c>
      <c r="D163" s="635" t="s">
        <v>545</v>
      </c>
      <c r="E163" s="497">
        <v>0</v>
      </c>
      <c r="F163" s="497">
        <v>0</v>
      </c>
      <c r="G163" s="497">
        <v>0</v>
      </c>
      <c r="H163" s="497">
        <v>0</v>
      </c>
      <c r="I163" s="497">
        <v>0</v>
      </c>
      <c r="J163" s="497">
        <v>0</v>
      </c>
      <c r="K163" s="497">
        <v>0</v>
      </c>
      <c r="L163" s="497">
        <v>0</v>
      </c>
      <c r="M163" s="497">
        <v>0</v>
      </c>
      <c r="N163" s="497">
        <v>0</v>
      </c>
      <c r="O163" s="497">
        <v>0</v>
      </c>
      <c r="P163" s="497">
        <v>0</v>
      </c>
      <c r="Q163" s="497">
        <v>0</v>
      </c>
      <c r="R163" s="497">
        <v>0</v>
      </c>
      <c r="S163" s="497">
        <v>0</v>
      </c>
      <c r="T163" s="497">
        <v>0</v>
      </c>
      <c r="U163" s="497">
        <v>0</v>
      </c>
      <c r="V163" s="497">
        <v>0</v>
      </c>
      <c r="W163" s="497">
        <v>0</v>
      </c>
      <c r="X163" s="497">
        <v>0</v>
      </c>
      <c r="Y163" s="497">
        <v>0</v>
      </c>
      <c r="Z163" s="497">
        <v>0</v>
      </c>
      <c r="AA163" s="497">
        <v>0</v>
      </c>
      <c r="AB163" s="497">
        <v>0</v>
      </c>
      <c r="AC163" s="497">
        <v>0</v>
      </c>
      <c r="AD163" s="497">
        <v>0</v>
      </c>
      <c r="AE163" s="497">
        <v>0</v>
      </c>
      <c r="AF163" s="497">
        <v>0</v>
      </c>
      <c r="AG163" s="497">
        <v>0</v>
      </c>
      <c r="AH163" s="497">
        <v>0</v>
      </c>
      <c r="AI163" s="497">
        <v>0</v>
      </c>
      <c r="AJ163" s="497">
        <v>0</v>
      </c>
      <c r="AK163" s="497">
        <v>0</v>
      </c>
      <c r="AL163" s="497">
        <v>0</v>
      </c>
      <c r="AM163" s="497">
        <v>0</v>
      </c>
      <c r="AN163" s="497">
        <v>0</v>
      </c>
      <c r="AO163" s="497">
        <v>0</v>
      </c>
      <c r="AP163" s="497">
        <v>0</v>
      </c>
      <c r="AQ163" s="497">
        <v>0</v>
      </c>
      <c r="AR163" s="497">
        <v>0</v>
      </c>
      <c r="AS163" s="497">
        <v>0</v>
      </c>
      <c r="AT163" s="497">
        <v>0</v>
      </c>
      <c r="AU163" s="497">
        <v>0</v>
      </c>
      <c r="AV163" s="497">
        <v>0</v>
      </c>
      <c r="AW163" s="497">
        <v>0</v>
      </c>
      <c r="AX163" s="497">
        <v>0</v>
      </c>
      <c r="AY163" s="497">
        <v>0</v>
      </c>
      <c r="AZ163" s="497">
        <v>0</v>
      </c>
      <c r="BA163" s="497">
        <v>0</v>
      </c>
      <c r="BB163" s="497">
        <v>0</v>
      </c>
      <c r="BC163" s="497">
        <v>0</v>
      </c>
      <c r="BD163" s="497">
        <v>0</v>
      </c>
      <c r="BE163" s="497">
        <v>0</v>
      </c>
      <c r="BF163" s="497">
        <v>0</v>
      </c>
      <c r="BG163" s="497">
        <v>0</v>
      </c>
      <c r="BH163" s="497">
        <v>0</v>
      </c>
      <c r="BI163" s="497">
        <v>0</v>
      </c>
      <c r="BJ163" s="497">
        <v>0</v>
      </c>
      <c r="BK163" s="497">
        <v>0</v>
      </c>
      <c r="BL163" s="497">
        <v>0</v>
      </c>
      <c r="BM163" s="497">
        <v>0</v>
      </c>
      <c r="BN163" s="497">
        <v>0</v>
      </c>
      <c r="BO163" s="497">
        <v>0</v>
      </c>
      <c r="BP163" s="497">
        <v>0</v>
      </c>
      <c r="BQ163" s="497">
        <v>0</v>
      </c>
      <c r="BR163" s="497">
        <v>0</v>
      </c>
      <c r="BS163" s="497">
        <v>0</v>
      </c>
      <c r="BT163" s="497">
        <v>0</v>
      </c>
      <c r="BU163" s="497">
        <v>0</v>
      </c>
      <c r="BV163" s="497">
        <v>0</v>
      </c>
      <c r="BW163" s="497">
        <v>0</v>
      </c>
      <c r="BX163" s="497">
        <v>0</v>
      </c>
      <c r="BY163" s="497">
        <v>0</v>
      </c>
      <c r="BZ163" s="497">
        <v>0</v>
      </c>
      <c r="CA163" s="497">
        <v>0</v>
      </c>
      <c r="CB163" s="497">
        <v>0</v>
      </c>
      <c r="CC163" s="497">
        <v>0</v>
      </c>
      <c r="CD163" s="497">
        <v>0</v>
      </c>
      <c r="CE163" s="497">
        <v>0</v>
      </c>
    </row>
    <row r="164" spans="1:83" x14ac:dyDescent="0.25">
      <c r="A164" s="635">
        <v>514</v>
      </c>
      <c r="B164" s="752">
        <v>514</v>
      </c>
      <c r="C164" s="635" t="s">
        <v>329</v>
      </c>
      <c r="D164" s="635" t="s">
        <v>546</v>
      </c>
      <c r="E164" s="497">
        <v>0</v>
      </c>
      <c r="F164" s="497">
        <v>0</v>
      </c>
      <c r="G164" s="497">
        <v>0</v>
      </c>
      <c r="H164" s="497">
        <v>0</v>
      </c>
      <c r="I164" s="497">
        <v>0</v>
      </c>
      <c r="J164" s="497">
        <v>0</v>
      </c>
      <c r="K164" s="497">
        <v>0</v>
      </c>
      <c r="L164" s="497">
        <v>0</v>
      </c>
      <c r="M164" s="497">
        <v>369670</v>
      </c>
      <c r="N164" s="497">
        <v>0</v>
      </c>
      <c r="O164" s="497">
        <v>0</v>
      </c>
      <c r="P164" s="497">
        <v>0</v>
      </c>
      <c r="Q164" s="497">
        <v>0</v>
      </c>
      <c r="R164" s="497">
        <v>2387240</v>
      </c>
      <c r="S164" s="497">
        <v>0</v>
      </c>
      <c r="T164" s="497">
        <v>0</v>
      </c>
      <c r="U164" s="497">
        <v>0</v>
      </c>
      <c r="V164" s="497">
        <v>0</v>
      </c>
      <c r="W164" s="497">
        <v>0</v>
      </c>
      <c r="X164" s="497">
        <v>0</v>
      </c>
      <c r="Y164" s="497">
        <v>0</v>
      </c>
      <c r="Z164" s="497">
        <v>0</v>
      </c>
      <c r="AA164" s="497">
        <v>0</v>
      </c>
      <c r="AB164" s="497">
        <v>0</v>
      </c>
      <c r="AC164" s="497">
        <v>0</v>
      </c>
      <c r="AD164" s="497">
        <v>0</v>
      </c>
      <c r="AE164" s="497">
        <v>0</v>
      </c>
      <c r="AF164" s="497">
        <v>0</v>
      </c>
      <c r="AG164" s="497">
        <v>2000000</v>
      </c>
      <c r="AH164" s="497">
        <v>0</v>
      </c>
      <c r="AI164" s="497">
        <v>0</v>
      </c>
      <c r="AJ164" s="497">
        <v>0</v>
      </c>
      <c r="AK164" s="497">
        <v>0</v>
      </c>
      <c r="AL164" s="497">
        <v>0</v>
      </c>
      <c r="AM164" s="497">
        <v>0</v>
      </c>
      <c r="AN164" s="497">
        <v>0</v>
      </c>
      <c r="AO164" s="497">
        <v>0</v>
      </c>
      <c r="AP164" s="497">
        <v>0</v>
      </c>
      <c r="AQ164" s="497">
        <v>0</v>
      </c>
      <c r="AR164" s="497">
        <v>0</v>
      </c>
      <c r="AS164" s="497">
        <v>0</v>
      </c>
      <c r="AT164" s="497">
        <v>0</v>
      </c>
      <c r="AU164" s="497">
        <v>0</v>
      </c>
      <c r="AV164" s="497">
        <v>0</v>
      </c>
      <c r="AW164" s="497">
        <v>4993763</v>
      </c>
      <c r="AX164" s="497">
        <v>0</v>
      </c>
      <c r="AY164" s="497">
        <v>0</v>
      </c>
      <c r="AZ164" s="497">
        <v>0</v>
      </c>
      <c r="BA164" s="497">
        <v>0</v>
      </c>
      <c r="BB164" s="497">
        <v>0</v>
      </c>
      <c r="BC164" s="497">
        <v>0</v>
      </c>
      <c r="BD164" s="497">
        <v>0</v>
      </c>
      <c r="BE164" s="497">
        <v>0</v>
      </c>
      <c r="BF164" s="497">
        <v>0</v>
      </c>
      <c r="BG164" s="497">
        <v>0</v>
      </c>
      <c r="BH164" s="497">
        <v>0</v>
      </c>
      <c r="BI164" s="497">
        <v>0</v>
      </c>
      <c r="BJ164" s="497">
        <v>0</v>
      </c>
      <c r="BK164" s="497">
        <v>0</v>
      </c>
      <c r="BL164" s="497">
        <v>0</v>
      </c>
      <c r="BM164" s="497">
        <v>0</v>
      </c>
      <c r="BN164" s="497">
        <v>0</v>
      </c>
      <c r="BO164" s="497">
        <v>84000</v>
      </c>
      <c r="BP164" s="497">
        <v>0</v>
      </c>
      <c r="BQ164" s="497">
        <v>2007139</v>
      </c>
      <c r="BR164" s="497">
        <v>0</v>
      </c>
      <c r="BS164" s="497">
        <v>0</v>
      </c>
      <c r="BT164" s="497">
        <v>0</v>
      </c>
      <c r="BU164" s="497">
        <v>0</v>
      </c>
      <c r="BV164" s="497">
        <v>0</v>
      </c>
      <c r="BW164" s="497">
        <v>0</v>
      </c>
      <c r="BX164" s="497">
        <v>0</v>
      </c>
      <c r="BY164" s="497">
        <v>0</v>
      </c>
      <c r="BZ164" s="497">
        <v>0</v>
      </c>
      <c r="CA164" s="497">
        <v>0</v>
      </c>
      <c r="CB164" s="497">
        <v>0</v>
      </c>
      <c r="CC164" s="497">
        <v>0</v>
      </c>
      <c r="CD164" s="497">
        <v>0</v>
      </c>
      <c r="CE164" s="497">
        <v>0</v>
      </c>
    </row>
    <row r="165" spans="1:83" x14ac:dyDescent="0.25">
      <c r="A165" s="635">
        <v>515</v>
      </c>
      <c r="B165" s="752">
        <v>515</v>
      </c>
      <c r="C165" s="635" t="s">
        <v>342</v>
      </c>
      <c r="D165" s="635" t="s">
        <v>547</v>
      </c>
      <c r="E165" s="497">
        <v>204424</v>
      </c>
      <c r="F165" s="497">
        <v>12755</v>
      </c>
      <c r="G165" s="497">
        <v>0</v>
      </c>
      <c r="H165" s="497">
        <v>542317</v>
      </c>
      <c r="I165" s="497">
        <v>0</v>
      </c>
      <c r="J165" s="497">
        <v>0</v>
      </c>
      <c r="K165" s="497">
        <v>0</v>
      </c>
      <c r="L165" s="497">
        <v>0</v>
      </c>
      <c r="M165" s="497">
        <v>0</v>
      </c>
      <c r="N165" s="497">
        <v>0</v>
      </c>
      <c r="O165" s="497">
        <v>0</v>
      </c>
      <c r="P165" s="497">
        <v>0</v>
      </c>
      <c r="Q165" s="497">
        <v>0</v>
      </c>
      <c r="R165" s="497">
        <v>0</v>
      </c>
      <c r="S165" s="497">
        <v>0</v>
      </c>
      <c r="T165" s="497">
        <v>0</v>
      </c>
      <c r="U165" s="497">
        <v>189661</v>
      </c>
      <c r="V165" s="497">
        <v>0</v>
      </c>
      <c r="W165" s="497">
        <v>1310387</v>
      </c>
      <c r="X165" s="497">
        <v>0</v>
      </c>
      <c r="Y165" s="497">
        <v>0</v>
      </c>
      <c r="Z165" s="497">
        <v>0</v>
      </c>
      <c r="AA165" s="497">
        <v>30686</v>
      </c>
      <c r="AB165" s="497">
        <v>0</v>
      </c>
      <c r="AC165" s="497">
        <v>0</v>
      </c>
      <c r="AD165" s="497">
        <v>0</v>
      </c>
      <c r="AE165" s="497">
        <v>0</v>
      </c>
      <c r="AF165" s="497">
        <v>0</v>
      </c>
      <c r="AG165" s="497">
        <v>69725203</v>
      </c>
      <c r="AH165" s="497">
        <v>0</v>
      </c>
      <c r="AI165" s="497">
        <v>0</v>
      </c>
      <c r="AJ165" s="497">
        <v>129875</v>
      </c>
      <c r="AK165" s="497">
        <v>0</v>
      </c>
      <c r="AL165" s="497">
        <v>0</v>
      </c>
      <c r="AM165" s="497">
        <v>0</v>
      </c>
      <c r="AN165" s="497">
        <v>0</v>
      </c>
      <c r="AO165" s="497">
        <v>17696444</v>
      </c>
      <c r="AP165" s="497">
        <v>0</v>
      </c>
      <c r="AQ165" s="497">
        <v>0</v>
      </c>
      <c r="AR165" s="497">
        <v>0</v>
      </c>
      <c r="AS165" s="497">
        <v>0</v>
      </c>
      <c r="AT165" s="497">
        <v>0</v>
      </c>
      <c r="AU165" s="497">
        <v>371872</v>
      </c>
      <c r="AV165" s="497">
        <v>240099665</v>
      </c>
      <c r="AW165" s="497">
        <v>4806670</v>
      </c>
      <c r="AX165" s="497">
        <v>0</v>
      </c>
      <c r="AY165" s="497">
        <v>0</v>
      </c>
      <c r="AZ165" s="497">
        <v>977796</v>
      </c>
      <c r="BA165" s="497">
        <v>0</v>
      </c>
      <c r="BB165" s="497">
        <v>0</v>
      </c>
      <c r="BC165" s="497">
        <v>89132</v>
      </c>
      <c r="BD165" s="497">
        <v>0</v>
      </c>
      <c r="BE165" s="497">
        <v>0</v>
      </c>
      <c r="BF165" s="497">
        <v>0</v>
      </c>
      <c r="BG165" s="497">
        <v>7540422</v>
      </c>
      <c r="BH165" s="497">
        <v>0</v>
      </c>
      <c r="BI165" s="497">
        <v>0</v>
      </c>
      <c r="BJ165" s="497">
        <v>0</v>
      </c>
      <c r="BK165" s="497">
        <v>0</v>
      </c>
      <c r="BL165" s="497">
        <v>0</v>
      </c>
      <c r="BM165" s="497">
        <v>32865339</v>
      </c>
      <c r="BN165" s="497">
        <v>1553056</v>
      </c>
      <c r="BO165" s="497">
        <v>1700</v>
      </c>
      <c r="BP165" s="497">
        <v>47240177</v>
      </c>
      <c r="BQ165" s="497">
        <v>74337191</v>
      </c>
      <c r="BR165" s="497">
        <v>1057</v>
      </c>
      <c r="BS165" s="497">
        <v>0</v>
      </c>
      <c r="BT165" s="497">
        <v>0</v>
      </c>
      <c r="BU165" s="497">
        <v>28110010</v>
      </c>
      <c r="BV165" s="497">
        <v>0</v>
      </c>
      <c r="BW165" s="497">
        <v>0</v>
      </c>
      <c r="BX165" s="497">
        <v>0</v>
      </c>
      <c r="BY165" s="497">
        <v>0</v>
      </c>
      <c r="BZ165" s="497">
        <v>204461</v>
      </c>
      <c r="CA165" s="497">
        <v>0</v>
      </c>
      <c r="CB165" s="497">
        <v>0</v>
      </c>
      <c r="CC165" s="497">
        <v>118409</v>
      </c>
      <c r="CD165" s="497">
        <v>0</v>
      </c>
      <c r="CE165" s="497">
        <v>0</v>
      </c>
    </row>
    <row r="166" spans="1:83" x14ac:dyDescent="0.25">
      <c r="A166" s="635">
        <v>516</v>
      </c>
      <c r="B166" s="752">
        <v>516</v>
      </c>
      <c r="C166" s="635" t="s">
        <v>343</v>
      </c>
      <c r="D166" s="635" t="s">
        <v>548</v>
      </c>
      <c r="E166" s="497">
        <v>8359807</v>
      </c>
      <c r="F166" s="497">
        <v>15725530</v>
      </c>
      <c r="G166" s="497">
        <v>0</v>
      </c>
      <c r="H166" s="497">
        <v>12445435</v>
      </c>
      <c r="I166" s="497">
        <v>8079066</v>
      </c>
      <c r="J166" s="497">
        <v>1069000</v>
      </c>
      <c r="K166" s="497">
        <v>0</v>
      </c>
      <c r="L166" s="497">
        <v>3191448</v>
      </c>
      <c r="M166" s="497">
        <v>55098017</v>
      </c>
      <c r="N166" s="497">
        <v>0</v>
      </c>
      <c r="O166" s="497">
        <v>0</v>
      </c>
      <c r="P166" s="497">
        <v>0</v>
      </c>
      <c r="Q166" s="497">
        <v>2794047</v>
      </c>
      <c r="R166" s="497">
        <v>61507410</v>
      </c>
      <c r="S166" s="497">
        <v>0</v>
      </c>
      <c r="T166" s="497">
        <v>5073033</v>
      </c>
      <c r="U166" s="497">
        <v>4618169</v>
      </c>
      <c r="V166" s="497">
        <v>1837949</v>
      </c>
      <c r="W166" s="497">
        <v>33503594</v>
      </c>
      <c r="X166" s="497">
        <v>0</v>
      </c>
      <c r="Y166" s="497">
        <v>8210493</v>
      </c>
      <c r="Z166" s="497">
        <v>14448082</v>
      </c>
      <c r="AA166" s="497">
        <v>82513591</v>
      </c>
      <c r="AB166" s="497">
        <v>2780186</v>
      </c>
      <c r="AC166" s="497">
        <v>3198631</v>
      </c>
      <c r="AD166" s="497">
        <v>0</v>
      </c>
      <c r="AE166" s="497">
        <v>0</v>
      </c>
      <c r="AF166" s="497">
        <v>0</v>
      </c>
      <c r="AG166" s="497">
        <v>197461870</v>
      </c>
      <c r="AH166" s="497">
        <v>0</v>
      </c>
      <c r="AI166" s="497">
        <v>2337098</v>
      </c>
      <c r="AJ166" s="497">
        <v>2923448</v>
      </c>
      <c r="AK166" s="497">
        <v>2871297</v>
      </c>
      <c r="AL166" s="497">
        <v>268756</v>
      </c>
      <c r="AM166" s="497">
        <v>0</v>
      </c>
      <c r="AN166" s="497">
        <v>0</v>
      </c>
      <c r="AO166" s="497">
        <v>23463499</v>
      </c>
      <c r="AP166" s="497">
        <v>0</v>
      </c>
      <c r="AQ166" s="497">
        <v>25825160</v>
      </c>
      <c r="AR166" s="497">
        <v>0</v>
      </c>
      <c r="AS166" s="497">
        <v>0</v>
      </c>
      <c r="AT166" s="497">
        <v>6691766</v>
      </c>
      <c r="AU166" s="497">
        <v>4058459</v>
      </c>
      <c r="AV166" s="497">
        <v>63246490</v>
      </c>
      <c r="AW166" s="497">
        <v>365052201</v>
      </c>
      <c r="AX166" s="497">
        <v>6758148</v>
      </c>
      <c r="AY166" s="497">
        <v>4696454</v>
      </c>
      <c r="AZ166" s="497">
        <v>2158042</v>
      </c>
      <c r="BA166" s="497">
        <v>4421601</v>
      </c>
      <c r="BB166" s="497">
        <v>0</v>
      </c>
      <c r="BC166" s="497">
        <v>18306809</v>
      </c>
      <c r="BD166" s="497">
        <v>4216086</v>
      </c>
      <c r="BE166" s="497">
        <v>0</v>
      </c>
      <c r="BF166" s="497">
        <v>1540777</v>
      </c>
      <c r="BG166" s="497">
        <v>34539226</v>
      </c>
      <c r="BH166" s="497">
        <v>0</v>
      </c>
      <c r="BI166" s="497">
        <v>44339402</v>
      </c>
      <c r="BJ166" s="497">
        <v>9244764</v>
      </c>
      <c r="BK166" s="497">
        <v>0</v>
      </c>
      <c r="BL166" s="497">
        <v>0</v>
      </c>
      <c r="BM166" s="497">
        <v>82697128</v>
      </c>
      <c r="BN166" s="497">
        <v>103138297</v>
      </c>
      <c r="BO166" s="497">
        <v>22451868</v>
      </c>
      <c r="BP166" s="497">
        <v>37813328</v>
      </c>
      <c r="BQ166" s="497">
        <v>0</v>
      </c>
      <c r="BR166" s="497">
        <v>4659784</v>
      </c>
      <c r="BS166" s="497">
        <v>34853285</v>
      </c>
      <c r="BT166" s="497">
        <v>0</v>
      </c>
      <c r="BU166" s="497">
        <v>35302307</v>
      </c>
      <c r="BV166" s="497">
        <v>4775036</v>
      </c>
      <c r="BW166" s="497">
        <v>0</v>
      </c>
      <c r="BX166" s="497">
        <v>23947017</v>
      </c>
      <c r="BY166" s="497">
        <v>0</v>
      </c>
      <c r="BZ166" s="497">
        <v>143594576</v>
      </c>
      <c r="CA166" s="497">
        <v>3671506</v>
      </c>
      <c r="CB166" s="497">
        <v>0</v>
      </c>
      <c r="CC166" s="497">
        <v>2049524</v>
      </c>
      <c r="CD166" s="497">
        <v>0</v>
      </c>
      <c r="CE166" s="497">
        <v>0</v>
      </c>
    </row>
    <row r="167" spans="1:83" x14ac:dyDescent="0.25">
      <c r="A167" s="635">
        <v>517</v>
      </c>
      <c r="B167" s="752">
        <v>517</v>
      </c>
      <c r="C167" s="635" t="s">
        <v>344</v>
      </c>
      <c r="D167" s="635" t="s">
        <v>549</v>
      </c>
      <c r="E167" s="497">
        <v>0</v>
      </c>
      <c r="F167" s="497">
        <v>0</v>
      </c>
      <c r="G167" s="497">
        <v>0</v>
      </c>
      <c r="H167" s="497">
        <v>0</v>
      </c>
      <c r="I167" s="497">
        <v>0</v>
      </c>
      <c r="J167" s="497">
        <v>0</v>
      </c>
      <c r="K167" s="497">
        <v>0</v>
      </c>
      <c r="L167" s="497">
        <v>87210</v>
      </c>
      <c r="M167" s="497">
        <v>0</v>
      </c>
      <c r="N167" s="497">
        <v>0</v>
      </c>
      <c r="O167" s="497">
        <v>0</v>
      </c>
      <c r="P167" s="497">
        <v>0</v>
      </c>
      <c r="Q167" s="497">
        <v>0</v>
      </c>
      <c r="R167" s="497">
        <v>0</v>
      </c>
      <c r="S167" s="497">
        <v>0</v>
      </c>
      <c r="T167" s="497">
        <v>0</v>
      </c>
      <c r="U167" s="497">
        <v>0</v>
      </c>
      <c r="V167" s="497">
        <v>0</v>
      </c>
      <c r="W167" s="497">
        <v>0</v>
      </c>
      <c r="X167" s="497">
        <v>0</v>
      </c>
      <c r="Y167" s="497">
        <v>0</v>
      </c>
      <c r="Z167" s="497">
        <v>0</v>
      </c>
      <c r="AA167" s="497">
        <v>51317174</v>
      </c>
      <c r="AB167" s="497">
        <v>0</v>
      </c>
      <c r="AC167" s="497">
        <v>0</v>
      </c>
      <c r="AD167" s="497">
        <v>0</v>
      </c>
      <c r="AE167" s="497">
        <v>0</v>
      </c>
      <c r="AF167" s="497">
        <v>0</v>
      </c>
      <c r="AG167" s="497">
        <v>0</v>
      </c>
      <c r="AH167" s="497">
        <v>0</v>
      </c>
      <c r="AI167" s="497">
        <v>0</v>
      </c>
      <c r="AJ167" s="497">
        <v>0</v>
      </c>
      <c r="AK167" s="497">
        <v>0</v>
      </c>
      <c r="AL167" s="497">
        <v>0</v>
      </c>
      <c r="AM167" s="497">
        <v>0</v>
      </c>
      <c r="AN167" s="497">
        <v>7639707</v>
      </c>
      <c r="AO167" s="497">
        <v>16268480</v>
      </c>
      <c r="AP167" s="497">
        <v>0</v>
      </c>
      <c r="AQ167" s="497">
        <v>0</v>
      </c>
      <c r="AR167" s="497">
        <v>0</v>
      </c>
      <c r="AS167" s="497">
        <v>0</v>
      </c>
      <c r="AT167" s="497">
        <v>0</v>
      </c>
      <c r="AU167" s="497">
        <v>0</v>
      </c>
      <c r="AV167" s="497">
        <v>628850394</v>
      </c>
      <c r="AW167" s="497">
        <v>0</v>
      </c>
      <c r="AX167" s="497">
        <v>0</v>
      </c>
      <c r="AY167" s="497">
        <v>0</v>
      </c>
      <c r="AZ167" s="497">
        <v>0</v>
      </c>
      <c r="BA167" s="497">
        <v>0</v>
      </c>
      <c r="BB167" s="497">
        <v>0</v>
      </c>
      <c r="BC167" s="497">
        <v>0</v>
      </c>
      <c r="BD167" s="497">
        <v>0</v>
      </c>
      <c r="BE167" s="497">
        <v>0</v>
      </c>
      <c r="BF167" s="497">
        <v>0</v>
      </c>
      <c r="BG167" s="497">
        <v>0</v>
      </c>
      <c r="BH167" s="497">
        <v>0</v>
      </c>
      <c r="BI167" s="497">
        <v>0</v>
      </c>
      <c r="BJ167" s="497">
        <v>0</v>
      </c>
      <c r="BK167" s="497">
        <v>0</v>
      </c>
      <c r="BL167" s="497">
        <v>0</v>
      </c>
      <c r="BM167" s="497">
        <v>0</v>
      </c>
      <c r="BN167" s="497">
        <v>0</v>
      </c>
      <c r="BO167" s="497">
        <v>0</v>
      </c>
      <c r="BP167" s="497">
        <v>99034286</v>
      </c>
      <c r="BQ167" s="497">
        <v>380320090</v>
      </c>
      <c r="BR167" s="497">
        <v>0</v>
      </c>
      <c r="BS167" s="497">
        <v>0</v>
      </c>
      <c r="BT167" s="497">
        <v>0</v>
      </c>
      <c r="BU167" s="497">
        <v>2873050</v>
      </c>
      <c r="BV167" s="497">
        <v>0</v>
      </c>
      <c r="BW167" s="497">
        <v>0</v>
      </c>
      <c r="BX167" s="497">
        <v>184026</v>
      </c>
      <c r="BY167" s="497">
        <v>0</v>
      </c>
      <c r="BZ167" s="497">
        <v>0</v>
      </c>
      <c r="CA167" s="497">
        <v>0</v>
      </c>
      <c r="CB167" s="497">
        <v>0</v>
      </c>
      <c r="CC167" s="497">
        <v>0</v>
      </c>
      <c r="CD167" s="497">
        <v>0</v>
      </c>
      <c r="CE167" s="497">
        <v>0</v>
      </c>
    </row>
    <row r="168" spans="1:83" x14ac:dyDescent="0.25">
      <c r="A168" s="635">
        <v>518</v>
      </c>
      <c r="B168" s="752">
        <v>518</v>
      </c>
      <c r="C168" s="635" t="s">
        <v>345</v>
      </c>
      <c r="D168" s="635" t="s">
        <v>550</v>
      </c>
      <c r="E168" s="497">
        <v>188865</v>
      </c>
      <c r="F168" s="497">
        <v>757400</v>
      </c>
      <c r="G168" s="497">
        <v>0</v>
      </c>
      <c r="H168" s="497">
        <v>566116</v>
      </c>
      <c r="I168" s="497">
        <v>40422</v>
      </c>
      <c r="J168" s="497">
        <v>4657</v>
      </c>
      <c r="K168" s="497">
        <v>0</v>
      </c>
      <c r="L168" s="497">
        <v>0</v>
      </c>
      <c r="M168" s="497">
        <v>1896526</v>
      </c>
      <c r="N168" s="497">
        <v>0</v>
      </c>
      <c r="O168" s="497">
        <v>0</v>
      </c>
      <c r="P168" s="497">
        <v>0</v>
      </c>
      <c r="Q168" s="497">
        <v>9643</v>
      </c>
      <c r="R168" s="497">
        <v>4787712</v>
      </c>
      <c r="S168" s="497">
        <v>0</v>
      </c>
      <c r="T168" s="497">
        <v>110299</v>
      </c>
      <c r="U168" s="497">
        <v>506804</v>
      </c>
      <c r="V168" s="497">
        <v>183184</v>
      </c>
      <c r="W168" s="497">
        <v>1534218</v>
      </c>
      <c r="X168" s="497">
        <v>0</v>
      </c>
      <c r="Y168" s="497">
        <v>0</v>
      </c>
      <c r="Z168" s="497">
        <v>321393</v>
      </c>
      <c r="AA168" s="497">
        <v>2288847</v>
      </c>
      <c r="AB168" s="497">
        <v>0</v>
      </c>
      <c r="AC168" s="497">
        <v>384656</v>
      </c>
      <c r="AD168" s="497">
        <v>0</v>
      </c>
      <c r="AE168" s="497">
        <v>0</v>
      </c>
      <c r="AF168" s="497">
        <v>0</v>
      </c>
      <c r="AG168" s="497">
        <v>19416113</v>
      </c>
      <c r="AH168" s="497">
        <v>0</v>
      </c>
      <c r="AI168" s="497">
        <v>81308</v>
      </c>
      <c r="AJ168" s="497">
        <v>514514</v>
      </c>
      <c r="AK168" s="497">
        <v>0</v>
      </c>
      <c r="AL168" s="497">
        <v>3358</v>
      </c>
      <c r="AM168" s="497">
        <v>0</v>
      </c>
      <c r="AN168" s="497">
        <v>0</v>
      </c>
      <c r="AO168" s="497">
        <v>2699001</v>
      </c>
      <c r="AP168" s="497">
        <v>0</v>
      </c>
      <c r="AQ168" s="497">
        <v>2291249</v>
      </c>
      <c r="AR168" s="497">
        <v>0</v>
      </c>
      <c r="AS168" s="497">
        <v>0</v>
      </c>
      <c r="AT168" s="497">
        <v>219319</v>
      </c>
      <c r="AU168" s="497">
        <v>15297</v>
      </c>
      <c r="AV168" s="497">
        <v>131587754</v>
      </c>
      <c r="AW168" s="497">
        <v>29535143</v>
      </c>
      <c r="AX168" s="497">
        <v>276294</v>
      </c>
      <c r="AY168" s="497">
        <v>200175</v>
      </c>
      <c r="AZ168" s="497">
        <v>246614</v>
      </c>
      <c r="BA168" s="497">
        <v>199604</v>
      </c>
      <c r="BB168" s="497">
        <v>0</v>
      </c>
      <c r="BC168" s="497">
        <v>1757537</v>
      </c>
      <c r="BD168" s="497">
        <v>6338</v>
      </c>
      <c r="BE168" s="497">
        <v>0</v>
      </c>
      <c r="BF168" s="497">
        <v>38161</v>
      </c>
      <c r="BG168" s="497">
        <v>2845758</v>
      </c>
      <c r="BH168" s="497">
        <v>0</v>
      </c>
      <c r="BI168" s="497">
        <v>2486846</v>
      </c>
      <c r="BJ168" s="497">
        <v>290213</v>
      </c>
      <c r="BK168" s="497">
        <v>0</v>
      </c>
      <c r="BL168" s="497">
        <v>0</v>
      </c>
      <c r="BM168" s="497">
        <v>5249014</v>
      </c>
      <c r="BN168" s="497">
        <v>19088516</v>
      </c>
      <c r="BO168" s="497">
        <v>516528</v>
      </c>
      <c r="BP168" s="497">
        <v>11716610</v>
      </c>
      <c r="BQ168" s="497">
        <v>13726361</v>
      </c>
      <c r="BR168" s="497">
        <v>58883</v>
      </c>
      <c r="BS168" s="497">
        <v>1491555</v>
      </c>
      <c r="BT168" s="497">
        <v>0</v>
      </c>
      <c r="BU168" s="497">
        <v>2688373</v>
      </c>
      <c r="BV168" s="497">
        <v>143491</v>
      </c>
      <c r="BW168" s="497">
        <v>0</v>
      </c>
      <c r="BX168" s="497">
        <v>911483</v>
      </c>
      <c r="BY168" s="497">
        <v>0</v>
      </c>
      <c r="BZ168" s="497">
        <v>11169727</v>
      </c>
      <c r="CA168" s="497">
        <v>54987</v>
      </c>
      <c r="CB168" s="497">
        <v>0</v>
      </c>
      <c r="CC168" s="497">
        <v>29283</v>
      </c>
      <c r="CD168" s="497">
        <v>0</v>
      </c>
      <c r="CE168" s="497">
        <v>0</v>
      </c>
    </row>
    <row r="169" spans="1:83" x14ac:dyDescent="0.25">
      <c r="A169" s="635">
        <v>519</v>
      </c>
      <c r="B169" s="752">
        <v>519</v>
      </c>
      <c r="C169" s="635" t="s">
        <v>346</v>
      </c>
      <c r="D169" s="635" t="s">
        <v>551</v>
      </c>
      <c r="E169" s="497">
        <v>4088</v>
      </c>
      <c r="F169" s="497">
        <v>0</v>
      </c>
      <c r="G169" s="497">
        <v>0</v>
      </c>
      <c r="H169" s="497">
        <v>11227</v>
      </c>
      <c r="I169" s="497">
        <v>0</v>
      </c>
      <c r="J169" s="497">
        <v>0</v>
      </c>
      <c r="K169" s="497">
        <v>0</v>
      </c>
      <c r="L169" s="497">
        <v>0</v>
      </c>
      <c r="M169" s="497">
        <v>0</v>
      </c>
      <c r="N169" s="497">
        <v>0</v>
      </c>
      <c r="O169" s="497">
        <v>0</v>
      </c>
      <c r="P169" s="497">
        <v>0</v>
      </c>
      <c r="Q169" s="497">
        <v>0</v>
      </c>
      <c r="R169" s="497">
        <v>0</v>
      </c>
      <c r="S169" s="497">
        <v>0</v>
      </c>
      <c r="T169" s="497">
        <v>0</v>
      </c>
      <c r="U169" s="497">
        <v>4742</v>
      </c>
      <c r="V169" s="497">
        <v>0</v>
      </c>
      <c r="W169" s="497">
        <v>30358</v>
      </c>
      <c r="X169" s="497">
        <v>0</v>
      </c>
      <c r="Y169" s="497">
        <v>0</v>
      </c>
      <c r="Z169" s="497">
        <v>0</v>
      </c>
      <c r="AA169" s="497">
        <v>979</v>
      </c>
      <c r="AB169" s="497">
        <v>0</v>
      </c>
      <c r="AC169" s="497">
        <v>0</v>
      </c>
      <c r="AD169" s="497">
        <v>0</v>
      </c>
      <c r="AE169" s="497">
        <v>0</v>
      </c>
      <c r="AF169" s="497">
        <v>0</v>
      </c>
      <c r="AG169" s="497">
        <v>1347004</v>
      </c>
      <c r="AH169" s="497">
        <v>0</v>
      </c>
      <c r="AI169" s="497">
        <v>0</v>
      </c>
      <c r="AJ169" s="497">
        <v>2550</v>
      </c>
      <c r="AK169" s="497">
        <v>0</v>
      </c>
      <c r="AL169" s="497">
        <v>0</v>
      </c>
      <c r="AM169" s="497">
        <v>0</v>
      </c>
      <c r="AN169" s="497">
        <v>0</v>
      </c>
      <c r="AO169" s="497">
        <v>235201</v>
      </c>
      <c r="AP169" s="497">
        <v>0</v>
      </c>
      <c r="AQ169" s="497">
        <v>0</v>
      </c>
      <c r="AR169" s="497">
        <v>0</v>
      </c>
      <c r="AS169" s="497">
        <v>0</v>
      </c>
      <c r="AT169" s="497">
        <v>0</v>
      </c>
      <c r="AU169" s="497">
        <v>9325</v>
      </c>
      <c r="AV169" s="497">
        <v>7455632</v>
      </c>
      <c r="AW169" s="497">
        <v>145592</v>
      </c>
      <c r="AX169" s="497">
        <v>0</v>
      </c>
      <c r="AY169" s="497">
        <v>0</v>
      </c>
      <c r="AZ169" s="497">
        <v>19556</v>
      </c>
      <c r="BA169" s="497">
        <v>0</v>
      </c>
      <c r="BB169" s="497">
        <v>0</v>
      </c>
      <c r="BC169" s="497">
        <v>2765</v>
      </c>
      <c r="BD169" s="497">
        <v>0</v>
      </c>
      <c r="BE169" s="497">
        <v>0</v>
      </c>
      <c r="BF169" s="497">
        <v>0</v>
      </c>
      <c r="BG169" s="497">
        <v>158065</v>
      </c>
      <c r="BH169" s="497">
        <v>0</v>
      </c>
      <c r="BI169" s="497">
        <v>0</v>
      </c>
      <c r="BJ169" s="497">
        <v>0</v>
      </c>
      <c r="BK169" s="497">
        <v>0</v>
      </c>
      <c r="BL169" s="497">
        <v>0</v>
      </c>
      <c r="BM169" s="497">
        <v>605771</v>
      </c>
      <c r="BN169" s="497">
        <v>52844</v>
      </c>
      <c r="BO169" s="497">
        <v>0</v>
      </c>
      <c r="BP169" s="497">
        <v>1389759</v>
      </c>
      <c r="BQ169" s="497">
        <v>1503541</v>
      </c>
      <c r="BR169" s="497">
        <v>0</v>
      </c>
      <c r="BS169" s="497">
        <v>0</v>
      </c>
      <c r="BT169" s="497">
        <v>0</v>
      </c>
      <c r="BU169" s="497">
        <v>806365</v>
      </c>
      <c r="BV169" s="497">
        <v>0</v>
      </c>
      <c r="BW169" s="497">
        <v>0</v>
      </c>
      <c r="BX169" s="497">
        <v>0</v>
      </c>
      <c r="BY169" s="497">
        <v>0</v>
      </c>
      <c r="BZ169" s="497">
        <v>5112</v>
      </c>
      <c r="CA169" s="497">
        <v>0</v>
      </c>
      <c r="CB169" s="497">
        <v>0</v>
      </c>
      <c r="CC169" s="497">
        <v>95</v>
      </c>
      <c r="CD169" s="497">
        <v>0</v>
      </c>
      <c r="CE169" s="497">
        <v>0</v>
      </c>
    </row>
    <row r="170" spans="1:83" x14ac:dyDescent="0.25">
      <c r="A170" s="635">
        <v>520</v>
      </c>
      <c r="B170" s="752">
        <v>520</v>
      </c>
      <c r="C170" s="635" t="s">
        <v>347</v>
      </c>
      <c r="D170" s="635" t="s">
        <v>552</v>
      </c>
      <c r="E170" s="497">
        <v>149440</v>
      </c>
      <c r="F170" s="497">
        <v>258226</v>
      </c>
      <c r="G170" s="497">
        <v>0</v>
      </c>
      <c r="H170" s="497">
        <v>341558</v>
      </c>
      <c r="I170" s="497">
        <v>196277</v>
      </c>
      <c r="J170" s="497">
        <v>24050</v>
      </c>
      <c r="K170" s="497">
        <v>0</v>
      </c>
      <c r="L170" s="497">
        <v>76889</v>
      </c>
      <c r="M170" s="497">
        <v>1040322</v>
      </c>
      <c r="N170" s="497">
        <v>0</v>
      </c>
      <c r="O170" s="497">
        <v>0</v>
      </c>
      <c r="P170" s="497">
        <v>0</v>
      </c>
      <c r="Q170" s="497">
        <v>93135</v>
      </c>
      <c r="R170" s="497">
        <v>1168802</v>
      </c>
      <c r="S170" s="497">
        <v>0</v>
      </c>
      <c r="T170" s="497">
        <v>75910</v>
      </c>
      <c r="U170" s="497">
        <v>75098</v>
      </c>
      <c r="V170" s="497">
        <v>46642</v>
      </c>
      <c r="W170" s="497">
        <v>591713</v>
      </c>
      <c r="X170" s="497">
        <v>0</v>
      </c>
      <c r="Y170" s="497">
        <v>223549</v>
      </c>
      <c r="Z170" s="497">
        <v>262145</v>
      </c>
      <c r="AA170" s="497">
        <v>2505742</v>
      </c>
      <c r="AB170" s="497">
        <v>69505</v>
      </c>
      <c r="AC170" s="497">
        <v>38086</v>
      </c>
      <c r="AD170" s="497">
        <v>0</v>
      </c>
      <c r="AE170" s="497">
        <v>0</v>
      </c>
      <c r="AF170" s="497">
        <v>0</v>
      </c>
      <c r="AG170" s="497">
        <v>2944089</v>
      </c>
      <c r="AH170" s="497">
        <v>0</v>
      </c>
      <c r="AI170" s="497">
        <v>43999</v>
      </c>
      <c r="AJ170" s="497">
        <v>41182</v>
      </c>
      <c r="AK170" s="497">
        <v>71782</v>
      </c>
      <c r="AL170" s="497">
        <v>5374</v>
      </c>
      <c r="AM170" s="497">
        <v>0</v>
      </c>
      <c r="AN170" s="497">
        <v>0</v>
      </c>
      <c r="AO170" s="497">
        <v>355431</v>
      </c>
      <c r="AP170" s="497">
        <v>0</v>
      </c>
      <c r="AQ170" s="497">
        <v>557102</v>
      </c>
      <c r="AR170" s="497">
        <v>0</v>
      </c>
      <c r="AS170" s="497">
        <v>0</v>
      </c>
      <c r="AT170" s="497">
        <v>89883</v>
      </c>
      <c r="AU170" s="497">
        <v>102454</v>
      </c>
      <c r="AV170" s="497">
        <v>3481769</v>
      </c>
      <c r="AW170" s="497">
        <v>8728785</v>
      </c>
      <c r="AX170" s="497">
        <v>123564</v>
      </c>
      <c r="AY170" s="497">
        <v>156435</v>
      </c>
      <c r="AZ170" s="497">
        <v>45644</v>
      </c>
      <c r="BA170" s="497">
        <v>92838</v>
      </c>
      <c r="BB170" s="497">
        <v>0</v>
      </c>
      <c r="BC170" s="497">
        <v>486229</v>
      </c>
      <c r="BD170" s="497">
        <v>140536</v>
      </c>
      <c r="BE170" s="497">
        <v>0</v>
      </c>
      <c r="BF170" s="497">
        <v>36976</v>
      </c>
      <c r="BG170" s="497">
        <v>1068792</v>
      </c>
      <c r="BH170" s="497">
        <v>0</v>
      </c>
      <c r="BI170" s="497">
        <v>1074993</v>
      </c>
      <c r="BJ170" s="497">
        <v>181309</v>
      </c>
      <c r="BK170" s="497">
        <v>0</v>
      </c>
      <c r="BL170" s="497">
        <v>0</v>
      </c>
      <c r="BM170" s="497">
        <v>1329966</v>
      </c>
      <c r="BN170" s="497">
        <v>2453372</v>
      </c>
      <c r="BO170" s="497">
        <v>721265</v>
      </c>
      <c r="BP170" s="497">
        <v>572756</v>
      </c>
      <c r="BQ170" s="497">
        <v>0</v>
      </c>
      <c r="BR170" s="497">
        <v>91267</v>
      </c>
      <c r="BS170" s="497">
        <v>746752</v>
      </c>
      <c r="BT170" s="497">
        <v>0</v>
      </c>
      <c r="BU170" s="497">
        <v>636537</v>
      </c>
      <c r="BV170" s="497">
        <v>136276</v>
      </c>
      <c r="BW170" s="497">
        <v>0</v>
      </c>
      <c r="BX170" s="497">
        <v>446349</v>
      </c>
      <c r="BY170" s="497">
        <v>0</v>
      </c>
      <c r="BZ170" s="497">
        <v>3545575</v>
      </c>
      <c r="CA170" s="497">
        <v>81236</v>
      </c>
      <c r="CB170" s="497">
        <v>0</v>
      </c>
      <c r="CC170" s="497">
        <v>67733</v>
      </c>
      <c r="CD170" s="497">
        <v>0</v>
      </c>
      <c r="CE170" s="497">
        <v>0</v>
      </c>
    </row>
    <row r="171" spans="1:83" x14ac:dyDescent="0.25">
      <c r="A171" s="635">
        <v>521</v>
      </c>
      <c r="B171" s="752">
        <v>521</v>
      </c>
      <c r="C171" s="635" t="s">
        <v>348</v>
      </c>
      <c r="D171" s="635" t="s">
        <v>553</v>
      </c>
      <c r="E171" s="497">
        <v>0</v>
      </c>
      <c r="F171" s="497">
        <v>0</v>
      </c>
      <c r="G171" s="497">
        <v>0</v>
      </c>
      <c r="H171" s="497">
        <v>0</v>
      </c>
      <c r="I171" s="497">
        <v>0</v>
      </c>
      <c r="J171" s="497">
        <v>0</v>
      </c>
      <c r="K171" s="497">
        <v>0</v>
      </c>
      <c r="L171" s="497">
        <v>2215</v>
      </c>
      <c r="M171" s="497">
        <v>0</v>
      </c>
      <c r="N171" s="497">
        <v>0</v>
      </c>
      <c r="O171" s="497">
        <v>0</v>
      </c>
      <c r="P171" s="497">
        <v>0</v>
      </c>
      <c r="Q171" s="497">
        <v>0</v>
      </c>
      <c r="R171" s="497">
        <v>0</v>
      </c>
      <c r="S171" s="497">
        <v>0</v>
      </c>
      <c r="T171" s="497">
        <v>0</v>
      </c>
      <c r="U171" s="497">
        <v>0</v>
      </c>
      <c r="V171" s="497">
        <v>0</v>
      </c>
      <c r="W171" s="497">
        <v>0</v>
      </c>
      <c r="X171" s="497">
        <v>0</v>
      </c>
      <c r="Y171" s="497">
        <v>0</v>
      </c>
      <c r="Z171" s="497">
        <v>0</v>
      </c>
      <c r="AA171" s="497">
        <v>445701</v>
      </c>
      <c r="AB171" s="497">
        <v>0</v>
      </c>
      <c r="AC171" s="497">
        <v>0</v>
      </c>
      <c r="AD171" s="497">
        <v>0</v>
      </c>
      <c r="AE171" s="497">
        <v>0</v>
      </c>
      <c r="AF171" s="497">
        <v>0</v>
      </c>
      <c r="AG171" s="497">
        <v>0</v>
      </c>
      <c r="AH171" s="497">
        <v>0</v>
      </c>
      <c r="AI171" s="497">
        <v>0</v>
      </c>
      <c r="AJ171" s="497">
        <v>0</v>
      </c>
      <c r="AK171" s="497">
        <v>0</v>
      </c>
      <c r="AL171" s="497">
        <v>0</v>
      </c>
      <c r="AM171" s="497">
        <v>0</v>
      </c>
      <c r="AN171" s="497">
        <v>180580</v>
      </c>
      <c r="AO171" s="497">
        <v>272213</v>
      </c>
      <c r="AP171" s="497">
        <v>0</v>
      </c>
      <c r="AQ171" s="497">
        <v>0</v>
      </c>
      <c r="AR171" s="497">
        <v>0</v>
      </c>
      <c r="AS171" s="497">
        <v>0</v>
      </c>
      <c r="AT171" s="497">
        <v>0</v>
      </c>
      <c r="AU171" s="497">
        <v>0</v>
      </c>
      <c r="AV171" s="497">
        <v>14702743</v>
      </c>
      <c r="AW171" s="497">
        <v>0</v>
      </c>
      <c r="AX171" s="497">
        <v>0</v>
      </c>
      <c r="AY171" s="497">
        <v>0</v>
      </c>
      <c r="AZ171" s="497">
        <v>0</v>
      </c>
      <c r="BA171" s="497">
        <v>0</v>
      </c>
      <c r="BB171" s="497">
        <v>0</v>
      </c>
      <c r="BC171" s="497">
        <v>0</v>
      </c>
      <c r="BD171" s="497">
        <v>0</v>
      </c>
      <c r="BE171" s="497">
        <v>0</v>
      </c>
      <c r="BF171" s="497">
        <v>0</v>
      </c>
      <c r="BG171" s="497">
        <v>0</v>
      </c>
      <c r="BH171" s="497">
        <v>0</v>
      </c>
      <c r="BI171" s="497">
        <v>0</v>
      </c>
      <c r="BJ171" s="497">
        <v>0</v>
      </c>
      <c r="BK171" s="497">
        <v>0</v>
      </c>
      <c r="BL171" s="497">
        <v>0</v>
      </c>
      <c r="BM171" s="497">
        <v>0</v>
      </c>
      <c r="BN171" s="497">
        <v>0</v>
      </c>
      <c r="BO171" s="497">
        <v>0</v>
      </c>
      <c r="BP171" s="497">
        <v>1950739</v>
      </c>
      <c r="BQ171" s="497">
        <v>10679296</v>
      </c>
      <c r="BR171" s="497">
        <v>0</v>
      </c>
      <c r="BS171" s="497">
        <v>0</v>
      </c>
      <c r="BT171" s="497">
        <v>0</v>
      </c>
      <c r="BU171" s="497">
        <v>70373</v>
      </c>
      <c r="BV171" s="497">
        <v>0</v>
      </c>
      <c r="BW171" s="497">
        <v>0</v>
      </c>
      <c r="BX171" s="497">
        <v>3681</v>
      </c>
      <c r="BY171" s="497">
        <v>0</v>
      </c>
      <c r="BZ171" s="497">
        <v>0</v>
      </c>
      <c r="CA171" s="497">
        <v>0</v>
      </c>
      <c r="CB171" s="497">
        <v>0</v>
      </c>
      <c r="CC171" s="497">
        <v>0</v>
      </c>
      <c r="CD171" s="497">
        <v>0</v>
      </c>
      <c r="CE171" s="497">
        <v>0</v>
      </c>
    </row>
    <row r="172" spans="1:83" x14ac:dyDescent="0.25">
      <c r="A172" s="635">
        <v>522</v>
      </c>
      <c r="B172" s="752">
        <v>522</v>
      </c>
      <c r="C172" s="635" t="s">
        <v>349</v>
      </c>
      <c r="D172" s="635" t="s">
        <v>554</v>
      </c>
      <c r="E172" s="497">
        <v>0</v>
      </c>
      <c r="F172" s="497">
        <v>17525</v>
      </c>
      <c r="G172" s="497">
        <v>0</v>
      </c>
      <c r="H172" s="497">
        <v>25263</v>
      </c>
      <c r="I172" s="497">
        <v>4243</v>
      </c>
      <c r="J172" s="497">
        <v>0</v>
      </c>
      <c r="K172" s="497">
        <v>0</v>
      </c>
      <c r="L172" s="497">
        <v>0</v>
      </c>
      <c r="M172" s="497">
        <v>152148</v>
      </c>
      <c r="N172" s="497">
        <v>0</v>
      </c>
      <c r="O172" s="497">
        <v>0</v>
      </c>
      <c r="P172" s="497">
        <v>0</v>
      </c>
      <c r="Q172" s="497">
        <v>1861</v>
      </c>
      <c r="R172" s="497">
        <v>139062</v>
      </c>
      <c r="S172" s="497">
        <v>0</v>
      </c>
      <c r="T172" s="497">
        <v>341</v>
      </c>
      <c r="U172" s="497">
        <v>34117</v>
      </c>
      <c r="V172" s="497">
        <v>11812</v>
      </c>
      <c r="W172" s="497">
        <v>60802</v>
      </c>
      <c r="X172" s="497">
        <v>0</v>
      </c>
      <c r="Y172" s="497">
        <v>0</v>
      </c>
      <c r="Z172" s="497">
        <v>14782</v>
      </c>
      <c r="AA172" s="497">
        <v>252679</v>
      </c>
      <c r="AB172" s="497">
        <v>0</v>
      </c>
      <c r="AC172" s="497">
        <v>16027</v>
      </c>
      <c r="AD172" s="497">
        <v>0</v>
      </c>
      <c r="AE172" s="497">
        <v>0</v>
      </c>
      <c r="AF172" s="497">
        <v>0</v>
      </c>
      <c r="AG172" s="497">
        <v>565484</v>
      </c>
      <c r="AH172" s="497">
        <v>0</v>
      </c>
      <c r="AI172" s="497">
        <v>2230</v>
      </c>
      <c r="AJ172" s="497">
        <v>33315</v>
      </c>
      <c r="AK172" s="497">
        <v>0</v>
      </c>
      <c r="AL172" s="497">
        <v>0</v>
      </c>
      <c r="AM172" s="497">
        <v>0</v>
      </c>
      <c r="AN172" s="497">
        <v>0</v>
      </c>
      <c r="AO172" s="497">
        <v>119258</v>
      </c>
      <c r="AP172" s="497">
        <v>0</v>
      </c>
      <c r="AQ172" s="497">
        <v>124080</v>
      </c>
      <c r="AR172" s="497">
        <v>0</v>
      </c>
      <c r="AS172" s="497">
        <v>0</v>
      </c>
      <c r="AT172" s="497">
        <v>2474</v>
      </c>
      <c r="AU172" s="497">
        <v>0</v>
      </c>
      <c r="AV172" s="497">
        <v>3440722</v>
      </c>
      <c r="AW172" s="497">
        <v>1229523</v>
      </c>
      <c r="AX172" s="497">
        <v>28428</v>
      </c>
      <c r="AY172" s="497">
        <v>4605</v>
      </c>
      <c r="AZ172" s="497">
        <v>11271</v>
      </c>
      <c r="BA172" s="497">
        <v>2805</v>
      </c>
      <c r="BB172" s="497">
        <v>0</v>
      </c>
      <c r="BC172" s="497">
        <v>165001</v>
      </c>
      <c r="BD172" s="497">
        <v>905</v>
      </c>
      <c r="BE172" s="497">
        <v>0</v>
      </c>
      <c r="BF172" s="497">
        <v>3165</v>
      </c>
      <c r="BG172" s="497">
        <v>254260</v>
      </c>
      <c r="BH172" s="497">
        <v>0</v>
      </c>
      <c r="BI172" s="497">
        <v>179761</v>
      </c>
      <c r="BJ172" s="497">
        <v>11484</v>
      </c>
      <c r="BK172" s="497">
        <v>0</v>
      </c>
      <c r="BL172" s="497">
        <v>0</v>
      </c>
      <c r="BM172" s="497">
        <v>285918</v>
      </c>
      <c r="BN172" s="497">
        <v>648556</v>
      </c>
      <c r="BO172" s="497">
        <v>7795</v>
      </c>
      <c r="BP172" s="497">
        <v>1120976</v>
      </c>
      <c r="BQ172" s="497">
        <v>434746</v>
      </c>
      <c r="BR172" s="497">
        <v>0</v>
      </c>
      <c r="BS172" s="497">
        <v>94310</v>
      </c>
      <c r="BT172" s="497">
        <v>0</v>
      </c>
      <c r="BU172" s="497">
        <v>186903</v>
      </c>
      <c r="BV172" s="497">
        <v>786</v>
      </c>
      <c r="BW172" s="497">
        <v>0</v>
      </c>
      <c r="BX172" s="497">
        <v>57974</v>
      </c>
      <c r="BY172" s="497">
        <v>0</v>
      </c>
      <c r="BZ172" s="497">
        <v>397833</v>
      </c>
      <c r="CA172" s="497">
        <v>2679</v>
      </c>
      <c r="CB172" s="497">
        <v>0</v>
      </c>
      <c r="CC172" s="497">
        <v>4657</v>
      </c>
      <c r="CD172" s="497">
        <v>0</v>
      </c>
      <c r="CE172" s="497">
        <v>0</v>
      </c>
    </row>
    <row r="173" spans="1:83" x14ac:dyDescent="0.25">
      <c r="A173" s="635">
        <v>523</v>
      </c>
      <c r="B173" s="752">
        <v>523</v>
      </c>
      <c r="C173" s="635" t="s">
        <v>350</v>
      </c>
      <c r="D173" s="635" t="s">
        <v>555</v>
      </c>
      <c r="E173" s="497">
        <v>5792</v>
      </c>
      <c r="F173" s="497">
        <v>12758</v>
      </c>
      <c r="G173" s="497">
        <v>0</v>
      </c>
      <c r="H173" s="497">
        <v>389989</v>
      </c>
      <c r="I173" s="497">
        <v>0</v>
      </c>
      <c r="J173" s="497">
        <v>0</v>
      </c>
      <c r="K173" s="497">
        <v>0</v>
      </c>
      <c r="L173" s="497">
        <v>0</v>
      </c>
      <c r="M173" s="497">
        <v>0</v>
      </c>
      <c r="N173" s="497">
        <v>0</v>
      </c>
      <c r="O173" s="497">
        <v>0</v>
      </c>
      <c r="P173" s="497">
        <v>0</v>
      </c>
      <c r="Q173" s="497">
        <v>0</v>
      </c>
      <c r="R173" s="497">
        <v>0</v>
      </c>
      <c r="S173" s="497">
        <v>0</v>
      </c>
      <c r="T173" s="497">
        <v>0</v>
      </c>
      <c r="U173" s="497">
        <v>87938</v>
      </c>
      <c r="V173" s="497">
        <v>0</v>
      </c>
      <c r="W173" s="497">
        <v>117680</v>
      </c>
      <c r="X173" s="497">
        <v>0</v>
      </c>
      <c r="Y173" s="497">
        <v>0</v>
      </c>
      <c r="Z173" s="497">
        <v>0</v>
      </c>
      <c r="AA173" s="497">
        <v>27829</v>
      </c>
      <c r="AB173" s="497">
        <v>0</v>
      </c>
      <c r="AC173" s="497">
        <v>0</v>
      </c>
      <c r="AD173" s="497">
        <v>0</v>
      </c>
      <c r="AE173" s="497">
        <v>0</v>
      </c>
      <c r="AF173" s="497">
        <v>0</v>
      </c>
      <c r="AG173" s="497">
        <v>38923186</v>
      </c>
      <c r="AH173" s="497">
        <v>0</v>
      </c>
      <c r="AI173" s="497">
        <v>0</v>
      </c>
      <c r="AJ173" s="497">
        <v>31955</v>
      </c>
      <c r="AK173" s="497">
        <v>0</v>
      </c>
      <c r="AL173" s="497">
        <v>0</v>
      </c>
      <c r="AM173" s="497">
        <v>0</v>
      </c>
      <c r="AN173" s="497">
        <v>0</v>
      </c>
      <c r="AO173" s="497">
        <v>7482911</v>
      </c>
      <c r="AP173" s="497">
        <v>0</v>
      </c>
      <c r="AQ173" s="497">
        <v>0</v>
      </c>
      <c r="AR173" s="497">
        <v>0</v>
      </c>
      <c r="AS173" s="497">
        <v>0</v>
      </c>
      <c r="AT173" s="497">
        <v>0</v>
      </c>
      <c r="AU173" s="497">
        <v>371757</v>
      </c>
      <c r="AV173" s="497">
        <v>96231939</v>
      </c>
      <c r="AW173" s="497">
        <v>2342470</v>
      </c>
      <c r="AX173" s="497">
        <v>0</v>
      </c>
      <c r="AY173" s="497">
        <v>0</v>
      </c>
      <c r="AZ173" s="497">
        <v>133632</v>
      </c>
      <c r="BA173" s="497">
        <v>0</v>
      </c>
      <c r="BB173" s="497">
        <v>0</v>
      </c>
      <c r="BC173" s="497">
        <v>75766</v>
      </c>
      <c r="BD173" s="497">
        <v>0</v>
      </c>
      <c r="BE173" s="497">
        <v>0</v>
      </c>
      <c r="BF173" s="497">
        <v>0</v>
      </c>
      <c r="BG173" s="497">
        <v>390386</v>
      </c>
      <c r="BH173" s="497">
        <v>0</v>
      </c>
      <c r="BI173" s="497">
        <v>0</v>
      </c>
      <c r="BJ173" s="497">
        <v>0</v>
      </c>
      <c r="BK173" s="497">
        <v>0</v>
      </c>
      <c r="BL173" s="497">
        <v>0</v>
      </c>
      <c r="BM173" s="497">
        <v>19013346</v>
      </c>
      <c r="BN173" s="497">
        <v>776292</v>
      </c>
      <c r="BO173" s="497">
        <v>1700</v>
      </c>
      <c r="BP173" s="497">
        <v>22551138</v>
      </c>
      <c r="BQ173" s="497">
        <v>46818338</v>
      </c>
      <c r="BR173" s="497">
        <v>857</v>
      </c>
      <c r="BS173" s="497">
        <v>0</v>
      </c>
      <c r="BT173" s="497">
        <v>0</v>
      </c>
      <c r="BU173" s="497">
        <v>10194484</v>
      </c>
      <c r="BV173" s="497">
        <v>0</v>
      </c>
      <c r="BW173" s="497">
        <v>0</v>
      </c>
      <c r="BX173" s="497">
        <v>0</v>
      </c>
      <c r="BY173" s="497">
        <v>0</v>
      </c>
      <c r="BZ173" s="497">
        <v>77527</v>
      </c>
      <c r="CA173" s="497">
        <v>0</v>
      </c>
      <c r="CB173" s="497">
        <v>0</v>
      </c>
      <c r="CC173" s="497">
        <v>117780</v>
      </c>
      <c r="CD173" s="497">
        <v>0</v>
      </c>
      <c r="CE173" s="497">
        <v>0</v>
      </c>
    </row>
    <row r="174" spans="1:83" x14ac:dyDescent="0.25">
      <c r="A174" s="635">
        <v>524</v>
      </c>
      <c r="B174" s="752">
        <v>524</v>
      </c>
      <c r="C174" s="635" t="s">
        <v>351</v>
      </c>
      <c r="D174" s="635" t="s">
        <v>556</v>
      </c>
      <c r="E174" s="497">
        <v>2269057</v>
      </c>
      <c r="F174" s="497">
        <v>6154868</v>
      </c>
      <c r="G174" s="497">
        <v>0</v>
      </c>
      <c r="H174" s="497">
        <v>5587559</v>
      </c>
      <c r="I174" s="497">
        <v>3116787</v>
      </c>
      <c r="J174" s="497">
        <v>732560</v>
      </c>
      <c r="K174" s="497">
        <v>0</v>
      </c>
      <c r="L174" s="497">
        <v>1490030</v>
      </c>
      <c r="M174" s="497">
        <v>16806290</v>
      </c>
      <c r="N174" s="497">
        <v>0</v>
      </c>
      <c r="O174" s="497">
        <v>0</v>
      </c>
      <c r="P174" s="497">
        <v>0</v>
      </c>
      <c r="Q174" s="497">
        <v>93135</v>
      </c>
      <c r="R174" s="497">
        <v>24528308</v>
      </c>
      <c r="S174" s="497">
        <v>0</v>
      </c>
      <c r="T174" s="497">
        <v>2845561</v>
      </c>
      <c r="U174" s="497">
        <v>2318852</v>
      </c>
      <c r="V174" s="497">
        <v>1065141</v>
      </c>
      <c r="W174" s="497">
        <v>10632346</v>
      </c>
      <c r="X174" s="497">
        <v>0</v>
      </c>
      <c r="Y174" s="497">
        <v>3330850</v>
      </c>
      <c r="Z174" s="497">
        <v>5134019</v>
      </c>
      <c r="AA174" s="497">
        <v>32302981</v>
      </c>
      <c r="AB174" s="497">
        <v>1094911</v>
      </c>
      <c r="AC174" s="497">
        <v>1094230</v>
      </c>
      <c r="AD174" s="497">
        <v>0</v>
      </c>
      <c r="AE174" s="497">
        <v>0</v>
      </c>
      <c r="AF174" s="497">
        <v>0</v>
      </c>
      <c r="AG174" s="497">
        <v>76836822</v>
      </c>
      <c r="AH174" s="497">
        <v>0</v>
      </c>
      <c r="AI174" s="497">
        <v>1470759</v>
      </c>
      <c r="AJ174" s="497">
        <v>1991182</v>
      </c>
      <c r="AK174" s="497">
        <v>1346503</v>
      </c>
      <c r="AL174" s="497">
        <v>139752</v>
      </c>
      <c r="AM174" s="497">
        <v>0</v>
      </c>
      <c r="AN174" s="497">
        <v>0</v>
      </c>
      <c r="AO174" s="497">
        <v>8060537</v>
      </c>
      <c r="AP174" s="497">
        <v>0</v>
      </c>
      <c r="AQ174" s="497">
        <v>13462147</v>
      </c>
      <c r="AR174" s="497">
        <v>0</v>
      </c>
      <c r="AS174" s="497">
        <v>0</v>
      </c>
      <c r="AT174" s="497">
        <v>1686965</v>
      </c>
      <c r="AU174" s="497">
        <v>1187846</v>
      </c>
      <c r="AV174" s="497">
        <v>31856048</v>
      </c>
      <c r="AW174" s="497">
        <v>155230958</v>
      </c>
      <c r="AX174" s="497">
        <v>3390272</v>
      </c>
      <c r="AY174" s="497">
        <v>1944745</v>
      </c>
      <c r="AZ174" s="497">
        <v>1736640</v>
      </c>
      <c r="BA174" s="497">
        <v>1208405</v>
      </c>
      <c r="BB174" s="497">
        <v>0</v>
      </c>
      <c r="BC174" s="497">
        <v>13767741</v>
      </c>
      <c r="BD174" s="497">
        <v>1124291</v>
      </c>
      <c r="BE174" s="497">
        <v>0</v>
      </c>
      <c r="BF174" s="497">
        <v>909719</v>
      </c>
      <c r="BG174" s="497">
        <v>11490916</v>
      </c>
      <c r="BH174" s="497">
        <v>0</v>
      </c>
      <c r="BI174" s="497">
        <v>21690485</v>
      </c>
      <c r="BJ174" s="497">
        <v>4853012</v>
      </c>
      <c r="BK174" s="497">
        <v>0</v>
      </c>
      <c r="BL174" s="497">
        <v>0</v>
      </c>
      <c r="BM174" s="497">
        <v>17832819</v>
      </c>
      <c r="BN174" s="497">
        <v>40073121</v>
      </c>
      <c r="BO174" s="497">
        <v>10565814</v>
      </c>
      <c r="BP174" s="497">
        <v>18150718</v>
      </c>
      <c r="BQ174" s="497">
        <v>0</v>
      </c>
      <c r="BR174" s="497">
        <v>863647</v>
      </c>
      <c r="BS174" s="497">
        <v>11025951</v>
      </c>
      <c r="BT174" s="497">
        <v>0</v>
      </c>
      <c r="BU174" s="497">
        <v>9884983</v>
      </c>
      <c r="BV174" s="497">
        <v>2267519</v>
      </c>
      <c r="BW174" s="497">
        <v>0</v>
      </c>
      <c r="BX174" s="497">
        <v>6788544</v>
      </c>
      <c r="BY174" s="497">
        <v>0</v>
      </c>
      <c r="BZ174" s="497">
        <v>35922247</v>
      </c>
      <c r="CA174" s="497">
        <v>1340906</v>
      </c>
      <c r="CB174" s="497">
        <v>0</v>
      </c>
      <c r="CC174" s="497">
        <v>1203589</v>
      </c>
      <c r="CD174" s="497">
        <v>0</v>
      </c>
      <c r="CE174" s="497">
        <v>0</v>
      </c>
    </row>
    <row r="175" spans="1:83" x14ac:dyDescent="0.25">
      <c r="A175" s="635">
        <v>525</v>
      </c>
      <c r="B175" s="752">
        <v>525</v>
      </c>
      <c r="C175" s="635" t="s">
        <v>352</v>
      </c>
      <c r="D175" s="635" t="s">
        <v>557</v>
      </c>
      <c r="E175" s="497">
        <v>0</v>
      </c>
      <c r="F175" s="497">
        <v>0</v>
      </c>
      <c r="G175" s="497">
        <v>0</v>
      </c>
      <c r="H175" s="497">
        <v>0</v>
      </c>
      <c r="I175" s="497">
        <v>0</v>
      </c>
      <c r="J175" s="497">
        <v>0</v>
      </c>
      <c r="K175" s="497">
        <v>0</v>
      </c>
      <c r="L175" s="497">
        <v>83144</v>
      </c>
      <c r="M175" s="497">
        <v>0</v>
      </c>
      <c r="N175" s="497">
        <v>0</v>
      </c>
      <c r="O175" s="497">
        <v>0</v>
      </c>
      <c r="P175" s="497">
        <v>0</v>
      </c>
      <c r="Q175" s="497">
        <v>0</v>
      </c>
      <c r="R175" s="497">
        <v>0</v>
      </c>
      <c r="S175" s="497">
        <v>0</v>
      </c>
      <c r="T175" s="497">
        <v>0</v>
      </c>
      <c r="U175" s="497">
        <v>0</v>
      </c>
      <c r="V175" s="497">
        <v>0</v>
      </c>
      <c r="W175" s="497">
        <v>0</v>
      </c>
      <c r="X175" s="497">
        <v>0</v>
      </c>
      <c r="Y175" s="497">
        <v>0</v>
      </c>
      <c r="Z175" s="497">
        <v>0</v>
      </c>
      <c r="AA175" s="497">
        <v>8619823</v>
      </c>
      <c r="AB175" s="497">
        <v>0</v>
      </c>
      <c r="AC175" s="497">
        <v>0</v>
      </c>
      <c r="AD175" s="497">
        <v>0</v>
      </c>
      <c r="AE175" s="497">
        <v>0</v>
      </c>
      <c r="AF175" s="497">
        <v>0</v>
      </c>
      <c r="AG175" s="497">
        <v>0</v>
      </c>
      <c r="AH175" s="497">
        <v>0</v>
      </c>
      <c r="AI175" s="497">
        <v>0</v>
      </c>
      <c r="AJ175" s="497">
        <v>0</v>
      </c>
      <c r="AK175" s="497">
        <v>0</v>
      </c>
      <c r="AL175" s="497">
        <v>0</v>
      </c>
      <c r="AM175" s="497">
        <v>0</v>
      </c>
      <c r="AN175" s="497">
        <v>551109</v>
      </c>
      <c r="AO175" s="497">
        <v>4452063</v>
      </c>
      <c r="AP175" s="497">
        <v>0</v>
      </c>
      <c r="AQ175" s="497">
        <v>0</v>
      </c>
      <c r="AR175" s="497">
        <v>0</v>
      </c>
      <c r="AS175" s="497">
        <v>0</v>
      </c>
      <c r="AT175" s="497">
        <v>0</v>
      </c>
      <c r="AU175" s="497">
        <v>0</v>
      </c>
      <c r="AV175" s="497">
        <v>280601054</v>
      </c>
      <c r="AW175" s="497">
        <v>0</v>
      </c>
      <c r="AX175" s="497">
        <v>0</v>
      </c>
      <c r="AY175" s="497">
        <v>0</v>
      </c>
      <c r="AZ175" s="497">
        <v>0</v>
      </c>
      <c r="BA175" s="497">
        <v>0</v>
      </c>
      <c r="BB175" s="497">
        <v>0</v>
      </c>
      <c r="BC175" s="497">
        <v>1368865</v>
      </c>
      <c r="BD175" s="497">
        <v>0</v>
      </c>
      <c r="BE175" s="497">
        <v>0</v>
      </c>
      <c r="BF175" s="497">
        <v>0</v>
      </c>
      <c r="BG175" s="497">
        <v>0</v>
      </c>
      <c r="BH175" s="497">
        <v>0</v>
      </c>
      <c r="BI175" s="497">
        <v>0</v>
      </c>
      <c r="BJ175" s="497">
        <v>0</v>
      </c>
      <c r="BK175" s="497">
        <v>0</v>
      </c>
      <c r="BL175" s="497">
        <v>0</v>
      </c>
      <c r="BM175" s="497">
        <v>0</v>
      </c>
      <c r="BN175" s="497">
        <v>0</v>
      </c>
      <c r="BO175" s="497">
        <v>0</v>
      </c>
      <c r="BP175" s="497">
        <v>39234767</v>
      </c>
      <c r="BQ175" s="497">
        <v>181760524</v>
      </c>
      <c r="BR175" s="497">
        <v>0</v>
      </c>
      <c r="BS175" s="497">
        <v>0</v>
      </c>
      <c r="BT175" s="497">
        <v>0</v>
      </c>
      <c r="BU175" s="497">
        <v>406851</v>
      </c>
      <c r="BV175" s="497">
        <v>0</v>
      </c>
      <c r="BW175" s="497">
        <v>0</v>
      </c>
      <c r="BX175" s="497">
        <v>51420</v>
      </c>
      <c r="BY175" s="497">
        <v>0</v>
      </c>
      <c r="BZ175" s="497">
        <v>0</v>
      </c>
      <c r="CA175" s="497">
        <v>0</v>
      </c>
      <c r="CB175" s="497">
        <v>0</v>
      </c>
      <c r="CC175" s="497">
        <v>0</v>
      </c>
      <c r="CD175" s="497">
        <v>0</v>
      </c>
      <c r="CE175" s="497">
        <v>0</v>
      </c>
    </row>
    <row r="176" spans="1:83" x14ac:dyDescent="0.25">
      <c r="A176" s="635">
        <v>526</v>
      </c>
      <c r="B176" s="752">
        <v>526</v>
      </c>
      <c r="C176" s="635" t="s">
        <v>353</v>
      </c>
      <c r="D176" s="635" t="s">
        <v>558</v>
      </c>
      <c r="E176" s="497">
        <v>188865</v>
      </c>
      <c r="F176" s="497">
        <v>643951</v>
      </c>
      <c r="G176" s="497">
        <v>0</v>
      </c>
      <c r="H176" s="497">
        <v>517751</v>
      </c>
      <c r="I176" s="497">
        <v>32564</v>
      </c>
      <c r="J176" s="497">
        <v>4657</v>
      </c>
      <c r="K176" s="497">
        <v>0</v>
      </c>
      <c r="L176" s="497">
        <v>0</v>
      </c>
      <c r="M176" s="497">
        <v>1326745</v>
      </c>
      <c r="N176" s="497">
        <v>0</v>
      </c>
      <c r="O176" s="497">
        <v>0</v>
      </c>
      <c r="P176" s="497">
        <v>0</v>
      </c>
      <c r="Q176" s="497">
        <v>2199</v>
      </c>
      <c r="R176" s="497">
        <v>4697253</v>
      </c>
      <c r="S176" s="497">
        <v>0</v>
      </c>
      <c r="T176" s="497">
        <v>110158</v>
      </c>
      <c r="U176" s="497">
        <v>390287</v>
      </c>
      <c r="V176" s="497">
        <v>106794</v>
      </c>
      <c r="W176" s="497">
        <v>1274380</v>
      </c>
      <c r="X176" s="497">
        <v>0</v>
      </c>
      <c r="Y176" s="497">
        <v>0</v>
      </c>
      <c r="Z176" s="497">
        <v>270428</v>
      </c>
      <c r="AA176" s="497">
        <v>1683303</v>
      </c>
      <c r="AB176" s="497">
        <v>0</v>
      </c>
      <c r="AC176" s="497">
        <v>269617</v>
      </c>
      <c r="AD176" s="497">
        <v>0</v>
      </c>
      <c r="AE176" s="497">
        <v>0</v>
      </c>
      <c r="AF176" s="497">
        <v>0</v>
      </c>
      <c r="AG176" s="497">
        <v>12959283</v>
      </c>
      <c r="AH176" s="497">
        <v>0</v>
      </c>
      <c r="AI176" s="497">
        <v>72387</v>
      </c>
      <c r="AJ176" s="497">
        <v>223333</v>
      </c>
      <c r="AK176" s="497">
        <v>0</v>
      </c>
      <c r="AL176" s="497">
        <v>3358</v>
      </c>
      <c r="AM176" s="497">
        <v>0</v>
      </c>
      <c r="AN176" s="497">
        <v>0</v>
      </c>
      <c r="AO176" s="497">
        <v>1488202</v>
      </c>
      <c r="AP176" s="497">
        <v>0</v>
      </c>
      <c r="AQ176" s="497">
        <v>1048314</v>
      </c>
      <c r="AR176" s="497">
        <v>0</v>
      </c>
      <c r="AS176" s="497">
        <v>0</v>
      </c>
      <c r="AT176" s="497">
        <v>195100</v>
      </c>
      <c r="AU176" s="497">
        <v>15297</v>
      </c>
      <c r="AV176" s="497">
        <v>37278203</v>
      </c>
      <c r="AW176" s="497">
        <v>15948610</v>
      </c>
      <c r="AX176" s="497">
        <v>154641</v>
      </c>
      <c r="AY176" s="497">
        <v>164399</v>
      </c>
      <c r="AZ176" s="497">
        <v>166925</v>
      </c>
      <c r="BA176" s="497">
        <v>126260</v>
      </c>
      <c r="BB176" s="497">
        <v>0</v>
      </c>
      <c r="BC176" s="497">
        <v>0</v>
      </c>
      <c r="BD176" s="497">
        <v>3621</v>
      </c>
      <c r="BE176" s="497">
        <v>0</v>
      </c>
      <c r="BF176" s="497">
        <v>46813</v>
      </c>
      <c r="BG176" s="497">
        <v>1220367</v>
      </c>
      <c r="BH176" s="497">
        <v>0</v>
      </c>
      <c r="BI176" s="497">
        <v>1642665</v>
      </c>
      <c r="BJ176" s="497">
        <v>244916</v>
      </c>
      <c r="BK176" s="497">
        <v>0</v>
      </c>
      <c r="BL176" s="497">
        <v>0</v>
      </c>
      <c r="BM176" s="497">
        <v>4034402</v>
      </c>
      <c r="BN176" s="497">
        <v>15748358</v>
      </c>
      <c r="BO176" s="497">
        <v>496981</v>
      </c>
      <c r="BP176" s="497">
        <v>5941179</v>
      </c>
      <c r="BQ176" s="497">
        <v>9514505</v>
      </c>
      <c r="BR176" s="497">
        <v>72910</v>
      </c>
      <c r="BS176" s="497">
        <v>892007</v>
      </c>
      <c r="BT176" s="497">
        <v>0</v>
      </c>
      <c r="BU176" s="497">
        <v>2089758</v>
      </c>
      <c r="BV176" s="497">
        <v>143115</v>
      </c>
      <c r="BW176" s="497">
        <v>0</v>
      </c>
      <c r="BX176" s="497">
        <v>565366</v>
      </c>
      <c r="BY176" s="497">
        <v>0</v>
      </c>
      <c r="BZ176" s="497">
        <v>6591319</v>
      </c>
      <c r="CA176" s="497">
        <v>48848</v>
      </c>
      <c r="CB176" s="497">
        <v>0</v>
      </c>
      <c r="CC176" s="497">
        <v>16090</v>
      </c>
      <c r="CD176" s="497">
        <v>0</v>
      </c>
      <c r="CE176" s="497">
        <v>0</v>
      </c>
    </row>
    <row r="177" spans="1:83" x14ac:dyDescent="0.25">
      <c r="A177" s="635">
        <v>527</v>
      </c>
      <c r="B177" s="752">
        <v>527</v>
      </c>
      <c r="C177" s="635" t="s">
        <v>354</v>
      </c>
      <c r="D177" s="635" t="s">
        <v>559</v>
      </c>
      <c r="E177" s="497">
        <v>0</v>
      </c>
      <c r="F177" s="497">
        <v>0</v>
      </c>
      <c r="G177" s="497">
        <v>0</v>
      </c>
      <c r="H177" s="497">
        <v>0</v>
      </c>
      <c r="I177" s="497">
        <v>0</v>
      </c>
      <c r="J177" s="497">
        <v>0</v>
      </c>
      <c r="K177" s="497">
        <v>0</v>
      </c>
      <c r="L177" s="497">
        <v>0</v>
      </c>
      <c r="M177" s="497">
        <v>58900</v>
      </c>
      <c r="N177" s="497">
        <v>0</v>
      </c>
      <c r="O177" s="497">
        <v>0</v>
      </c>
      <c r="P177" s="497">
        <v>0</v>
      </c>
      <c r="Q177" s="497">
        <v>0</v>
      </c>
      <c r="R177" s="497">
        <v>115715</v>
      </c>
      <c r="S177" s="497">
        <v>0</v>
      </c>
      <c r="T177" s="497">
        <v>0</v>
      </c>
      <c r="U177" s="497">
        <v>0</v>
      </c>
      <c r="V177" s="497">
        <v>0</v>
      </c>
      <c r="W177" s="497">
        <v>0</v>
      </c>
      <c r="X177" s="497">
        <v>0</v>
      </c>
      <c r="Y177" s="497">
        <v>0</v>
      </c>
      <c r="Z177" s="497">
        <v>137268</v>
      </c>
      <c r="AA177" s="497">
        <v>0</v>
      </c>
      <c r="AB177" s="497">
        <v>0</v>
      </c>
      <c r="AC177" s="497">
        <v>0</v>
      </c>
      <c r="AD177" s="497">
        <v>0</v>
      </c>
      <c r="AE177" s="497">
        <v>0</v>
      </c>
      <c r="AF177" s="497">
        <v>0</v>
      </c>
      <c r="AG177" s="497">
        <v>9294212</v>
      </c>
      <c r="AH177" s="497">
        <v>0</v>
      </c>
      <c r="AI177" s="497">
        <v>0</v>
      </c>
      <c r="AJ177" s="497">
        <v>0</v>
      </c>
      <c r="AK177" s="497">
        <v>0</v>
      </c>
      <c r="AL177" s="497">
        <v>0</v>
      </c>
      <c r="AM177" s="497">
        <v>0</v>
      </c>
      <c r="AN177" s="497">
        <v>0</v>
      </c>
      <c r="AO177" s="497">
        <v>0</v>
      </c>
      <c r="AP177" s="497">
        <v>0</v>
      </c>
      <c r="AQ177" s="497">
        <v>47400</v>
      </c>
      <c r="AR177" s="497">
        <v>0</v>
      </c>
      <c r="AS177" s="497">
        <v>0</v>
      </c>
      <c r="AT177" s="497">
        <v>0</v>
      </c>
      <c r="AU177" s="497">
        <v>0</v>
      </c>
      <c r="AV177" s="497">
        <v>0</v>
      </c>
      <c r="AW177" s="497">
        <v>12956255</v>
      </c>
      <c r="AX177" s="497">
        <v>0</v>
      </c>
      <c r="AY177" s="497">
        <v>0</v>
      </c>
      <c r="AZ177" s="497">
        <v>0</v>
      </c>
      <c r="BA177" s="497">
        <v>0</v>
      </c>
      <c r="BB177" s="497">
        <v>0</v>
      </c>
      <c r="BC177" s="497">
        <v>0</v>
      </c>
      <c r="BD177" s="497">
        <v>0</v>
      </c>
      <c r="BE177" s="497">
        <v>0</v>
      </c>
      <c r="BF177" s="497">
        <v>0</v>
      </c>
      <c r="BG177" s="497">
        <v>0</v>
      </c>
      <c r="BH177" s="497">
        <v>0</v>
      </c>
      <c r="BI177" s="497">
        <v>0</v>
      </c>
      <c r="BJ177" s="497">
        <v>0</v>
      </c>
      <c r="BK177" s="497">
        <v>0</v>
      </c>
      <c r="BL177" s="497">
        <v>0</v>
      </c>
      <c r="BM177" s="497">
        <v>0</v>
      </c>
      <c r="BN177" s="497">
        <v>0</v>
      </c>
      <c r="BO177" s="497">
        <v>0</v>
      </c>
      <c r="BP177" s="497">
        <v>0</v>
      </c>
      <c r="BQ177" s="497">
        <v>7245462</v>
      </c>
      <c r="BR177" s="497">
        <v>0</v>
      </c>
      <c r="BS177" s="497">
        <v>0</v>
      </c>
      <c r="BT177" s="497">
        <v>0</v>
      </c>
      <c r="BU177" s="497">
        <v>0</v>
      </c>
      <c r="BV177" s="497">
        <v>0</v>
      </c>
      <c r="BW177" s="497">
        <v>0</v>
      </c>
      <c r="BX177" s="497">
        <v>0</v>
      </c>
      <c r="BY177" s="497">
        <v>0</v>
      </c>
      <c r="BZ177" s="497">
        <v>0</v>
      </c>
      <c r="CA177" s="497">
        <v>0</v>
      </c>
      <c r="CB177" s="497">
        <v>0</v>
      </c>
      <c r="CC177" s="497">
        <v>0</v>
      </c>
      <c r="CD177" s="497">
        <v>0</v>
      </c>
      <c r="CE177" s="497">
        <v>413771</v>
      </c>
    </row>
    <row r="178" spans="1:83" x14ac:dyDescent="0.25">
      <c r="A178" s="635">
        <v>528</v>
      </c>
      <c r="B178" s="752">
        <v>528</v>
      </c>
      <c r="C178" s="635" t="s">
        <v>336</v>
      </c>
      <c r="D178" s="635" t="s">
        <v>560</v>
      </c>
      <c r="E178" s="497">
        <v>230118</v>
      </c>
      <c r="F178" s="497">
        <v>764184</v>
      </c>
      <c r="G178" s="497">
        <v>77774</v>
      </c>
      <c r="H178" s="497">
        <v>270662</v>
      </c>
      <c r="I178" s="497">
        <v>237436</v>
      </c>
      <c r="J178" s="497">
        <v>22586</v>
      </c>
      <c r="K178" s="497">
        <v>18071</v>
      </c>
      <c r="L178" s="497">
        <v>18933</v>
      </c>
      <c r="M178" s="497">
        <v>1457274</v>
      </c>
      <c r="N178" s="497">
        <v>62864109</v>
      </c>
      <c r="O178" s="497">
        <v>948009</v>
      </c>
      <c r="P178" s="497">
        <v>3755342</v>
      </c>
      <c r="Q178" s="497">
        <v>7654</v>
      </c>
      <c r="R178" s="497">
        <v>4543381</v>
      </c>
      <c r="S178" s="497">
        <v>39774</v>
      </c>
      <c r="T178" s="497">
        <v>136282</v>
      </c>
      <c r="U178" s="497">
        <v>807435</v>
      </c>
      <c r="V178" s="497">
        <v>574340</v>
      </c>
      <c r="W178" s="497">
        <v>2140707</v>
      </c>
      <c r="X178" s="497">
        <v>824766</v>
      </c>
      <c r="Y178" s="497">
        <v>163612</v>
      </c>
      <c r="Z178" s="497">
        <v>306843</v>
      </c>
      <c r="AA178" s="497">
        <v>13563996</v>
      </c>
      <c r="AB178" s="497">
        <v>0</v>
      </c>
      <c r="AC178" s="497">
        <v>176229</v>
      </c>
      <c r="AD178" s="497">
        <v>17269399</v>
      </c>
      <c r="AE178" s="497">
        <v>208708</v>
      </c>
      <c r="AF178" s="497">
        <v>0</v>
      </c>
      <c r="AG178" s="497">
        <v>28296105</v>
      </c>
      <c r="AH178" s="497">
        <v>46666</v>
      </c>
      <c r="AI178" s="497">
        <v>98902</v>
      </c>
      <c r="AJ178" s="497">
        <v>2938375</v>
      </c>
      <c r="AK178" s="497">
        <v>275848</v>
      </c>
      <c r="AL178" s="497">
        <v>17461</v>
      </c>
      <c r="AM178" s="497">
        <v>0</v>
      </c>
      <c r="AN178" s="497">
        <v>52913</v>
      </c>
      <c r="AO178" s="497">
        <v>4917920</v>
      </c>
      <c r="AP178" s="497">
        <v>0</v>
      </c>
      <c r="AQ178" s="497">
        <v>1737936</v>
      </c>
      <c r="AR178" s="497">
        <v>771333</v>
      </c>
      <c r="AS178" s="497">
        <v>28469</v>
      </c>
      <c r="AT178" s="497">
        <v>254330</v>
      </c>
      <c r="AU178" s="497">
        <v>44462</v>
      </c>
      <c r="AV178" s="497">
        <v>162723993</v>
      </c>
      <c r="AW178" s="497">
        <v>30280715</v>
      </c>
      <c r="AX178" s="497">
        <v>479222</v>
      </c>
      <c r="AY178" s="497">
        <v>73954</v>
      </c>
      <c r="AZ178" s="497">
        <v>120178</v>
      </c>
      <c r="BA178" s="497">
        <v>65655</v>
      </c>
      <c r="BB178" s="497">
        <v>0</v>
      </c>
      <c r="BC178" s="497">
        <v>1758169</v>
      </c>
      <c r="BD178" s="497">
        <v>28983</v>
      </c>
      <c r="BE178" s="497">
        <v>21417</v>
      </c>
      <c r="BF178" s="497">
        <v>20270</v>
      </c>
      <c r="BG178" s="497">
        <v>7243958</v>
      </c>
      <c r="BH178" s="497">
        <v>6242</v>
      </c>
      <c r="BI178" s="497">
        <v>4596341</v>
      </c>
      <c r="BJ178" s="497">
        <v>628007</v>
      </c>
      <c r="BK178" s="497">
        <v>95584</v>
      </c>
      <c r="BL178" s="497">
        <v>0</v>
      </c>
      <c r="BM178" s="497">
        <v>5737216</v>
      </c>
      <c r="BN178" s="497">
        <v>8099507</v>
      </c>
      <c r="BO178" s="497">
        <v>529543</v>
      </c>
      <c r="BP178" s="497">
        <v>25525399</v>
      </c>
      <c r="BQ178" s="497">
        <v>57706464</v>
      </c>
      <c r="BR178" s="497">
        <v>103146</v>
      </c>
      <c r="BS178" s="497">
        <v>2884319</v>
      </c>
      <c r="BT178" s="497">
        <v>225773</v>
      </c>
      <c r="BU178" s="497">
        <v>6237192</v>
      </c>
      <c r="BV178" s="497">
        <v>51968</v>
      </c>
      <c r="BW178" s="497">
        <v>34555</v>
      </c>
      <c r="BX178" s="497">
        <v>2725751</v>
      </c>
      <c r="BY178" s="497">
        <v>0</v>
      </c>
      <c r="BZ178" s="497">
        <v>18847537</v>
      </c>
      <c r="CA178" s="497">
        <v>62692</v>
      </c>
      <c r="CB178" s="497">
        <v>4812156</v>
      </c>
      <c r="CC178" s="497">
        <v>217016</v>
      </c>
      <c r="CD178" s="497">
        <v>1124507</v>
      </c>
      <c r="CE178" s="497">
        <v>19807096</v>
      </c>
    </row>
    <row r="179" spans="1:83" x14ac:dyDescent="0.25">
      <c r="A179" s="635">
        <v>529</v>
      </c>
      <c r="B179" s="752">
        <v>529</v>
      </c>
      <c r="C179" s="635" t="s">
        <v>337</v>
      </c>
      <c r="D179" s="635" t="s">
        <v>561</v>
      </c>
      <c r="E179" s="497">
        <v>26596</v>
      </c>
      <c r="F179" s="497">
        <v>93681</v>
      </c>
      <c r="G179" s="497">
        <v>9853</v>
      </c>
      <c r="H179" s="497">
        <v>23371</v>
      </c>
      <c r="I179" s="497">
        <v>30639</v>
      </c>
      <c r="J179" s="497">
        <v>3244</v>
      </c>
      <c r="K179" s="497">
        <v>2062</v>
      </c>
      <c r="L179" s="497">
        <v>2609</v>
      </c>
      <c r="M179" s="497">
        <v>171515</v>
      </c>
      <c r="N179" s="497">
        <v>7134979</v>
      </c>
      <c r="O179" s="497">
        <v>57850</v>
      </c>
      <c r="P179" s="497">
        <v>270971</v>
      </c>
      <c r="Q179" s="497">
        <v>1720</v>
      </c>
      <c r="R179" s="497">
        <v>130491</v>
      </c>
      <c r="S179" s="497">
        <v>3683</v>
      </c>
      <c r="T179" s="497">
        <v>13222</v>
      </c>
      <c r="U179" s="497">
        <v>66946</v>
      </c>
      <c r="V179" s="497">
        <v>57738</v>
      </c>
      <c r="W179" s="497">
        <v>136396</v>
      </c>
      <c r="X179" s="497">
        <v>87343</v>
      </c>
      <c r="Y179" s="497">
        <v>25048</v>
      </c>
      <c r="Z179" s="497">
        <v>33032</v>
      </c>
      <c r="AA179" s="497">
        <v>1749057</v>
      </c>
      <c r="AB179" s="497">
        <v>0</v>
      </c>
      <c r="AC179" s="497">
        <v>27642</v>
      </c>
      <c r="AD179" s="497">
        <v>2156973</v>
      </c>
      <c r="AE179" s="497">
        <v>31590</v>
      </c>
      <c r="AF179" s="497">
        <v>0</v>
      </c>
      <c r="AG179" s="497">
        <v>2590019</v>
      </c>
      <c r="AH179" s="497">
        <v>13388</v>
      </c>
      <c r="AI179" s="497">
        <v>15215</v>
      </c>
      <c r="AJ179" s="497">
        <v>353892</v>
      </c>
      <c r="AK179" s="497">
        <v>45926</v>
      </c>
      <c r="AL179" s="497">
        <v>3333</v>
      </c>
      <c r="AM179" s="497">
        <v>0</v>
      </c>
      <c r="AN179" s="497">
        <v>7698</v>
      </c>
      <c r="AO179" s="497">
        <v>578649</v>
      </c>
      <c r="AP179" s="497">
        <v>0</v>
      </c>
      <c r="AQ179" s="497">
        <v>178625</v>
      </c>
      <c r="AR179" s="497">
        <v>111384</v>
      </c>
      <c r="AS179" s="497">
        <v>3011</v>
      </c>
      <c r="AT179" s="497">
        <v>56075</v>
      </c>
      <c r="AU179" s="497">
        <v>7006</v>
      </c>
      <c r="AV179" s="497">
        <v>20565922</v>
      </c>
      <c r="AW179" s="497">
        <v>4767822</v>
      </c>
      <c r="AX179" s="497">
        <v>89525</v>
      </c>
      <c r="AY179" s="497">
        <v>12067</v>
      </c>
      <c r="AZ179" s="497">
        <v>18573</v>
      </c>
      <c r="BA179" s="497">
        <v>11243</v>
      </c>
      <c r="BB179" s="497">
        <v>0</v>
      </c>
      <c r="BC179" s="497">
        <v>278660</v>
      </c>
      <c r="BD179" s="497">
        <v>3794</v>
      </c>
      <c r="BE179" s="497">
        <v>3170</v>
      </c>
      <c r="BF179" s="497">
        <v>3061</v>
      </c>
      <c r="BG179" s="497">
        <v>712248</v>
      </c>
      <c r="BH179" s="497">
        <v>653</v>
      </c>
      <c r="BI179" s="497">
        <v>627168</v>
      </c>
      <c r="BJ179" s="497">
        <v>83022</v>
      </c>
      <c r="BK179" s="497">
        <v>4578</v>
      </c>
      <c r="BL179" s="497">
        <v>0</v>
      </c>
      <c r="BM179" s="497">
        <v>604847</v>
      </c>
      <c r="BN179" s="497">
        <v>692239</v>
      </c>
      <c r="BO179" s="497">
        <v>58936</v>
      </c>
      <c r="BP179" s="497">
        <v>2355606</v>
      </c>
      <c r="BQ179" s="497">
        <v>6803755</v>
      </c>
      <c r="BR179" s="497">
        <v>12984</v>
      </c>
      <c r="BS179" s="497">
        <v>23898</v>
      </c>
      <c r="BT179" s="497">
        <v>21120</v>
      </c>
      <c r="BU179" s="497">
        <v>714942</v>
      </c>
      <c r="BV179" s="497">
        <v>11162</v>
      </c>
      <c r="BW179" s="497">
        <v>7570</v>
      </c>
      <c r="BX179" s="497">
        <v>28781</v>
      </c>
      <c r="BY179" s="497">
        <v>0</v>
      </c>
      <c r="BZ179" s="497">
        <v>2029469</v>
      </c>
      <c r="CA179" s="497">
        <v>11187</v>
      </c>
      <c r="CB179" s="497">
        <v>567089</v>
      </c>
      <c r="CC179" s="497">
        <v>30873</v>
      </c>
      <c r="CD179" s="497">
        <v>123251</v>
      </c>
      <c r="CE179" s="497">
        <v>2009091</v>
      </c>
    </row>
    <row r="180" spans="1:83" x14ac:dyDescent="0.25">
      <c r="A180" s="635">
        <v>530</v>
      </c>
      <c r="B180" s="752">
        <v>530</v>
      </c>
      <c r="C180" s="635" t="s">
        <v>338</v>
      </c>
      <c r="D180" s="635" t="s">
        <v>562</v>
      </c>
      <c r="E180" s="497">
        <v>10908</v>
      </c>
      <c r="F180" s="497">
        <v>65108</v>
      </c>
      <c r="G180" s="497">
        <v>601</v>
      </c>
      <c r="H180" s="497">
        <v>3017</v>
      </c>
      <c r="I180" s="497">
        <v>1964</v>
      </c>
      <c r="J180" s="497">
        <v>500</v>
      </c>
      <c r="K180" s="497">
        <v>0</v>
      </c>
      <c r="L180" s="497">
        <v>301</v>
      </c>
      <c r="M180" s="497">
        <v>58494</v>
      </c>
      <c r="N180" s="497">
        <v>329947</v>
      </c>
      <c r="O180" s="497">
        <v>0</v>
      </c>
      <c r="P180" s="497">
        <v>25018</v>
      </c>
      <c r="Q180" s="497">
        <v>301</v>
      </c>
      <c r="R180" s="497">
        <v>36701</v>
      </c>
      <c r="S180" s="497">
        <v>344</v>
      </c>
      <c r="T180" s="497">
        <v>2662</v>
      </c>
      <c r="U180" s="497">
        <v>699</v>
      </c>
      <c r="V180" s="497">
        <v>3032</v>
      </c>
      <c r="W180" s="497">
        <v>143497</v>
      </c>
      <c r="X180" s="497">
        <v>32217</v>
      </c>
      <c r="Y180" s="497">
        <v>2150</v>
      </c>
      <c r="Z180" s="497">
        <v>15071</v>
      </c>
      <c r="AA180" s="497">
        <v>30066</v>
      </c>
      <c r="AB180" s="497">
        <v>0</v>
      </c>
      <c r="AC180" s="497">
        <v>10537</v>
      </c>
      <c r="AD180" s="497">
        <v>49785</v>
      </c>
      <c r="AE180" s="497">
        <v>20217</v>
      </c>
      <c r="AF180" s="497">
        <v>0</v>
      </c>
      <c r="AG180" s="497">
        <v>259565</v>
      </c>
      <c r="AH180" s="497">
        <v>1931</v>
      </c>
      <c r="AI180" s="497">
        <v>5840</v>
      </c>
      <c r="AJ180" s="497">
        <v>55855</v>
      </c>
      <c r="AK180" s="497">
        <v>3508</v>
      </c>
      <c r="AL180" s="497">
        <v>243</v>
      </c>
      <c r="AM180" s="497">
        <v>0</v>
      </c>
      <c r="AN180" s="497">
        <v>3353</v>
      </c>
      <c r="AO180" s="497">
        <v>75756</v>
      </c>
      <c r="AP180" s="497">
        <v>0</v>
      </c>
      <c r="AQ180" s="497">
        <v>44006</v>
      </c>
      <c r="AR180" s="497">
        <v>10027</v>
      </c>
      <c r="AS180" s="497">
        <v>1143</v>
      </c>
      <c r="AT180" s="497">
        <v>14040</v>
      </c>
      <c r="AU180" s="497">
        <v>3285</v>
      </c>
      <c r="AV180" s="497">
        <v>1197214</v>
      </c>
      <c r="AW180" s="497">
        <v>104263</v>
      </c>
      <c r="AX180" s="497">
        <v>24502</v>
      </c>
      <c r="AY180" s="497">
        <v>952</v>
      </c>
      <c r="AZ180" s="497">
        <v>3966</v>
      </c>
      <c r="BA180" s="497">
        <v>328</v>
      </c>
      <c r="BB180" s="497">
        <v>0</v>
      </c>
      <c r="BC180" s="497">
        <v>87745</v>
      </c>
      <c r="BD180" s="497">
        <v>495</v>
      </c>
      <c r="BE180" s="497">
        <v>1892</v>
      </c>
      <c r="BF180" s="497">
        <v>426</v>
      </c>
      <c r="BG180" s="497">
        <v>26994</v>
      </c>
      <c r="BH180" s="497">
        <v>1357</v>
      </c>
      <c r="BI180" s="497">
        <v>32429</v>
      </c>
      <c r="BJ180" s="497">
        <v>8966</v>
      </c>
      <c r="BK180" s="497">
        <v>2947</v>
      </c>
      <c r="BL180" s="497">
        <v>0</v>
      </c>
      <c r="BM180" s="497">
        <v>202451</v>
      </c>
      <c r="BN180" s="497">
        <v>127941</v>
      </c>
      <c r="BO180" s="497">
        <v>29080</v>
      </c>
      <c r="BP180" s="497">
        <v>356527</v>
      </c>
      <c r="BQ180" s="497">
        <v>612838</v>
      </c>
      <c r="BR180" s="497">
        <v>1831</v>
      </c>
      <c r="BS180" s="497">
        <v>10693</v>
      </c>
      <c r="BT180" s="497">
        <v>5356</v>
      </c>
      <c r="BU180" s="497">
        <v>53058</v>
      </c>
      <c r="BV180" s="497">
        <v>5051</v>
      </c>
      <c r="BW180" s="497">
        <v>4124</v>
      </c>
      <c r="BX180" s="497">
        <v>26232</v>
      </c>
      <c r="BY180" s="497">
        <v>0</v>
      </c>
      <c r="BZ180" s="497">
        <v>5869</v>
      </c>
      <c r="CA180" s="497">
        <v>53</v>
      </c>
      <c r="CB180" s="497">
        <v>20813</v>
      </c>
      <c r="CC180" s="497">
        <v>10232</v>
      </c>
      <c r="CD180" s="497">
        <v>47796</v>
      </c>
      <c r="CE180" s="497">
        <v>60060</v>
      </c>
    </row>
    <row r="181" spans="1:83" x14ac:dyDescent="0.25">
      <c r="A181" s="635">
        <v>531</v>
      </c>
      <c r="B181" s="752">
        <v>531</v>
      </c>
      <c r="C181" s="635" t="s">
        <v>339</v>
      </c>
      <c r="D181" s="635" t="s">
        <v>563</v>
      </c>
      <c r="E181" s="497">
        <v>0</v>
      </c>
      <c r="F181" s="497">
        <v>0</v>
      </c>
      <c r="G181" s="497">
        <v>0</v>
      </c>
      <c r="H181" s="497">
        <v>0</v>
      </c>
      <c r="I181" s="497">
        <v>29</v>
      </c>
      <c r="J181" s="497">
        <v>56</v>
      </c>
      <c r="K181" s="497">
        <v>0</v>
      </c>
      <c r="L181" s="497">
        <v>0</v>
      </c>
      <c r="M181" s="497">
        <v>0</v>
      </c>
      <c r="N181" s="497">
        <v>119738</v>
      </c>
      <c r="O181" s="497">
        <v>0</v>
      </c>
      <c r="P181" s="497">
        <v>330</v>
      </c>
      <c r="Q181" s="497">
        <v>0</v>
      </c>
      <c r="R181" s="497">
        <v>0</v>
      </c>
      <c r="S181" s="497">
        <v>0</v>
      </c>
      <c r="T181" s="497">
        <v>0</v>
      </c>
      <c r="U181" s="497">
        <v>0</v>
      </c>
      <c r="V181" s="497">
        <v>0</v>
      </c>
      <c r="W181" s="497">
        <v>0</v>
      </c>
      <c r="X181" s="497">
        <v>451</v>
      </c>
      <c r="Y181" s="497">
        <v>0</v>
      </c>
      <c r="Z181" s="497">
        <v>0</v>
      </c>
      <c r="AA181" s="497">
        <v>0</v>
      </c>
      <c r="AB181" s="497">
        <v>0</v>
      </c>
      <c r="AC181" s="497">
        <v>0</v>
      </c>
      <c r="AD181" s="497">
        <v>0</v>
      </c>
      <c r="AE181" s="497">
        <v>0</v>
      </c>
      <c r="AF181" s="497">
        <v>0</v>
      </c>
      <c r="AG181" s="497">
        <v>15831</v>
      </c>
      <c r="AH181" s="497">
        <v>17</v>
      </c>
      <c r="AI181" s="497">
        <v>0</v>
      </c>
      <c r="AJ181" s="497">
        <v>0</v>
      </c>
      <c r="AK181" s="497">
        <v>0</v>
      </c>
      <c r="AL181" s="497">
        <v>0</v>
      </c>
      <c r="AM181" s="497">
        <v>0</v>
      </c>
      <c r="AN181" s="497">
        <v>0</v>
      </c>
      <c r="AO181" s="497">
        <v>7484</v>
      </c>
      <c r="AP181" s="497">
        <v>0</v>
      </c>
      <c r="AQ181" s="497">
        <v>0</v>
      </c>
      <c r="AR181" s="497">
        <v>0</v>
      </c>
      <c r="AS181" s="497">
        <v>0</v>
      </c>
      <c r="AT181" s="497">
        <v>0</v>
      </c>
      <c r="AU181" s="497">
        <v>0</v>
      </c>
      <c r="AV181" s="497">
        <v>51635</v>
      </c>
      <c r="AW181" s="497">
        <v>0</v>
      </c>
      <c r="AX181" s="497">
        <v>0</v>
      </c>
      <c r="AY181" s="497">
        <v>0</v>
      </c>
      <c r="AZ181" s="497">
        <v>0</v>
      </c>
      <c r="BA181" s="497">
        <v>0</v>
      </c>
      <c r="BB181" s="497">
        <v>0</v>
      </c>
      <c r="BC181" s="497">
        <v>0</v>
      </c>
      <c r="BD181" s="497">
        <v>0</v>
      </c>
      <c r="BE181" s="497">
        <v>0</v>
      </c>
      <c r="BF181" s="497">
        <v>0</v>
      </c>
      <c r="BG181" s="497">
        <v>0</v>
      </c>
      <c r="BH181" s="497">
        <v>0</v>
      </c>
      <c r="BI181" s="497">
        <v>0</v>
      </c>
      <c r="BJ181" s="497">
        <v>901</v>
      </c>
      <c r="BK181" s="497">
        <v>0</v>
      </c>
      <c r="BL181" s="497">
        <v>0</v>
      </c>
      <c r="BM181" s="497">
        <v>0</v>
      </c>
      <c r="BN181" s="497">
        <v>1240</v>
      </c>
      <c r="BO181" s="497">
        <v>0</v>
      </c>
      <c r="BP181" s="497">
        <v>0</v>
      </c>
      <c r="BQ181" s="497">
        <v>6117</v>
      </c>
      <c r="BR181" s="497">
        <v>0</v>
      </c>
      <c r="BS181" s="497">
        <v>0</v>
      </c>
      <c r="BT181" s="497">
        <v>0</v>
      </c>
      <c r="BU181" s="497">
        <v>0</v>
      </c>
      <c r="BV181" s="497">
        <v>0</v>
      </c>
      <c r="BW181" s="497">
        <v>0</v>
      </c>
      <c r="BX181" s="497">
        <v>0</v>
      </c>
      <c r="BY181" s="497">
        <v>0</v>
      </c>
      <c r="BZ181" s="497">
        <v>10624</v>
      </c>
      <c r="CA181" s="497">
        <v>0</v>
      </c>
      <c r="CB181" s="497">
        <v>9765</v>
      </c>
      <c r="CC181" s="497">
        <v>0</v>
      </c>
      <c r="CD181" s="497">
        <v>0</v>
      </c>
      <c r="CE181" s="497">
        <v>0</v>
      </c>
    </row>
    <row r="182" spans="1:83" x14ac:dyDescent="0.25">
      <c r="A182" s="635">
        <v>532</v>
      </c>
      <c r="B182" s="752">
        <v>532</v>
      </c>
      <c r="C182" s="635" t="s">
        <v>664</v>
      </c>
      <c r="D182" s="635" t="s">
        <v>564</v>
      </c>
      <c r="E182" s="497">
        <v>2652337</v>
      </c>
      <c r="F182" s="497">
        <v>2375429</v>
      </c>
      <c r="G182" s="497">
        <v>971481</v>
      </c>
      <c r="H182" s="497">
        <v>865670</v>
      </c>
      <c r="I182" s="497">
        <v>620042</v>
      </c>
      <c r="J182" s="497">
        <v>408021</v>
      </c>
      <c r="K182" s="497">
        <v>58326</v>
      </c>
      <c r="L182" s="497">
        <v>69683</v>
      </c>
      <c r="M182" s="497">
        <v>4834650</v>
      </c>
      <c r="N182" s="497">
        <v>149154663</v>
      </c>
      <c r="O182" s="497">
        <v>1646555</v>
      </c>
      <c r="P182" s="497">
        <v>6835026</v>
      </c>
      <c r="Q182" s="497">
        <v>140421</v>
      </c>
      <c r="R182" s="497">
        <v>16622793</v>
      </c>
      <c r="S182" s="497">
        <v>68683</v>
      </c>
      <c r="T182" s="497">
        <v>265541</v>
      </c>
      <c r="U182" s="497">
        <v>1848615</v>
      </c>
      <c r="V182" s="497">
        <v>1575173</v>
      </c>
      <c r="W182" s="497">
        <v>4348579</v>
      </c>
      <c r="X182" s="497">
        <v>2117039</v>
      </c>
      <c r="Y182" s="497">
        <v>705208</v>
      </c>
      <c r="Z182" s="497">
        <v>1142613</v>
      </c>
      <c r="AA182" s="497">
        <v>24558955</v>
      </c>
      <c r="AB182" s="497">
        <v>1017117</v>
      </c>
      <c r="AC182" s="497">
        <v>628807</v>
      </c>
      <c r="AD182" s="497">
        <v>35423212</v>
      </c>
      <c r="AE182" s="497">
        <v>717536</v>
      </c>
      <c r="AF182" s="497">
        <v>0</v>
      </c>
      <c r="AG182" s="497">
        <v>59254431</v>
      </c>
      <c r="AH182" s="497">
        <v>121739</v>
      </c>
      <c r="AI182" s="497">
        <v>203586</v>
      </c>
      <c r="AJ182" s="497">
        <v>7286404</v>
      </c>
      <c r="AK182" s="497">
        <v>754061</v>
      </c>
      <c r="AL182" s="497">
        <v>53565</v>
      </c>
      <c r="AM182" s="497">
        <v>0</v>
      </c>
      <c r="AN182" s="497">
        <v>119539</v>
      </c>
      <c r="AO182" s="497">
        <v>12455163</v>
      </c>
      <c r="AP182" s="497">
        <v>65186</v>
      </c>
      <c r="AQ182" s="497">
        <v>4195277</v>
      </c>
      <c r="AR182" s="497">
        <v>2546993</v>
      </c>
      <c r="AS182" s="497">
        <v>53375</v>
      </c>
      <c r="AT182" s="497">
        <v>900974</v>
      </c>
      <c r="AU182" s="497">
        <v>161614</v>
      </c>
      <c r="AV182" s="497">
        <v>248743183</v>
      </c>
      <c r="AW182" s="497">
        <v>71417048</v>
      </c>
      <c r="AX182" s="497">
        <v>1634588</v>
      </c>
      <c r="AY182" s="497">
        <v>281354</v>
      </c>
      <c r="AZ182" s="497">
        <v>296811</v>
      </c>
      <c r="BA182" s="497">
        <v>198124</v>
      </c>
      <c r="BB182" s="497">
        <v>0</v>
      </c>
      <c r="BC182" s="497">
        <v>5227129</v>
      </c>
      <c r="BD182" s="497">
        <v>246781</v>
      </c>
      <c r="BE182" s="497">
        <v>96190</v>
      </c>
      <c r="BF182" s="497">
        <v>47047</v>
      </c>
      <c r="BG182" s="497">
        <v>12024762</v>
      </c>
      <c r="BH182" s="497">
        <v>14981</v>
      </c>
      <c r="BI182" s="497">
        <v>12716004</v>
      </c>
      <c r="BJ182" s="497">
        <v>2452624</v>
      </c>
      <c r="BK182" s="497">
        <v>200146</v>
      </c>
      <c r="BL182" s="497">
        <v>72187</v>
      </c>
      <c r="BM182" s="497">
        <v>15190694</v>
      </c>
      <c r="BN182" s="497">
        <v>15301886</v>
      </c>
      <c r="BO182" s="497">
        <v>1707016</v>
      </c>
      <c r="BP182" s="497">
        <v>48324924</v>
      </c>
      <c r="BQ182" s="497">
        <v>107797366</v>
      </c>
      <c r="BR182" s="497">
        <v>362835</v>
      </c>
      <c r="BS182" s="497">
        <v>5638197</v>
      </c>
      <c r="BT182" s="497">
        <v>1467218</v>
      </c>
      <c r="BU182" s="497">
        <v>9349876</v>
      </c>
      <c r="BV182" s="497">
        <v>146707</v>
      </c>
      <c r="BW182" s="497">
        <v>568419</v>
      </c>
      <c r="BX182" s="497">
        <v>2562144</v>
      </c>
      <c r="BY182" s="497">
        <v>0</v>
      </c>
      <c r="BZ182" s="497">
        <v>36876678</v>
      </c>
      <c r="CA182" s="497">
        <v>267604</v>
      </c>
      <c r="CB182" s="497">
        <v>14008315</v>
      </c>
      <c r="CC182" s="497">
        <v>572766</v>
      </c>
      <c r="CD182" s="497">
        <v>3278980</v>
      </c>
      <c r="CE182" s="497">
        <v>38589274</v>
      </c>
    </row>
    <row r="183" spans="1:83" x14ac:dyDescent="0.25">
      <c r="A183" s="635">
        <v>533</v>
      </c>
      <c r="B183" s="752">
        <v>533</v>
      </c>
      <c r="C183" s="635" t="s">
        <v>665</v>
      </c>
      <c r="D183" s="635" t="s">
        <v>565</v>
      </c>
      <c r="E183" s="497">
        <v>0</v>
      </c>
      <c r="F183" s="497">
        <v>0</v>
      </c>
      <c r="G183" s="497">
        <v>600000</v>
      </c>
      <c r="H183" s="497">
        <v>0</v>
      </c>
      <c r="I183" s="497">
        <v>0</v>
      </c>
      <c r="J183" s="497">
        <v>0</v>
      </c>
      <c r="K183" s="497">
        <v>0</v>
      </c>
      <c r="L183" s="497">
        <v>0</v>
      </c>
      <c r="M183" s="497">
        <v>0</v>
      </c>
      <c r="N183" s="497">
        <v>2550000</v>
      </c>
      <c r="O183" s="497">
        <v>0</v>
      </c>
      <c r="P183" s="497">
        <v>0</v>
      </c>
      <c r="Q183" s="497">
        <v>0</v>
      </c>
      <c r="R183" s="497">
        <v>0</v>
      </c>
      <c r="S183" s="497">
        <v>0</v>
      </c>
      <c r="T183" s="497">
        <v>0</v>
      </c>
      <c r="U183" s="497">
        <v>0</v>
      </c>
      <c r="V183" s="497">
        <v>0</v>
      </c>
      <c r="W183" s="497">
        <v>0</v>
      </c>
      <c r="X183" s="497">
        <v>0</v>
      </c>
      <c r="Y183" s="497">
        <v>0</v>
      </c>
      <c r="Z183" s="497">
        <v>0</v>
      </c>
      <c r="AA183" s="497">
        <v>0</v>
      </c>
      <c r="AB183" s="497">
        <v>0</v>
      </c>
      <c r="AC183" s="497">
        <v>45903</v>
      </c>
      <c r="AD183" s="497">
        <v>0</v>
      </c>
      <c r="AE183" s="497">
        <v>0</v>
      </c>
      <c r="AF183" s="497">
        <v>0</v>
      </c>
      <c r="AG183" s="497">
        <v>0</v>
      </c>
      <c r="AH183" s="497">
        <v>0</v>
      </c>
      <c r="AI183" s="497">
        <v>0</v>
      </c>
      <c r="AJ183" s="497">
        <v>623980</v>
      </c>
      <c r="AK183" s="497">
        <v>0</v>
      </c>
      <c r="AL183" s="497">
        <v>0</v>
      </c>
      <c r="AM183" s="497">
        <v>0</v>
      </c>
      <c r="AN183" s="497">
        <v>0</v>
      </c>
      <c r="AO183" s="497">
        <v>0</v>
      </c>
      <c r="AP183" s="497">
        <v>0</v>
      </c>
      <c r="AQ183" s="497">
        <v>0</v>
      </c>
      <c r="AR183" s="497">
        <v>0</v>
      </c>
      <c r="AS183" s="497">
        <v>0</v>
      </c>
      <c r="AT183" s="497">
        <v>0</v>
      </c>
      <c r="AU183" s="497">
        <v>0</v>
      </c>
      <c r="AV183" s="497">
        <v>0</v>
      </c>
      <c r="AW183" s="497">
        <v>0</v>
      </c>
      <c r="AX183" s="497">
        <v>0</v>
      </c>
      <c r="AY183" s="497">
        <v>0</v>
      </c>
      <c r="AZ183" s="497">
        <v>0</v>
      </c>
      <c r="BA183" s="497">
        <v>0</v>
      </c>
      <c r="BB183" s="497">
        <v>0</v>
      </c>
      <c r="BC183" s="497">
        <v>0</v>
      </c>
      <c r="BD183" s="497">
        <v>0</v>
      </c>
      <c r="BE183" s="497">
        <v>0</v>
      </c>
      <c r="BF183" s="497">
        <v>0</v>
      </c>
      <c r="BG183" s="497">
        <v>0</v>
      </c>
      <c r="BH183" s="497">
        <v>0</v>
      </c>
      <c r="BI183" s="497">
        <v>0</v>
      </c>
      <c r="BJ183" s="497">
        <v>87139</v>
      </c>
      <c r="BK183" s="497">
        <v>0</v>
      </c>
      <c r="BL183" s="497">
        <v>0</v>
      </c>
      <c r="BM183" s="497">
        <v>600718</v>
      </c>
      <c r="BN183" s="497">
        <v>465100</v>
      </c>
      <c r="BO183" s="497">
        <v>0</v>
      </c>
      <c r="BP183" s="497">
        <v>575000</v>
      </c>
      <c r="BQ183" s="497">
        <v>5155000</v>
      </c>
      <c r="BR183" s="497">
        <v>0</v>
      </c>
      <c r="BS183" s="497">
        <v>0</v>
      </c>
      <c r="BT183" s="497">
        <v>0</v>
      </c>
      <c r="BU183" s="497">
        <v>0</v>
      </c>
      <c r="BV183" s="497">
        <v>0</v>
      </c>
      <c r="BW183" s="497">
        <v>0</v>
      </c>
      <c r="BX183" s="497">
        <v>0</v>
      </c>
      <c r="BY183" s="497">
        <v>0</v>
      </c>
      <c r="BZ183" s="497">
        <v>0</v>
      </c>
      <c r="CA183" s="497">
        <v>0</v>
      </c>
      <c r="CB183" s="497">
        <v>0</v>
      </c>
      <c r="CC183" s="497">
        <v>0</v>
      </c>
      <c r="CD183" s="497">
        <v>126989</v>
      </c>
      <c r="CE183" s="497">
        <v>0</v>
      </c>
    </row>
    <row r="184" spans="1:83" x14ac:dyDescent="0.25">
      <c r="B184" s="752">
        <v>534</v>
      </c>
      <c r="C184" s="635" t="s">
        <v>340</v>
      </c>
      <c r="D184" s="635" t="s">
        <v>566</v>
      </c>
      <c r="E184" s="497"/>
      <c r="F184" s="497"/>
      <c r="G184" s="497"/>
      <c r="H184" s="497"/>
      <c r="I184" s="497"/>
      <c r="J184" s="497"/>
      <c r="K184" s="497"/>
      <c r="L184" s="497"/>
      <c r="M184" s="497"/>
      <c r="N184" s="497"/>
      <c r="O184" s="497"/>
      <c r="P184" s="497"/>
      <c r="Q184" s="497"/>
      <c r="R184" s="497"/>
      <c r="S184" s="497"/>
      <c r="T184" s="497"/>
      <c r="U184" s="497"/>
      <c r="V184" s="497"/>
      <c r="W184" s="497"/>
      <c r="X184" s="497"/>
      <c r="Y184" s="497"/>
      <c r="Z184" s="497"/>
      <c r="AA184" s="497"/>
      <c r="AB184" s="497"/>
      <c r="AC184" s="497"/>
      <c r="AD184" s="497"/>
      <c r="AE184" s="497"/>
      <c r="AF184" s="497"/>
      <c r="AG184" s="497"/>
      <c r="AH184" s="497"/>
      <c r="AI184" s="497"/>
      <c r="AJ184" s="497"/>
      <c r="AK184" s="497"/>
      <c r="AL184" s="497"/>
      <c r="AM184" s="497"/>
      <c r="AN184" s="497"/>
      <c r="AO184" s="497"/>
      <c r="AP184" s="497"/>
      <c r="AQ184" s="497"/>
      <c r="AR184" s="497"/>
      <c r="AS184" s="497"/>
      <c r="AT184" s="497"/>
      <c r="AU184" s="497"/>
      <c r="AV184" s="497"/>
      <c r="AW184" s="497"/>
      <c r="AX184" s="497"/>
      <c r="AY184" s="497"/>
      <c r="AZ184" s="497"/>
      <c r="BA184" s="497"/>
      <c r="BB184" s="497"/>
      <c r="BC184" s="497"/>
      <c r="BD184" s="497"/>
      <c r="BE184" s="497"/>
      <c r="BF184" s="497"/>
      <c r="BG184" s="497"/>
      <c r="BH184" s="497"/>
      <c r="BI184" s="497"/>
      <c r="BJ184" s="497"/>
      <c r="BK184" s="497"/>
      <c r="BL184" s="497"/>
      <c r="BM184" s="497"/>
      <c r="BN184" s="497"/>
      <c r="BO184" s="497"/>
      <c r="BP184" s="497"/>
      <c r="BQ184" s="497"/>
      <c r="BR184" s="497"/>
      <c r="BS184" s="497"/>
      <c r="BT184" s="497"/>
      <c r="BU184" s="497"/>
      <c r="BV184" s="497"/>
      <c r="BW184" s="497"/>
      <c r="BX184" s="497"/>
      <c r="BY184" s="497"/>
      <c r="BZ184" s="497"/>
      <c r="CA184" s="497"/>
      <c r="CB184" s="497"/>
      <c r="CC184" s="497"/>
      <c r="CD184" s="497"/>
      <c r="CE184" s="497"/>
    </row>
    <row r="185" spans="1:83" x14ac:dyDescent="0.25">
      <c r="A185" s="635">
        <v>535</v>
      </c>
      <c r="B185" s="752">
        <v>535</v>
      </c>
      <c r="C185" s="635" t="s">
        <v>318</v>
      </c>
      <c r="D185" s="635" t="s">
        <v>567</v>
      </c>
      <c r="E185" s="497">
        <v>0</v>
      </c>
      <c r="F185" s="497">
        <v>0</v>
      </c>
      <c r="G185" s="497">
        <v>0</v>
      </c>
      <c r="H185" s="497">
        <v>0</v>
      </c>
      <c r="I185" s="497">
        <v>0</v>
      </c>
      <c r="J185" s="497">
        <v>0</v>
      </c>
      <c r="K185" s="497">
        <v>0</v>
      </c>
      <c r="L185" s="497">
        <v>0</v>
      </c>
      <c r="M185" s="497">
        <v>0</v>
      </c>
      <c r="N185" s="497">
        <v>20195338</v>
      </c>
      <c r="O185" s="497">
        <v>0</v>
      </c>
      <c r="P185" s="497">
        <v>0</v>
      </c>
      <c r="Q185" s="497">
        <v>0</v>
      </c>
      <c r="R185" s="497">
        <v>260261</v>
      </c>
      <c r="S185" s="497">
        <v>0</v>
      </c>
      <c r="T185" s="497">
        <v>0</v>
      </c>
      <c r="U185" s="497">
        <v>0</v>
      </c>
      <c r="V185" s="497">
        <v>0</v>
      </c>
      <c r="W185" s="497">
        <v>0</v>
      </c>
      <c r="X185" s="497">
        <v>0</v>
      </c>
      <c r="Y185" s="497">
        <v>0</v>
      </c>
      <c r="Z185" s="497">
        <v>0</v>
      </c>
      <c r="AA185" s="497">
        <v>4994489</v>
      </c>
      <c r="AB185" s="497">
        <v>0</v>
      </c>
      <c r="AC185" s="497">
        <v>0</v>
      </c>
      <c r="AD185" s="497">
        <v>0</v>
      </c>
      <c r="AE185" s="497">
        <v>0</v>
      </c>
      <c r="AF185" s="497">
        <v>0</v>
      </c>
      <c r="AG185" s="497">
        <v>7445701</v>
      </c>
      <c r="AH185" s="497">
        <v>0</v>
      </c>
      <c r="AI185" s="497">
        <v>0</v>
      </c>
      <c r="AJ185" s="497">
        <v>0</v>
      </c>
      <c r="AK185" s="497">
        <v>0</v>
      </c>
      <c r="AL185" s="497">
        <v>0</v>
      </c>
      <c r="AM185" s="497">
        <v>0</v>
      </c>
      <c r="AN185" s="497">
        <v>0</v>
      </c>
      <c r="AO185" s="497">
        <v>0</v>
      </c>
      <c r="AP185" s="497">
        <v>0</v>
      </c>
      <c r="AQ185" s="497">
        <v>0</v>
      </c>
      <c r="AR185" s="497">
        <v>0</v>
      </c>
      <c r="AS185" s="497">
        <v>0</v>
      </c>
      <c r="AT185" s="497">
        <v>0</v>
      </c>
      <c r="AU185" s="497">
        <v>0</v>
      </c>
      <c r="AV185" s="497">
        <v>80426609</v>
      </c>
      <c r="AW185" s="497">
        <v>54628705</v>
      </c>
      <c r="AX185" s="497">
        <v>75179</v>
      </c>
      <c r="AY185" s="497">
        <v>0</v>
      </c>
      <c r="AZ185" s="497">
        <v>0</v>
      </c>
      <c r="BA185" s="497">
        <v>0</v>
      </c>
      <c r="BB185" s="497">
        <v>0</v>
      </c>
      <c r="BC185" s="497">
        <v>0</v>
      </c>
      <c r="BD185" s="497">
        <v>0</v>
      </c>
      <c r="BE185" s="497">
        <v>0</v>
      </c>
      <c r="BF185" s="497">
        <v>0</v>
      </c>
      <c r="BG185" s="497">
        <v>560482</v>
      </c>
      <c r="BH185" s="497">
        <v>0</v>
      </c>
      <c r="BI185" s="497">
        <v>0</v>
      </c>
      <c r="BJ185" s="497">
        <v>0</v>
      </c>
      <c r="BK185" s="497">
        <v>0</v>
      </c>
      <c r="BL185" s="497">
        <v>0</v>
      </c>
      <c r="BM185" s="497">
        <v>0</v>
      </c>
      <c r="BN185" s="497">
        <v>732027</v>
      </c>
      <c r="BO185" s="497">
        <v>0</v>
      </c>
      <c r="BP185" s="497">
        <v>8405866</v>
      </c>
      <c r="BQ185" s="497">
        <v>28594526</v>
      </c>
      <c r="BR185" s="497">
        <v>0</v>
      </c>
      <c r="BS185" s="497">
        <v>4600000</v>
      </c>
      <c r="BT185" s="497">
        <v>0</v>
      </c>
      <c r="BU185" s="497">
        <v>3058507</v>
      </c>
      <c r="BV185" s="497">
        <v>0</v>
      </c>
      <c r="BW185" s="497">
        <v>0</v>
      </c>
      <c r="BX185" s="497">
        <v>0</v>
      </c>
      <c r="BY185" s="497">
        <v>0</v>
      </c>
      <c r="BZ185" s="497">
        <v>0</v>
      </c>
      <c r="CA185" s="497">
        <v>0</v>
      </c>
      <c r="CB185" s="497">
        <v>0</v>
      </c>
      <c r="CC185" s="497">
        <v>0</v>
      </c>
      <c r="CD185" s="497">
        <v>0</v>
      </c>
      <c r="CE185" s="497">
        <v>2656369</v>
      </c>
    </row>
    <row r="186" spans="1:83" x14ac:dyDescent="0.25">
      <c r="A186" s="635">
        <v>536</v>
      </c>
      <c r="B186" s="752">
        <v>536</v>
      </c>
      <c r="C186" s="635" t="s">
        <v>264</v>
      </c>
      <c r="D186" s="635" t="s">
        <v>568</v>
      </c>
      <c r="E186" s="497">
        <v>131351</v>
      </c>
      <c r="F186" s="497">
        <v>76140</v>
      </c>
      <c r="G186" s="497">
        <v>0</v>
      </c>
      <c r="H186" s="497">
        <v>18118</v>
      </c>
      <c r="I186" s="497">
        <v>165000</v>
      </c>
      <c r="J186" s="497">
        <v>9829</v>
      </c>
      <c r="K186" s="497">
        <v>25317</v>
      </c>
      <c r="L186" s="497">
        <v>202684</v>
      </c>
      <c r="M186" s="497">
        <v>662356</v>
      </c>
      <c r="N186" s="497">
        <v>4545982</v>
      </c>
      <c r="O186" s="497">
        <v>0</v>
      </c>
      <c r="P186" s="497">
        <v>571851</v>
      </c>
      <c r="Q186" s="497">
        <v>18218</v>
      </c>
      <c r="R186" s="497">
        <v>776441</v>
      </c>
      <c r="S186" s="497">
        <v>3228</v>
      </c>
      <c r="T186" s="497">
        <v>59067</v>
      </c>
      <c r="U186" s="497">
        <v>76161</v>
      </c>
      <c r="V186" s="497">
        <v>0</v>
      </c>
      <c r="W186" s="497">
        <v>664177</v>
      </c>
      <c r="X186" s="497">
        <v>24449</v>
      </c>
      <c r="Y186" s="497">
        <v>13674</v>
      </c>
      <c r="Z186" s="497">
        <v>109744</v>
      </c>
      <c r="AA186" s="497">
        <v>1755094</v>
      </c>
      <c r="AB186" s="497">
        <v>3073405</v>
      </c>
      <c r="AC186" s="497">
        <v>16890</v>
      </c>
      <c r="AD186" s="497">
        <v>0</v>
      </c>
      <c r="AE186" s="497">
        <v>78145</v>
      </c>
      <c r="AF186" s="497">
        <v>0</v>
      </c>
      <c r="AG186" s="497">
        <v>3230841</v>
      </c>
      <c r="AH186" s="497">
        <v>41500</v>
      </c>
      <c r="AI186" s="497">
        <v>30347</v>
      </c>
      <c r="AJ186" s="497">
        <v>322370</v>
      </c>
      <c r="AK186" s="497">
        <v>57654</v>
      </c>
      <c r="AL186" s="497">
        <v>20447</v>
      </c>
      <c r="AM186" s="497">
        <v>0</v>
      </c>
      <c r="AN186" s="497">
        <v>105449</v>
      </c>
      <c r="AO186" s="497">
        <v>372650</v>
      </c>
      <c r="AP186" s="497">
        <v>0</v>
      </c>
      <c r="AQ186" s="497">
        <v>14713</v>
      </c>
      <c r="AR186" s="497">
        <v>52377</v>
      </c>
      <c r="AS186" s="497">
        <v>0</v>
      </c>
      <c r="AT186" s="497">
        <v>146834</v>
      </c>
      <c r="AU186" s="497">
        <v>172096</v>
      </c>
      <c r="AV186" s="497">
        <v>1455326</v>
      </c>
      <c r="AW186" s="497">
        <v>1245700</v>
      </c>
      <c r="AX186" s="497">
        <v>22947</v>
      </c>
      <c r="AY186" s="497">
        <v>13891</v>
      </c>
      <c r="AZ186" s="497">
        <v>78342</v>
      </c>
      <c r="BA186" s="497">
        <v>81673</v>
      </c>
      <c r="BB186" s="497">
        <v>0</v>
      </c>
      <c r="BC186" s="497">
        <v>44431</v>
      </c>
      <c r="BD186" s="497">
        <v>0</v>
      </c>
      <c r="BE186" s="497">
        <v>37579</v>
      </c>
      <c r="BF186" s="497">
        <v>13654</v>
      </c>
      <c r="BG186" s="497">
        <v>421363</v>
      </c>
      <c r="BH186" s="497">
        <v>20370</v>
      </c>
      <c r="BI186" s="497">
        <v>785677</v>
      </c>
      <c r="BJ186" s="497">
        <v>586034</v>
      </c>
      <c r="BK186" s="497">
        <v>84063</v>
      </c>
      <c r="BL186" s="497">
        <v>0</v>
      </c>
      <c r="BM186" s="497">
        <v>1036622</v>
      </c>
      <c r="BN186" s="497">
        <v>0</v>
      </c>
      <c r="BO186" s="497">
        <v>339241</v>
      </c>
      <c r="BP186" s="497">
        <v>76648</v>
      </c>
      <c r="BQ186" s="497">
        <v>1646090</v>
      </c>
      <c r="BR186" s="497">
        <v>6383</v>
      </c>
      <c r="BS186" s="497">
        <v>112145</v>
      </c>
      <c r="BT186" s="497">
        <v>218347</v>
      </c>
      <c r="BU186" s="497">
        <v>75919</v>
      </c>
      <c r="BV186" s="497">
        <v>67992</v>
      </c>
      <c r="BW186" s="497">
        <v>136238</v>
      </c>
      <c r="BX186" s="497">
        <v>0</v>
      </c>
      <c r="BY186" s="497">
        <v>0</v>
      </c>
      <c r="BZ186" s="497">
        <v>5133741</v>
      </c>
      <c r="CA186" s="497">
        <v>16572</v>
      </c>
      <c r="CB186" s="497">
        <v>29194</v>
      </c>
      <c r="CC186" s="497">
        <v>72955</v>
      </c>
      <c r="CD186" s="497">
        <v>226867</v>
      </c>
      <c r="CE186" s="497">
        <v>10901211</v>
      </c>
    </row>
    <row r="187" spans="1:83" x14ac:dyDescent="0.25">
      <c r="A187" s="635">
        <v>537</v>
      </c>
      <c r="B187" s="752">
        <v>537</v>
      </c>
      <c r="C187" s="635" t="s">
        <v>1180</v>
      </c>
      <c r="D187" s="635" t="s">
        <v>569</v>
      </c>
      <c r="E187" s="497">
        <v>2</v>
      </c>
      <c r="F187" s="497">
        <v>2</v>
      </c>
      <c r="G187" s="497">
        <v>0</v>
      </c>
      <c r="H187" s="497">
        <v>1</v>
      </c>
      <c r="I187" s="497">
        <v>2</v>
      </c>
      <c r="J187" s="497">
        <v>2</v>
      </c>
      <c r="K187" s="497">
        <v>0</v>
      </c>
      <c r="L187" s="497">
        <v>2</v>
      </c>
      <c r="M187" s="497">
        <v>2</v>
      </c>
      <c r="N187" s="497">
        <v>0</v>
      </c>
      <c r="O187" s="497">
        <v>0</v>
      </c>
      <c r="P187" s="497">
        <v>0</v>
      </c>
      <c r="Q187" s="497">
        <v>2</v>
      </c>
      <c r="R187" s="497">
        <v>2</v>
      </c>
      <c r="S187" s="497">
        <v>0</v>
      </c>
      <c r="T187" s="497">
        <v>2</v>
      </c>
      <c r="U187" s="497">
        <v>2</v>
      </c>
      <c r="V187" s="497">
        <v>2</v>
      </c>
      <c r="W187" s="497">
        <v>1</v>
      </c>
      <c r="X187" s="497">
        <v>0</v>
      </c>
      <c r="Y187" s="497">
        <v>2</v>
      </c>
      <c r="Z187" s="497">
        <v>2</v>
      </c>
      <c r="AA187" s="497">
        <v>1</v>
      </c>
      <c r="AB187" s="497">
        <v>2</v>
      </c>
      <c r="AC187" s="497">
        <v>1</v>
      </c>
      <c r="AD187" s="497">
        <v>0</v>
      </c>
      <c r="AE187" s="497">
        <v>0</v>
      </c>
      <c r="AF187" s="497">
        <v>0</v>
      </c>
      <c r="AG187" s="497">
        <v>1</v>
      </c>
      <c r="AH187" s="497">
        <v>2</v>
      </c>
      <c r="AI187" s="497">
        <v>2</v>
      </c>
      <c r="AJ187" s="497">
        <v>2</v>
      </c>
      <c r="AK187" s="497">
        <v>2</v>
      </c>
      <c r="AL187" s="497">
        <v>2</v>
      </c>
      <c r="AM187" s="497">
        <v>0</v>
      </c>
      <c r="AN187" s="497">
        <v>2</v>
      </c>
      <c r="AO187" s="497">
        <v>2</v>
      </c>
      <c r="AP187" s="497">
        <v>2</v>
      </c>
      <c r="AQ187" s="497">
        <v>1</v>
      </c>
      <c r="AR187" s="497">
        <v>0</v>
      </c>
      <c r="AS187" s="497">
        <v>0</v>
      </c>
      <c r="AT187" s="497">
        <v>2</v>
      </c>
      <c r="AU187" s="497">
        <v>1</v>
      </c>
      <c r="AV187" s="497">
        <v>1</v>
      </c>
      <c r="AW187" s="497">
        <v>1</v>
      </c>
      <c r="AX187" s="497">
        <v>2</v>
      </c>
      <c r="AY187" s="497">
        <v>1</v>
      </c>
      <c r="AZ187" s="497">
        <v>2</v>
      </c>
      <c r="BA187" s="497">
        <v>0</v>
      </c>
      <c r="BB187" s="497">
        <v>0</v>
      </c>
      <c r="BC187" s="497">
        <v>2</v>
      </c>
      <c r="BD187" s="497">
        <v>2</v>
      </c>
      <c r="BE187" s="497">
        <v>2</v>
      </c>
      <c r="BF187" s="497">
        <v>0</v>
      </c>
      <c r="BG187" s="497">
        <v>2</v>
      </c>
      <c r="BH187" s="497">
        <v>0</v>
      </c>
      <c r="BI187" s="497">
        <v>1</v>
      </c>
      <c r="BJ187" s="497">
        <v>1</v>
      </c>
      <c r="BK187" s="497">
        <v>2</v>
      </c>
      <c r="BL187" s="497">
        <v>0</v>
      </c>
      <c r="BM187" s="497">
        <v>2</v>
      </c>
      <c r="BN187" s="497">
        <v>1</v>
      </c>
      <c r="BO187" s="497">
        <v>2</v>
      </c>
      <c r="BP187" s="497">
        <v>1</v>
      </c>
      <c r="BQ187" s="497">
        <v>1</v>
      </c>
      <c r="BR187" s="497">
        <v>2</v>
      </c>
      <c r="BS187" s="497">
        <v>2</v>
      </c>
      <c r="BT187" s="497">
        <v>0</v>
      </c>
      <c r="BU187" s="497">
        <v>1</v>
      </c>
      <c r="BV187" s="497">
        <v>2</v>
      </c>
      <c r="BW187" s="497">
        <v>2</v>
      </c>
      <c r="BX187" s="497">
        <v>2</v>
      </c>
      <c r="BY187" s="497">
        <v>0</v>
      </c>
      <c r="BZ187" s="497">
        <v>1</v>
      </c>
      <c r="CA187" s="497">
        <v>2</v>
      </c>
      <c r="CB187" s="497">
        <v>0</v>
      </c>
      <c r="CC187" s="497">
        <v>1</v>
      </c>
      <c r="CD187" s="497">
        <v>0</v>
      </c>
      <c r="CE187" s="497">
        <v>2</v>
      </c>
    </row>
    <row r="188" spans="1:83" x14ac:dyDescent="0.25">
      <c r="A188" s="635">
        <v>538</v>
      </c>
      <c r="B188" s="752">
        <v>538</v>
      </c>
      <c r="C188" s="635" t="s">
        <v>1181</v>
      </c>
      <c r="D188" s="635" t="s">
        <v>570</v>
      </c>
      <c r="E188" s="497">
        <v>2</v>
      </c>
      <c r="F188" s="497">
        <v>2</v>
      </c>
      <c r="G188" s="497">
        <v>0</v>
      </c>
      <c r="H188" s="497">
        <v>2</v>
      </c>
      <c r="I188" s="497">
        <v>2</v>
      </c>
      <c r="J188" s="497">
        <v>1</v>
      </c>
      <c r="K188" s="497">
        <v>0</v>
      </c>
      <c r="L188" s="497">
        <v>2</v>
      </c>
      <c r="M188" s="497">
        <v>2</v>
      </c>
      <c r="N188" s="497">
        <v>0</v>
      </c>
      <c r="O188" s="497">
        <v>0</v>
      </c>
      <c r="P188" s="497">
        <v>0</v>
      </c>
      <c r="Q188" s="497">
        <v>2</v>
      </c>
      <c r="R188" s="497">
        <v>2</v>
      </c>
      <c r="S188" s="497">
        <v>0</v>
      </c>
      <c r="T188" s="497">
        <v>2</v>
      </c>
      <c r="U188" s="497">
        <v>2</v>
      </c>
      <c r="V188" s="497">
        <v>2</v>
      </c>
      <c r="W188" s="497">
        <v>1</v>
      </c>
      <c r="X188" s="497">
        <v>0</v>
      </c>
      <c r="Y188" s="497">
        <v>2</v>
      </c>
      <c r="Z188" s="497">
        <v>1</v>
      </c>
      <c r="AA188" s="497">
        <v>1</v>
      </c>
      <c r="AB188" s="497">
        <v>2</v>
      </c>
      <c r="AC188" s="497">
        <v>2</v>
      </c>
      <c r="AD188" s="497">
        <v>0</v>
      </c>
      <c r="AE188" s="497">
        <v>0</v>
      </c>
      <c r="AF188" s="497">
        <v>0</v>
      </c>
      <c r="AG188" s="497">
        <v>2</v>
      </c>
      <c r="AH188" s="497">
        <v>2</v>
      </c>
      <c r="AI188" s="497">
        <v>2</v>
      </c>
      <c r="AJ188" s="497">
        <v>2</v>
      </c>
      <c r="AK188" s="497">
        <v>2</v>
      </c>
      <c r="AL188" s="497">
        <v>2</v>
      </c>
      <c r="AM188" s="497">
        <v>0</v>
      </c>
      <c r="AN188" s="497">
        <v>2</v>
      </c>
      <c r="AO188" s="497">
        <v>2</v>
      </c>
      <c r="AP188" s="497">
        <v>2</v>
      </c>
      <c r="AQ188" s="497">
        <v>1</v>
      </c>
      <c r="AR188" s="497">
        <v>0</v>
      </c>
      <c r="AS188" s="497">
        <v>0</v>
      </c>
      <c r="AT188" s="497">
        <v>2</v>
      </c>
      <c r="AU188" s="497">
        <v>2</v>
      </c>
      <c r="AV188" s="497">
        <v>1</v>
      </c>
      <c r="AW188" s="497">
        <v>2</v>
      </c>
      <c r="AX188" s="497">
        <v>2</v>
      </c>
      <c r="AY188" s="497">
        <v>2</v>
      </c>
      <c r="AZ188" s="497">
        <v>2</v>
      </c>
      <c r="BA188" s="497">
        <v>0</v>
      </c>
      <c r="BB188" s="497">
        <v>0</v>
      </c>
      <c r="BC188" s="497">
        <v>2</v>
      </c>
      <c r="BD188" s="497">
        <v>0</v>
      </c>
      <c r="BE188" s="497">
        <v>2</v>
      </c>
      <c r="BF188" s="497">
        <v>2</v>
      </c>
      <c r="BG188" s="497">
        <v>1</v>
      </c>
      <c r="BH188" s="497">
        <v>0</v>
      </c>
      <c r="BI188" s="497">
        <v>1</v>
      </c>
      <c r="BJ188" s="497">
        <v>1</v>
      </c>
      <c r="BK188" s="497">
        <v>2</v>
      </c>
      <c r="BL188" s="497">
        <v>0</v>
      </c>
      <c r="BM188" s="497">
        <v>2</v>
      </c>
      <c r="BN188" s="497">
        <v>1</v>
      </c>
      <c r="BO188" s="497">
        <v>0</v>
      </c>
      <c r="BP188" s="497">
        <v>1</v>
      </c>
      <c r="BQ188" s="497">
        <v>1</v>
      </c>
      <c r="BR188" s="497">
        <v>2</v>
      </c>
      <c r="BS188" s="497">
        <v>2</v>
      </c>
      <c r="BT188" s="497">
        <v>0</v>
      </c>
      <c r="BU188" s="497">
        <v>1</v>
      </c>
      <c r="BV188" s="497">
        <v>2</v>
      </c>
      <c r="BW188" s="497">
        <v>2</v>
      </c>
      <c r="BX188" s="497">
        <v>2</v>
      </c>
      <c r="BY188" s="497">
        <v>0</v>
      </c>
      <c r="BZ188" s="497">
        <v>1</v>
      </c>
      <c r="CA188" s="497">
        <v>2</v>
      </c>
      <c r="CB188" s="497">
        <v>0</v>
      </c>
      <c r="CC188" s="497">
        <v>2</v>
      </c>
      <c r="CD188" s="497">
        <v>2</v>
      </c>
      <c r="CE188" s="497">
        <v>2</v>
      </c>
    </row>
    <row r="189" spans="1:83" x14ac:dyDescent="0.25">
      <c r="A189" s="635">
        <v>539</v>
      </c>
      <c r="B189" s="752">
        <v>539</v>
      </c>
      <c r="C189" s="635" t="s">
        <v>1182</v>
      </c>
      <c r="D189" s="635" t="s">
        <v>571</v>
      </c>
      <c r="E189" s="497"/>
      <c r="F189" s="497"/>
      <c r="G189" s="497"/>
      <c r="H189" s="497"/>
      <c r="I189" s="497"/>
      <c r="J189" s="497"/>
      <c r="K189" s="497"/>
      <c r="L189" s="497"/>
      <c r="M189" s="497"/>
      <c r="N189" s="497"/>
      <c r="O189" s="497"/>
      <c r="P189" s="497"/>
      <c r="Q189" s="497"/>
      <c r="R189" s="497"/>
      <c r="S189" s="497"/>
      <c r="T189" s="497"/>
      <c r="U189" s="497"/>
      <c r="V189" s="497"/>
      <c r="W189" s="497"/>
      <c r="X189" s="497"/>
      <c r="Y189" s="497"/>
      <c r="Z189" s="497"/>
      <c r="AA189" s="497"/>
      <c r="AB189" s="497"/>
      <c r="AC189" s="497"/>
      <c r="AD189" s="497"/>
      <c r="AE189" s="497"/>
      <c r="AF189" s="497"/>
      <c r="AG189" s="497"/>
      <c r="AH189" s="497"/>
      <c r="AI189" s="497"/>
      <c r="AJ189" s="497"/>
      <c r="AK189" s="497"/>
      <c r="AL189" s="497"/>
      <c r="AM189" s="497"/>
      <c r="AN189" s="497"/>
      <c r="AO189" s="497"/>
      <c r="AP189" s="497"/>
      <c r="AQ189" s="497"/>
      <c r="AR189" s="497"/>
      <c r="AS189" s="497"/>
      <c r="AT189" s="497"/>
      <c r="AU189" s="497"/>
      <c r="AV189" s="497"/>
      <c r="AW189" s="497"/>
      <c r="AX189" s="497"/>
      <c r="AY189" s="497"/>
      <c r="AZ189" s="497"/>
      <c r="BA189" s="497"/>
      <c r="BB189" s="497"/>
      <c r="BC189" s="497"/>
      <c r="BD189" s="497"/>
      <c r="BE189" s="497"/>
      <c r="BF189" s="497"/>
      <c r="BG189" s="497"/>
      <c r="BH189" s="497"/>
      <c r="BI189" s="497"/>
      <c r="BJ189" s="497"/>
      <c r="BK189" s="497"/>
      <c r="BL189" s="497"/>
      <c r="BM189" s="497"/>
      <c r="BN189" s="497"/>
      <c r="BO189" s="497"/>
      <c r="BP189" s="497"/>
      <c r="BQ189" s="497"/>
      <c r="BR189" s="497"/>
      <c r="BS189" s="497"/>
      <c r="BT189" s="497"/>
      <c r="BU189" s="497"/>
      <c r="BV189" s="497"/>
      <c r="BW189" s="497"/>
      <c r="BX189" s="497"/>
      <c r="BY189" s="497"/>
      <c r="BZ189" s="497"/>
      <c r="CA189" s="497"/>
      <c r="CB189" s="497"/>
      <c r="CC189" s="497"/>
      <c r="CD189" s="497"/>
      <c r="CE189" s="497"/>
    </row>
    <row r="190" spans="1:83" x14ac:dyDescent="0.25">
      <c r="A190" s="635">
        <v>540</v>
      </c>
      <c r="B190" s="752">
        <v>540</v>
      </c>
      <c r="C190" s="635" t="s">
        <v>1183</v>
      </c>
      <c r="D190" s="635" t="s">
        <v>572</v>
      </c>
      <c r="E190" s="497">
        <v>0</v>
      </c>
      <c r="F190" s="497">
        <v>0</v>
      </c>
      <c r="G190" s="497">
        <v>54062</v>
      </c>
      <c r="H190" s="497">
        <v>0</v>
      </c>
      <c r="I190" s="497">
        <v>19550</v>
      </c>
      <c r="J190" s="497">
        <v>0</v>
      </c>
      <c r="K190" s="497">
        <v>0</v>
      </c>
      <c r="L190" s="497">
        <v>0</v>
      </c>
      <c r="M190" s="497">
        <v>63363</v>
      </c>
      <c r="N190" s="497">
        <v>4242452</v>
      </c>
      <c r="O190" s="497">
        <v>125437</v>
      </c>
      <c r="P190" s="497">
        <v>20263</v>
      </c>
      <c r="Q190" s="497">
        <v>0</v>
      </c>
      <c r="R190" s="497">
        <v>1551875</v>
      </c>
      <c r="S190" s="497">
        <v>16000</v>
      </c>
      <c r="T190" s="497">
        <v>0</v>
      </c>
      <c r="U190" s="497">
        <v>0</v>
      </c>
      <c r="V190" s="497">
        <v>0</v>
      </c>
      <c r="W190" s="497">
        <v>214539</v>
      </c>
      <c r="X190" s="497">
        <v>0</v>
      </c>
      <c r="Y190" s="497">
        <v>0</v>
      </c>
      <c r="Z190" s="497">
        <v>0</v>
      </c>
      <c r="AA190" s="497">
        <v>1189271</v>
      </c>
      <c r="AB190" s="497">
        <v>0</v>
      </c>
      <c r="AC190" s="497">
        <v>60875</v>
      </c>
      <c r="AD190" s="497">
        <v>2888904</v>
      </c>
      <c r="AE190" s="497">
        <v>183853</v>
      </c>
      <c r="AF190" s="497">
        <v>0</v>
      </c>
      <c r="AG190" s="497">
        <v>0</v>
      </c>
      <c r="AH190" s="497">
        <v>10000</v>
      </c>
      <c r="AI190" s="497">
        <v>15000</v>
      </c>
      <c r="AJ190" s="497">
        <v>701999</v>
      </c>
      <c r="AK190" s="497">
        <v>74416</v>
      </c>
      <c r="AL190" s="497">
        <v>0</v>
      </c>
      <c r="AM190" s="497">
        <v>0</v>
      </c>
      <c r="AN190" s="497">
        <v>0</v>
      </c>
      <c r="AO190" s="497">
        <v>1281000</v>
      </c>
      <c r="AP190" s="497">
        <v>22900</v>
      </c>
      <c r="AQ190" s="497">
        <v>197000</v>
      </c>
      <c r="AR190" s="497">
        <v>0</v>
      </c>
      <c r="AS190" s="497">
        <v>0</v>
      </c>
      <c r="AT190" s="497">
        <v>0</v>
      </c>
      <c r="AU190" s="497">
        <v>0</v>
      </c>
      <c r="AV190" s="497">
        <v>4853059</v>
      </c>
      <c r="AW190" s="497">
        <v>650000</v>
      </c>
      <c r="AX190" s="497">
        <v>0</v>
      </c>
      <c r="AY190" s="497">
        <v>0</v>
      </c>
      <c r="AZ190" s="497">
        <v>0</v>
      </c>
      <c r="BA190" s="497">
        <v>0</v>
      </c>
      <c r="BB190" s="497">
        <v>0</v>
      </c>
      <c r="BC190" s="497">
        <v>48450</v>
      </c>
      <c r="BD190" s="497">
        <v>0</v>
      </c>
      <c r="BE190" s="497">
        <v>12307</v>
      </c>
      <c r="BF190" s="497">
        <v>0</v>
      </c>
      <c r="BG190" s="497">
        <v>0</v>
      </c>
      <c r="BH190" s="497">
        <v>0</v>
      </c>
      <c r="BI190" s="497">
        <v>365201</v>
      </c>
      <c r="BJ190" s="497">
        <v>0</v>
      </c>
      <c r="BK190" s="497">
        <v>0</v>
      </c>
      <c r="BL190" s="497">
        <v>0</v>
      </c>
      <c r="BM190" s="497">
        <v>1151439</v>
      </c>
      <c r="BN190" s="497">
        <v>713196</v>
      </c>
      <c r="BO190" s="497">
        <v>0</v>
      </c>
      <c r="BP190" s="497">
        <v>740000</v>
      </c>
      <c r="BQ190" s="497">
        <v>300000</v>
      </c>
      <c r="BR190" s="497">
        <v>34353</v>
      </c>
      <c r="BS190" s="497">
        <v>0</v>
      </c>
      <c r="BT190" s="497">
        <v>78338</v>
      </c>
      <c r="BU190" s="497">
        <v>346733</v>
      </c>
      <c r="BV190" s="497">
        <v>0</v>
      </c>
      <c r="BW190" s="497">
        <v>369975</v>
      </c>
      <c r="BX190" s="497">
        <v>0</v>
      </c>
      <c r="BY190" s="497">
        <v>0</v>
      </c>
      <c r="BZ190" s="497">
        <v>0</v>
      </c>
      <c r="CA190" s="497">
        <v>0</v>
      </c>
      <c r="CB190" s="497">
        <v>850000</v>
      </c>
      <c r="CC190" s="497">
        <v>2346</v>
      </c>
      <c r="CD190" s="497">
        <v>333060</v>
      </c>
      <c r="CE190" s="497">
        <v>6225688</v>
      </c>
    </row>
    <row r="191" spans="1:83" x14ac:dyDescent="0.25">
      <c r="A191" s="635">
        <v>541</v>
      </c>
      <c r="B191" s="752">
        <v>541</v>
      </c>
      <c r="C191" s="635" t="s">
        <v>1184</v>
      </c>
      <c r="D191" s="635" t="s">
        <v>573</v>
      </c>
      <c r="E191" s="497">
        <v>94576</v>
      </c>
      <c r="F191" s="497">
        <v>24677</v>
      </c>
      <c r="G191" s="497">
        <v>0</v>
      </c>
      <c r="H191" s="497">
        <v>-15184</v>
      </c>
      <c r="I191" s="497">
        <v>9362</v>
      </c>
      <c r="J191" s="497">
        <v>16998</v>
      </c>
      <c r="K191" s="497">
        <v>0</v>
      </c>
      <c r="L191" s="497">
        <v>-29375</v>
      </c>
      <c r="M191" s="497">
        <v>285391</v>
      </c>
      <c r="N191" s="497">
        <v>0</v>
      </c>
      <c r="O191" s="497">
        <v>0</v>
      </c>
      <c r="P191" s="497">
        <v>0</v>
      </c>
      <c r="Q191" s="497">
        <v>9673</v>
      </c>
      <c r="R191" s="497">
        <v>567743</v>
      </c>
      <c r="S191" s="497">
        <v>0</v>
      </c>
      <c r="T191" s="497">
        <v>1011900</v>
      </c>
      <c r="U191" s="497">
        <v>13523</v>
      </c>
      <c r="V191" s="497">
        <v>-29524</v>
      </c>
      <c r="W191" s="497">
        <v>476008</v>
      </c>
      <c r="X191" s="497">
        <v>0</v>
      </c>
      <c r="Y191" s="497">
        <v>-161038</v>
      </c>
      <c r="Z191" s="497">
        <v>-203019</v>
      </c>
      <c r="AA191" s="497">
        <v>779209</v>
      </c>
      <c r="AB191" s="497">
        <v>-9459</v>
      </c>
      <c r="AC191" s="497">
        <v>39863</v>
      </c>
      <c r="AD191" s="497">
        <v>0</v>
      </c>
      <c r="AE191" s="497">
        <v>0</v>
      </c>
      <c r="AF191" s="497">
        <v>0</v>
      </c>
      <c r="AG191" s="497">
        <v>3133251</v>
      </c>
      <c r="AH191" s="497">
        <v>-263</v>
      </c>
      <c r="AI191" s="497">
        <v>-21022</v>
      </c>
      <c r="AJ191" s="497">
        <v>69917</v>
      </c>
      <c r="AK191" s="497">
        <v>-6320</v>
      </c>
      <c r="AL191" s="497">
        <v>824</v>
      </c>
      <c r="AM191" s="497">
        <v>0</v>
      </c>
      <c r="AN191" s="497">
        <v>35984</v>
      </c>
      <c r="AO191" s="497">
        <v>973555</v>
      </c>
      <c r="AP191" s="497">
        <v>0</v>
      </c>
      <c r="AQ191" s="497">
        <v>-220035</v>
      </c>
      <c r="AR191" s="497">
        <v>0</v>
      </c>
      <c r="AS191" s="497">
        <v>0</v>
      </c>
      <c r="AT191" s="497">
        <v>113173</v>
      </c>
      <c r="AU191" s="497">
        <v>-9863</v>
      </c>
      <c r="AV191" s="497">
        <v>30559899</v>
      </c>
      <c r="AW191" s="497">
        <v>5747359</v>
      </c>
      <c r="AX191" s="497">
        <v>16569</v>
      </c>
      <c r="AY191" s="497">
        <v>-14189</v>
      </c>
      <c r="AZ191" s="497">
        <v>29062</v>
      </c>
      <c r="BA191" s="497">
        <v>-24014</v>
      </c>
      <c r="BB191" s="497">
        <v>0</v>
      </c>
      <c r="BC191" s="497">
        <v>642695</v>
      </c>
      <c r="BD191" s="497">
        <v>13776</v>
      </c>
      <c r="BE191" s="497">
        <v>0</v>
      </c>
      <c r="BF191" s="497">
        <v>3757</v>
      </c>
      <c r="BG191" s="497">
        <v>-1204340</v>
      </c>
      <c r="BH191" s="497">
        <v>0</v>
      </c>
      <c r="BI191" s="497">
        <v>374791</v>
      </c>
      <c r="BJ191" s="497">
        <v>-349000</v>
      </c>
      <c r="BK191" s="497">
        <v>0</v>
      </c>
      <c r="BL191" s="497">
        <v>0</v>
      </c>
      <c r="BM191" s="497">
        <v>3550929</v>
      </c>
      <c r="BN191" s="497">
        <v>1119545</v>
      </c>
      <c r="BO191" s="497">
        <v>-37162</v>
      </c>
      <c r="BP191" s="497">
        <v>3294171</v>
      </c>
      <c r="BQ191" s="497">
        <v>10051267</v>
      </c>
      <c r="BR191" s="497">
        <v>-14164</v>
      </c>
      <c r="BS191" s="497">
        <v>-62364</v>
      </c>
      <c r="BT191" s="497">
        <v>0</v>
      </c>
      <c r="BU191" s="497">
        <v>2970400</v>
      </c>
      <c r="BV191" s="497">
        <v>17816</v>
      </c>
      <c r="BW191" s="497">
        <v>0</v>
      </c>
      <c r="BX191" s="497">
        <v>-1718771</v>
      </c>
      <c r="BY191" s="497">
        <v>0</v>
      </c>
      <c r="BZ191" s="497">
        <v>9378320</v>
      </c>
      <c r="CA191" s="497">
        <v>-11519</v>
      </c>
      <c r="CB191" s="497">
        <v>0</v>
      </c>
      <c r="CC191" s="497">
        <v>55189</v>
      </c>
      <c r="CD191" s="497">
        <v>0</v>
      </c>
      <c r="CE191" s="497">
        <v>0</v>
      </c>
    </row>
    <row r="192" spans="1:83" x14ac:dyDescent="0.25">
      <c r="A192" s="635">
        <v>542</v>
      </c>
      <c r="B192" s="752">
        <v>542</v>
      </c>
      <c r="C192" s="635" t="s">
        <v>1185</v>
      </c>
      <c r="D192" s="635" t="s">
        <v>574</v>
      </c>
      <c r="E192" s="497">
        <v>0</v>
      </c>
      <c r="F192" s="497">
        <v>0</v>
      </c>
      <c r="G192" s="497">
        <v>0</v>
      </c>
      <c r="H192" s="497">
        <v>0</v>
      </c>
      <c r="I192" s="497">
        <v>0</v>
      </c>
      <c r="J192" s="497">
        <v>0</v>
      </c>
      <c r="K192" s="497">
        <v>0</v>
      </c>
      <c r="L192" s="497">
        <v>0</v>
      </c>
      <c r="M192" s="497">
        <v>0</v>
      </c>
      <c r="N192" s="497">
        <v>0</v>
      </c>
      <c r="O192" s="497">
        <v>0</v>
      </c>
      <c r="P192" s="497">
        <v>0</v>
      </c>
      <c r="Q192" s="497">
        <v>0</v>
      </c>
      <c r="R192" s="497">
        <v>0</v>
      </c>
      <c r="S192" s="497">
        <v>0</v>
      </c>
      <c r="T192" s="497">
        <v>0</v>
      </c>
      <c r="U192" s="497">
        <v>0</v>
      </c>
      <c r="V192" s="497">
        <v>0</v>
      </c>
      <c r="W192" s="497">
        <v>0</v>
      </c>
      <c r="X192" s="497">
        <v>0</v>
      </c>
      <c r="Y192" s="497">
        <v>0</v>
      </c>
      <c r="Z192" s="497">
        <v>114077</v>
      </c>
      <c r="AA192" s="497">
        <v>0</v>
      </c>
      <c r="AB192" s="497">
        <v>0</v>
      </c>
      <c r="AC192" s="497">
        <v>0</v>
      </c>
      <c r="AD192" s="497">
        <v>0</v>
      </c>
      <c r="AE192" s="497">
        <v>0</v>
      </c>
      <c r="AF192" s="497">
        <v>0</v>
      </c>
      <c r="AG192" s="497">
        <v>0</v>
      </c>
      <c r="AH192" s="497">
        <v>0</v>
      </c>
      <c r="AI192" s="497">
        <v>0</v>
      </c>
      <c r="AJ192" s="497">
        <v>0</v>
      </c>
      <c r="AK192" s="497">
        <v>0</v>
      </c>
      <c r="AL192" s="497">
        <v>0</v>
      </c>
      <c r="AM192" s="497">
        <v>0</v>
      </c>
      <c r="AN192" s="497">
        <v>0</v>
      </c>
      <c r="AO192" s="497">
        <v>448400</v>
      </c>
      <c r="AP192" s="497">
        <v>0</v>
      </c>
      <c r="AQ192" s="497">
        <v>0</v>
      </c>
      <c r="AR192" s="497">
        <v>0</v>
      </c>
      <c r="AS192" s="497">
        <v>0</v>
      </c>
      <c r="AT192" s="497">
        <v>0</v>
      </c>
      <c r="AU192" s="497">
        <v>0</v>
      </c>
      <c r="AV192" s="497">
        <v>11465611</v>
      </c>
      <c r="AW192" s="497">
        <v>0</v>
      </c>
      <c r="AX192" s="497">
        <v>0</v>
      </c>
      <c r="AY192" s="497">
        <v>0</v>
      </c>
      <c r="AZ192" s="497">
        <v>0</v>
      </c>
      <c r="BA192" s="497">
        <v>0</v>
      </c>
      <c r="BB192" s="497">
        <v>0</v>
      </c>
      <c r="BC192" s="497">
        <v>0</v>
      </c>
      <c r="BD192" s="497">
        <v>0</v>
      </c>
      <c r="BE192" s="497">
        <v>0</v>
      </c>
      <c r="BF192" s="497">
        <v>0</v>
      </c>
      <c r="BG192" s="497">
        <v>0</v>
      </c>
      <c r="BH192" s="497">
        <v>0</v>
      </c>
      <c r="BI192" s="497">
        <v>0</v>
      </c>
      <c r="BJ192" s="497">
        <v>0</v>
      </c>
      <c r="BK192" s="497">
        <v>0</v>
      </c>
      <c r="BL192" s="497">
        <v>0</v>
      </c>
      <c r="BM192" s="497">
        <v>0</v>
      </c>
      <c r="BN192" s="497">
        <v>0</v>
      </c>
      <c r="BO192" s="497">
        <v>0</v>
      </c>
      <c r="BP192" s="497">
        <v>0</v>
      </c>
      <c r="BQ192" s="497">
        <v>916755</v>
      </c>
      <c r="BR192" s="497">
        <v>0</v>
      </c>
      <c r="BS192" s="497">
        <v>0</v>
      </c>
      <c r="BT192" s="497">
        <v>0</v>
      </c>
      <c r="BU192" s="497">
        <v>2192830</v>
      </c>
      <c r="BV192" s="497">
        <v>0</v>
      </c>
      <c r="BW192" s="497">
        <v>0</v>
      </c>
      <c r="BX192" s="497">
        <v>0</v>
      </c>
      <c r="BY192" s="497">
        <v>0</v>
      </c>
      <c r="BZ192" s="497">
        <v>0</v>
      </c>
      <c r="CA192" s="497">
        <v>0</v>
      </c>
      <c r="CB192" s="497">
        <v>0</v>
      </c>
      <c r="CC192" s="497">
        <v>0</v>
      </c>
      <c r="CD192" s="497">
        <v>0</v>
      </c>
      <c r="CE192" s="497">
        <v>0</v>
      </c>
    </row>
    <row r="193" spans="1:83" x14ac:dyDescent="0.25">
      <c r="B193" s="752">
        <v>543</v>
      </c>
      <c r="C193" s="635" t="s">
        <v>1186</v>
      </c>
      <c r="D193" s="635" t="s">
        <v>575</v>
      </c>
      <c r="E193" s="497"/>
      <c r="F193" s="497"/>
      <c r="G193" s="497"/>
      <c r="H193" s="497"/>
      <c r="I193" s="497"/>
      <c r="J193" s="497"/>
      <c r="K193" s="497"/>
      <c r="L193" s="497"/>
      <c r="M193" s="497"/>
      <c r="N193" s="497"/>
      <c r="O193" s="497"/>
      <c r="P193" s="497"/>
      <c r="Q193" s="497"/>
      <c r="R193" s="497"/>
      <c r="S193" s="497"/>
      <c r="T193" s="497"/>
      <c r="U193" s="497"/>
      <c r="V193" s="497"/>
      <c r="W193" s="497"/>
      <c r="X193" s="497"/>
      <c r="Y193" s="497"/>
      <c r="Z193" s="497"/>
      <c r="AA193" s="497"/>
      <c r="AB193" s="497"/>
      <c r="AC193" s="497"/>
      <c r="AD193" s="497"/>
      <c r="AE193" s="497"/>
      <c r="AF193" s="497"/>
      <c r="AG193" s="497"/>
      <c r="AH193" s="497"/>
      <c r="AI193" s="497"/>
      <c r="AJ193" s="497"/>
      <c r="AK193" s="497"/>
      <c r="AL193" s="497"/>
      <c r="AM193" s="497"/>
      <c r="AN193" s="497"/>
      <c r="AO193" s="497"/>
      <c r="AP193" s="497"/>
      <c r="AQ193" s="497"/>
      <c r="AR193" s="497"/>
      <c r="AS193" s="497"/>
      <c r="AT193" s="497"/>
      <c r="AU193" s="497"/>
      <c r="AV193" s="497"/>
      <c r="AW193" s="497"/>
      <c r="AX193" s="497"/>
      <c r="AY193" s="497"/>
      <c r="AZ193" s="497"/>
      <c r="BA193" s="497"/>
      <c r="BB193" s="497"/>
      <c r="BC193" s="497"/>
      <c r="BD193" s="497"/>
      <c r="BE193" s="497"/>
      <c r="BF193" s="497"/>
      <c r="BG193" s="497"/>
      <c r="BH193" s="497"/>
      <c r="BI193" s="497"/>
      <c r="BJ193" s="497"/>
      <c r="BK193" s="497"/>
      <c r="BL193" s="497"/>
      <c r="BM193" s="497"/>
      <c r="BN193" s="497"/>
      <c r="BO193" s="497"/>
      <c r="BP193" s="497"/>
      <c r="BQ193" s="497"/>
      <c r="BR193" s="497"/>
      <c r="BS193" s="497"/>
      <c r="BT193" s="497"/>
      <c r="BU193" s="497"/>
      <c r="BV193" s="497"/>
      <c r="BW193" s="497"/>
      <c r="BX193" s="497"/>
      <c r="BY193" s="497"/>
      <c r="BZ193" s="497"/>
      <c r="CA193" s="497"/>
      <c r="CB193" s="497"/>
      <c r="CC193" s="497"/>
      <c r="CD193" s="497"/>
      <c r="CE193" s="497"/>
    </row>
    <row r="194" spans="1:83" x14ac:dyDescent="0.25">
      <c r="A194" s="635">
        <v>544</v>
      </c>
      <c r="B194" s="752">
        <v>544</v>
      </c>
      <c r="C194" s="635" t="s">
        <v>60</v>
      </c>
      <c r="D194" s="635" t="s">
        <v>576</v>
      </c>
      <c r="E194" s="390">
        <v>0</v>
      </c>
      <c r="F194" s="390">
        <v>0</v>
      </c>
      <c r="G194" s="390">
        <v>0</v>
      </c>
      <c r="H194" s="390">
        <v>0</v>
      </c>
      <c r="I194" s="390">
        <v>0</v>
      </c>
      <c r="J194" s="390">
        <v>0</v>
      </c>
      <c r="K194" s="390">
        <v>0.01</v>
      </c>
      <c r="L194" s="390">
        <v>0</v>
      </c>
      <c r="M194" s="390">
        <v>0</v>
      </c>
      <c r="N194" s="390">
        <v>0.22</v>
      </c>
      <c r="O194" s="390">
        <v>0</v>
      </c>
      <c r="P194" s="390">
        <v>0</v>
      </c>
      <c r="Q194" s="390">
        <v>0</v>
      </c>
      <c r="R194" s="390">
        <v>0</v>
      </c>
      <c r="S194" s="390">
        <v>0</v>
      </c>
      <c r="T194" s="390">
        <v>0</v>
      </c>
      <c r="U194" s="390">
        <v>0</v>
      </c>
      <c r="V194" s="390">
        <v>0</v>
      </c>
      <c r="W194" s="390">
        <v>0.04</v>
      </c>
      <c r="X194" s="390">
        <v>0</v>
      </c>
      <c r="Y194" s="390">
        <v>0</v>
      </c>
      <c r="Z194" s="390">
        <v>0</v>
      </c>
      <c r="AA194" s="390">
        <v>0</v>
      </c>
      <c r="AB194" s="390">
        <v>0</v>
      </c>
      <c r="AC194" s="390">
        <v>0</v>
      </c>
      <c r="AD194" s="390">
        <v>0</v>
      </c>
      <c r="AE194" s="390">
        <v>0</v>
      </c>
      <c r="AF194" s="390">
        <v>0</v>
      </c>
      <c r="AG194" s="390">
        <v>0</v>
      </c>
      <c r="AH194" s="390">
        <v>0</v>
      </c>
      <c r="AI194" s="390">
        <v>0</v>
      </c>
      <c r="AJ194" s="390">
        <v>0</v>
      </c>
      <c r="AK194" s="390">
        <v>-0.01</v>
      </c>
      <c r="AL194" s="390">
        <v>0</v>
      </c>
      <c r="AM194" s="390">
        <v>0</v>
      </c>
      <c r="AN194" s="390">
        <v>0</v>
      </c>
      <c r="AO194" s="390">
        <v>0</v>
      </c>
      <c r="AP194" s="390">
        <v>0</v>
      </c>
      <c r="AQ194" s="390">
        <v>0</v>
      </c>
      <c r="AR194" s="390">
        <v>0</v>
      </c>
      <c r="AS194" s="390">
        <v>0</v>
      </c>
      <c r="AT194" s="390">
        <v>0</v>
      </c>
      <c r="AU194" s="390">
        <v>0</v>
      </c>
      <c r="AV194" s="390">
        <v>0</v>
      </c>
      <c r="AW194" s="390">
        <v>0</v>
      </c>
      <c r="AX194" s="390">
        <v>0</v>
      </c>
      <c r="AY194" s="390">
        <v>0</v>
      </c>
      <c r="AZ194" s="390">
        <v>0</v>
      </c>
      <c r="BA194" s="390">
        <v>0</v>
      </c>
      <c r="BB194" s="390">
        <v>0</v>
      </c>
      <c r="BC194" s="390">
        <v>0</v>
      </c>
      <c r="BD194" s="390">
        <v>0</v>
      </c>
      <c r="BE194" s="390">
        <v>0</v>
      </c>
      <c r="BF194" s="390">
        <v>0</v>
      </c>
      <c r="BG194" s="390">
        <v>7.0000000000000007E-2</v>
      </c>
      <c r="BH194" s="390">
        <v>0</v>
      </c>
      <c r="BI194" s="390">
        <v>0</v>
      </c>
      <c r="BJ194" s="390">
        <v>0</v>
      </c>
      <c r="BK194" s="390">
        <v>0</v>
      </c>
      <c r="BL194" s="390">
        <v>0</v>
      </c>
      <c r="BM194" s="390">
        <v>0</v>
      </c>
      <c r="BN194" s="390">
        <v>0.02</v>
      </c>
      <c r="BO194" s="390">
        <v>0</v>
      </c>
      <c r="BP194" s="390">
        <v>0</v>
      </c>
      <c r="BQ194" s="390">
        <v>0</v>
      </c>
      <c r="BR194" s="390">
        <v>0</v>
      </c>
      <c r="BS194" s="390">
        <v>0</v>
      </c>
      <c r="BT194" s="390">
        <v>0</v>
      </c>
      <c r="BU194" s="390">
        <v>0</v>
      </c>
      <c r="BV194" s="390">
        <v>0</v>
      </c>
      <c r="BW194" s="390">
        <v>0</v>
      </c>
      <c r="BX194" s="390">
        <v>0</v>
      </c>
      <c r="BY194" s="390">
        <v>0</v>
      </c>
      <c r="BZ194" s="390">
        <v>0</v>
      </c>
      <c r="CA194" s="390">
        <v>0</v>
      </c>
      <c r="CB194" s="390">
        <v>0</v>
      </c>
      <c r="CC194" s="390">
        <v>0</v>
      </c>
      <c r="CD194" s="390">
        <v>0</v>
      </c>
      <c r="CE194" s="390">
        <v>0</v>
      </c>
    </row>
    <row r="195" spans="1:83" x14ac:dyDescent="0.25">
      <c r="A195" s="635">
        <v>545</v>
      </c>
      <c r="B195" s="752">
        <v>545</v>
      </c>
      <c r="C195" s="635" t="s">
        <v>61</v>
      </c>
      <c r="D195" s="635" t="s">
        <v>577</v>
      </c>
      <c r="E195" s="390">
        <v>0</v>
      </c>
      <c r="F195" s="390">
        <v>0</v>
      </c>
      <c r="G195" s="390">
        <v>0</v>
      </c>
      <c r="H195" s="390">
        <v>0</v>
      </c>
      <c r="I195" s="390">
        <v>0</v>
      </c>
      <c r="J195" s="390">
        <v>0</v>
      </c>
      <c r="K195" s="390">
        <v>0</v>
      </c>
      <c r="L195" s="390">
        <v>0</v>
      </c>
      <c r="M195" s="390">
        <v>0</v>
      </c>
      <c r="N195" s="390">
        <v>0</v>
      </c>
      <c r="O195" s="390">
        <v>0.02</v>
      </c>
      <c r="P195" s="390">
        <v>0</v>
      </c>
      <c r="Q195" s="390">
        <v>0</v>
      </c>
      <c r="R195" s="390">
        <v>0</v>
      </c>
      <c r="S195" s="390">
        <v>0</v>
      </c>
      <c r="T195" s="390">
        <v>0</v>
      </c>
      <c r="U195" s="390">
        <v>0</v>
      </c>
      <c r="V195" s="390">
        <v>0</v>
      </c>
      <c r="W195" s="390">
        <v>0</v>
      </c>
      <c r="X195" s="390">
        <v>0</v>
      </c>
      <c r="Y195" s="390">
        <v>0</v>
      </c>
      <c r="Z195" s="390">
        <v>0</v>
      </c>
      <c r="AA195" s="390">
        <v>0</v>
      </c>
      <c r="AB195" s="390">
        <v>0</v>
      </c>
      <c r="AC195" s="390">
        <v>0</v>
      </c>
      <c r="AD195" s="390">
        <v>0</v>
      </c>
      <c r="AE195" s="390">
        <v>0</v>
      </c>
      <c r="AF195" s="390">
        <v>0</v>
      </c>
      <c r="AG195" s="390">
        <v>0</v>
      </c>
      <c r="AH195" s="390">
        <v>0</v>
      </c>
      <c r="AI195" s="390">
        <v>0</v>
      </c>
      <c r="AJ195" s="390">
        <v>0</v>
      </c>
      <c r="AK195" s="390">
        <v>0</v>
      </c>
      <c r="AL195" s="390">
        <v>0</v>
      </c>
      <c r="AM195" s="390">
        <v>0</v>
      </c>
      <c r="AN195" s="390">
        <v>0</v>
      </c>
      <c r="AO195" s="390">
        <v>0</v>
      </c>
      <c r="AP195" s="390">
        <v>0</v>
      </c>
      <c r="AQ195" s="390">
        <v>0</v>
      </c>
      <c r="AR195" s="390">
        <v>0</v>
      </c>
      <c r="AS195" s="390">
        <v>0</v>
      </c>
      <c r="AT195" s="390">
        <v>0</v>
      </c>
      <c r="AU195" s="390">
        <v>0</v>
      </c>
      <c r="AV195" s="390">
        <v>0.03</v>
      </c>
      <c r="AW195" s="390">
        <v>0</v>
      </c>
      <c r="AX195" s="390">
        <v>0</v>
      </c>
      <c r="AY195" s="390">
        <v>0</v>
      </c>
      <c r="AZ195" s="390">
        <v>0</v>
      </c>
      <c r="BA195" s="390">
        <v>0</v>
      </c>
      <c r="BB195" s="390">
        <v>0</v>
      </c>
      <c r="BC195" s="390">
        <v>0</v>
      </c>
      <c r="BD195" s="390">
        <v>0</v>
      </c>
      <c r="BE195" s="390">
        <v>0</v>
      </c>
      <c r="BF195" s="390">
        <v>0</v>
      </c>
      <c r="BG195" s="390">
        <v>0</v>
      </c>
      <c r="BH195" s="390">
        <v>0</v>
      </c>
      <c r="BI195" s="390">
        <v>0</v>
      </c>
      <c r="BJ195" s="390">
        <v>0</v>
      </c>
      <c r="BK195" s="390">
        <v>0</v>
      </c>
      <c r="BL195" s="390">
        <v>0</v>
      </c>
      <c r="BM195" s="390">
        <v>0</v>
      </c>
      <c r="BN195" s="390">
        <v>0</v>
      </c>
      <c r="BO195" s="390">
        <v>0</v>
      </c>
      <c r="BP195" s="390">
        <v>0.02</v>
      </c>
      <c r="BQ195" s="390">
        <v>0</v>
      </c>
      <c r="BR195" s="390">
        <v>0</v>
      </c>
      <c r="BS195" s="390">
        <v>0</v>
      </c>
      <c r="BT195" s="390">
        <v>0</v>
      </c>
      <c r="BU195" s="390">
        <v>0</v>
      </c>
      <c r="BV195" s="390">
        <v>0</v>
      </c>
      <c r="BW195" s="390">
        <v>0</v>
      </c>
      <c r="BX195" s="390">
        <v>0</v>
      </c>
      <c r="BY195" s="390">
        <v>0</v>
      </c>
      <c r="BZ195" s="390">
        <v>0</v>
      </c>
      <c r="CA195" s="390">
        <v>0</v>
      </c>
      <c r="CB195" s="390">
        <v>0</v>
      </c>
      <c r="CC195" s="390">
        <v>0</v>
      </c>
      <c r="CD195" s="390">
        <v>0</v>
      </c>
      <c r="CE195" s="390">
        <v>0</v>
      </c>
    </row>
    <row r="196" spans="1:83" x14ac:dyDescent="0.25">
      <c r="B196" s="752">
        <v>546</v>
      </c>
      <c r="C196" s="635" t="s">
        <v>1187</v>
      </c>
      <c r="D196" s="635" t="s">
        <v>578</v>
      </c>
      <c r="E196" s="497">
        <v>0</v>
      </c>
      <c r="F196" s="497">
        <v>0</v>
      </c>
      <c r="G196" s="497">
        <v>0</v>
      </c>
      <c r="H196" s="497">
        <v>0</v>
      </c>
      <c r="I196" s="497">
        <v>0</v>
      </c>
      <c r="J196" s="497">
        <v>0</v>
      </c>
      <c r="K196" s="497">
        <v>0</v>
      </c>
      <c r="L196" s="497">
        <v>0</v>
      </c>
      <c r="M196" s="497">
        <v>0</v>
      </c>
      <c r="N196" s="497">
        <v>0</v>
      </c>
      <c r="O196" s="497">
        <v>0</v>
      </c>
      <c r="P196" s="497">
        <v>0</v>
      </c>
      <c r="Q196" s="497">
        <v>0</v>
      </c>
      <c r="R196" s="497">
        <v>0</v>
      </c>
      <c r="S196" s="497">
        <v>0</v>
      </c>
      <c r="T196" s="497">
        <v>0</v>
      </c>
      <c r="U196" s="497">
        <v>0</v>
      </c>
      <c r="V196" s="497">
        <v>0</v>
      </c>
      <c r="W196" s="497">
        <v>0</v>
      </c>
      <c r="X196" s="497">
        <v>0</v>
      </c>
      <c r="Y196" s="497">
        <v>0</v>
      </c>
      <c r="Z196" s="497">
        <v>0</v>
      </c>
      <c r="AA196" s="497">
        <v>0</v>
      </c>
      <c r="AB196" s="497">
        <v>0</v>
      </c>
      <c r="AC196" s="497">
        <v>0</v>
      </c>
      <c r="AD196" s="497">
        <v>0</v>
      </c>
      <c r="AE196" s="497">
        <v>0</v>
      </c>
      <c r="AF196" s="497">
        <v>0</v>
      </c>
      <c r="AG196" s="497">
        <v>0</v>
      </c>
      <c r="AH196" s="497">
        <v>0</v>
      </c>
      <c r="AI196" s="497">
        <v>0</v>
      </c>
      <c r="AJ196" s="497">
        <v>0</v>
      </c>
      <c r="AK196" s="497">
        <v>0</v>
      </c>
      <c r="AL196" s="497">
        <v>0</v>
      </c>
      <c r="AM196" s="497">
        <v>0</v>
      </c>
      <c r="AN196" s="497">
        <v>0</v>
      </c>
      <c r="AO196" s="497">
        <v>0</v>
      </c>
      <c r="AP196" s="497">
        <v>0</v>
      </c>
      <c r="AQ196" s="497">
        <v>0</v>
      </c>
      <c r="AR196" s="497">
        <v>0</v>
      </c>
      <c r="AS196" s="497">
        <v>0</v>
      </c>
      <c r="AT196" s="497">
        <v>0</v>
      </c>
      <c r="AU196" s="497">
        <v>0</v>
      </c>
      <c r="AV196" s="497">
        <v>0</v>
      </c>
      <c r="AW196" s="497">
        <v>0</v>
      </c>
      <c r="AX196" s="497">
        <v>0</v>
      </c>
      <c r="AY196" s="497">
        <v>0</v>
      </c>
      <c r="AZ196" s="497">
        <v>0</v>
      </c>
      <c r="BA196" s="497">
        <v>0</v>
      </c>
      <c r="BB196" s="497">
        <v>0</v>
      </c>
      <c r="BC196" s="497">
        <v>0</v>
      </c>
      <c r="BD196" s="497">
        <v>0</v>
      </c>
      <c r="BE196" s="497">
        <v>0</v>
      </c>
      <c r="BF196" s="497">
        <v>0</v>
      </c>
      <c r="BG196" s="497">
        <v>0</v>
      </c>
      <c r="BH196" s="497">
        <v>0</v>
      </c>
      <c r="BI196" s="497">
        <v>0</v>
      </c>
      <c r="BJ196" s="497">
        <v>0</v>
      </c>
      <c r="BK196" s="497">
        <v>0</v>
      </c>
      <c r="BL196" s="497">
        <v>0</v>
      </c>
      <c r="BM196" s="497">
        <v>0</v>
      </c>
      <c r="BN196" s="497">
        <v>0</v>
      </c>
      <c r="BO196" s="497">
        <v>0</v>
      </c>
      <c r="BP196" s="497">
        <v>0</v>
      </c>
      <c r="BQ196" s="497">
        <v>0</v>
      </c>
      <c r="BR196" s="497">
        <v>0</v>
      </c>
      <c r="BS196" s="497">
        <v>0</v>
      </c>
      <c r="BT196" s="497">
        <v>0</v>
      </c>
      <c r="BU196" s="497">
        <v>0</v>
      </c>
      <c r="BV196" s="497">
        <v>0</v>
      </c>
      <c r="BW196" s="497">
        <v>0</v>
      </c>
      <c r="BX196" s="497">
        <v>0</v>
      </c>
      <c r="BY196" s="497">
        <v>0</v>
      </c>
      <c r="BZ196" s="497">
        <v>0</v>
      </c>
      <c r="CA196" s="497">
        <v>0</v>
      </c>
      <c r="CB196" s="497">
        <v>0</v>
      </c>
      <c r="CC196" s="497">
        <v>0</v>
      </c>
      <c r="CD196" s="497">
        <v>0</v>
      </c>
      <c r="CE196" s="497">
        <v>0</v>
      </c>
    </row>
    <row r="197" spans="1:83" x14ac:dyDescent="0.25">
      <c r="A197" s="635">
        <v>547</v>
      </c>
      <c r="B197" s="752">
        <v>547</v>
      </c>
      <c r="C197" s="635" t="s">
        <v>1188</v>
      </c>
      <c r="D197" s="635" t="s">
        <v>579</v>
      </c>
      <c r="E197" s="497">
        <v>2</v>
      </c>
      <c r="F197" s="497">
        <v>3</v>
      </c>
      <c r="G197" s="497">
        <v>2</v>
      </c>
      <c r="H197" s="497">
        <v>3</v>
      </c>
      <c r="I197" s="497">
        <v>2</v>
      </c>
      <c r="J197" s="497">
        <v>2</v>
      </c>
      <c r="K197" s="497">
        <v>2</v>
      </c>
      <c r="L197" s="497">
        <v>2</v>
      </c>
      <c r="M197" s="497">
        <v>3</v>
      </c>
      <c r="N197" s="497">
        <v>3</v>
      </c>
      <c r="O197" s="497">
        <v>2</v>
      </c>
      <c r="P197" s="497">
        <v>1</v>
      </c>
      <c r="Q197" s="497">
        <v>2</v>
      </c>
      <c r="R197" s="497">
        <v>4</v>
      </c>
      <c r="S197" s="497">
        <v>2</v>
      </c>
      <c r="T197" s="497">
        <v>2</v>
      </c>
      <c r="U197" s="497">
        <v>2</v>
      </c>
      <c r="V197" s="497">
        <v>2</v>
      </c>
      <c r="W197" s="497">
        <v>3</v>
      </c>
      <c r="X197" s="497">
        <v>2</v>
      </c>
      <c r="Y197" s="497">
        <v>0</v>
      </c>
      <c r="Z197" s="497">
        <v>3</v>
      </c>
      <c r="AA197" s="497">
        <v>3</v>
      </c>
      <c r="AB197" s="497">
        <v>2</v>
      </c>
      <c r="AC197" s="497">
        <v>2</v>
      </c>
      <c r="AD197" s="497">
        <v>3</v>
      </c>
      <c r="AE197" s="497">
        <v>2</v>
      </c>
      <c r="AF197" s="497">
        <v>0</v>
      </c>
      <c r="AG197" s="497">
        <v>3</v>
      </c>
      <c r="AH197" s="497">
        <v>2</v>
      </c>
      <c r="AI197" s="497">
        <v>2</v>
      </c>
      <c r="AJ197" s="497">
        <v>3</v>
      </c>
      <c r="AK197" s="497">
        <v>2</v>
      </c>
      <c r="AL197" s="497">
        <v>2</v>
      </c>
      <c r="AM197" s="497">
        <v>0</v>
      </c>
      <c r="AN197" s="497">
        <v>2</v>
      </c>
      <c r="AO197" s="497">
        <v>3</v>
      </c>
      <c r="AP197" s="497">
        <v>2</v>
      </c>
      <c r="AQ197" s="497">
        <v>3</v>
      </c>
      <c r="AR197" s="497">
        <v>2</v>
      </c>
      <c r="AS197" s="497">
        <v>2</v>
      </c>
      <c r="AT197" s="497">
        <v>2</v>
      </c>
      <c r="AU197" s="497">
        <v>2</v>
      </c>
      <c r="AV197" s="497">
        <v>3</v>
      </c>
      <c r="AW197" s="497">
        <v>3</v>
      </c>
      <c r="AX197" s="497">
        <v>2</v>
      </c>
      <c r="AY197" s="497">
        <v>2</v>
      </c>
      <c r="AZ197" s="497">
        <v>2</v>
      </c>
      <c r="BA197" s="497">
        <v>2</v>
      </c>
      <c r="BB197" s="497">
        <v>0</v>
      </c>
      <c r="BC197" s="497">
        <v>3</v>
      </c>
      <c r="BD197" s="497">
        <v>2</v>
      </c>
      <c r="BE197" s="497">
        <v>2</v>
      </c>
      <c r="BF197" s="497">
        <v>2</v>
      </c>
      <c r="BG197" s="497">
        <v>2</v>
      </c>
      <c r="BH197" s="497">
        <v>2</v>
      </c>
      <c r="BI197" s="497">
        <v>1</v>
      </c>
      <c r="BJ197" s="497">
        <v>3</v>
      </c>
      <c r="BK197" s="497">
        <v>2</v>
      </c>
      <c r="BL197" s="497">
        <v>2</v>
      </c>
      <c r="BM197" s="497">
        <v>3</v>
      </c>
      <c r="BN197" s="497">
        <v>3</v>
      </c>
      <c r="BO197" s="497">
        <v>2</v>
      </c>
      <c r="BP197" s="497">
        <v>3</v>
      </c>
      <c r="BQ197" s="497">
        <v>3</v>
      </c>
      <c r="BR197" s="497">
        <v>2</v>
      </c>
      <c r="BS197" s="497">
        <v>3</v>
      </c>
      <c r="BT197" s="497">
        <v>2</v>
      </c>
      <c r="BU197" s="497">
        <v>3</v>
      </c>
      <c r="BV197" s="497">
        <v>3</v>
      </c>
      <c r="BW197" s="497">
        <v>2</v>
      </c>
      <c r="BX197" s="497">
        <v>2</v>
      </c>
      <c r="BY197" s="497">
        <v>0</v>
      </c>
      <c r="BZ197" s="497">
        <v>3</v>
      </c>
      <c r="CA197" s="497">
        <v>2</v>
      </c>
      <c r="CB197" s="497">
        <v>3</v>
      </c>
      <c r="CC197" s="497">
        <v>2</v>
      </c>
      <c r="CD197" s="497">
        <v>2</v>
      </c>
      <c r="CE197" s="497">
        <v>3</v>
      </c>
    </row>
    <row r="198" spans="1:83" x14ac:dyDescent="0.25">
      <c r="B198" s="752">
        <v>548</v>
      </c>
      <c r="C198" s="635" t="s">
        <v>627</v>
      </c>
      <c r="D198" s="635" t="s">
        <v>666</v>
      </c>
      <c r="E198" s="497">
        <v>0</v>
      </c>
      <c r="F198" s="497">
        <v>0</v>
      </c>
      <c r="G198" s="497">
        <v>0</v>
      </c>
      <c r="H198" s="497">
        <v>0</v>
      </c>
      <c r="I198" s="497">
        <v>0</v>
      </c>
      <c r="J198" s="497">
        <v>0</v>
      </c>
      <c r="K198" s="497">
        <v>0</v>
      </c>
      <c r="L198" s="497">
        <v>0</v>
      </c>
      <c r="M198" s="497">
        <v>0</v>
      </c>
      <c r="N198" s="497">
        <v>0</v>
      </c>
      <c r="O198" s="497">
        <v>0</v>
      </c>
      <c r="P198" s="497">
        <v>0</v>
      </c>
      <c r="Q198" s="497">
        <v>0</v>
      </c>
      <c r="R198" s="497">
        <v>0</v>
      </c>
      <c r="S198" s="497">
        <v>0</v>
      </c>
      <c r="T198" s="497">
        <v>0</v>
      </c>
      <c r="U198" s="497">
        <v>0</v>
      </c>
      <c r="V198" s="497">
        <v>0</v>
      </c>
      <c r="W198" s="497">
        <v>0</v>
      </c>
      <c r="X198" s="497">
        <v>0</v>
      </c>
      <c r="Y198" s="497">
        <v>0</v>
      </c>
      <c r="Z198" s="497">
        <v>0</v>
      </c>
      <c r="AA198" s="497">
        <v>0</v>
      </c>
      <c r="AB198" s="497">
        <v>0</v>
      </c>
      <c r="AC198" s="497">
        <v>0</v>
      </c>
      <c r="AD198" s="497">
        <v>0</v>
      </c>
      <c r="AE198" s="497">
        <v>0</v>
      </c>
      <c r="AF198" s="497">
        <v>0</v>
      </c>
      <c r="AG198" s="497">
        <v>0</v>
      </c>
      <c r="AH198" s="497">
        <v>0</v>
      </c>
      <c r="AI198" s="497">
        <v>0</v>
      </c>
      <c r="AJ198" s="497">
        <v>0</v>
      </c>
      <c r="AK198" s="497">
        <v>0</v>
      </c>
      <c r="AL198" s="497">
        <v>0</v>
      </c>
      <c r="AM198" s="497">
        <v>0</v>
      </c>
      <c r="AN198" s="497">
        <v>0</v>
      </c>
      <c r="AO198" s="497">
        <v>0</v>
      </c>
      <c r="AP198" s="497">
        <v>0</v>
      </c>
      <c r="AQ198" s="497">
        <v>0</v>
      </c>
      <c r="AR198" s="497">
        <v>0</v>
      </c>
      <c r="AS198" s="497">
        <v>0</v>
      </c>
      <c r="AT198" s="497">
        <v>0</v>
      </c>
      <c r="AU198" s="497">
        <v>0</v>
      </c>
      <c r="AV198" s="497">
        <v>0</v>
      </c>
      <c r="AW198" s="497">
        <v>0</v>
      </c>
      <c r="AX198" s="497">
        <v>0</v>
      </c>
      <c r="AY198" s="497">
        <v>0</v>
      </c>
      <c r="AZ198" s="497">
        <v>0</v>
      </c>
      <c r="BA198" s="497">
        <v>0</v>
      </c>
      <c r="BB198" s="497">
        <v>0</v>
      </c>
      <c r="BC198" s="497">
        <v>0</v>
      </c>
      <c r="BD198" s="497">
        <v>0</v>
      </c>
      <c r="BE198" s="497">
        <v>0</v>
      </c>
      <c r="BF198" s="497">
        <v>0</v>
      </c>
      <c r="BG198" s="497">
        <v>0</v>
      </c>
      <c r="BH198" s="497">
        <v>0</v>
      </c>
      <c r="BI198" s="497">
        <v>0</v>
      </c>
      <c r="BJ198" s="497">
        <v>0</v>
      </c>
      <c r="BK198" s="497">
        <v>0</v>
      </c>
      <c r="BL198" s="497">
        <v>0</v>
      </c>
      <c r="BM198" s="497">
        <v>0</v>
      </c>
      <c r="BN198" s="497">
        <v>0</v>
      </c>
      <c r="BO198" s="497">
        <v>0</v>
      </c>
      <c r="BP198" s="497">
        <v>0</v>
      </c>
      <c r="BQ198" s="497">
        <v>0</v>
      </c>
      <c r="BR198" s="497">
        <v>0</v>
      </c>
      <c r="BS198" s="497">
        <v>0</v>
      </c>
      <c r="BT198" s="497">
        <v>0</v>
      </c>
      <c r="BU198" s="497">
        <v>0</v>
      </c>
      <c r="BV198" s="497">
        <v>0</v>
      </c>
      <c r="BW198" s="497">
        <v>0</v>
      </c>
      <c r="BX198" s="497">
        <v>0</v>
      </c>
      <c r="BY198" s="497">
        <v>0</v>
      </c>
      <c r="BZ198" s="497">
        <v>0</v>
      </c>
      <c r="CA198" s="497">
        <v>0</v>
      </c>
      <c r="CB198" s="497">
        <v>0</v>
      </c>
      <c r="CC198" s="497">
        <v>0</v>
      </c>
      <c r="CD198" s="497">
        <v>0</v>
      </c>
      <c r="CE198" s="497">
        <v>0</v>
      </c>
    </row>
    <row r="199" spans="1:83" x14ac:dyDescent="0.25">
      <c r="B199" s="752">
        <v>549</v>
      </c>
      <c r="C199" s="635" t="s">
        <v>1189</v>
      </c>
      <c r="D199" s="635" t="s">
        <v>667</v>
      </c>
      <c r="E199" s="497">
        <v>0</v>
      </c>
      <c r="F199" s="497">
        <v>0</v>
      </c>
      <c r="G199" s="497">
        <v>0</v>
      </c>
      <c r="H199" s="497">
        <v>0</v>
      </c>
      <c r="I199" s="497">
        <v>0</v>
      </c>
      <c r="J199" s="497">
        <v>0</v>
      </c>
      <c r="K199" s="497">
        <v>0</v>
      </c>
      <c r="L199" s="497">
        <v>0</v>
      </c>
      <c r="M199" s="497">
        <v>0</v>
      </c>
      <c r="N199" s="497">
        <v>0</v>
      </c>
      <c r="O199" s="497">
        <v>0</v>
      </c>
      <c r="P199" s="497">
        <v>0</v>
      </c>
      <c r="Q199" s="497">
        <v>0</v>
      </c>
      <c r="R199" s="497">
        <v>0</v>
      </c>
      <c r="S199" s="497">
        <v>0</v>
      </c>
      <c r="T199" s="497">
        <v>0</v>
      </c>
      <c r="U199" s="497">
        <v>0</v>
      </c>
      <c r="V199" s="497">
        <v>0</v>
      </c>
      <c r="W199" s="497">
        <v>0</v>
      </c>
      <c r="X199" s="497">
        <v>0</v>
      </c>
      <c r="Y199" s="497">
        <v>0</v>
      </c>
      <c r="Z199" s="497">
        <v>0</v>
      </c>
      <c r="AA199" s="497">
        <v>0</v>
      </c>
      <c r="AB199" s="497">
        <v>0</v>
      </c>
      <c r="AC199" s="497">
        <v>0</v>
      </c>
      <c r="AD199" s="497">
        <v>0</v>
      </c>
      <c r="AE199" s="497">
        <v>0</v>
      </c>
      <c r="AF199" s="497">
        <v>0</v>
      </c>
      <c r="AG199" s="497">
        <v>0</v>
      </c>
      <c r="AH199" s="497">
        <v>0</v>
      </c>
      <c r="AI199" s="497">
        <v>0</v>
      </c>
      <c r="AJ199" s="497">
        <v>0</v>
      </c>
      <c r="AK199" s="497">
        <v>0</v>
      </c>
      <c r="AL199" s="497">
        <v>0</v>
      </c>
      <c r="AM199" s="497">
        <v>0</v>
      </c>
      <c r="AN199" s="497">
        <v>0</v>
      </c>
      <c r="AO199" s="497">
        <v>0</v>
      </c>
      <c r="AP199" s="497">
        <v>0</v>
      </c>
      <c r="AQ199" s="497">
        <v>0</v>
      </c>
      <c r="AR199" s="497">
        <v>0</v>
      </c>
      <c r="AS199" s="497">
        <v>0</v>
      </c>
      <c r="AT199" s="497">
        <v>0</v>
      </c>
      <c r="AU199" s="497">
        <v>0</v>
      </c>
      <c r="AV199" s="497">
        <v>0</v>
      </c>
      <c r="AW199" s="497">
        <v>0</v>
      </c>
      <c r="AX199" s="497">
        <v>0</v>
      </c>
      <c r="AY199" s="497">
        <v>0</v>
      </c>
      <c r="AZ199" s="497">
        <v>0</v>
      </c>
      <c r="BA199" s="497">
        <v>0</v>
      </c>
      <c r="BB199" s="497">
        <v>0</v>
      </c>
      <c r="BC199" s="497">
        <v>0</v>
      </c>
      <c r="BD199" s="497">
        <v>0</v>
      </c>
      <c r="BE199" s="497">
        <v>0</v>
      </c>
      <c r="BF199" s="497">
        <v>0</v>
      </c>
      <c r="BG199" s="497">
        <v>0</v>
      </c>
      <c r="BH199" s="497">
        <v>0</v>
      </c>
      <c r="BI199" s="497">
        <v>0</v>
      </c>
      <c r="BJ199" s="497">
        <v>0</v>
      </c>
      <c r="BK199" s="497">
        <v>0</v>
      </c>
      <c r="BL199" s="497">
        <v>0</v>
      </c>
      <c r="BM199" s="497">
        <v>0</v>
      </c>
      <c r="BN199" s="497">
        <v>0</v>
      </c>
      <c r="BO199" s="497">
        <v>0</v>
      </c>
      <c r="BP199" s="497">
        <v>0</v>
      </c>
      <c r="BQ199" s="497">
        <v>0</v>
      </c>
      <c r="BR199" s="497">
        <v>0</v>
      </c>
      <c r="BS199" s="497">
        <v>0</v>
      </c>
      <c r="BT199" s="497">
        <v>0</v>
      </c>
      <c r="BU199" s="497">
        <v>0</v>
      </c>
      <c r="BV199" s="497">
        <v>0</v>
      </c>
      <c r="BW199" s="497">
        <v>0</v>
      </c>
      <c r="BX199" s="497">
        <v>0</v>
      </c>
      <c r="BY199" s="497">
        <v>0</v>
      </c>
      <c r="BZ199" s="497">
        <v>0</v>
      </c>
      <c r="CA199" s="497">
        <v>0</v>
      </c>
      <c r="CB199" s="497">
        <v>0</v>
      </c>
      <c r="CC199" s="497">
        <v>0</v>
      </c>
      <c r="CD199" s="497">
        <v>0</v>
      </c>
      <c r="CE199" s="497">
        <v>0</v>
      </c>
    </row>
    <row r="200" spans="1:83" x14ac:dyDescent="0.25">
      <c r="B200" s="752">
        <v>550</v>
      </c>
      <c r="C200" s="635" t="s">
        <v>668</v>
      </c>
      <c r="D200" s="635" t="s">
        <v>669</v>
      </c>
      <c r="E200" s="497">
        <v>0</v>
      </c>
      <c r="F200" s="497">
        <v>0</v>
      </c>
      <c r="G200" s="497">
        <v>0</v>
      </c>
      <c r="H200" s="497">
        <v>0</v>
      </c>
      <c r="I200" s="497">
        <v>0</v>
      </c>
      <c r="J200" s="497">
        <v>0</v>
      </c>
      <c r="K200" s="497">
        <v>0</v>
      </c>
      <c r="L200" s="497">
        <v>0</v>
      </c>
      <c r="M200" s="497">
        <v>0</v>
      </c>
      <c r="N200" s="497">
        <v>0</v>
      </c>
      <c r="O200" s="497">
        <v>0</v>
      </c>
      <c r="P200" s="497">
        <v>0</v>
      </c>
      <c r="Q200" s="497">
        <v>0</v>
      </c>
      <c r="R200" s="497">
        <v>0</v>
      </c>
      <c r="S200" s="497">
        <v>0</v>
      </c>
      <c r="T200" s="497">
        <v>0</v>
      </c>
      <c r="U200" s="497">
        <v>0</v>
      </c>
      <c r="V200" s="497">
        <v>0</v>
      </c>
      <c r="W200" s="497">
        <v>0</v>
      </c>
      <c r="X200" s="497">
        <v>0</v>
      </c>
      <c r="Y200" s="497">
        <v>0</v>
      </c>
      <c r="Z200" s="497">
        <v>0</v>
      </c>
      <c r="AA200" s="497">
        <v>0</v>
      </c>
      <c r="AB200" s="497">
        <v>0</v>
      </c>
      <c r="AC200" s="497">
        <v>0</v>
      </c>
      <c r="AD200" s="497">
        <v>0</v>
      </c>
      <c r="AE200" s="497">
        <v>0</v>
      </c>
      <c r="AF200" s="497">
        <v>0</v>
      </c>
      <c r="AG200" s="497">
        <v>0</v>
      </c>
      <c r="AH200" s="497">
        <v>0</v>
      </c>
      <c r="AI200" s="497">
        <v>0</v>
      </c>
      <c r="AJ200" s="497">
        <v>0</v>
      </c>
      <c r="AK200" s="497">
        <v>0</v>
      </c>
      <c r="AL200" s="497">
        <v>0</v>
      </c>
      <c r="AM200" s="497">
        <v>0</v>
      </c>
      <c r="AN200" s="497">
        <v>0</v>
      </c>
      <c r="AO200" s="497">
        <v>0</v>
      </c>
      <c r="AP200" s="497">
        <v>0</v>
      </c>
      <c r="AQ200" s="497">
        <v>0</v>
      </c>
      <c r="AR200" s="497">
        <v>0</v>
      </c>
      <c r="AS200" s="497">
        <v>0</v>
      </c>
      <c r="AT200" s="497">
        <v>0</v>
      </c>
      <c r="AU200" s="497">
        <v>0</v>
      </c>
      <c r="AV200" s="497">
        <v>0</v>
      </c>
      <c r="AW200" s="497">
        <v>0</v>
      </c>
      <c r="AX200" s="497">
        <v>0</v>
      </c>
      <c r="AY200" s="497">
        <v>0</v>
      </c>
      <c r="AZ200" s="497">
        <v>0</v>
      </c>
      <c r="BA200" s="497">
        <v>0</v>
      </c>
      <c r="BB200" s="497">
        <v>0</v>
      </c>
      <c r="BC200" s="497">
        <v>0</v>
      </c>
      <c r="BD200" s="497">
        <v>0</v>
      </c>
      <c r="BE200" s="497">
        <v>0</v>
      </c>
      <c r="BF200" s="497">
        <v>0</v>
      </c>
      <c r="BG200" s="497">
        <v>0</v>
      </c>
      <c r="BH200" s="497">
        <v>0</v>
      </c>
      <c r="BI200" s="497">
        <v>0</v>
      </c>
      <c r="BJ200" s="497">
        <v>0</v>
      </c>
      <c r="BK200" s="497">
        <v>0</v>
      </c>
      <c r="BL200" s="497">
        <v>0</v>
      </c>
      <c r="BM200" s="497">
        <v>0</v>
      </c>
      <c r="BN200" s="497">
        <v>0</v>
      </c>
      <c r="BO200" s="497">
        <v>0</v>
      </c>
      <c r="BP200" s="497">
        <v>0</v>
      </c>
      <c r="BQ200" s="497">
        <v>0</v>
      </c>
      <c r="BR200" s="497">
        <v>0</v>
      </c>
      <c r="BS200" s="497">
        <v>0</v>
      </c>
      <c r="BT200" s="497">
        <v>0</v>
      </c>
      <c r="BU200" s="497">
        <v>0</v>
      </c>
      <c r="BV200" s="497">
        <v>0</v>
      </c>
      <c r="BW200" s="497">
        <v>0</v>
      </c>
      <c r="BX200" s="497">
        <v>0</v>
      </c>
      <c r="BY200" s="497">
        <v>0</v>
      </c>
      <c r="BZ200" s="497">
        <v>0</v>
      </c>
      <c r="CA200" s="497">
        <v>0</v>
      </c>
      <c r="CB200" s="497">
        <v>0</v>
      </c>
      <c r="CC200" s="497">
        <v>0</v>
      </c>
      <c r="CD200" s="497">
        <v>0</v>
      </c>
      <c r="CE200" s="497">
        <v>0</v>
      </c>
    </row>
    <row r="201" spans="1:83" x14ac:dyDescent="0.25">
      <c r="B201" s="752">
        <v>551</v>
      </c>
      <c r="C201" s="635" t="s">
        <v>1190</v>
      </c>
      <c r="D201" s="635" t="s">
        <v>670</v>
      </c>
      <c r="E201" s="497"/>
      <c r="F201" s="497"/>
      <c r="G201" s="497"/>
      <c r="H201" s="497"/>
      <c r="I201" s="497"/>
      <c r="J201" s="497"/>
      <c r="K201" s="497"/>
      <c r="L201" s="497"/>
      <c r="M201" s="497"/>
      <c r="N201" s="497"/>
      <c r="O201" s="497"/>
      <c r="P201" s="497"/>
      <c r="Q201" s="497"/>
      <c r="R201" s="497"/>
      <c r="S201" s="497"/>
      <c r="T201" s="497"/>
      <c r="U201" s="497"/>
      <c r="V201" s="497"/>
      <c r="W201" s="497"/>
      <c r="X201" s="497"/>
      <c r="Y201" s="497"/>
      <c r="Z201" s="497"/>
      <c r="AA201" s="497"/>
      <c r="AB201" s="497"/>
      <c r="AC201" s="497"/>
      <c r="AD201" s="497"/>
      <c r="AE201" s="497"/>
      <c r="AF201" s="497"/>
      <c r="AG201" s="497"/>
      <c r="AH201" s="497"/>
      <c r="AI201" s="497"/>
      <c r="AJ201" s="497"/>
      <c r="AK201" s="497"/>
      <c r="AL201" s="497"/>
      <c r="AM201" s="497"/>
      <c r="AN201" s="497"/>
      <c r="AO201" s="497"/>
      <c r="AP201" s="497"/>
      <c r="AQ201" s="497"/>
      <c r="AR201" s="497"/>
      <c r="AS201" s="497"/>
      <c r="AT201" s="497"/>
      <c r="AU201" s="497"/>
      <c r="AV201" s="497"/>
      <c r="AW201" s="497"/>
      <c r="AX201" s="497"/>
      <c r="AY201" s="497"/>
      <c r="AZ201" s="497"/>
      <c r="BA201" s="497"/>
      <c r="BB201" s="497"/>
      <c r="BC201" s="497"/>
      <c r="BD201" s="497"/>
      <c r="BE201" s="497"/>
      <c r="BF201" s="497"/>
      <c r="BG201" s="497"/>
      <c r="BH201" s="497"/>
      <c r="BI201" s="497"/>
      <c r="BJ201" s="497"/>
      <c r="BK201" s="497"/>
      <c r="BL201" s="497"/>
      <c r="BM201" s="497"/>
      <c r="BN201" s="497"/>
      <c r="BO201" s="497"/>
      <c r="BP201" s="497"/>
      <c r="BQ201" s="497"/>
      <c r="BR201" s="497"/>
      <c r="BS201" s="497"/>
      <c r="BT201" s="497"/>
      <c r="BU201" s="497"/>
      <c r="BV201" s="497"/>
      <c r="BW201" s="497"/>
      <c r="BX201" s="497"/>
      <c r="BY201" s="497"/>
      <c r="BZ201" s="497"/>
      <c r="CA201" s="497"/>
      <c r="CB201" s="497"/>
      <c r="CC201" s="497"/>
      <c r="CD201" s="497"/>
      <c r="CE201" s="497"/>
    </row>
    <row r="202" spans="1:83" x14ac:dyDescent="0.25">
      <c r="B202" s="752">
        <v>552</v>
      </c>
      <c r="C202" s="635" t="s">
        <v>630</v>
      </c>
      <c r="D202" s="635" t="s">
        <v>671</v>
      </c>
      <c r="E202" s="497"/>
      <c r="F202" s="497"/>
      <c r="G202" s="497"/>
      <c r="H202" s="497"/>
      <c r="I202" s="497"/>
      <c r="J202" s="497"/>
      <c r="K202" s="497"/>
      <c r="L202" s="497"/>
      <c r="M202" s="497"/>
      <c r="N202" s="497"/>
      <c r="O202" s="497"/>
      <c r="P202" s="497"/>
      <c r="Q202" s="497"/>
      <c r="R202" s="497"/>
      <c r="S202" s="497"/>
      <c r="T202" s="497"/>
      <c r="U202" s="497"/>
      <c r="V202" s="497"/>
      <c r="W202" s="497"/>
      <c r="X202" s="497"/>
      <c r="Y202" s="497"/>
      <c r="Z202" s="497"/>
      <c r="AA202" s="497"/>
      <c r="AB202" s="497"/>
      <c r="AC202" s="497"/>
      <c r="AD202" s="497"/>
      <c r="AE202" s="497"/>
      <c r="AF202" s="497"/>
      <c r="AG202" s="497"/>
      <c r="AH202" s="497"/>
      <c r="AI202" s="497"/>
      <c r="AJ202" s="497"/>
      <c r="AK202" s="497"/>
      <c r="AL202" s="497"/>
      <c r="AM202" s="497"/>
      <c r="AN202" s="497"/>
      <c r="AO202" s="497"/>
      <c r="AP202" s="497"/>
      <c r="AQ202" s="497"/>
      <c r="AR202" s="497"/>
      <c r="AS202" s="497"/>
      <c r="AT202" s="497"/>
      <c r="AU202" s="497"/>
      <c r="AV202" s="497"/>
      <c r="AW202" s="497"/>
      <c r="AX202" s="497"/>
      <c r="AY202" s="497"/>
      <c r="AZ202" s="497"/>
      <c r="BA202" s="497"/>
      <c r="BB202" s="497"/>
      <c r="BC202" s="497"/>
      <c r="BD202" s="497"/>
      <c r="BE202" s="497"/>
      <c r="BF202" s="497"/>
      <c r="BG202" s="497"/>
      <c r="BH202" s="497"/>
      <c r="BI202" s="497"/>
      <c r="BJ202" s="497"/>
      <c r="BK202" s="497"/>
      <c r="BL202" s="497"/>
      <c r="BM202" s="497"/>
      <c r="BN202" s="497"/>
      <c r="BO202" s="497"/>
      <c r="BP202" s="497"/>
      <c r="BQ202" s="497"/>
      <c r="BR202" s="497"/>
      <c r="BS202" s="497"/>
      <c r="BT202" s="497"/>
      <c r="BU202" s="497"/>
      <c r="BV202" s="497"/>
      <c r="BW202" s="497"/>
      <c r="BX202" s="497"/>
      <c r="BY202" s="497"/>
      <c r="BZ202" s="497"/>
      <c r="CA202" s="497"/>
      <c r="CB202" s="497"/>
      <c r="CC202" s="497"/>
      <c r="CD202" s="497"/>
      <c r="CE202" s="497"/>
    </row>
    <row r="203" spans="1:83" x14ac:dyDescent="0.25">
      <c r="B203" s="752">
        <v>553</v>
      </c>
      <c r="D203" s="635" t="s">
        <v>672</v>
      </c>
      <c r="E203" s="497"/>
      <c r="F203" s="497"/>
      <c r="G203" s="497"/>
      <c r="H203" s="497"/>
      <c r="I203" s="497"/>
      <c r="J203" s="497"/>
      <c r="K203" s="497"/>
      <c r="L203" s="497"/>
      <c r="M203" s="497"/>
      <c r="N203" s="497"/>
      <c r="O203" s="497"/>
      <c r="P203" s="497"/>
      <c r="Q203" s="497"/>
      <c r="R203" s="497"/>
      <c r="S203" s="497"/>
      <c r="T203" s="497"/>
      <c r="U203" s="497"/>
      <c r="V203" s="497"/>
      <c r="W203" s="497"/>
      <c r="X203" s="497"/>
      <c r="Y203" s="497"/>
      <c r="Z203" s="497"/>
      <c r="AA203" s="497"/>
      <c r="AB203" s="497"/>
      <c r="AC203" s="497"/>
      <c r="AD203" s="497"/>
      <c r="AE203" s="497"/>
      <c r="AF203" s="497"/>
      <c r="AG203" s="497"/>
      <c r="AH203" s="497"/>
      <c r="AI203" s="497"/>
      <c r="AJ203" s="497"/>
      <c r="AK203" s="497"/>
      <c r="AL203" s="497"/>
      <c r="AM203" s="497"/>
      <c r="AN203" s="497"/>
      <c r="AO203" s="497"/>
      <c r="AP203" s="497"/>
      <c r="AQ203" s="497"/>
      <c r="AR203" s="497"/>
      <c r="AS203" s="497"/>
      <c r="AT203" s="497"/>
      <c r="AU203" s="497"/>
      <c r="AV203" s="497"/>
      <c r="AW203" s="497"/>
      <c r="AX203" s="497"/>
      <c r="AY203" s="497"/>
      <c r="AZ203" s="497"/>
      <c r="BA203" s="497"/>
      <c r="BB203" s="497"/>
      <c r="BC203" s="497"/>
      <c r="BD203" s="497"/>
      <c r="BE203" s="497"/>
      <c r="BF203" s="497"/>
      <c r="BG203" s="497"/>
      <c r="BH203" s="497"/>
      <c r="BI203" s="497"/>
      <c r="BJ203" s="497"/>
      <c r="BK203" s="497"/>
      <c r="BL203" s="497"/>
      <c r="BM203" s="497"/>
      <c r="BN203" s="497"/>
      <c r="BO203" s="497"/>
      <c r="BP203" s="497"/>
      <c r="BQ203" s="497"/>
      <c r="BR203" s="497"/>
      <c r="BS203" s="497"/>
      <c r="BT203" s="497"/>
      <c r="BU203" s="497"/>
      <c r="BV203" s="497"/>
      <c r="BW203" s="497"/>
      <c r="BX203" s="497"/>
      <c r="BY203" s="497"/>
      <c r="BZ203" s="497"/>
      <c r="CA203" s="497"/>
      <c r="CB203" s="497"/>
      <c r="CC203" s="497"/>
      <c r="CD203" s="497"/>
      <c r="CE203" s="497"/>
    </row>
    <row r="204" spans="1:83" x14ac:dyDescent="0.25">
      <c r="A204" s="635">
        <v>554</v>
      </c>
      <c r="B204" s="752">
        <v>554</v>
      </c>
      <c r="C204" s="635" t="s">
        <v>673</v>
      </c>
      <c r="D204" s="635" t="s">
        <v>674</v>
      </c>
      <c r="E204" s="497">
        <v>360303</v>
      </c>
      <c r="F204" s="497">
        <v>0</v>
      </c>
      <c r="G204" s="497">
        <v>0</v>
      </c>
      <c r="H204" s="497">
        <v>0</v>
      </c>
      <c r="I204" s="497">
        <v>0</v>
      </c>
      <c r="J204" s="497">
        <v>0</v>
      </c>
      <c r="K204" s="497">
        <v>0</v>
      </c>
      <c r="L204" s="497">
        <v>2276901</v>
      </c>
      <c r="M204" s="497">
        <v>0</v>
      </c>
      <c r="N204" s="497">
        <v>21142899</v>
      </c>
      <c r="O204" s="497">
        <v>0</v>
      </c>
      <c r="P204" s="497">
        <v>1176328</v>
      </c>
      <c r="Q204" s="497">
        <v>0</v>
      </c>
      <c r="R204" s="497">
        <v>0</v>
      </c>
      <c r="S204" s="497">
        <v>0</v>
      </c>
      <c r="T204" s="497">
        <v>306871</v>
      </c>
      <c r="U204" s="497">
        <v>0</v>
      </c>
      <c r="V204" s="497">
        <v>0</v>
      </c>
      <c r="W204" s="497">
        <v>2208564</v>
      </c>
      <c r="X204" s="497">
        <v>0</v>
      </c>
      <c r="Y204" s="497">
        <v>0</v>
      </c>
      <c r="Z204" s="497">
        <v>250855</v>
      </c>
      <c r="AA204" s="497">
        <v>2931832</v>
      </c>
      <c r="AB204" s="497">
        <v>0</v>
      </c>
      <c r="AC204" s="497">
        <v>0</v>
      </c>
      <c r="AD204" s="497">
        <v>168494</v>
      </c>
      <c r="AE204" s="497">
        <v>0</v>
      </c>
      <c r="AF204" s="497">
        <v>0</v>
      </c>
      <c r="AG204" s="497">
        <v>4497181</v>
      </c>
      <c r="AH204" s="497">
        <v>0</v>
      </c>
      <c r="AI204" s="497">
        <v>0</v>
      </c>
      <c r="AJ204" s="497">
        <v>0</v>
      </c>
      <c r="AK204" s="497">
        <v>0</v>
      </c>
      <c r="AL204" s="497">
        <v>0</v>
      </c>
      <c r="AM204" s="497">
        <v>0</v>
      </c>
      <c r="AN204" s="497">
        <v>0</v>
      </c>
      <c r="AO204" s="497">
        <v>62128</v>
      </c>
      <c r="AP204" s="497">
        <v>0</v>
      </c>
      <c r="AQ204" s="497">
        <v>0</v>
      </c>
      <c r="AR204" s="497">
        <v>0</v>
      </c>
      <c r="AS204" s="497">
        <v>0</v>
      </c>
      <c r="AT204" s="497">
        <v>0</v>
      </c>
      <c r="AU204" s="497">
        <v>0</v>
      </c>
      <c r="AV204" s="497">
        <v>27215601</v>
      </c>
      <c r="AW204" s="497">
        <v>17241315</v>
      </c>
      <c r="AX204" s="497">
        <v>0</v>
      </c>
      <c r="AY204" s="497">
        <v>0</v>
      </c>
      <c r="AZ204" s="497">
        <v>0</v>
      </c>
      <c r="BA204" s="497">
        <v>0</v>
      </c>
      <c r="BB204" s="497">
        <v>0</v>
      </c>
      <c r="BC204" s="497">
        <v>0</v>
      </c>
      <c r="BD204" s="497">
        <v>0</v>
      </c>
      <c r="BE204" s="497">
        <v>0</v>
      </c>
      <c r="BF204" s="497">
        <v>0</v>
      </c>
      <c r="BG204" s="497">
        <v>0</v>
      </c>
      <c r="BH204" s="497">
        <v>0</v>
      </c>
      <c r="BI204" s="497">
        <v>1272282</v>
      </c>
      <c r="BJ204" s="497">
        <v>110638</v>
      </c>
      <c r="BK204" s="497">
        <v>0</v>
      </c>
      <c r="BL204" s="497">
        <v>0</v>
      </c>
      <c r="BM204" s="497">
        <v>2341722</v>
      </c>
      <c r="BN204" s="497">
        <v>0</v>
      </c>
      <c r="BO204" s="497">
        <v>0</v>
      </c>
      <c r="BP204" s="497">
        <v>854163</v>
      </c>
      <c r="BQ204" s="497">
        <v>6879382</v>
      </c>
      <c r="BR204" s="497">
        <v>0</v>
      </c>
      <c r="BS204" s="497">
        <v>0</v>
      </c>
      <c r="BT204" s="497">
        <v>0</v>
      </c>
      <c r="BU204" s="497">
        <v>803322</v>
      </c>
      <c r="BV204" s="497">
        <v>0</v>
      </c>
      <c r="BW204" s="497">
        <v>934724</v>
      </c>
      <c r="BX204" s="497">
        <v>0</v>
      </c>
      <c r="BY204" s="497">
        <v>0</v>
      </c>
      <c r="BZ204" s="497">
        <v>1833013</v>
      </c>
      <c r="CA204" s="497">
        <v>0</v>
      </c>
      <c r="CB204" s="497">
        <v>0</v>
      </c>
      <c r="CC204" s="497">
        <v>0</v>
      </c>
      <c r="CD204" s="497">
        <v>0</v>
      </c>
      <c r="CE204" s="497">
        <v>4179769</v>
      </c>
    </row>
    <row r="205" spans="1:83" x14ac:dyDescent="0.25">
      <c r="A205" s="635">
        <v>555</v>
      </c>
      <c r="B205" s="752">
        <v>555</v>
      </c>
      <c r="C205" s="635" t="s">
        <v>675</v>
      </c>
      <c r="D205" s="635" t="s">
        <v>676</v>
      </c>
      <c r="E205" s="497">
        <v>0</v>
      </c>
      <c r="F205" s="497">
        <v>0</v>
      </c>
      <c r="G205" s="497">
        <v>0</v>
      </c>
      <c r="H205" s="497">
        <v>0</v>
      </c>
      <c r="I205" s="497">
        <v>0</v>
      </c>
      <c r="J205" s="497">
        <v>0</v>
      </c>
      <c r="K205" s="497">
        <v>0</v>
      </c>
      <c r="L205" s="497">
        <v>2276901</v>
      </c>
      <c r="M205" s="497">
        <v>0</v>
      </c>
      <c r="N205" s="497">
        <v>10102306</v>
      </c>
      <c r="O205" s="497">
        <v>0</v>
      </c>
      <c r="P205" s="497">
        <v>1154440</v>
      </c>
      <c r="Q205" s="497">
        <v>0</v>
      </c>
      <c r="R205" s="497">
        <v>0</v>
      </c>
      <c r="S205" s="497">
        <v>0</v>
      </c>
      <c r="T205" s="497">
        <v>0</v>
      </c>
      <c r="U205" s="497">
        <v>0</v>
      </c>
      <c r="V205" s="497">
        <v>0</v>
      </c>
      <c r="W205" s="497">
        <v>2208564</v>
      </c>
      <c r="X205" s="497">
        <v>0</v>
      </c>
      <c r="Y205" s="497">
        <v>0</v>
      </c>
      <c r="Z205" s="497">
        <v>0</v>
      </c>
      <c r="AA205" s="497">
        <v>2901832</v>
      </c>
      <c r="AB205" s="497">
        <v>0</v>
      </c>
      <c r="AC205" s="497">
        <v>0</v>
      </c>
      <c r="AD205" s="497">
        <v>0</v>
      </c>
      <c r="AE205" s="497">
        <v>0</v>
      </c>
      <c r="AF205" s="497">
        <v>0</v>
      </c>
      <c r="AG205" s="497">
        <v>2781681</v>
      </c>
      <c r="AH205" s="497">
        <v>0</v>
      </c>
      <c r="AI205" s="497">
        <v>0</v>
      </c>
      <c r="AJ205" s="497">
        <v>0</v>
      </c>
      <c r="AK205" s="497">
        <v>0</v>
      </c>
      <c r="AL205" s="497">
        <v>0</v>
      </c>
      <c r="AM205" s="497">
        <v>0</v>
      </c>
      <c r="AN205" s="497">
        <v>0</v>
      </c>
      <c r="AO205" s="497">
        <v>0</v>
      </c>
      <c r="AP205" s="497">
        <v>0</v>
      </c>
      <c r="AQ205" s="497">
        <v>0</v>
      </c>
      <c r="AR205" s="497">
        <v>0</v>
      </c>
      <c r="AS205" s="497">
        <v>0</v>
      </c>
      <c r="AT205" s="497">
        <v>0</v>
      </c>
      <c r="AU205" s="497">
        <v>0</v>
      </c>
      <c r="AV205" s="497">
        <v>13791426</v>
      </c>
      <c r="AW205" s="497">
        <v>16529440</v>
      </c>
      <c r="AX205" s="497">
        <v>0</v>
      </c>
      <c r="AY205" s="497">
        <v>0</v>
      </c>
      <c r="AZ205" s="497">
        <v>0</v>
      </c>
      <c r="BA205" s="497">
        <v>0</v>
      </c>
      <c r="BB205" s="497">
        <v>0</v>
      </c>
      <c r="BC205" s="497">
        <v>0</v>
      </c>
      <c r="BD205" s="497">
        <v>0</v>
      </c>
      <c r="BE205" s="497">
        <v>0</v>
      </c>
      <c r="BF205" s="497">
        <v>0</v>
      </c>
      <c r="BG205" s="497">
        <v>0</v>
      </c>
      <c r="BH205" s="497">
        <v>0</v>
      </c>
      <c r="BI205" s="497">
        <v>1145582</v>
      </c>
      <c r="BJ205" s="497">
        <v>0</v>
      </c>
      <c r="BK205" s="497">
        <v>0</v>
      </c>
      <c r="BL205" s="497">
        <v>0</v>
      </c>
      <c r="BM205" s="497">
        <v>1420597</v>
      </c>
      <c r="BN205" s="497">
        <v>0</v>
      </c>
      <c r="BO205" s="497">
        <v>0</v>
      </c>
      <c r="BP205" s="497">
        <v>414133</v>
      </c>
      <c r="BQ205" s="497">
        <v>2165069</v>
      </c>
      <c r="BR205" s="497">
        <v>0</v>
      </c>
      <c r="BS205" s="497">
        <v>0</v>
      </c>
      <c r="BT205" s="497">
        <v>0</v>
      </c>
      <c r="BU205" s="497">
        <v>786287</v>
      </c>
      <c r="BV205" s="497">
        <v>0</v>
      </c>
      <c r="BW205" s="497">
        <v>934724</v>
      </c>
      <c r="BX205" s="497">
        <v>0</v>
      </c>
      <c r="BY205" s="497">
        <v>0</v>
      </c>
      <c r="BZ205" s="497">
        <v>1805338</v>
      </c>
      <c r="CA205" s="497">
        <v>0</v>
      </c>
      <c r="CB205" s="497">
        <v>0</v>
      </c>
      <c r="CC205" s="497">
        <v>0</v>
      </c>
      <c r="CD205" s="497">
        <v>0</v>
      </c>
      <c r="CE205" s="497">
        <v>3938138</v>
      </c>
    </row>
    <row r="206" spans="1:83" x14ac:dyDescent="0.25">
      <c r="A206" s="635">
        <v>556</v>
      </c>
      <c r="B206" s="752">
        <v>556</v>
      </c>
      <c r="C206" s="635" t="s">
        <v>677</v>
      </c>
      <c r="D206" s="635" t="s">
        <v>678</v>
      </c>
      <c r="E206" s="497">
        <v>2069551</v>
      </c>
      <c r="F206" s="497">
        <v>0</v>
      </c>
      <c r="G206" s="497">
        <v>0</v>
      </c>
      <c r="H206" s="497">
        <v>0</v>
      </c>
      <c r="I206" s="497">
        <v>0</v>
      </c>
      <c r="J206" s="497">
        <v>0</v>
      </c>
      <c r="K206" s="497">
        <v>0</v>
      </c>
      <c r="L206" s="497">
        <v>7800</v>
      </c>
      <c r="M206" s="497">
        <v>0</v>
      </c>
      <c r="N206" s="497">
        <v>9818353</v>
      </c>
      <c r="O206" s="497">
        <v>0</v>
      </c>
      <c r="P206" s="497">
        <v>236480</v>
      </c>
      <c r="Q206" s="497">
        <v>635963</v>
      </c>
      <c r="R206" s="497">
        <v>0</v>
      </c>
      <c r="S206" s="497">
        <v>0</v>
      </c>
      <c r="T206" s="497">
        <v>745306</v>
      </c>
      <c r="U206" s="497">
        <v>0</v>
      </c>
      <c r="V206" s="497">
        <v>0</v>
      </c>
      <c r="W206" s="497">
        <v>107217</v>
      </c>
      <c r="X206" s="497">
        <v>0</v>
      </c>
      <c r="Y206" s="497">
        <v>0</v>
      </c>
      <c r="Z206" s="497">
        <v>547750</v>
      </c>
      <c r="AA206" s="497">
        <v>1726377</v>
      </c>
      <c r="AB206" s="497">
        <v>0</v>
      </c>
      <c r="AC206" s="497">
        <v>0</v>
      </c>
      <c r="AD206" s="497">
        <v>1484654</v>
      </c>
      <c r="AE206" s="497">
        <v>0</v>
      </c>
      <c r="AF206" s="497">
        <v>0</v>
      </c>
      <c r="AG206" s="497">
        <v>4052635</v>
      </c>
      <c r="AH206" s="497">
        <v>0</v>
      </c>
      <c r="AI206" s="497">
        <v>0</v>
      </c>
      <c r="AJ206" s="497">
        <v>0</v>
      </c>
      <c r="AK206" s="497">
        <v>0</v>
      </c>
      <c r="AL206" s="497">
        <v>0</v>
      </c>
      <c r="AM206" s="497">
        <v>0</v>
      </c>
      <c r="AN206" s="497">
        <v>0</v>
      </c>
      <c r="AO206" s="497">
        <v>518699</v>
      </c>
      <c r="AP206" s="497">
        <v>0</v>
      </c>
      <c r="AQ206" s="497">
        <v>825420</v>
      </c>
      <c r="AR206" s="497">
        <v>0</v>
      </c>
      <c r="AS206" s="497">
        <v>0</v>
      </c>
      <c r="AT206" s="497">
        <v>0</v>
      </c>
      <c r="AU206" s="497">
        <v>0</v>
      </c>
      <c r="AV206" s="497">
        <v>10411593</v>
      </c>
      <c r="AW206" s="497">
        <v>3033124</v>
      </c>
      <c r="AX206" s="497">
        <v>0</v>
      </c>
      <c r="AY206" s="497">
        <v>0</v>
      </c>
      <c r="AZ206" s="497">
        <v>0</v>
      </c>
      <c r="BA206" s="497">
        <v>0</v>
      </c>
      <c r="BB206" s="497">
        <v>0</v>
      </c>
      <c r="BC206" s="497">
        <v>0</v>
      </c>
      <c r="BD206" s="497">
        <v>0</v>
      </c>
      <c r="BE206" s="497">
        <v>0</v>
      </c>
      <c r="BF206" s="497">
        <v>0</v>
      </c>
      <c r="BG206" s="497">
        <v>0</v>
      </c>
      <c r="BH206" s="497">
        <v>0</v>
      </c>
      <c r="BI206" s="497">
        <v>1980855</v>
      </c>
      <c r="BJ206" s="497">
        <v>3099134</v>
      </c>
      <c r="BK206" s="497">
        <v>0</v>
      </c>
      <c r="BL206" s="497">
        <v>0</v>
      </c>
      <c r="BM206" s="497">
        <v>748167</v>
      </c>
      <c r="BN206" s="497">
        <v>0</v>
      </c>
      <c r="BO206" s="497">
        <v>0</v>
      </c>
      <c r="BP206" s="497">
        <v>2314035</v>
      </c>
      <c r="BQ206" s="497">
        <v>2992976</v>
      </c>
      <c r="BR206" s="497">
        <v>0</v>
      </c>
      <c r="BS206" s="497">
        <v>0</v>
      </c>
      <c r="BT206" s="497">
        <v>0</v>
      </c>
      <c r="BU206" s="497">
        <v>183996</v>
      </c>
      <c r="BV206" s="497">
        <v>0</v>
      </c>
      <c r="BW206" s="497">
        <v>34002</v>
      </c>
      <c r="BX206" s="497">
        <v>0</v>
      </c>
      <c r="BY206" s="497">
        <v>0</v>
      </c>
      <c r="BZ206" s="497">
        <v>985235</v>
      </c>
      <c r="CA206" s="497">
        <v>0</v>
      </c>
      <c r="CB206" s="497">
        <v>0</v>
      </c>
      <c r="CC206" s="497">
        <v>0</v>
      </c>
      <c r="CD206" s="497">
        <v>0</v>
      </c>
      <c r="CE206" s="497">
        <v>1836561</v>
      </c>
    </row>
    <row r="207" spans="1:83" x14ac:dyDescent="0.25">
      <c r="A207" s="635">
        <v>557</v>
      </c>
      <c r="B207" s="752">
        <v>557</v>
      </c>
      <c r="C207" s="635" t="s">
        <v>679</v>
      </c>
      <c r="D207" s="635" t="s">
        <v>680</v>
      </c>
      <c r="E207" s="497">
        <v>1252358</v>
      </c>
      <c r="F207" s="497">
        <v>0</v>
      </c>
      <c r="G207" s="497">
        <v>0</v>
      </c>
      <c r="H207" s="497">
        <v>0</v>
      </c>
      <c r="I207" s="497">
        <v>0</v>
      </c>
      <c r="J207" s="497">
        <v>0</v>
      </c>
      <c r="K207" s="497">
        <v>0</v>
      </c>
      <c r="L207" s="497">
        <v>0</v>
      </c>
      <c r="M207" s="497">
        <v>0</v>
      </c>
      <c r="N207" s="497">
        <v>5249417</v>
      </c>
      <c r="O207" s="497">
        <v>0</v>
      </c>
      <c r="P207" s="497">
        <v>0</v>
      </c>
      <c r="Q207" s="497">
        <v>625413</v>
      </c>
      <c r="R207" s="497">
        <v>0</v>
      </c>
      <c r="S207" s="497">
        <v>0</v>
      </c>
      <c r="T207" s="497">
        <v>433775</v>
      </c>
      <c r="U207" s="497">
        <v>0</v>
      </c>
      <c r="V207" s="497">
        <v>0</v>
      </c>
      <c r="W207" s="497">
        <v>0</v>
      </c>
      <c r="X207" s="497">
        <v>0</v>
      </c>
      <c r="Y207" s="497">
        <v>0</v>
      </c>
      <c r="Z207" s="497">
        <v>327194</v>
      </c>
      <c r="AA207" s="497">
        <v>1726377</v>
      </c>
      <c r="AB207" s="497">
        <v>0</v>
      </c>
      <c r="AC207" s="497">
        <v>0</v>
      </c>
      <c r="AD207" s="497">
        <v>1484654</v>
      </c>
      <c r="AE207" s="497">
        <v>0</v>
      </c>
      <c r="AF207" s="497">
        <v>0</v>
      </c>
      <c r="AG207" s="497">
        <v>1856363</v>
      </c>
      <c r="AH207" s="497">
        <v>0</v>
      </c>
      <c r="AI207" s="497">
        <v>0</v>
      </c>
      <c r="AJ207" s="497">
        <v>0</v>
      </c>
      <c r="AK207" s="497">
        <v>0</v>
      </c>
      <c r="AL207" s="497">
        <v>0</v>
      </c>
      <c r="AM207" s="497">
        <v>0</v>
      </c>
      <c r="AN207" s="497">
        <v>0</v>
      </c>
      <c r="AO207" s="497">
        <v>393558</v>
      </c>
      <c r="AP207" s="497">
        <v>0</v>
      </c>
      <c r="AQ207" s="497">
        <v>427569</v>
      </c>
      <c r="AR207" s="497">
        <v>0</v>
      </c>
      <c r="AS207" s="497">
        <v>0</v>
      </c>
      <c r="AT207" s="497">
        <v>0</v>
      </c>
      <c r="AU207" s="497">
        <v>0</v>
      </c>
      <c r="AV207" s="497">
        <v>7415583</v>
      </c>
      <c r="AW207" s="497">
        <v>2500000</v>
      </c>
      <c r="AX207" s="497">
        <v>0</v>
      </c>
      <c r="AY207" s="497">
        <v>0</v>
      </c>
      <c r="AZ207" s="497">
        <v>0</v>
      </c>
      <c r="BA207" s="497">
        <v>0</v>
      </c>
      <c r="BB207" s="497">
        <v>0</v>
      </c>
      <c r="BC207" s="497">
        <v>0</v>
      </c>
      <c r="BD207" s="497">
        <v>0</v>
      </c>
      <c r="BE207" s="497">
        <v>0</v>
      </c>
      <c r="BF207" s="497">
        <v>0</v>
      </c>
      <c r="BG207" s="497">
        <v>0</v>
      </c>
      <c r="BH207" s="497">
        <v>0</v>
      </c>
      <c r="BI207" s="497">
        <v>1323210</v>
      </c>
      <c r="BJ207" s="497">
        <v>3010796</v>
      </c>
      <c r="BK207" s="497">
        <v>0</v>
      </c>
      <c r="BL207" s="497">
        <v>0</v>
      </c>
      <c r="BM207" s="497">
        <v>494186</v>
      </c>
      <c r="BN207" s="497">
        <v>0</v>
      </c>
      <c r="BO207" s="497">
        <v>0</v>
      </c>
      <c r="BP207" s="497">
        <v>1895441</v>
      </c>
      <c r="BQ207" s="497">
        <v>2738106</v>
      </c>
      <c r="BR207" s="497">
        <v>0</v>
      </c>
      <c r="BS207" s="497">
        <v>0</v>
      </c>
      <c r="BT207" s="497">
        <v>0</v>
      </c>
      <c r="BU207" s="497">
        <v>0</v>
      </c>
      <c r="BV207" s="497">
        <v>0</v>
      </c>
      <c r="BW207" s="497">
        <v>0</v>
      </c>
      <c r="BX207" s="497">
        <v>0</v>
      </c>
      <c r="BY207" s="497">
        <v>0</v>
      </c>
      <c r="BZ207" s="497">
        <v>965235</v>
      </c>
      <c r="CA207" s="497">
        <v>0</v>
      </c>
      <c r="CB207" s="497">
        <v>0</v>
      </c>
      <c r="CC207" s="497">
        <v>0</v>
      </c>
      <c r="CD207" s="497">
        <v>0</v>
      </c>
      <c r="CE207" s="497">
        <v>1755148</v>
      </c>
    </row>
    <row r="208" spans="1:83" x14ac:dyDescent="0.25">
      <c r="B208" s="635">
        <v>558</v>
      </c>
      <c r="D208" s="497" t="s">
        <v>681</v>
      </c>
      <c r="E208" s="497"/>
      <c r="F208" s="497"/>
      <c r="G208" s="497"/>
      <c r="H208" s="497"/>
      <c r="I208" s="497"/>
      <c r="J208" s="497"/>
      <c r="K208" s="497"/>
      <c r="L208" s="497"/>
      <c r="M208" s="497"/>
      <c r="N208" s="497"/>
      <c r="O208" s="497"/>
      <c r="P208" s="497"/>
      <c r="Q208" s="497"/>
      <c r="R208" s="497"/>
      <c r="S208" s="497"/>
      <c r="T208" s="497"/>
      <c r="U208" s="497"/>
      <c r="V208" s="497"/>
      <c r="W208" s="497"/>
      <c r="X208" s="497"/>
      <c r="Y208" s="497"/>
      <c r="Z208" s="497"/>
      <c r="AA208" s="497"/>
      <c r="AB208" s="497"/>
      <c r="AC208" s="497"/>
      <c r="AD208" s="497"/>
      <c r="AE208" s="497"/>
      <c r="AF208" s="497"/>
      <c r="AG208" s="497"/>
      <c r="AH208" s="497"/>
      <c r="AI208" s="497"/>
      <c r="AJ208" s="497"/>
      <c r="AK208" s="497"/>
      <c r="AL208" s="497"/>
      <c r="AM208" s="497"/>
      <c r="AN208" s="497"/>
      <c r="AO208" s="497"/>
      <c r="AP208" s="497"/>
      <c r="AQ208" s="497"/>
      <c r="AR208" s="497"/>
      <c r="AS208" s="497"/>
      <c r="AT208" s="497"/>
      <c r="AU208" s="497"/>
      <c r="AV208" s="497"/>
      <c r="AW208" s="497"/>
      <c r="AX208" s="497"/>
      <c r="AY208" s="497"/>
      <c r="AZ208" s="497"/>
      <c r="BA208" s="497"/>
      <c r="BB208" s="497"/>
      <c r="BC208" s="497"/>
      <c r="BD208" s="497"/>
      <c r="BE208" s="497"/>
      <c r="BF208" s="497"/>
      <c r="BG208" s="497"/>
      <c r="BH208" s="497"/>
      <c r="BI208" s="497"/>
      <c r="BJ208" s="497"/>
      <c r="BK208" s="497"/>
      <c r="BL208" s="497"/>
      <c r="BM208" s="497"/>
      <c r="BN208" s="497"/>
      <c r="BO208" s="497"/>
      <c r="BP208" s="497"/>
      <c r="BQ208" s="497"/>
      <c r="BR208" s="497"/>
      <c r="BS208" s="497"/>
      <c r="BT208" s="497"/>
      <c r="BU208" s="497"/>
      <c r="BV208" s="497"/>
      <c r="BW208" s="497"/>
      <c r="BX208" s="497"/>
      <c r="BY208" s="497"/>
      <c r="BZ208" s="497"/>
      <c r="CA208" s="497"/>
      <c r="CB208" s="497"/>
      <c r="CC208" s="497"/>
      <c r="CD208" s="497"/>
      <c r="CE208" s="497"/>
    </row>
    <row r="209" spans="2:83" x14ac:dyDescent="0.25">
      <c r="B209" s="635">
        <v>559</v>
      </c>
      <c r="D209" s="497" t="s">
        <v>682</v>
      </c>
      <c r="E209" s="497"/>
      <c r="F209" s="497"/>
      <c r="G209" s="497"/>
      <c r="H209" s="497"/>
      <c r="I209" s="497"/>
      <c r="J209" s="497"/>
      <c r="K209" s="497"/>
      <c r="L209" s="497"/>
      <c r="M209" s="497"/>
      <c r="N209" s="497"/>
      <c r="O209" s="497"/>
      <c r="P209" s="497"/>
      <c r="Q209" s="497"/>
      <c r="R209" s="497"/>
      <c r="S209" s="497"/>
      <c r="T209" s="497"/>
      <c r="U209" s="497"/>
      <c r="V209" s="497"/>
      <c r="W209" s="497"/>
      <c r="X209" s="497"/>
      <c r="Y209" s="497"/>
      <c r="Z209" s="497"/>
      <c r="AA209" s="497"/>
      <c r="AB209" s="497"/>
      <c r="AC209" s="497"/>
      <c r="AD209" s="497"/>
      <c r="AE209" s="497"/>
      <c r="AF209" s="497"/>
      <c r="AG209" s="497"/>
      <c r="AH209" s="497"/>
      <c r="AI209" s="497"/>
      <c r="AJ209" s="497"/>
      <c r="AK209" s="497"/>
      <c r="AL209" s="497"/>
      <c r="AM209" s="497"/>
      <c r="AN209" s="497"/>
      <c r="AO209" s="497"/>
      <c r="AP209" s="497"/>
      <c r="AQ209" s="497"/>
      <c r="AR209" s="497"/>
      <c r="AS209" s="497"/>
      <c r="AT209" s="497"/>
      <c r="AU209" s="497"/>
      <c r="AV209" s="497"/>
      <c r="AW209" s="497"/>
      <c r="AX209" s="497"/>
      <c r="AY209" s="497"/>
      <c r="AZ209" s="497"/>
      <c r="BA209" s="497"/>
      <c r="BB209" s="497"/>
      <c r="BC209" s="497"/>
      <c r="BD209" s="497"/>
      <c r="BE209" s="497"/>
      <c r="BF209" s="497"/>
      <c r="BG209" s="497"/>
      <c r="BH209" s="497"/>
      <c r="BI209" s="497"/>
      <c r="BJ209" s="497"/>
      <c r="BK209" s="497"/>
      <c r="BL209" s="497"/>
      <c r="BM209" s="497"/>
      <c r="BN209" s="497"/>
      <c r="BO209" s="497"/>
      <c r="BP209" s="497"/>
      <c r="BQ209" s="497"/>
      <c r="BR209" s="497"/>
      <c r="BS209" s="497"/>
      <c r="BT209" s="497"/>
      <c r="BU209" s="497"/>
      <c r="BV209" s="497"/>
      <c r="BW209" s="497"/>
      <c r="BX209" s="497"/>
      <c r="BY209" s="497"/>
      <c r="BZ209" s="497"/>
      <c r="CA209" s="497"/>
      <c r="CB209" s="497"/>
      <c r="CC209" s="497"/>
      <c r="CD209" s="497"/>
      <c r="CE209" s="497"/>
    </row>
    <row r="210" spans="2:83" x14ac:dyDescent="0.25">
      <c r="B210" s="635">
        <v>560</v>
      </c>
      <c r="D210" s="497" t="s">
        <v>683</v>
      </c>
      <c r="E210" s="497"/>
      <c r="F210" s="497"/>
      <c r="G210" s="497"/>
      <c r="H210" s="497"/>
      <c r="I210" s="497"/>
      <c r="J210" s="497"/>
      <c r="K210" s="497"/>
      <c r="L210" s="497"/>
      <c r="M210" s="497"/>
      <c r="N210" s="497"/>
      <c r="O210" s="497"/>
      <c r="P210" s="497"/>
      <c r="Q210" s="497"/>
      <c r="R210" s="497"/>
      <c r="S210" s="497"/>
      <c r="T210" s="497"/>
      <c r="U210" s="497"/>
      <c r="V210" s="497"/>
      <c r="W210" s="497"/>
      <c r="X210" s="497"/>
      <c r="Y210" s="497"/>
      <c r="Z210" s="497"/>
      <c r="AA210" s="497"/>
      <c r="AB210" s="497"/>
      <c r="AC210" s="497"/>
      <c r="AD210" s="497"/>
      <c r="AE210" s="497"/>
      <c r="AF210" s="497"/>
      <c r="AG210" s="497"/>
      <c r="AH210" s="497"/>
      <c r="AI210" s="497"/>
      <c r="AJ210" s="497"/>
      <c r="AK210" s="497"/>
      <c r="AL210" s="497"/>
      <c r="AM210" s="497"/>
      <c r="AN210" s="497"/>
      <c r="AO210" s="497"/>
      <c r="AP210" s="497"/>
      <c r="AQ210" s="497"/>
      <c r="AR210" s="497"/>
      <c r="AS210" s="497"/>
      <c r="AT210" s="497"/>
      <c r="AU210" s="497"/>
      <c r="AV210" s="497"/>
      <c r="AW210" s="497"/>
      <c r="AX210" s="497"/>
      <c r="AY210" s="497"/>
      <c r="AZ210" s="497"/>
      <c r="BA210" s="497"/>
      <c r="BB210" s="497"/>
      <c r="BC210" s="497"/>
      <c r="BD210" s="497"/>
      <c r="BE210" s="497"/>
      <c r="BF210" s="497"/>
      <c r="BG210" s="497"/>
      <c r="BH210" s="497"/>
      <c r="BI210" s="497"/>
      <c r="BJ210" s="497"/>
      <c r="BK210" s="497"/>
      <c r="BL210" s="497"/>
      <c r="BM210" s="497"/>
      <c r="BN210" s="497"/>
      <c r="BO210" s="497"/>
      <c r="BP210" s="497"/>
      <c r="BQ210" s="497"/>
      <c r="BR210" s="497"/>
      <c r="BS210" s="497"/>
      <c r="BT210" s="497"/>
      <c r="BU210" s="497"/>
      <c r="BV210" s="497"/>
      <c r="BW210" s="497"/>
      <c r="BX210" s="497"/>
      <c r="BY210" s="497"/>
      <c r="BZ210" s="497"/>
      <c r="CA210" s="497"/>
      <c r="CB210" s="497"/>
      <c r="CC210" s="497"/>
      <c r="CD210" s="497"/>
      <c r="CE210" s="497"/>
    </row>
    <row r="211" spans="2:83" x14ac:dyDescent="0.25">
      <c r="B211" s="635">
        <v>561</v>
      </c>
      <c r="D211" s="497" t="s">
        <v>684</v>
      </c>
      <c r="E211" s="497"/>
      <c r="F211" s="497"/>
      <c r="G211" s="497"/>
      <c r="H211" s="497"/>
      <c r="I211" s="497"/>
      <c r="J211" s="497"/>
      <c r="K211" s="497"/>
      <c r="L211" s="497"/>
      <c r="M211" s="497"/>
      <c r="N211" s="497"/>
      <c r="O211" s="497"/>
      <c r="P211" s="497"/>
      <c r="Q211" s="497"/>
      <c r="R211" s="497"/>
      <c r="S211" s="497"/>
      <c r="T211" s="497"/>
      <c r="U211" s="497"/>
      <c r="V211" s="497"/>
      <c r="W211" s="497"/>
      <c r="X211" s="497"/>
      <c r="Y211" s="497"/>
      <c r="Z211" s="497"/>
      <c r="AA211" s="497"/>
      <c r="AB211" s="497"/>
      <c r="AC211" s="497"/>
      <c r="AD211" s="497"/>
      <c r="AE211" s="497"/>
      <c r="AF211" s="497"/>
      <c r="AG211" s="497"/>
      <c r="AH211" s="497"/>
      <c r="AI211" s="497"/>
      <c r="AJ211" s="497"/>
      <c r="AK211" s="497"/>
      <c r="AL211" s="497"/>
      <c r="AM211" s="497"/>
      <c r="AN211" s="497"/>
      <c r="AO211" s="497"/>
      <c r="AP211" s="497"/>
      <c r="AQ211" s="497"/>
      <c r="AR211" s="497"/>
      <c r="AS211" s="497"/>
      <c r="AT211" s="497"/>
      <c r="AU211" s="497"/>
      <c r="AV211" s="497"/>
      <c r="AW211" s="497"/>
      <c r="AX211" s="497"/>
      <c r="AY211" s="497"/>
      <c r="AZ211" s="497"/>
      <c r="BA211" s="497"/>
      <c r="BB211" s="497"/>
      <c r="BC211" s="497"/>
      <c r="BD211" s="497"/>
      <c r="BE211" s="497"/>
      <c r="BF211" s="497"/>
      <c r="BG211" s="497"/>
      <c r="BH211" s="497"/>
      <c r="BI211" s="497"/>
      <c r="BJ211" s="497"/>
      <c r="BK211" s="497"/>
      <c r="BL211" s="497"/>
      <c r="BM211" s="497"/>
      <c r="BN211" s="497"/>
      <c r="BO211" s="497"/>
      <c r="BP211" s="497"/>
      <c r="BQ211" s="497"/>
      <c r="BR211" s="497"/>
      <c r="BS211" s="497"/>
      <c r="BT211" s="497"/>
      <c r="BU211" s="497"/>
      <c r="BV211" s="497"/>
      <c r="BW211" s="497"/>
      <c r="BX211" s="497"/>
      <c r="BY211" s="497"/>
      <c r="BZ211" s="497"/>
      <c r="CA211" s="497"/>
      <c r="CB211" s="497"/>
      <c r="CC211" s="497"/>
      <c r="CD211" s="497"/>
      <c r="CE211" s="497"/>
    </row>
    <row r="212" spans="2:83" x14ac:dyDescent="0.25">
      <c r="B212" s="635">
        <v>562</v>
      </c>
      <c r="D212" s="497" t="s">
        <v>685</v>
      </c>
      <c r="E212" s="497"/>
      <c r="F212" s="497"/>
      <c r="G212" s="497"/>
      <c r="H212" s="497"/>
      <c r="I212" s="497"/>
      <c r="J212" s="497"/>
      <c r="K212" s="497"/>
      <c r="L212" s="497"/>
      <c r="M212" s="497"/>
      <c r="N212" s="497"/>
      <c r="O212" s="497"/>
      <c r="P212" s="497"/>
      <c r="Q212" s="497"/>
      <c r="R212" s="497"/>
      <c r="S212" s="497"/>
      <c r="T212" s="497"/>
      <c r="U212" s="497"/>
      <c r="V212" s="497"/>
      <c r="W212" s="497"/>
      <c r="X212" s="497"/>
      <c r="Y212" s="497"/>
      <c r="Z212" s="497"/>
      <c r="AA212" s="497"/>
      <c r="AB212" s="497"/>
      <c r="AC212" s="497"/>
      <c r="AD212" s="497"/>
      <c r="AE212" s="497"/>
      <c r="AF212" s="497"/>
      <c r="AG212" s="497"/>
      <c r="AH212" s="497"/>
      <c r="AI212" s="497"/>
      <c r="AJ212" s="497"/>
      <c r="AK212" s="497"/>
      <c r="AL212" s="497"/>
      <c r="AM212" s="497"/>
      <c r="AN212" s="497"/>
      <c r="AO212" s="497"/>
      <c r="AP212" s="497"/>
      <c r="AQ212" s="497"/>
      <c r="AR212" s="497"/>
      <c r="AS212" s="497"/>
      <c r="AT212" s="497"/>
      <c r="AU212" s="497"/>
      <c r="AV212" s="497"/>
      <c r="AW212" s="497"/>
      <c r="AX212" s="497"/>
      <c r="AY212" s="497"/>
      <c r="AZ212" s="497"/>
      <c r="BA212" s="497"/>
      <c r="BB212" s="497"/>
      <c r="BC212" s="497"/>
      <c r="BD212" s="497"/>
      <c r="BE212" s="497"/>
      <c r="BF212" s="497"/>
      <c r="BG212" s="497"/>
      <c r="BH212" s="497"/>
      <c r="BI212" s="497"/>
      <c r="BJ212" s="497"/>
      <c r="BK212" s="497"/>
      <c r="BL212" s="497"/>
      <c r="BM212" s="497"/>
      <c r="BN212" s="497"/>
      <c r="BO212" s="497"/>
      <c r="BP212" s="497"/>
      <c r="BQ212" s="497"/>
      <c r="BR212" s="497"/>
      <c r="BS212" s="497"/>
      <c r="BT212" s="497"/>
      <c r="BU212" s="497"/>
      <c r="BV212" s="497"/>
      <c r="BW212" s="497"/>
      <c r="BX212" s="497"/>
      <c r="BY212" s="497"/>
      <c r="BZ212" s="497"/>
      <c r="CA212" s="497"/>
      <c r="CB212" s="497"/>
      <c r="CC212" s="497"/>
      <c r="CD212" s="497"/>
      <c r="CE212" s="497"/>
    </row>
    <row r="213" spans="2:83" x14ac:dyDescent="0.25">
      <c r="B213" s="635">
        <v>563</v>
      </c>
      <c r="D213" s="497" t="s">
        <v>686</v>
      </c>
      <c r="E213" s="497"/>
      <c r="F213" s="497"/>
      <c r="G213" s="497"/>
      <c r="H213" s="497"/>
      <c r="I213" s="497"/>
      <c r="J213" s="497"/>
      <c r="K213" s="497"/>
      <c r="L213" s="497"/>
      <c r="M213" s="497"/>
      <c r="N213" s="497"/>
      <c r="O213" s="497"/>
      <c r="P213" s="497"/>
      <c r="Q213" s="497"/>
      <c r="R213" s="497"/>
      <c r="S213" s="497"/>
      <c r="T213" s="497"/>
      <c r="U213" s="497"/>
      <c r="V213" s="497"/>
      <c r="W213" s="497"/>
      <c r="X213" s="497"/>
      <c r="Y213" s="497"/>
      <c r="Z213" s="497"/>
      <c r="AA213" s="497"/>
      <c r="AB213" s="497"/>
      <c r="AC213" s="497"/>
      <c r="AD213" s="497"/>
      <c r="AE213" s="497"/>
      <c r="AF213" s="497"/>
      <c r="AG213" s="497"/>
      <c r="AH213" s="497"/>
      <c r="AI213" s="497"/>
      <c r="AJ213" s="497"/>
      <c r="AK213" s="497"/>
      <c r="AL213" s="497"/>
      <c r="AM213" s="497"/>
      <c r="AN213" s="497"/>
      <c r="AO213" s="497"/>
      <c r="AP213" s="497"/>
      <c r="AQ213" s="497"/>
      <c r="AR213" s="497"/>
      <c r="AS213" s="497"/>
      <c r="AT213" s="497"/>
      <c r="AU213" s="497"/>
      <c r="AV213" s="497"/>
      <c r="AW213" s="497"/>
      <c r="AX213" s="497"/>
      <c r="AY213" s="497"/>
      <c r="AZ213" s="497"/>
      <c r="BA213" s="497"/>
      <c r="BB213" s="497"/>
      <c r="BC213" s="497"/>
      <c r="BD213" s="497"/>
      <c r="BE213" s="497"/>
      <c r="BF213" s="497"/>
      <c r="BG213" s="497"/>
      <c r="BH213" s="497"/>
      <c r="BI213" s="497"/>
      <c r="BJ213" s="497"/>
      <c r="BK213" s="497"/>
      <c r="BL213" s="497"/>
      <c r="BM213" s="497"/>
      <c r="BN213" s="497"/>
      <c r="BO213" s="497"/>
      <c r="BP213" s="497"/>
      <c r="BQ213" s="497"/>
      <c r="BR213" s="497"/>
      <c r="BS213" s="497"/>
      <c r="BT213" s="497"/>
      <c r="BU213" s="497"/>
      <c r="BV213" s="497"/>
      <c r="BW213" s="497"/>
      <c r="BX213" s="497"/>
      <c r="BY213" s="497"/>
      <c r="BZ213" s="497"/>
      <c r="CA213" s="497"/>
      <c r="CB213" s="497"/>
      <c r="CC213" s="497"/>
      <c r="CD213" s="497"/>
      <c r="CE213" s="497"/>
    </row>
    <row r="214" spans="2:83" x14ac:dyDescent="0.25">
      <c r="B214" s="635">
        <v>564</v>
      </c>
      <c r="D214" s="497" t="s">
        <v>687</v>
      </c>
      <c r="E214" s="497"/>
      <c r="F214" s="497"/>
      <c r="G214" s="497"/>
      <c r="H214" s="497"/>
      <c r="I214" s="497"/>
      <c r="J214" s="497"/>
      <c r="K214" s="497"/>
      <c r="L214" s="497"/>
      <c r="M214" s="497"/>
      <c r="N214" s="497"/>
      <c r="O214" s="497"/>
      <c r="P214" s="497"/>
      <c r="Q214" s="497"/>
      <c r="R214" s="497"/>
      <c r="S214" s="497"/>
      <c r="T214" s="497"/>
      <c r="U214" s="497"/>
      <c r="V214" s="497"/>
      <c r="W214" s="497"/>
      <c r="X214" s="497"/>
      <c r="Y214" s="497"/>
      <c r="Z214" s="497"/>
      <c r="AA214" s="497"/>
      <c r="AB214" s="497"/>
      <c r="AC214" s="497"/>
      <c r="AD214" s="497"/>
      <c r="AE214" s="497"/>
      <c r="AF214" s="497"/>
      <c r="AG214" s="497"/>
      <c r="AH214" s="497"/>
      <c r="AI214" s="497"/>
      <c r="AJ214" s="497"/>
      <c r="AK214" s="497"/>
      <c r="AL214" s="497"/>
      <c r="AM214" s="497"/>
      <c r="AN214" s="497"/>
      <c r="AO214" s="497"/>
      <c r="AP214" s="497"/>
      <c r="AQ214" s="497"/>
      <c r="AR214" s="497"/>
      <c r="AS214" s="497"/>
      <c r="AT214" s="497"/>
      <c r="AU214" s="497"/>
      <c r="AV214" s="497"/>
      <c r="AW214" s="497"/>
      <c r="AX214" s="497"/>
      <c r="AY214" s="497"/>
      <c r="AZ214" s="497"/>
      <c r="BA214" s="497"/>
      <c r="BB214" s="497"/>
      <c r="BC214" s="497"/>
      <c r="BD214" s="497"/>
      <c r="BE214" s="497"/>
      <c r="BF214" s="497"/>
      <c r="BG214" s="497"/>
      <c r="BH214" s="497"/>
      <c r="BI214" s="497"/>
      <c r="BJ214" s="497"/>
      <c r="BK214" s="497"/>
      <c r="BL214" s="497"/>
      <c r="BM214" s="497"/>
      <c r="BN214" s="497"/>
      <c r="BO214" s="497"/>
      <c r="BP214" s="497"/>
      <c r="BQ214" s="497"/>
      <c r="BR214" s="497"/>
      <c r="BS214" s="497"/>
      <c r="BT214" s="497"/>
      <c r="BU214" s="497"/>
      <c r="BV214" s="497"/>
      <c r="BW214" s="497"/>
      <c r="BX214" s="497"/>
      <c r="BY214" s="497"/>
      <c r="BZ214" s="497"/>
      <c r="CA214" s="497"/>
      <c r="CB214" s="497"/>
      <c r="CC214" s="497"/>
      <c r="CD214" s="497"/>
      <c r="CE214" s="497"/>
    </row>
    <row r="215" spans="2:83" x14ac:dyDescent="0.25">
      <c r="B215" s="635">
        <v>565</v>
      </c>
      <c r="D215" s="497" t="s">
        <v>688</v>
      </c>
      <c r="E215" s="497"/>
      <c r="F215" s="497"/>
      <c r="G215" s="497"/>
      <c r="H215" s="497"/>
      <c r="I215" s="497"/>
      <c r="J215" s="497"/>
      <c r="K215" s="497"/>
      <c r="L215" s="497"/>
      <c r="M215" s="497"/>
      <c r="N215" s="497"/>
      <c r="O215" s="497"/>
      <c r="P215" s="497"/>
      <c r="Q215" s="497"/>
      <c r="R215" s="497"/>
      <c r="S215" s="497"/>
      <c r="T215" s="497"/>
      <c r="U215" s="497"/>
      <c r="V215" s="497"/>
      <c r="W215" s="497"/>
      <c r="X215" s="497"/>
      <c r="Y215" s="497"/>
      <c r="Z215" s="497"/>
      <c r="AA215" s="497"/>
      <c r="AB215" s="497"/>
      <c r="AC215" s="497"/>
      <c r="AD215" s="497"/>
      <c r="AE215" s="497"/>
      <c r="AF215" s="497"/>
      <c r="AG215" s="497"/>
      <c r="AH215" s="497"/>
      <c r="AI215" s="497"/>
      <c r="AJ215" s="497"/>
      <c r="AK215" s="497"/>
      <c r="AL215" s="497"/>
      <c r="AM215" s="497"/>
      <c r="AN215" s="497"/>
      <c r="AO215" s="497"/>
      <c r="AP215" s="497"/>
      <c r="AQ215" s="497"/>
      <c r="AR215" s="497"/>
      <c r="AS215" s="497"/>
      <c r="AT215" s="497"/>
      <c r="AU215" s="497"/>
      <c r="AV215" s="497"/>
      <c r="AW215" s="497"/>
      <c r="AX215" s="497"/>
      <c r="AY215" s="497"/>
      <c r="AZ215" s="497"/>
      <c r="BA215" s="497"/>
      <c r="BB215" s="497"/>
      <c r="BC215" s="497"/>
      <c r="BD215" s="497"/>
      <c r="BE215" s="497"/>
      <c r="BF215" s="497"/>
      <c r="BG215" s="497"/>
      <c r="BH215" s="497"/>
      <c r="BI215" s="497"/>
      <c r="BJ215" s="497"/>
      <c r="BK215" s="497"/>
      <c r="BL215" s="497"/>
      <c r="BM215" s="497"/>
      <c r="BN215" s="497"/>
      <c r="BO215" s="497"/>
      <c r="BP215" s="497"/>
      <c r="BQ215" s="497"/>
      <c r="BR215" s="497"/>
      <c r="BS215" s="497"/>
      <c r="BT215" s="497"/>
      <c r="BU215" s="497"/>
      <c r="BV215" s="497"/>
      <c r="BW215" s="497"/>
      <c r="BX215" s="497"/>
      <c r="BY215" s="497"/>
      <c r="BZ215" s="497"/>
      <c r="CA215" s="497"/>
      <c r="CB215" s="497"/>
      <c r="CC215" s="497"/>
      <c r="CD215" s="497"/>
      <c r="CE215" s="497"/>
    </row>
    <row r="216" spans="2:83" x14ac:dyDescent="0.25">
      <c r="B216" s="635">
        <v>566</v>
      </c>
      <c r="D216" s="497" t="s">
        <v>689</v>
      </c>
      <c r="E216" s="497"/>
      <c r="F216" s="497"/>
      <c r="G216" s="497"/>
      <c r="H216" s="497"/>
      <c r="I216" s="497"/>
      <c r="J216" s="497"/>
      <c r="K216" s="497"/>
      <c r="L216" s="497"/>
      <c r="M216" s="497"/>
      <c r="N216" s="497"/>
      <c r="O216" s="497"/>
      <c r="P216" s="497"/>
      <c r="Q216" s="497"/>
      <c r="R216" s="497"/>
      <c r="S216" s="497"/>
      <c r="T216" s="497"/>
      <c r="U216" s="497"/>
      <c r="V216" s="497"/>
      <c r="W216" s="497"/>
      <c r="X216" s="497"/>
      <c r="Y216" s="497"/>
      <c r="Z216" s="497"/>
      <c r="AA216" s="497"/>
      <c r="AB216" s="497"/>
      <c r="AC216" s="497"/>
      <c r="AD216" s="497"/>
      <c r="AE216" s="497"/>
      <c r="AF216" s="497"/>
      <c r="AG216" s="497"/>
      <c r="AH216" s="497"/>
      <c r="AI216" s="497"/>
      <c r="AJ216" s="497"/>
      <c r="AK216" s="497"/>
      <c r="AL216" s="497"/>
      <c r="AM216" s="497"/>
      <c r="AN216" s="497"/>
      <c r="AO216" s="497"/>
      <c r="AP216" s="497"/>
      <c r="AQ216" s="497"/>
      <c r="AR216" s="497"/>
      <c r="AS216" s="497"/>
      <c r="AT216" s="497"/>
      <c r="AU216" s="497"/>
      <c r="AV216" s="497"/>
      <c r="AW216" s="497"/>
      <c r="AX216" s="497"/>
      <c r="AY216" s="497"/>
      <c r="AZ216" s="497"/>
      <c r="BA216" s="497"/>
      <c r="BB216" s="497"/>
      <c r="BC216" s="497"/>
      <c r="BD216" s="497"/>
      <c r="BE216" s="497"/>
      <c r="BF216" s="497"/>
      <c r="BG216" s="497"/>
      <c r="BH216" s="497"/>
      <c r="BI216" s="497"/>
      <c r="BJ216" s="497"/>
      <c r="BK216" s="497"/>
      <c r="BL216" s="497"/>
      <c r="BM216" s="497"/>
      <c r="BN216" s="497"/>
      <c r="BO216" s="497"/>
      <c r="BP216" s="497"/>
      <c r="BQ216" s="497"/>
      <c r="BR216" s="497"/>
      <c r="BS216" s="497"/>
      <c r="BT216" s="497"/>
      <c r="BU216" s="497"/>
      <c r="BV216" s="497"/>
      <c r="BW216" s="497"/>
      <c r="BX216" s="497"/>
      <c r="BY216" s="497"/>
      <c r="BZ216" s="497"/>
      <c r="CA216" s="497"/>
      <c r="CB216" s="497"/>
      <c r="CC216" s="497"/>
      <c r="CD216" s="497"/>
      <c r="CE216" s="497"/>
    </row>
    <row r="217" spans="2:83" x14ac:dyDescent="0.25">
      <c r="B217" s="635">
        <v>567</v>
      </c>
      <c r="D217" s="497" t="s">
        <v>690</v>
      </c>
      <c r="E217" s="497"/>
      <c r="F217" s="497"/>
      <c r="G217" s="497"/>
      <c r="H217" s="497"/>
      <c r="I217" s="497"/>
      <c r="J217" s="497"/>
      <c r="K217" s="497"/>
      <c r="L217" s="497"/>
      <c r="M217" s="497"/>
      <c r="N217" s="497"/>
      <c r="O217" s="497"/>
      <c r="P217" s="497"/>
      <c r="Q217" s="497"/>
      <c r="R217" s="497"/>
      <c r="S217" s="497"/>
      <c r="T217" s="497"/>
      <c r="U217" s="497"/>
      <c r="V217" s="497"/>
      <c r="W217" s="497"/>
      <c r="X217" s="497"/>
      <c r="Y217" s="497"/>
      <c r="Z217" s="497"/>
      <c r="AA217" s="497"/>
      <c r="AB217" s="497"/>
      <c r="AC217" s="497"/>
      <c r="AD217" s="497"/>
      <c r="AE217" s="497"/>
      <c r="AF217" s="497"/>
      <c r="AG217" s="497"/>
      <c r="AH217" s="497"/>
      <c r="AI217" s="497"/>
      <c r="AJ217" s="497"/>
      <c r="AK217" s="497"/>
      <c r="AL217" s="497"/>
      <c r="AM217" s="497"/>
      <c r="AN217" s="497"/>
      <c r="AO217" s="497"/>
      <c r="AP217" s="497"/>
      <c r="AQ217" s="497"/>
      <c r="AR217" s="497"/>
      <c r="AS217" s="497"/>
      <c r="AT217" s="497"/>
      <c r="AU217" s="497"/>
      <c r="AV217" s="497"/>
      <c r="AW217" s="497"/>
      <c r="AX217" s="497"/>
      <c r="AY217" s="497"/>
      <c r="AZ217" s="497"/>
      <c r="BA217" s="497"/>
      <c r="BB217" s="497"/>
      <c r="BC217" s="497"/>
      <c r="BD217" s="497"/>
      <c r="BE217" s="497"/>
      <c r="BF217" s="497"/>
      <c r="BG217" s="497"/>
      <c r="BH217" s="497"/>
      <c r="BI217" s="497"/>
      <c r="BJ217" s="497"/>
      <c r="BK217" s="497"/>
      <c r="BL217" s="497"/>
      <c r="BM217" s="497"/>
      <c r="BN217" s="497"/>
      <c r="BO217" s="497"/>
      <c r="BP217" s="497"/>
      <c r="BQ217" s="497"/>
      <c r="BR217" s="497"/>
      <c r="BS217" s="497"/>
      <c r="BT217" s="497"/>
      <c r="BU217" s="497"/>
      <c r="BV217" s="497"/>
      <c r="BW217" s="497"/>
      <c r="BX217" s="497"/>
      <c r="BY217" s="497"/>
      <c r="BZ217" s="497"/>
      <c r="CA217" s="497"/>
      <c r="CB217" s="497"/>
      <c r="CC217" s="497"/>
      <c r="CD217" s="497"/>
      <c r="CE217" s="497"/>
    </row>
    <row r="218" spans="2:83" x14ac:dyDescent="0.25">
      <c r="B218" s="635">
        <v>568</v>
      </c>
      <c r="D218" s="497" t="s">
        <v>691</v>
      </c>
      <c r="E218" s="497"/>
      <c r="F218" s="497"/>
      <c r="G218" s="497"/>
      <c r="H218" s="497"/>
      <c r="I218" s="497"/>
      <c r="J218" s="497"/>
      <c r="K218" s="497"/>
      <c r="L218" s="497"/>
      <c r="M218" s="497"/>
      <c r="N218" s="497"/>
      <c r="O218" s="497"/>
      <c r="P218" s="497"/>
      <c r="Q218" s="497"/>
      <c r="R218" s="497"/>
      <c r="S218" s="497"/>
      <c r="T218" s="497"/>
      <c r="U218" s="497"/>
      <c r="V218" s="497"/>
      <c r="W218" s="497"/>
      <c r="X218" s="497"/>
      <c r="Y218" s="497"/>
      <c r="Z218" s="497"/>
      <c r="AA218" s="497"/>
      <c r="AB218" s="497"/>
      <c r="AC218" s="497"/>
      <c r="AD218" s="497"/>
      <c r="AE218" s="497"/>
      <c r="AF218" s="497"/>
      <c r="AG218" s="497"/>
      <c r="AH218" s="497"/>
      <c r="AI218" s="497"/>
      <c r="AJ218" s="497"/>
      <c r="AK218" s="497"/>
      <c r="AL218" s="497"/>
      <c r="AM218" s="497"/>
      <c r="AN218" s="497"/>
      <c r="AO218" s="497"/>
      <c r="AP218" s="497"/>
      <c r="AQ218" s="497"/>
      <c r="AR218" s="497"/>
      <c r="AS218" s="497"/>
      <c r="AT218" s="497"/>
      <c r="AU218" s="497"/>
      <c r="AV218" s="497"/>
      <c r="AW218" s="497"/>
      <c r="AX218" s="497"/>
      <c r="AY218" s="497"/>
      <c r="AZ218" s="497"/>
      <c r="BA218" s="497"/>
      <c r="BB218" s="497"/>
      <c r="BC218" s="497"/>
      <c r="BD218" s="497"/>
      <c r="BE218" s="497"/>
      <c r="BF218" s="497"/>
      <c r="BG218" s="497"/>
      <c r="BH218" s="497"/>
      <c r="BI218" s="497"/>
      <c r="BJ218" s="497"/>
      <c r="BK218" s="497"/>
      <c r="BL218" s="497"/>
      <c r="BM218" s="497"/>
      <c r="BN218" s="497"/>
      <c r="BO218" s="497"/>
      <c r="BP218" s="497"/>
      <c r="BQ218" s="497"/>
      <c r="BR218" s="497"/>
      <c r="BS218" s="497"/>
      <c r="BT218" s="497"/>
      <c r="BU218" s="497"/>
      <c r="BV218" s="497"/>
      <c r="BW218" s="497"/>
      <c r="BX218" s="497"/>
      <c r="BY218" s="497"/>
      <c r="BZ218" s="497"/>
      <c r="CA218" s="497"/>
      <c r="CB218" s="497"/>
      <c r="CC218" s="497"/>
      <c r="CD218" s="497"/>
      <c r="CE218" s="497"/>
    </row>
    <row r="219" spans="2:83" x14ac:dyDescent="0.25">
      <c r="B219" s="635">
        <v>569</v>
      </c>
      <c r="D219" s="497" t="s">
        <v>692</v>
      </c>
      <c r="E219" s="497"/>
      <c r="F219" s="497"/>
      <c r="G219" s="497"/>
      <c r="H219" s="497"/>
      <c r="I219" s="497"/>
      <c r="J219" s="497"/>
      <c r="K219" s="497"/>
      <c r="L219" s="497"/>
      <c r="M219" s="497"/>
      <c r="N219" s="497"/>
      <c r="O219" s="497"/>
      <c r="P219" s="497"/>
      <c r="Q219" s="497"/>
      <c r="R219" s="497"/>
      <c r="S219" s="497"/>
      <c r="T219" s="497"/>
      <c r="U219" s="497"/>
      <c r="V219" s="497"/>
      <c r="W219" s="497"/>
      <c r="X219" s="497"/>
      <c r="Y219" s="497"/>
      <c r="Z219" s="497"/>
      <c r="AA219" s="497"/>
      <c r="AB219" s="497"/>
      <c r="AC219" s="497"/>
      <c r="AD219" s="497"/>
      <c r="AE219" s="497"/>
      <c r="AF219" s="497"/>
      <c r="AG219" s="497"/>
      <c r="AH219" s="497"/>
      <c r="AI219" s="497"/>
      <c r="AJ219" s="497"/>
      <c r="AK219" s="497"/>
      <c r="AL219" s="497"/>
      <c r="AM219" s="497"/>
      <c r="AN219" s="497"/>
      <c r="AO219" s="497"/>
      <c r="AP219" s="497"/>
      <c r="AQ219" s="497"/>
      <c r="AR219" s="497"/>
      <c r="AS219" s="497"/>
      <c r="AT219" s="497"/>
      <c r="AU219" s="497"/>
      <c r="AV219" s="497"/>
      <c r="AW219" s="497"/>
      <c r="AX219" s="497"/>
      <c r="AY219" s="497"/>
      <c r="AZ219" s="497"/>
      <c r="BA219" s="497"/>
      <c r="BB219" s="497"/>
      <c r="BC219" s="497"/>
      <c r="BD219" s="497"/>
      <c r="BE219" s="497"/>
      <c r="BF219" s="497"/>
      <c r="BG219" s="497"/>
      <c r="BH219" s="497"/>
      <c r="BI219" s="497"/>
      <c r="BJ219" s="497"/>
      <c r="BK219" s="497"/>
      <c r="BL219" s="497"/>
      <c r="BM219" s="497"/>
      <c r="BN219" s="497"/>
      <c r="BO219" s="497"/>
      <c r="BP219" s="497"/>
      <c r="BQ219" s="497"/>
      <c r="BR219" s="497"/>
      <c r="BS219" s="497"/>
      <c r="BT219" s="497"/>
      <c r="BU219" s="497"/>
      <c r="BV219" s="497"/>
      <c r="BW219" s="497"/>
      <c r="BX219" s="497"/>
      <c r="BY219" s="497"/>
      <c r="BZ219" s="497"/>
      <c r="CA219" s="497"/>
      <c r="CB219" s="497"/>
      <c r="CC219" s="497"/>
      <c r="CD219" s="497"/>
      <c r="CE219" s="497"/>
    </row>
    <row r="220" spans="2:83" x14ac:dyDescent="0.25">
      <c r="B220" s="635">
        <v>570</v>
      </c>
      <c r="D220" s="497" t="s">
        <v>693</v>
      </c>
      <c r="E220" s="497"/>
      <c r="F220" s="497"/>
      <c r="G220" s="497"/>
      <c r="H220" s="497"/>
      <c r="I220" s="497"/>
      <c r="J220" s="497"/>
      <c r="K220" s="497"/>
      <c r="L220" s="497"/>
      <c r="M220" s="497"/>
      <c r="N220" s="497"/>
      <c r="O220" s="497"/>
      <c r="P220" s="497"/>
      <c r="Q220" s="497"/>
      <c r="R220" s="497"/>
      <c r="S220" s="497"/>
      <c r="T220" s="497"/>
      <c r="U220" s="497"/>
      <c r="V220" s="497"/>
      <c r="W220" s="497"/>
      <c r="X220" s="497"/>
      <c r="Y220" s="497"/>
      <c r="Z220" s="497"/>
      <c r="AA220" s="497"/>
      <c r="AB220" s="497"/>
      <c r="AC220" s="497"/>
      <c r="AD220" s="497"/>
      <c r="AE220" s="497"/>
      <c r="AF220" s="497"/>
      <c r="AG220" s="497"/>
      <c r="AH220" s="497"/>
      <c r="AI220" s="497"/>
      <c r="AJ220" s="497"/>
      <c r="AK220" s="497"/>
      <c r="AL220" s="497"/>
      <c r="AM220" s="497"/>
      <c r="AN220" s="497"/>
      <c r="AO220" s="497"/>
      <c r="AP220" s="497"/>
      <c r="AQ220" s="497"/>
      <c r="AR220" s="497"/>
      <c r="AS220" s="497"/>
      <c r="AT220" s="497"/>
      <c r="AU220" s="497"/>
      <c r="AV220" s="497"/>
      <c r="AW220" s="497"/>
      <c r="AX220" s="497"/>
      <c r="AY220" s="497"/>
      <c r="AZ220" s="497"/>
      <c r="BA220" s="497"/>
      <c r="BB220" s="497"/>
      <c r="BC220" s="497"/>
      <c r="BD220" s="497"/>
      <c r="BE220" s="497"/>
      <c r="BF220" s="497"/>
      <c r="BG220" s="497"/>
      <c r="BH220" s="497"/>
      <c r="BI220" s="497"/>
      <c r="BJ220" s="497"/>
      <c r="BK220" s="497"/>
      <c r="BL220" s="497"/>
      <c r="BM220" s="497"/>
      <c r="BN220" s="497"/>
      <c r="BO220" s="497"/>
      <c r="BP220" s="497"/>
      <c r="BQ220" s="497"/>
      <c r="BR220" s="497"/>
      <c r="BS220" s="497"/>
      <c r="BT220" s="497"/>
      <c r="BU220" s="497"/>
      <c r="BV220" s="497"/>
      <c r="BW220" s="497"/>
      <c r="BX220" s="497"/>
      <c r="BY220" s="497"/>
      <c r="BZ220" s="497"/>
      <c r="CA220" s="497"/>
      <c r="CB220" s="497"/>
      <c r="CC220" s="497"/>
      <c r="CD220" s="497"/>
      <c r="CE220" s="497"/>
    </row>
    <row r="221" spans="2:83" x14ac:dyDescent="0.25">
      <c r="B221" s="635">
        <v>571</v>
      </c>
      <c r="D221" s="497" t="s">
        <v>694</v>
      </c>
      <c r="E221" s="497"/>
      <c r="F221" s="497"/>
      <c r="G221" s="497"/>
      <c r="H221" s="497"/>
      <c r="I221" s="497"/>
      <c r="J221" s="497"/>
      <c r="K221" s="497"/>
      <c r="L221" s="497"/>
      <c r="M221" s="497"/>
      <c r="N221" s="497"/>
      <c r="O221" s="497"/>
      <c r="P221" s="497"/>
      <c r="Q221" s="497"/>
      <c r="R221" s="497"/>
      <c r="S221" s="497"/>
      <c r="T221" s="497"/>
      <c r="U221" s="497"/>
      <c r="V221" s="497"/>
      <c r="W221" s="497"/>
      <c r="X221" s="497"/>
      <c r="Y221" s="497"/>
      <c r="Z221" s="497"/>
      <c r="AA221" s="497"/>
      <c r="AB221" s="497"/>
      <c r="AC221" s="497"/>
      <c r="AD221" s="497"/>
      <c r="AE221" s="497"/>
      <c r="AF221" s="497"/>
      <c r="AG221" s="497"/>
      <c r="AH221" s="497"/>
      <c r="AI221" s="497"/>
      <c r="AJ221" s="497"/>
      <c r="AK221" s="497"/>
      <c r="AL221" s="497"/>
      <c r="AM221" s="497"/>
      <c r="AN221" s="497"/>
      <c r="AO221" s="497"/>
      <c r="AP221" s="497"/>
      <c r="AQ221" s="497"/>
      <c r="AR221" s="497"/>
      <c r="AS221" s="497"/>
      <c r="AT221" s="497"/>
      <c r="AU221" s="497"/>
      <c r="AV221" s="497"/>
      <c r="AW221" s="497"/>
      <c r="AX221" s="497"/>
      <c r="AY221" s="497"/>
      <c r="AZ221" s="497"/>
      <c r="BA221" s="497"/>
      <c r="BB221" s="497"/>
      <c r="BC221" s="497"/>
      <c r="BD221" s="497"/>
      <c r="BE221" s="497"/>
      <c r="BF221" s="497"/>
      <c r="BG221" s="497"/>
      <c r="BH221" s="497"/>
      <c r="BI221" s="497"/>
      <c r="BJ221" s="497"/>
      <c r="BK221" s="497"/>
      <c r="BL221" s="497"/>
      <c r="BM221" s="497"/>
      <c r="BN221" s="497"/>
      <c r="BO221" s="497"/>
      <c r="BP221" s="497"/>
      <c r="BQ221" s="497"/>
      <c r="BR221" s="497"/>
      <c r="BS221" s="497"/>
      <c r="BT221" s="497"/>
      <c r="BU221" s="497"/>
      <c r="BV221" s="497"/>
      <c r="BW221" s="497"/>
      <c r="BX221" s="497"/>
      <c r="BY221" s="497"/>
      <c r="BZ221" s="497"/>
      <c r="CA221" s="497"/>
      <c r="CB221" s="497"/>
      <c r="CC221" s="497"/>
      <c r="CD221" s="497"/>
      <c r="CE221" s="497"/>
    </row>
    <row r="222" spans="2:83" x14ac:dyDescent="0.25">
      <c r="B222" s="635">
        <v>572</v>
      </c>
      <c r="D222" s="497" t="s">
        <v>695</v>
      </c>
      <c r="E222" s="497"/>
      <c r="F222" s="497"/>
      <c r="G222" s="497"/>
      <c r="H222" s="497"/>
      <c r="I222" s="497"/>
      <c r="J222" s="497"/>
      <c r="K222" s="497"/>
      <c r="L222" s="497"/>
      <c r="M222" s="497"/>
      <c r="N222" s="497"/>
      <c r="O222" s="497"/>
      <c r="P222" s="497"/>
      <c r="Q222" s="497"/>
      <c r="R222" s="497"/>
      <c r="S222" s="497"/>
      <c r="T222" s="497"/>
      <c r="U222" s="497"/>
      <c r="V222" s="497"/>
      <c r="W222" s="497"/>
      <c r="X222" s="497"/>
      <c r="Y222" s="497"/>
      <c r="Z222" s="497"/>
      <c r="AA222" s="497"/>
      <c r="AB222" s="497"/>
      <c r="AC222" s="497"/>
      <c r="AD222" s="497"/>
      <c r="AE222" s="497"/>
      <c r="AF222" s="497"/>
      <c r="AG222" s="497"/>
      <c r="AH222" s="497"/>
      <c r="AI222" s="497"/>
      <c r="AJ222" s="497"/>
      <c r="AK222" s="497"/>
      <c r="AL222" s="497"/>
      <c r="AM222" s="497"/>
      <c r="AN222" s="497"/>
      <c r="AO222" s="497"/>
      <c r="AP222" s="497"/>
      <c r="AQ222" s="497"/>
      <c r="AR222" s="497"/>
      <c r="AS222" s="497"/>
      <c r="AT222" s="497"/>
      <c r="AU222" s="497"/>
      <c r="AV222" s="497"/>
      <c r="AW222" s="497"/>
      <c r="AX222" s="497"/>
      <c r="AY222" s="497"/>
      <c r="AZ222" s="497"/>
      <c r="BA222" s="497"/>
      <c r="BB222" s="497"/>
      <c r="BC222" s="497"/>
      <c r="BD222" s="497"/>
      <c r="BE222" s="497"/>
      <c r="BF222" s="497"/>
      <c r="BG222" s="497"/>
      <c r="BH222" s="497"/>
      <c r="BI222" s="497"/>
      <c r="BJ222" s="497"/>
      <c r="BK222" s="497"/>
      <c r="BL222" s="497"/>
      <c r="BM222" s="497"/>
      <c r="BN222" s="497"/>
      <c r="BO222" s="497"/>
      <c r="BP222" s="497"/>
      <c r="BQ222" s="497"/>
      <c r="BR222" s="497"/>
      <c r="BS222" s="497"/>
      <c r="BT222" s="497"/>
      <c r="BU222" s="497"/>
      <c r="BV222" s="497"/>
      <c r="BW222" s="497"/>
      <c r="BX222" s="497"/>
      <c r="BY222" s="497"/>
      <c r="BZ222" s="497"/>
      <c r="CA222" s="497"/>
      <c r="CB222" s="497"/>
      <c r="CC222" s="497"/>
      <c r="CD222" s="497"/>
      <c r="CE222" s="497"/>
    </row>
    <row r="223" spans="2:83" x14ac:dyDescent="0.25">
      <c r="B223" s="635">
        <v>573</v>
      </c>
      <c r="D223" s="497" t="s">
        <v>696</v>
      </c>
      <c r="E223" s="497"/>
      <c r="F223" s="497"/>
      <c r="G223" s="497"/>
      <c r="H223" s="497"/>
      <c r="I223" s="497"/>
      <c r="J223" s="497"/>
      <c r="K223" s="497"/>
      <c r="L223" s="497"/>
      <c r="M223" s="497"/>
      <c r="N223" s="497"/>
      <c r="O223" s="497"/>
      <c r="P223" s="497"/>
      <c r="Q223" s="497"/>
      <c r="R223" s="497"/>
      <c r="S223" s="497"/>
      <c r="T223" s="497"/>
      <c r="U223" s="497"/>
      <c r="V223" s="497"/>
      <c r="W223" s="497"/>
      <c r="X223" s="497"/>
      <c r="Y223" s="497"/>
      <c r="Z223" s="497"/>
      <c r="AA223" s="497"/>
      <c r="AB223" s="497"/>
      <c r="AC223" s="497"/>
      <c r="AD223" s="497"/>
      <c r="AE223" s="497"/>
      <c r="AF223" s="497"/>
      <c r="AG223" s="497"/>
      <c r="AH223" s="497"/>
      <c r="AI223" s="497"/>
      <c r="AJ223" s="497"/>
      <c r="AK223" s="497"/>
      <c r="AL223" s="497"/>
      <c r="AM223" s="497"/>
      <c r="AN223" s="497"/>
      <c r="AO223" s="497"/>
      <c r="AP223" s="497"/>
      <c r="AQ223" s="497"/>
      <c r="AR223" s="497"/>
      <c r="AS223" s="497"/>
      <c r="AT223" s="497"/>
      <c r="AU223" s="497"/>
      <c r="AV223" s="497"/>
      <c r="AW223" s="497"/>
      <c r="AX223" s="497"/>
      <c r="AY223" s="497"/>
      <c r="AZ223" s="497"/>
      <c r="BA223" s="497"/>
      <c r="BB223" s="497"/>
      <c r="BC223" s="497"/>
      <c r="BD223" s="497"/>
      <c r="BE223" s="497"/>
      <c r="BF223" s="497"/>
      <c r="BG223" s="497"/>
      <c r="BH223" s="497"/>
      <c r="BI223" s="497"/>
      <c r="BJ223" s="497"/>
      <c r="BK223" s="497"/>
      <c r="BL223" s="497"/>
      <c r="BM223" s="497"/>
      <c r="BN223" s="497"/>
      <c r="BO223" s="497"/>
      <c r="BP223" s="497"/>
      <c r="BQ223" s="497"/>
      <c r="BR223" s="497"/>
      <c r="BS223" s="497"/>
      <c r="BT223" s="497"/>
      <c r="BU223" s="497"/>
      <c r="BV223" s="497"/>
      <c r="BW223" s="497"/>
      <c r="BX223" s="497"/>
      <c r="BY223" s="497"/>
      <c r="BZ223" s="497"/>
      <c r="CA223" s="497"/>
      <c r="CB223" s="497"/>
      <c r="CC223" s="497"/>
      <c r="CD223" s="497"/>
      <c r="CE223" s="497"/>
    </row>
    <row r="224" spans="2:83" x14ac:dyDescent="0.25">
      <c r="B224" s="635">
        <v>574</v>
      </c>
      <c r="D224" s="497" t="s">
        <v>697</v>
      </c>
      <c r="E224" s="497"/>
      <c r="F224" s="497"/>
      <c r="G224" s="497"/>
      <c r="H224" s="497"/>
      <c r="I224" s="497"/>
      <c r="J224" s="497"/>
      <c r="K224" s="497"/>
      <c r="L224" s="497"/>
      <c r="M224" s="497"/>
      <c r="N224" s="497"/>
      <c r="O224" s="497"/>
      <c r="P224" s="497"/>
      <c r="Q224" s="497"/>
      <c r="R224" s="497"/>
      <c r="S224" s="497"/>
      <c r="T224" s="497"/>
      <c r="U224" s="497"/>
      <c r="V224" s="497"/>
      <c r="W224" s="497"/>
      <c r="X224" s="497"/>
      <c r="Y224" s="497"/>
      <c r="Z224" s="497"/>
      <c r="AA224" s="497"/>
      <c r="AB224" s="497"/>
      <c r="AC224" s="497"/>
      <c r="AD224" s="497"/>
      <c r="AE224" s="497"/>
      <c r="AF224" s="497"/>
      <c r="AG224" s="497"/>
      <c r="AH224" s="497"/>
      <c r="AI224" s="497"/>
      <c r="AJ224" s="497"/>
      <c r="AK224" s="497"/>
      <c r="AL224" s="497"/>
      <c r="AM224" s="497"/>
      <c r="AN224" s="497"/>
      <c r="AO224" s="497"/>
      <c r="AP224" s="497"/>
      <c r="AQ224" s="497"/>
      <c r="AR224" s="497"/>
      <c r="AS224" s="497"/>
      <c r="AT224" s="497"/>
      <c r="AU224" s="497"/>
      <c r="AV224" s="497"/>
      <c r="AW224" s="497"/>
      <c r="AX224" s="497"/>
      <c r="AY224" s="497"/>
      <c r="AZ224" s="497"/>
      <c r="BA224" s="497"/>
      <c r="BB224" s="497"/>
      <c r="BC224" s="497"/>
      <c r="BD224" s="497"/>
      <c r="BE224" s="497"/>
      <c r="BF224" s="497"/>
      <c r="BG224" s="497"/>
      <c r="BH224" s="497"/>
      <c r="BI224" s="497"/>
      <c r="BJ224" s="497"/>
      <c r="BK224" s="497"/>
      <c r="BL224" s="497"/>
      <c r="BM224" s="497"/>
      <c r="BN224" s="497"/>
      <c r="BO224" s="497"/>
      <c r="BP224" s="497"/>
      <c r="BQ224" s="497"/>
      <c r="BR224" s="497"/>
      <c r="BS224" s="497"/>
      <c r="BT224" s="497"/>
      <c r="BU224" s="497"/>
      <c r="BV224" s="497"/>
      <c r="BW224" s="497"/>
      <c r="BX224" s="497"/>
      <c r="BY224" s="497"/>
      <c r="BZ224" s="497"/>
      <c r="CA224" s="497"/>
      <c r="CB224" s="497"/>
      <c r="CC224" s="497"/>
      <c r="CD224" s="497"/>
      <c r="CE224" s="497"/>
    </row>
    <row r="225" spans="1:83" x14ac:dyDescent="0.25">
      <c r="A225" s="635">
        <v>575</v>
      </c>
      <c r="B225" s="635">
        <v>575</v>
      </c>
      <c r="C225" s="635" t="s">
        <v>639</v>
      </c>
      <c r="D225" s="635" t="s">
        <v>739</v>
      </c>
      <c r="E225" s="497">
        <v>29375</v>
      </c>
      <c r="F225" s="497">
        <v>0</v>
      </c>
      <c r="G225" s="497">
        <v>0</v>
      </c>
      <c r="H225" s="497">
        <v>0</v>
      </c>
      <c r="I225" s="497">
        <v>0</v>
      </c>
      <c r="J225" s="497">
        <v>7495</v>
      </c>
      <c r="K225" s="497">
        <v>0</v>
      </c>
      <c r="L225" s="497">
        <v>0</v>
      </c>
      <c r="M225" s="497">
        <v>0</v>
      </c>
      <c r="N225" s="497">
        <v>0</v>
      </c>
      <c r="O225" s="497">
        <v>0</v>
      </c>
      <c r="P225" s="497">
        <v>0</v>
      </c>
      <c r="Q225" s="497">
        <v>22902</v>
      </c>
      <c r="R225" s="497">
        <v>23077</v>
      </c>
      <c r="S225" s="497">
        <v>0</v>
      </c>
      <c r="T225" s="497">
        <v>0</v>
      </c>
      <c r="U225" s="497">
        <v>505</v>
      </c>
      <c r="V225" s="497">
        <v>0</v>
      </c>
      <c r="W225" s="497">
        <v>0</v>
      </c>
      <c r="X225" s="497">
        <v>0</v>
      </c>
      <c r="Y225" s="497">
        <v>33658</v>
      </c>
      <c r="Z225" s="497">
        <v>0</v>
      </c>
      <c r="AA225" s="497">
        <v>0</v>
      </c>
      <c r="AB225" s="497">
        <v>0</v>
      </c>
      <c r="AC225" s="497">
        <v>0</v>
      </c>
      <c r="AD225" s="497">
        <v>0</v>
      </c>
      <c r="AE225" s="497">
        <v>0</v>
      </c>
      <c r="AF225" s="497">
        <v>0</v>
      </c>
      <c r="AG225" s="497">
        <v>0</v>
      </c>
      <c r="AH225" s="497">
        <v>0</v>
      </c>
      <c r="AI225" s="497">
        <v>0</v>
      </c>
      <c r="AJ225" s="497">
        <v>0</v>
      </c>
      <c r="AK225" s="497">
        <v>0</v>
      </c>
      <c r="AL225" s="497">
        <v>80240</v>
      </c>
      <c r="AM225" s="497">
        <v>0</v>
      </c>
      <c r="AN225" s="497">
        <v>0</v>
      </c>
      <c r="AO225" s="497">
        <v>0</v>
      </c>
      <c r="AP225" s="497">
        <v>0</v>
      </c>
      <c r="AQ225" s="497">
        <v>0</v>
      </c>
      <c r="AR225" s="497">
        <v>0</v>
      </c>
      <c r="AS225" s="497">
        <v>0</v>
      </c>
      <c r="AT225" s="497">
        <v>217105</v>
      </c>
      <c r="AU225" s="497">
        <v>0</v>
      </c>
      <c r="AV225" s="497">
        <v>0</v>
      </c>
      <c r="AW225" s="497">
        <v>440254</v>
      </c>
      <c r="AX225" s="497">
        <v>0</v>
      </c>
      <c r="AY225" s="497">
        <v>0</v>
      </c>
      <c r="AZ225" s="497">
        <v>0</v>
      </c>
      <c r="BA225" s="497">
        <v>0</v>
      </c>
      <c r="BB225" s="497">
        <v>0</v>
      </c>
      <c r="BC225" s="497">
        <v>1931</v>
      </c>
      <c r="BD225" s="497">
        <v>0</v>
      </c>
      <c r="BE225" s="497">
        <v>0</v>
      </c>
      <c r="BF225" s="497">
        <v>4689</v>
      </c>
      <c r="BG225" s="497">
        <v>0</v>
      </c>
      <c r="BH225" s="497">
        <v>0</v>
      </c>
      <c r="BI225" s="497">
        <v>0</v>
      </c>
      <c r="BJ225" s="497">
        <v>22263</v>
      </c>
      <c r="BK225" s="497">
        <v>0</v>
      </c>
      <c r="BL225" s="497">
        <v>0</v>
      </c>
      <c r="BM225" s="497">
        <v>0</v>
      </c>
      <c r="BN225" s="497">
        <v>0</v>
      </c>
      <c r="BO225" s="497">
        <v>0</v>
      </c>
      <c r="BP225" s="497">
        <v>1091315</v>
      </c>
      <c r="BQ225" s="497">
        <v>0</v>
      </c>
      <c r="BR225" s="497">
        <v>0</v>
      </c>
      <c r="BS225" s="497">
        <v>0</v>
      </c>
      <c r="BT225" s="497">
        <v>0</v>
      </c>
      <c r="BU225" s="497">
        <v>0</v>
      </c>
      <c r="BV225" s="497">
        <v>0</v>
      </c>
      <c r="BW225" s="497">
        <v>0</v>
      </c>
      <c r="BX225" s="497">
        <v>0</v>
      </c>
      <c r="BY225" s="497">
        <v>0</v>
      </c>
      <c r="BZ225" s="497">
        <v>0</v>
      </c>
      <c r="CA225" s="497">
        <v>0</v>
      </c>
      <c r="CB225" s="497">
        <v>0</v>
      </c>
      <c r="CC225" s="497">
        <v>7541</v>
      </c>
      <c r="CD225" s="497">
        <v>0</v>
      </c>
      <c r="CE225" s="497">
        <v>4740809</v>
      </c>
    </row>
    <row r="226" spans="1:83" x14ac:dyDescent="0.25">
      <c r="A226" s="635">
        <v>576</v>
      </c>
      <c r="B226" s="635">
        <v>576</v>
      </c>
      <c r="C226" s="635" t="s">
        <v>640</v>
      </c>
      <c r="D226" s="635" t="s">
        <v>740</v>
      </c>
      <c r="E226" s="497">
        <v>0</v>
      </c>
      <c r="F226" s="497">
        <v>0</v>
      </c>
      <c r="G226" s="497">
        <v>0</v>
      </c>
      <c r="H226" s="497">
        <v>40582</v>
      </c>
      <c r="I226" s="497">
        <v>110968</v>
      </c>
      <c r="J226" s="497">
        <v>0</v>
      </c>
      <c r="K226" s="497">
        <v>0</v>
      </c>
      <c r="L226" s="497">
        <v>283</v>
      </c>
      <c r="M226" s="497">
        <v>91124</v>
      </c>
      <c r="N226" s="497">
        <v>0</v>
      </c>
      <c r="O226" s="497">
        <v>0</v>
      </c>
      <c r="P226" s="497">
        <v>0</v>
      </c>
      <c r="Q226" s="497">
        <v>0</v>
      </c>
      <c r="R226" s="497">
        <v>0</v>
      </c>
      <c r="S226" s="497">
        <v>0</v>
      </c>
      <c r="T226" s="497">
        <v>0</v>
      </c>
      <c r="U226" s="497">
        <v>0</v>
      </c>
      <c r="V226" s="497">
        <v>0</v>
      </c>
      <c r="W226" s="497">
        <v>0</v>
      </c>
      <c r="X226" s="497">
        <v>0</v>
      </c>
      <c r="Y226" s="497">
        <v>0</v>
      </c>
      <c r="Z226" s="497">
        <v>157288</v>
      </c>
      <c r="AA226" s="497">
        <v>0</v>
      </c>
      <c r="AB226" s="497">
        <v>0</v>
      </c>
      <c r="AC226" s="497">
        <v>0</v>
      </c>
      <c r="AD226" s="497">
        <v>0</v>
      </c>
      <c r="AE226" s="497">
        <v>0</v>
      </c>
      <c r="AF226" s="497">
        <v>0</v>
      </c>
      <c r="AG226" s="497">
        <v>1473105</v>
      </c>
      <c r="AH226" s="497">
        <v>386</v>
      </c>
      <c r="AI226" s="497">
        <v>0</v>
      </c>
      <c r="AJ226" s="497">
        <v>0</v>
      </c>
      <c r="AK226" s="497">
        <v>0</v>
      </c>
      <c r="AL226" s="497">
        <v>0</v>
      </c>
      <c r="AM226" s="497">
        <v>0</v>
      </c>
      <c r="AN226" s="497">
        <v>0</v>
      </c>
      <c r="AO226" s="497">
        <v>20220</v>
      </c>
      <c r="AP226" s="497">
        <v>0</v>
      </c>
      <c r="AQ226" s="497">
        <v>0</v>
      </c>
      <c r="AR226" s="497">
        <v>0</v>
      </c>
      <c r="AS226" s="497">
        <v>0</v>
      </c>
      <c r="AT226" s="497">
        <v>0</v>
      </c>
      <c r="AU226" s="497">
        <v>4805</v>
      </c>
      <c r="AV226" s="497">
        <v>7242651</v>
      </c>
      <c r="AW226" s="497">
        <v>0</v>
      </c>
      <c r="AX226" s="497">
        <v>0</v>
      </c>
      <c r="AY226" s="497">
        <v>0</v>
      </c>
      <c r="AZ226" s="497">
        <v>9160</v>
      </c>
      <c r="BA226" s="497">
        <v>0</v>
      </c>
      <c r="BB226" s="497">
        <v>0</v>
      </c>
      <c r="BC226" s="497">
        <v>0</v>
      </c>
      <c r="BD226" s="497">
        <v>0</v>
      </c>
      <c r="BE226" s="497">
        <v>0</v>
      </c>
      <c r="BF226" s="497">
        <v>0</v>
      </c>
      <c r="BG226" s="497">
        <v>0</v>
      </c>
      <c r="BH226" s="497">
        <v>0</v>
      </c>
      <c r="BI226" s="497">
        <v>0</v>
      </c>
      <c r="BJ226" s="497">
        <v>0</v>
      </c>
      <c r="BK226" s="497">
        <v>0</v>
      </c>
      <c r="BL226" s="497">
        <v>0</v>
      </c>
      <c r="BM226" s="497">
        <v>0</v>
      </c>
      <c r="BN226" s="497">
        <v>0</v>
      </c>
      <c r="BO226" s="497">
        <v>69950</v>
      </c>
      <c r="BP226" s="497">
        <v>0</v>
      </c>
      <c r="BQ226" s="497">
        <v>13054718</v>
      </c>
      <c r="BR226" s="497">
        <v>0</v>
      </c>
      <c r="BS226" s="497">
        <v>0</v>
      </c>
      <c r="BT226" s="497">
        <v>0</v>
      </c>
      <c r="BU226" s="497">
        <v>0</v>
      </c>
      <c r="BV226" s="497">
        <v>0</v>
      </c>
      <c r="BW226" s="497">
        <v>0</v>
      </c>
      <c r="BX226" s="497">
        <v>0</v>
      </c>
      <c r="BY226" s="497">
        <v>0</v>
      </c>
      <c r="BZ226" s="497">
        <v>7000000</v>
      </c>
      <c r="CA226" s="497">
        <v>172257</v>
      </c>
      <c r="CB226" s="497">
        <v>0</v>
      </c>
      <c r="CC226" s="497">
        <v>0</v>
      </c>
      <c r="CD226" s="497">
        <v>0</v>
      </c>
      <c r="CE226" s="497">
        <v>0</v>
      </c>
    </row>
    <row r="227" spans="1:83" x14ac:dyDescent="0.25">
      <c r="A227" s="635">
        <v>577</v>
      </c>
      <c r="B227" s="635">
        <v>577</v>
      </c>
      <c r="C227" s="635" t="s">
        <v>741</v>
      </c>
      <c r="D227" s="635" t="s">
        <v>742</v>
      </c>
      <c r="E227" s="497">
        <v>2</v>
      </c>
      <c r="F227" s="497">
        <v>2</v>
      </c>
      <c r="G227" s="497">
        <v>2</v>
      </c>
      <c r="H227" s="497">
        <v>2</v>
      </c>
      <c r="I227" s="497">
        <v>0</v>
      </c>
      <c r="J227" s="497">
        <v>2</v>
      </c>
      <c r="K227" s="497">
        <v>2</v>
      </c>
      <c r="L227" s="497">
        <v>2</v>
      </c>
      <c r="M227" s="497">
        <v>2</v>
      </c>
      <c r="N227" s="497">
        <v>2</v>
      </c>
      <c r="O227" s="497">
        <v>2</v>
      </c>
      <c r="P227" s="497">
        <v>2</v>
      </c>
      <c r="Q227" s="497">
        <v>2</v>
      </c>
      <c r="R227" s="497">
        <v>2</v>
      </c>
      <c r="S227" s="497">
        <v>2</v>
      </c>
      <c r="T227" s="497">
        <v>2</v>
      </c>
      <c r="U227" s="497">
        <v>2</v>
      </c>
      <c r="V227" s="497">
        <v>2</v>
      </c>
      <c r="W227" s="497">
        <v>2</v>
      </c>
      <c r="X227" s="497">
        <v>2</v>
      </c>
      <c r="Y227" s="497">
        <v>0</v>
      </c>
      <c r="Z227" s="497">
        <v>1</v>
      </c>
      <c r="AA227" s="497">
        <v>2</v>
      </c>
      <c r="AB227" s="497">
        <v>2</v>
      </c>
      <c r="AC227" s="497">
        <v>2</v>
      </c>
      <c r="AD227" s="497">
        <v>2</v>
      </c>
      <c r="AE227" s="497">
        <v>0</v>
      </c>
      <c r="AF227" s="497">
        <v>0</v>
      </c>
      <c r="AG227" s="497">
        <v>2</v>
      </c>
      <c r="AH227" s="497">
        <v>2</v>
      </c>
      <c r="AI227" s="497">
        <v>2</v>
      </c>
      <c r="AJ227" s="497">
        <v>2</v>
      </c>
      <c r="AK227" s="497">
        <v>2</v>
      </c>
      <c r="AL227" s="497">
        <v>2</v>
      </c>
      <c r="AM227" s="497">
        <v>0</v>
      </c>
      <c r="AN227" s="497">
        <v>2</v>
      </c>
      <c r="AO227" s="497">
        <v>2</v>
      </c>
      <c r="AP227" s="497">
        <v>2</v>
      </c>
      <c r="AQ227" s="497">
        <v>2</v>
      </c>
      <c r="AR227" s="497">
        <v>2</v>
      </c>
      <c r="AS227" s="497">
        <v>0</v>
      </c>
      <c r="AT227" s="497">
        <v>2</v>
      </c>
      <c r="AU227" s="497">
        <v>2</v>
      </c>
      <c r="AV227" s="497">
        <v>2</v>
      </c>
      <c r="AW227" s="497">
        <v>2</v>
      </c>
      <c r="AX227" s="497">
        <v>1</v>
      </c>
      <c r="AY227" s="497">
        <v>2</v>
      </c>
      <c r="AZ227" s="497">
        <v>2</v>
      </c>
      <c r="BA227" s="497">
        <v>0</v>
      </c>
      <c r="BB227" s="497">
        <v>0</v>
      </c>
      <c r="BC227" s="497">
        <v>2</v>
      </c>
      <c r="BD227" s="497">
        <v>2</v>
      </c>
      <c r="BE227" s="497">
        <v>2</v>
      </c>
      <c r="BF227" s="497">
        <v>0</v>
      </c>
      <c r="BG227" s="497">
        <v>2</v>
      </c>
      <c r="BH227" s="497">
        <v>0</v>
      </c>
      <c r="BI227" s="497">
        <v>2</v>
      </c>
      <c r="BJ227" s="497">
        <v>2</v>
      </c>
      <c r="BK227" s="497">
        <v>2</v>
      </c>
      <c r="BL227" s="497">
        <v>0</v>
      </c>
      <c r="BM227" s="497">
        <v>2</v>
      </c>
      <c r="BN227" s="497">
        <v>2</v>
      </c>
      <c r="BO227" s="497">
        <v>2</v>
      </c>
      <c r="BP227" s="497">
        <v>2</v>
      </c>
      <c r="BQ227" s="497">
        <v>2</v>
      </c>
      <c r="BR227" s="497">
        <v>2</v>
      </c>
      <c r="BS227" s="497">
        <v>2</v>
      </c>
      <c r="BT227" s="497">
        <v>2</v>
      </c>
      <c r="BU227" s="497">
        <v>2</v>
      </c>
      <c r="BV227" s="497">
        <v>2</v>
      </c>
      <c r="BW227" s="497">
        <v>2</v>
      </c>
      <c r="BX227" s="497">
        <v>2</v>
      </c>
      <c r="BY227" s="497">
        <v>0</v>
      </c>
      <c r="BZ227" s="497">
        <v>2</v>
      </c>
      <c r="CA227" s="497">
        <v>2</v>
      </c>
      <c r="CB227" s="497">
        <v>2</v>
      </c>
      <c r="CC227" s="497">
        <v>2</v>
      </c>
      <c r="CD227" s="497">
        <v>2</v>
      </c>
      <c r="CE227" s="497">
        <v>2</v>
      </c>
    </row>
    <row r="228" spans="1:83" x14ac:dyDescent="0.25">
      <c r="A228" s="635">
        <v>578</v>
      </c>
      <c r="B228" s="635">
        <v>578</v>
      </c>
      <c r="C228" s="635" t="s">
        <v>743</v>
      </c>
      <c r="D228" s="635" t="s">
        <v>744</v>
      </c>
      <c r="E228" s="497">
        <v>0</v>
      </c>
      <c r="F228" s="497">
        <v>0</v>
      </c>
      <c r="G228" s="497">
        <v>0</v>
      </c>
      <c r="H228" s="497">
        <v>0</v>
      </c>
      <c r="I228" s="497">
        <v>0</v>
      </c>
      <c r="J228" s="497">
        <v>0</v>
      </c>
      <c r="K228" s="497">
        <v>0</v>
      </c>
      <c r="L228" s="497">
        <v>0</v>
      </c>
      <c r="M228" s="497">
        <v>0</v>
      </c>
      <c r="N228" s="497">
        <v>0</v>
      </c>
      <c r="O228" s="497">
        <v>0</v>
      </c>
      <c r="P228" s="497">
        <v>0</v>
      </c>
      <c r="Q228" s="497">
        <v>0</v>
      </c>
      <c r="R228" s="497">
        <v>0</v>
      </c>
      <c r="S228" s="497">
        <v>0</v>
      </c>
      <c r="T228" s="497">
        <v>0</v>
      </c>
      <c r="U228" s="497">
        <v>0</v>
      </c>
      <c r="V228" s="497">
        <v>0</v>
      </c>
      <c r="W228" s="497">
        <v>0</v>
      </c>
      <c r="X228" s="497">
        <v>0</v>
      </c>
      <c r="Y228" s="497">
        <v>0</v>
      </c>
      <c r="Z228" s="497">
        <v>0</v>
      </c>
      <c r="AA228" s="497">
        <v>0</v>
      </c>
      <c r="AB228" s="497">
        <v>0</v>
      </c>
      <c r="AC228" s="497">
        <v>0</v>
      </c>
      <c r="AD228" s="497">
        <v>0</v>
      </c>
      <c r="AE228" s="497">
        <v>0</v>
      </c>
      <c r="AF228" s="497">
        <v>0</v>
      </c>
      <c r="AG228" s="497">
        <v>0</v>
      </c>
      <c r="AH228" s="497">
        <v>0</v>
      </c>
      <c r="AI228" s="497">
        <v>0</v>
      </c>
      <c r="AJ228" s="497">
        <v>0</v>
      </c>
      <c r="AK228" s="497">
        <v>0</v>
      </c>
      <c r="AL228" s="497">
        <v>0</v>
      </c>
      <c r="AM228" s="497">
        <v>0</v>
      </c>
      <c r="AN228" s="497">
        <v>0</v>
      </c>
      <c r="AO228" s="497">
        <v>0</v>
      </c>
      <c r="AP228" s="497">
        <v>0</v>
      </c>
      <c r="AQ228" s="497">
        <v>0</v>
      </c>
      <c r="AR228" s="497">
        <v>0</v>
      </c>
      <c r="AS228" s="497">
        <v>0</v>
      </c>
      <c r="AT228" s="497">
        <v>0</v>
      </c>
      <c r="AU228" s="497">
        <v>0</v>
      </c>
      <c r="AV228" s="497">
        <v>0</v>
      </c>
      <c r="AW228" s="497">
        <v>0</v>
      </c>
      <c r="AX228" s="497">
        <v>0</v>
      </c>
      <c r="AY228" s="497">
        <v>0</v>
      </c>
      <c r="AZ228" s="497">
        <v>0</v>
      </c>
      <c r="BA228" s="497">
        <v>0</v>
      </c>
      <c r="BB228" s="497">
        <v>0</v>
      </c>
      <c r="BC228" s="497">
        <v>0</v>
      </c>
      <c r="BD228" s="497">
        <v>0</v>
      </c>
      <c r="BE228" s="497">
        <v>0</v>
      </c>
      <c r="BF228" s="497">
        <v>0</v>
      </c>
      <c r="BG228" s="497">
        <v>0</v>
      </c>
      <c r="BH228" s="497">
        <v>0</v>
      </c>
      <c r="BI228" s="497">
        <v>0</v>
      </c>
      <c r="BJ228" s="497">
        <v>0</v>
      </c>
      <c r="BK228" s="497">
        <v>0</v>
      </c>
      <c r="BL228" s="497">
        <v>0</v>
      </c>
      <c r="BM228" s="497">
        <v>0</v>
      </c>
      <c r="BN228" s="497">
        <v>0</v>
      </c>
      <c r="BO228" s="497">
        <v>0</v>
      </c>
      <c r="BP228" s="497">
        <v>0</v>
      </c>
      <c r="BQ228" s="497">
        <v>0</v>
      </c>
      <c r="BR228" s="497">
        <v>0</v>
      </c>
      <c r="BS228" s="497">
        <v>0</v>
      </c>
      <c r="BT228" s="497">
        <v>0</v>
      </c>
      <c r="BU228" s="497">
        <v>0</v>
      </c>
      <c r="BV228" s="497">
        <v>0</v>
      </c>
      <c r="BW228" s="497">
        <v>0</v>
      </c>
      <c r="BX228" s="497">
        <v>0</v>
      </c>
      <c r="BY228" s="497">
        <v>0</v>
      </c>
      <c r="BZ228" s="497">
        <v>0</v>
      </c>
      <c r="CA228" s="497">
        <v>0</v>
      </c>
      <c r="CB228" s="497">
        <v>0</v>
      </c>
      <c r="CC228" s="497">
        <v>0</v>
      </c>
      <c r="CD228" s="497">
        <v>0</v>
      </c>
      <c r="CE228" s="497">
        <v>0</v>
      </c>
    </row>
    <row r="229" spans="1:83" x14ac:dyDescent="0.25">
      <c r="A229" s="635">
        <v>579</v>
      </c>
      <c r="B229" s="635">
        <v>579</v>
      </c>
      <c r="C229" s="635" t="s">
        <v>745</v>
      </c>
      <c r="D229" s="635" t="s">
        <v>746</v>
      </c>
      <c r="E229" s="497">
        <v>0</v>
      </c>
      <c r="F229" s="497">
        <v>0</v>
      </c>
      <c r="G229" s="497">
        <v>0</v>
      </c>
      <c r="H229" s="497">
        <v>0</v>
      </c>
      <c r="I229" s="497">
        <v>0</v>
      </c>
      <c r="J229" s="497">
        <v>0</v>
      </c>
      <c r="K229" s="497">
        <v>0</v>
      </c>
      <c r="L229" s="497">
        <v>0</v>
      </c>
      <c r="M229" s="497">
        <v>0</v>
      </c>
      <c r="N229" s="497">
        <v>0</v>
      </c>
      <c r="O229" s="497">
        <v>0</v>
      </c>
      <c r="P229" s="497">
        <v>0</v>
      </c>
      <c r="Q229" s="497">
        <v>0</v>
      </c>
      <c r="R229" s="497">
        <v>0</v>
      </c>
      <c r="S229" s="497">
        <v>0</v>
      </c>
      <c r="T229" s="497">
        <v>0</v>
      </c>
      <c r="U229" s="497">
        <v>0</v>
      </c>
      <c r="V229" s="497">
        <v>0</v>
      </c>
      <c r="W229" s="497">
        <v>0</v>
      </c>
      <c r="X229" s="497">
        <v>0</v>
      </c>
      <c r="Y229" s="497">
        <v>0</v>
      </c>
      <c r="Z229" s="497">
        <v>0</v>
      </c>
      <c r="AA229" s="497">
        <v>0</v>
      </c>
      <c r="AB229" s="497">
        <v>0</v>
      </c>
      <c r="AC229" s="497">
        <v>0</v>
      </c>
      <c r="AD229" s="497">
        <v>0</v>
      </c>
      <c r="AE229" s="497">
        <v>0</v>
      </c>
      <c r="AF229" s="497">
        <v>0</v>
      </c>
      <c r="AG229" s="497">
        <v>0</v>
      </c>
      <c r="AH229" s="497">
        <v>0</v>
      </c>
      <c r="AI229" s="497">
        <v>0</v>
      </c>
      <c r="AJ229" s="497">
        <v>0</v>
      </c>
      <c r="AK229" s="497">
        <v>0</v>
      </c>
      <c r="AL229" s="497">
        <v>0</v>
      </c>
      <c r="AM229" s="497">
        <v>0</v>
      </c>
      <c r="AN229" s="497">
        <v>0</v>
      </c>
      <c r="AO229" s="497">
        <v>0</v>
      </c>
      <c r="AP229" s="497">
        <v>0</v>
      </c>
      <c r="AQ229" s="497">
        <v>0</v>
      </c>
      <c r="AR229" s="497">
        <v>0</v>
      </c>
      <c r="AS229" s="497">
        <v>0</v>
      </c>
      <c r="AT229" s="497">
        <v>0</v>
      </c>
      <c r="AU229" s="497">
        <v>0</v>
      </c>
      <c r="AV229" s="497">
        <v>0</v>
      </c>
      <c r="AW229" s="497">
        <v>0</v>
      </c>
      <c r="AX229" s="497">
        <v>0</v>
      </c>
      <c r="AY229" s="497">
        <v>0</v>
      </c>
      <c r="AZ229" s="497">
        <v>0</v>
      </c>
      <c r="BA229" s="497">
        <v>0</v>
      </c>
      <c r="BB229" s="497">
        <v>0</v>
      </c>
      <c r="BC229" s="497">
        <v>0</v>
      </c>
      <c r="BD229" s="497">
        <v>0</v>
      </c>
      <c r="BE229" s="497">
        <v>0</v>
      </c>
      <c r="BF229" s="497">
        <v>0</v>
      </c>
      <c r="BG229" s="497">
        <v>0</v>
      </c>
      <c r="BH229" s="497">
        <v>0</v>
      </c>
      <c r="BI229" s="497">
        <v>0</v>
      </c>
      <c r="BJ229" s="497">
        <v>0</v>
      </c>
      <c r="BK229" s="497">
        <v>0</v>
      </c>
      <c r="BL229" s="497">
        <v>0</v>
      </c>
      <c r="BM229" s="497">
        <v>0</v>
      </c>
      <c r="BN229" s="497">
        <v>0</v>
      </c>
      <c r="BO229" s="497">
        <v>0</v>
      </c>
      <c r="BP229" s="497">
        <v>0</v>
      </c>
      <c r="BQ229" s="497">
        <v>0</v>
      </c>
      <c r="BR229" s="497">
        <v>0</v>
      </c>
      <c r="BS229" s="497">
        <v>0</v>
      </c>
      <c r="BT229" s="497">
        <v>0</v>
      </c>
      <c r="BU229" s="497">
        <v>0</v>
      </c>
      <c r="BV229" s="497">
        <v>0</v>
      </c>
      <c r="BW229" s="497">
        <v>0</v>
      </c>
      <c r="BX229" s="497">
        <v>0</v>
      </c>
      <c r="BY229" s="497">
        <v>0</v>
      </c>
      <c r="BZ229" s="497">
        <v>7000000</v>
      </c>
      <c r="CA229" s="497">
        <v>0</v>
      </c>
      <c r="CB229" s="497">
        <v>0</v>
      </c>
      <c r="CC229" s="497">
        <v>0</v>
      </c>
      <c r="CD229" s="497">
        <v>0</v>
      </c>
      <c r="CE229" s="497">
        <v>0</v>
      </c>
    </row>
    <row r="230" spans="1:83" x14ac:dyDescent="0.25">
      <c r="A230" s="635">
        <v>580</v>
      </c>
      <c r="B230" s="635">
        <v>580</v>
      </c>
      <c r="C230" s="635" t="s">
        <v>747</v>
      </c>
      <c r="D230" s="635" t="s">
        <v>748</v>
      </c>
      <c r="E230" s="497">
        <v>0</v>
      </c>
      <c r="F230" s="497">
        <v>0</v>
      </c>
      <c r="G230" s="497">
        <v>0</v>
      </c>
      <c r="H230" s="497">
        <v>0</v>
      </c>
      <c r="I230" s="497">
        <v>0</v>
      </c>
      <c r="J230" s="497">
        <v>0</v>
      </c>
      <c r="K230" s="497">
        <v>0</v>
      </c>
      <c r="L230" s="497">
        <v>0</v>
      </c>
      <c r="M230" s="497">
        <v>0</v>
      </c>
      <c r="N230" s="497">
        <v>0</v>
      </c>
      <c r="O230" s="497">
        <v>0</v>
      </c>
      <c r="P230" s="497">
        <v>0</v>
      </c>
      <c r="Q230" s="497">
        <v>0</v>
      </c>
      <c r="R230" s="497">
        <v>0</v>
      </c>
      <c r="S230" s="497">
        <v>0</v>
      </c>
      <c r="T230" s="497">
        <v>0</v>
      </c>
      <c r="U230" s="497">
        <v>0</v>
      </c>
      <c r="V230" s="497">
        <v>0</v>
      </c>
      <c r="W230" s="497">
        <v>0</v>
      </c>
      <c r="X230" s="497">
        <v>0</v>
      </c>
      <c r="Y230" s="497">
        <v>0</v>
      </c>
      <c r="Z230" s="497">
        <v>0</v>
      </c>
      <c r="AA230" s="497">
        <v>0</v>
      </c>
      <c r="AB230" s="497">
        <v>0</v>
      </c>
      <c r="AC230" s="497">
        <v>0</v>
      </c>
      <c r="AD230" s="497">
        <v>0</v>
      </c>
      <c r="AE230" s="497">
        <v>0</v>
      </c>
      <c r="AF230" s="497">
        <v>0</v>
      </c>
      <c r="AG230" s="497">
        <v>0</v>
      </c>
      <c r="AH230" s="497">
        <v>0</v>
      </c>
      <c r="AI230" s="497">
        <v>0</v>
      </c>
      <c r="AJ230" s="497">
        <v>0</v>
      </c>
      <c r="AK230" s="497">
        <v>0</v>
      </c>
      <c r="AL230" s="497">
        <v>0</v>
      </c>
      <c r="AM230" s="497">
        <v>0</v>
      </c>
      <c r="AN230" s="497">
        <v>0</v>
      </c>
      <c r="AO230" s="497">
        <v>0</v>
      </c>
      <c r="AP230" s="497">
        <v>0</v>
      </c>
      <c r="AQ230" s="497">
        <v>0</v>
      </c>
      <c r="AR230" s="497">
        <v>0</v>
      </c>
      <c r="AS230" s="497">
        <v>0</v>
      </c>
      <c r="AT230" s="497">
        <v>0</v>
      </c>
      <c r="AU230" s="497">
        <v>0</v>
      </c>
      <c r="AV230" s="497">
        <v>0</v>
      </c>
      <c r="AW230" s="497">
        <v>0</v>
      </c>
      <c r="AX230" s="497">
        <v>0</v>
      </c>
      <c r="AY230" s="497">
        <v>0</v>
      </c>
      <c r="AZ230" s="497">
        <v>0</v>
      </c>
      <c r="BA230" s="497">
        <v>0</v>
      </c>
      <c r="BB230" s="497">
        <v>0</v>
      </c>
      <c r="BC230" s="497">
        <v>0</v>
      </c>
      <c r="BD230" s="497">
        <v>0</v>
      </c>
      <c r="BE230" s="497">
        <v>0</v>
      </c>
      <c r="BF230" s="497">
        <v>0</v>
      </c>
      <c r="BG230" s="497">
        <v>0</v>
      </c>
      <c r="BH230" s="497">
        <v>0</v>
      </c>
      <c r="BI230" s="497">
        <v>0</v>
      </c>
      <c r="BJ230" s="497">
        <v>0</v>
      </c>
      <c r="BK230" s="497">
        <v>0</v>
      </c>
      <c r="BL230" s="497">
        <v>0</v>
      </c>
      <c r="BM230" s="497">
        <v>0</v>
      </c>
      <c r="BN230" s="497">
        <v>0</v>
      </c>
      <c r="BO230" s="497">
        <v>0</v>
      </c>
      <c r="BP230" s="497">
        <v>0</v>
      </c>
      <c r="BQ230" s="497">
        <v>0</v>
      </c>
      <c r="BR230" s="497">
        <v>0</v>
      </c>
      <c r="BS230" s="497">
        <v>0</v>
      </c>
      <c r="BT230" s="497">
        <v>0</v>
      </c>
      <c r="BU230" s="497">
        <v>0</v>
      </c>
      <c r="BV230" s="497">
        <v>0</v>
      </c>
      <c r="BW230" s="497">
        <v>0</v>
      </c>
      <c r="BX230" s="497">
        <v>0</v>
      </c>
      <c r="BY230" s="497">
        <v>0</v>
      </c>
      <c r="BZ230" s="497">
        <v>0</v>
      </c>
      <c r="CA230" s="497">
        <v>0</v>
      </c>
      <c r="CB230" s="497">
        <v>0</v>
      </c>
      <c r="CC230" s="497">
        <v>0</v>
      </c>
      <c r="CD230" s="497">
        <v>0</v>
      </c>
      <c r="CE230" s="497">
        <v>0</v>
      </c>
    </row>
    <row r="231" spans="1:83" x14ac:dyDescent="0.25">
      <c r="A231" s="635">
        <v>581</v>
      </c>
      <c r="B231" s="635">
        <v>581</v>
      </c>
      <c r="C231" s="635" t="s">
        <v>749</v>
      </c>
      <c r="D231" s="635" t="s">
        <v>750</v>
      </c>
      <c r="E231" s="497">
        <v>0</v>
      </c>
      <c r="F231" s="497">
        <v>0</v>
      </c>
      <c r="G231" s="497">
        <v>0</v>
      </c>
      <c r="H231" s="497">
        <v>0</v>
      </c>
      <c r="I231" s="497">
        <v>0</v>
      </c>
      <c r="J231" s="497">
        <v>0</v>
      </c>
      <c r="K231" s="497">
        <v>0</v>
      </c>
      <c r="L231" s="497">
        <v>0</v>
      </c>
      <c r="M231" s="497">
        <v>0</v>
      </c>
      <c r="N231" s="497">
        <v>0</v>
      </c>
      <c r="O231" s="497">
        <v>0</v>
      </c>
      <c r="P231" s="497">
        <v>0</v>
      </c>
      <c r="Q231" s="497">
        <v>0</v>
      </c>
      <c r="R231" s="497">
        <v>0</v>
      </c>
      <c r="S231" s="497">
        <v>0</v>
      </c>
      <c r="T231" s="497">
        <v>0</v>
      </c>
      <c r="U231" s="497">
        <v>0</v>
      </c>
      <c r="V231" s="497">
        <v>0</v>
      </c>
      <c r="W231" s="497">
        <v>0</v>
      </c>
      <c r="X231" s="497">
        <v>0</v>
      </c>
      <c r="Y231" s="497">
        <v>0</v>
      </c>
      <c r="Z231" s="497">
        <v>0</v>
      </c>
      <c r="AA231" s="497">
        <v>0</v>
      </c>
      <c r="AB231" s="497">
        <v>0</v>
      </c>
      <c r="AC231" s="497">
        <v>0</v>
      </c>
      <c r="AD231" s="497">
        <v>0</v>
      </c>
      <c r="AE231" s="497">
        <v>0</v>
      </c>
      <c r="AF231" s="497">
        <v>0</v>
      </c>
      <c r="AG231" s="497">
        <v>0</v>
      </c>
      <c r="AH231" s="497">
        <v>0</v>
      </c>
      <c r="AI231" s="497">
        <v>0</v>
      </c>
      <c r="AJ231" s="497">
        <v>0</v>
      </c>
      <c r="AK231" s="497">
        <v>0</v>
      </c>
      <c r="AL231" s="497">
        <v>0</v>
      </c>
      <c r="AM231" s="497">
        <v>0</v>
      </c>
      <c r="AN231" s="497">
        <v>0</v>
      </c>
      <c r="AO231" s="497">
        <v>0</v>
      </c>
      <c r="AP231" s="497">
        <v>0</v>
      </c>
      <c r="AQ231" s="497">
        <v>0</v>
      </c>
      <c r="AR231" s="497">
        <v>0</v>
      </c>
      <c r="AS231" s="497">
        <v>0</v>
      </c>
      <c r="AT231" s="497">
        <v>0</v>
      </c>
      <c r="AU231" s="497">
        <v>0</v>
      </c>
      <c r="AV231" s="497">
        <v>0</v>
      </c>
      <c r="AW231" s="497">
        <v>0</v>
      </c>
      <c r="AX231" s="497">
        <v>0</v>
      </c>
      <c r="AY231" s="497">
        <v>0</v>
      </c>
      <c r="AZ231" s="497">
        <v>0</v>
      </c>
      <c r="BA231" s="497">
        <v>0</v>
      </c>
      <c r="BB231" s="497">
        <v>0</v>
      </c>
      <c r="BC231" s="497">
        <v>0</v>
      </c>
      <c r="BD231" s="497">
        <v>0</v>
      </c>
      <c r="BE231" s="497">
        <v>0</v>
      </c>
      <c r="BF231" s="497">
        <v>0</v>
      </c>
      <c r="BG231" s="497">
        <v>0</v>
      </c>
      <c r="BH231" s="497">
        <v>0</v>
      </c>
      <c r="BI231" s="497">
        <v>0</v>
      </c>
      <c r="BJ231" s="497">
        <v>0</v>
      </c>
      <c r="BK231" s="497">
        <v>0</v>
      </c>
      <c r="BL231" s="497">
        <v>0</v>
      </c>
      <c r="BM231" s="497">
        <v>0</v>
      </c>
      <c r="BN231" s="497">
        <v>0</v>
      </c>
      <c r="BO231" s="497">
        <v>0</v>
      </c>
      <c r="BP231" s="497">
        <v>0</v>
      </c>
      <c r="BQ231" s="497">
        <v>0</v>
      </c>
      <c r="BR231" s="497">
        <v>0</v>
      </c>
      <c r="BS231" s="497">
        <v>0</v>
      </c>
      <c r="BT231" s="497">
        <v>0</v>
      </c>
      <c r="BU231" s="497">
        <v>0</v>
      </c>
      <c r="BV231" s="497">
        <v>0</v>
      </c>
      <c r="BW231" s="497">
        <v>0</v>
      </c>
      <c r="BX231" s="497">
        <v>0</v>
      </c>
      <c r="BY231" s="497">
        <v>0</v>
      </c>
      <c r="BZ231" s="497">
        <v>0</v>
      </c>
      <c r="CA231" s="497">
        <v>0</v>
      </c>
      <c r="CB231" s="497">
        <v>0</v>
      </c>
      <c r="CC231" s="497">
        <v>0</v>
      </c>
      <c r="CD231" s="497">
        <v>0</v>
      </c>
      <c r="CE231" s="497">
        <v>0</v>
      </c>
    </row>
    <row r="232" spans="1:83" x14ac:dyDescent="0.25">
      <c r="B232" s="635">
        <v>582</v>
      </c>
      <c r="C232" s="635" t="s">
        <v>751</v>
      </c>
      <c r="D232" s="635" t="s">
        <v>752</v>
      </c>
      <c r="E232" s="497"/>
      <c r="F232" s="497"/>
      <c r="G232" s="497"/>
      <c r="H232" s="497"/>
      <c r="I232" s="497"/>
      <c r="J232" s="497"/>
      <c r="K232" s="497"/>
      <c r="L232" s="497"/>
      <c r="M232" s="497"/>
      <c r="N232" s="497"/>
      <c r="O232" s="497"/>
      <c r="P232" s="497"/>
      <c r="Q232" s="497"/>
      <c r="R232" s="497"/>
      <c r="S232" s="497"/>
      <c r="T232" s="497"/>
      <c r="U232" s="497"/>
      <c r="V232" s="497"/>
      <c r="W232" s="497"/>
      <c r="X232" s="497"/>
      <c r="Y232" s="497"/>
      <c r="Z232" s="497"/>
      <c r="AA232" s="497"/>
      <c r="AB232" s="497"/>
      <c r="AC232" s="497"/>
      <c r="AD232" s="497"/>
      <c r="AE232" s="497"/>
      <c r="AF232" s="497"/>
      <c r="AG232" s="497"/>
      <c r="AH232" s="497"/>
      <c r="AI232" s="497"/>
      <c r="AJ232" s="497"/>
      <c r="AK232" s="497"/>
      <c r="AL232" s="497"/>
      <c r="AM232" s="497"/>
      <c r="AN232" s="497"/>
      <c r="AO232" s="497"/>
      <c r="AP232" s="497"/>
      <c r="AQ232" s="497"/>
      <c r="AR232" s="497"/>
      <c r="AS232" s="497"/>
      <c r="AT232" s="497"/>
      <c r="AU232" s="497"/>
      <c r="AV232" s="497"/>
      <c r="AW232" s="497"/>
      <c r="AX232" s="497"/>
      <c r="AY232" s="497"/>
      <c r="AZ232" s="497"/>
      <c r="BA232" s="497"/>
      <c r="BB232" s="497"/>
      <c r="BC232" s="497"/>
      <c r="BD232" s="497"/>
      <c r="BE232" s="497"/>
      <c r="BF232" s="497"/>
      <c r="BG232" s="497"/>
      <c r="BH232" s="497"/>
      <c r="BI232" s="497"/>
      <c r="BJ232" s="497"/>
      <c r="BK232" s="497"/>
      <c r="BL232" s="497"/>
      <c r="BM232" s="497"/>
      <c r="BN232" s="497"/>
      <c r="BO232" s="497"/>
      <c r="BP232" s="497"/>
      <c r="BQ232" s="497"/>
      <c r="BR232" s="497"/>
      <c r="BS232" s="497"/>
      <c r="BT232" s="497"/>
      <c r="BU232" s="497"/>
      <c r="BV232" s="497"/>
      <c r="BW232" s="497"/>
      <c r="BX232" s="497"/>
      <c r="BY232" s="497"/>
      <c r="BZ232" s="497"/>
      <c r="CA232" s="497"/>
      <c r="CB232" s="497"/>
      <c r="CC232" s="497"/>
      <c r="CD232" s="497"/>
      <c r="CE232" s="497"/>
    </row>
    <row r="233" spans="1:83" x14ac:dyDescent="0.25">
      <c r="B233" s="635">
        <v>583</v>
      </c>
      <c r="C233" s="635" t="s">
        <v>753</v>
      </c>
      <c r="D233" s="635" t="s">
        <v>754</v>
      </c>
      <c r="E233" s="497"/>
      <c r="F233" s="497"/>
      <c r="G233" s="497"/>
      <c r="H233" s="497"/>
      <c r="I233" s="497"/>
      <c r="J233" s="497"/>
      <c r="K233" s="497"/>
      <c r="L233" s="497"/>
      <c r="M233" s="497"/>
      <c r="N233" s="497"/>
      <c r="O233" s="497"/>
      <c r="P233" s="497"/>
      <c r="Q233" s="497"/>
      <c r="R233" s="497"/>
      <c r="S233" s="497"/>
      <c r="T233" s="497"/>
      <c r="U233" s="497"/>
      <c r="V233" s="497"/>
      <c r="W233" s="497"/>
      <c r="X233" s="497"/>
      <c r="Y233" s="497"/>
      <c r="Z233" s="497"/>
      <c r="AA233" s="497"/>
      <c r="AB233" s="497"/>
      <c r="AC233" s="497"/>
      <c r="AD233" s="497"/>
      <c r="AE233" s="497"/>
      <c r="AF233" s="497"/>
      <c r="AG233" s="497"/>
      <c r="AH233" s="497"/>
      <c r="AI233" s="497"/>
      <c r="AJ233" s="497"/>
      <c r="AK233" s="497"/>
      <c r="AL233" s="497"/>
      <c r="AM233" s="497"/>
      <c r="AN233" s="497"/>
      <c r="AO233" s="497"/>
      <c r="AP233" s="497"/>
      <c r="AQ233" s="497"/>
      <c r="AR233" s="497"/>
      <c r="AS233" s="497"/>
      <c r="AT233" s="497"/>
      <c r="AU233" s="497"/>
      <c r="AV233" s="497"/>
      <c r="AW233" s="497"/>
      <c r="AX233" s="497"/>
      <c r="AY233" s="497"/>
      <c r="AZ233" s="497"/>
      <c r="BA233" s="497"/>
      <c r="BB233" s="497"/>
      <c r="BC233" s="497"/>
      <c r="BD233" s="497"/>
      <c r="BE233" s="497"/>
      <c r="BF233" s="497"/>
      <c r="BG233" s="497"/>
      <c r="BH233" s="497"/>
      <c r="BI233" s="497"/>
      <c r="BJ233" s="497"/>
      <c r="BK233" s="497"/>
      <c r="BL233" s="497"/>
      <c r="BM233" s="497"/>
      <c r="BN233" s="497"/>
      <c r="BO233" s="497"/>
      <c r="BP233" s="497"/>
      <c r="BQ233" s="497"/>
      <c r="BR233" s="497"/>
      <c r="BS233" s="497"/>
      <c r="BT233" s="497"/>
      <c r="BU233" s="497"/>
      <c r="BV233" s="497"/>
      <c r="BW233" s="497"/>
      <c r="BX233" s="497"/>
      <c r="BY233" s="497"/>
      <c r="BZ233" s="497"/>
      <c r="CA233" s="497"/>
      <c r="CB233" s="497"/>
      <c r="CC233" s="497"/>
      <c r="CD233" s="497"/>
      <c r="CE233" s="497"/>
    </row>
    <row r="234" spans="1:83" x14ac:dyDescent="0.25">
      <c r="B234" s="635">
        <v>584</v>
      </c>
      <c r="C234" s="635" t="s">
        <v>755</v>
      </c>
      <c r="D234" s="635" t="s">
        <v>756</v>
      </c>
      <c r="E234" s="497"/>
      <c r="F234" s="497"/>
      <c r="G234" s="497"/>
      <c r="H234" s="497"/>
      <c r="I234" s="497"/>
      <c r="J234" s="497"/>
      <c r="K234" s="497"/>
      <c r="L234" s="497"/>
      <c r="M234" s="497"/>
      <c r="N234" s="497"/>
      <c r="O234" s="497"/>
      <c r="P234" s="497"/>
      <c r="Q234" s="497"/>
      <c r="R234" s="497"/>
      <c r="S234" s="497"/>
      <c r="T234" s="497"/>
      <c r="U234" s="497"/>
      <c r="V234" s="497"/>
      <c r="W234" s="497"/>
      <c r="X234" s="497"/>
      <c r="Y234" s="497"/>
      <c r="Z234" s="497"/>
      <c r="AA234" s="497"/>
      <c r="AB234" s="497"/>
      <c r="AC234" s="497"/>
      <c r="AD234" s="497"/>
      <c r="AE234" s="497"/>
      <c r="AF234" s="497"/>
      <c r="AG234" s="497"/>
      <c r="AH234" s="497"/>
      <c r="AI234" s="497"/>
      <c r="AJ234" s="497"/>
      <c r="AK234" s="497"/>
      <c r="AL234" s="497"/>
      <c r="AM234" s="497"/>
      <c r="AN234" s="497"/>
      <c r="AO234" s="497"/>
      <c r="AP234" s="497"/>
      <c r="AQ234" s="497"/>
      <c r="AR234" s="497"/>
      <c r="AS234" s="497"/>
      <c r="AT234" s="497"/>
      <c r="AU234" s="497"/>
      <c r="AV234" s="497"/>
      <c r="AW234" s="497"/>
      <c r="AX234" s="497"/>
      <c r="AY234" s="497"/>
      <c r="AZ234" s="497"/>
      <c r="BA234" s="497"/>
      <c r="BB234" s="497"/>
      <c r="BC234" s="497"/>
      <c r="BD234" s="497"/>
      <c r="BE234" s="497"/>
      <c r="BF234" s="497"/>
      <c r="BG234" s="497"/>
      <c r="BH234" s="497"/>
      <c r="BI234" s="497"/>
      <c r="BJ234" s="497"/>
      <c r="BK234" s="497"/>
      <c r="BL234" s="497"/>
      <c r="BM234" s="497"/>
      <c r="BN234" s="497"/>
      <c r="BO234" s="497"/>
      <c r="BP234" s="497"/>
      <c r="BQ234" s="497"/>
      <c r="BR234" s="497"/>
      <c r="BS234" s="497"/>
      <c r="BT234" s="497"/>
      <c r="BU234" s="497"/>
      <c r="BV234" s="497"/>
      <c r="BW234" s="497"/>
      <c r="BX234" s="497"/>
      <c r="BY234" s="497"/>
      <c r="BZ234" s="497"/>
      <c r="CA234" s="497"/>
      <c r="CB234" s="497"/>
      <c r="CC234" s="497"/>
      <c r="CD234" s="497"/>
      <c r="CE234" s="497"/>
    </row>
    <row r="235" spans="1:83" x14ac:dyDescent="0.25">
      <c r="B235" s="635">
        <v>585</v>
      </c>
      <c r="C235" s="635" t="s">
        <v>757</v>
      </c>
      <c r="D235" s="635" t="s">
        <v>758</v>
      </c>
      <c r="E235" s="497"/>
      <c r="F235" s="497"/>
      <c r="G235" s="497"/>
      <c r="H235" s="497"/>
      <c r="I235" s="497"/>
      <c r="J235" s="497"/>
      <c r="K235" s="497"/>
      <c r="L235" s="497"/>
      <c r="M235" s="497"/>
      <c r="N235" s="497"/>
      <c r="O235" s="497"/>
      <c r="P235" s="497"/>
      <c r="Q235" s="497"/>
      <c r="R235" s="497"/>
      <c r="S235" s="497"/>
      <c r="T235" s="497"/>
      <c r="U235" s="497"/>
      <c r="V235" s="497"/>
      <c r="W235" s="497"/>
      <c r="X235" s="497"/>
      <c r="Y235" s="497"/>
      <c r="Z235" s="497"/>
      <c r="AA235" s="497"/>
      <c r="AB235" s="497"/>
      <c r="AC235" s="497"/>
      <c r="AD235" s="497"/>
      <c r="AE235" s="497"/>
      <c r="AF235" s="497"/>
      <c r="AG235" s="497"/>
      <c r="AH235" s="497"/>
      <c r="AI235" s="497"/>
      <c r="AJ235" s="497"/>
      <c r="AK235" s="497"/>
      <c r="AL235" s="497"/>
      <c r="AM235" s="497"/>
      <c r="AN235" s="497"/>
      <c r="AO235" s="497"/>
      <c r="AP235" s="497"/>
      <c r="AQ235" s="497"/>
      <c r="AR235" s="497"/>
      <c r="AS235" s="497"/>
      <c r="AT235" s="497"/>
      <c r="AU235" s="497"/>
      <c r="AV235" s="497"/>
      <c r="AW235" s="497"/>
      <c r="AX235" s="497"/>
      <c r="AY235" s="497"/>
      <c r="AZ235" s="497"/>
      <c r="BA235" s="497"/>
      <c r="BB235" s="497"/>
      <c r="BC235" s="497"/>
      <c r="BD235" s="497"/>
      <c r="BE235" s="497"/>
      <c r="BF235" s="497"/>
      <c r="BG235" s="497"/>
      <c r="BH235" s="497"/>
      <c r="BI235" s="497"/>
      <c r="BJ235" s="497"/>
      <c r="BK235" s="497"/>
      <c r="BL235" s="497"/>
      <c r="BM235" s="497"/>
      <c r="BN235" s="497"/>
      <c r="BO235" s="497"/>
      <c r="BP235" s="497"/>
      <c r="BQ235" s="497"/>
      <c r="BR235" s="497"/>
      <c r="BS235" s="497"/>
      <c r="BT235" s="497"/>
      <c r="BU235" s="497"/>
      <c r="BV235" s="497"/>
      <c r="BW235" s="497"/>
      <c r="BX235" s="497"/>
      <c r="BY235" s="497"/>
      <c r="BZ235" s="497"/>
      <c r="CA235" s="497"/>
      <c r="CB235" s="497"/>
      <c r="CC235" s="497"/>
      <c r="CD235" s="497"/>
      <c r="CE235" s="497"/>
    </row>
    <row r="236" spans="1:83" x14ac:dyDescent="0.25">
      <c r="A236" s="635">
        <v>586</v>
      </c>
      <c r="B236" s="635">
        <v>586</v>
      </c>
      <c r="C236" s="635" t="s">
        <v>759</v>
      </c>
      <c r="D236" s="635" t="s">
        <v>760</v>
      </c>
      <c r="E236" s="497">
        <v>0</v>
      </c>
      <c r="F236" s="497">
        <v>0</v>
      </c>
      <c r="G236" s="497">
        <v>0</v>
      </c>
      <c r="H236" s="497">
        <v>0</v>
      </c>
      <c r="I236" s="497">
        <v>0</v>
      </c>
      <c r="J236" s="497">
        <v>0</v>
      </c>
      <c r="K236" s="497">
        <v>0</v>
      </c>
      <c r="L236" s="497">
        <v>0</v>
      </c>
      <c r="M236" s="497">
        <v>0</v>
      </c>
      <c r="N236" s="497">
        <v>0</v>
      </c>
      <c r="O236" s="497">
        <v>0</v>
      </c>
      <c r="P236" s="497">
        <v>0</v>
      </c>
      <c r="Q236" s="497">
        <v>0</v>
      </c>
      <c r="R236" s="497">
        <v>0</v>
      </c>
      <c r="S236" s="497">
        <v>0</v>
      </c>
      <c r="T236" s="497">
        <v>0</v>
      </c>
      <c r="U236" s="497">
        <v>0</v>
      </c>
      <c r="V236" s="497">
        <v>0</v>
      </c>
      <c r="W236" s="497">
        <v>0</v>
      </c>
      <c r="X236" s="497">
        <v>0</v>
      </c>
      <c r="Y236" s="497">
        <v>0</v>
      </c>
      <c r="Z236" s="497">
        <v>0</v>
      </c>
      <c r="AA236" s="497">
        <v>0</v>
      </c>
      <c r="AB236" s="497">
        <v>0</v>
      </c>
      <c r="AC236" s="497">
        <v>0</v>
      </c>
      <c r="AD236" s="497">
        <v>0</v>
      </c>
      <c r="AE236" s="497">
        <v>0</v>
      </c>
      <c r="AF236" s="497">
        <v>0</v>
      </c>
      <c r="AG236" s="497">
        <v>0</v>
      </c>
      <c r="AH236" s="497">
        <v>0</v>
      </c>
      <c r="AI236" s="497">
        <v>0</v>
      </c>
      <c r="AJ236" s="497">
        <v>0</v>
      </c>
      <c r="AK236" s="497">
        <v>0</v>
      </c>
      <c r="AL236" s="497">
        <v>0</v>
      </c>
      <c r="AM236" s="497">
        <v>0</v>
      </c>
      <c r="AN236" s="497">
        <v>0</v>
      </c>
      <c r="AO236" s="497">
        <v>0</v>
      </c>
      <c r="AP236" s="497">
        <v>0</v>
      </c>
      <c r="AQ236" s="497">
        <v>0</v>
      </c>
      <c r="AR236" s="497">
        <v>0</v>
      </c>
      <c r="AS236" s="497">
        <v>0</v>
      </c>
      <c r="AT236" s="497">
        <v>0</v>
      </c>
      <c r="AU236" s="497">
        <v>0</v>
      </c>
      <c r="AV236" s="497">
        <v>0</v>
      </c>
      <c r="AW236" s="497">
        <v>0</v>
      </c>
      <c r="AX236" s="497">
        <v>0</v>
      </c>
      <c r="AY236" s="497">
        <v>0</v>
      </c>
      <c r="AZ236" s="497">
        <v>0</v>
      </c>
      <c r="BA236" s="497">
        <v>0</v>
      </c>
      <c r="BB236" s="497">
        <v>0</v>
      </c>
      <c r="BC236" s="497">
        <v>0</v>
      </c>
      <c r="BD236" s="497">
        <v>0</v>
      </c>
      <c r="BE236" s="497">
        <v>0</v>
      </c>
      <c r="BF236" s="497">
        <v>0</v>
      </c>
      <c r="BG236" s="497">
        <v>0</v>
      </c>
      <c r="BH236" s="497">
        <v>0</v>
      </c>
      <c r="BI236" s="497">
        <v>0</v>
      </c>
      <c r="BJ236" s="497">
        <v>0</v>
      </c>
      <c r="BK236" s="497">
        <v>0</v>
      </c>
      <c r="BL236" s="497">
        <v>0</v>
      </c>
      <c r="BM236" s="497">
        <v>0</v>
      </c>
      <c r="BN236" s="497">
        <v>0</v>
      </c>
      <c r="BO236" s="497">
        <v>0</v>
      </c>
      <c r="BP236" s="497">
        <v>0</v>
      </c>
      <c r="BQ236" s="497">
        <v>0</v>
      </c>
      <c r="BR236" s="497">
        <v>0</v>
      </c>
      <c r="BS236" s="497">
        <v>0</v>
      </c>
      <c r="BT236" s="497">
        <v>0</v>
      </c>
      <c r="BU236" s="497">
        <v>0</v>
      </c>
      <c r="BV236" s="497">
        <v>0</v>
      </c>
      <c r="BW236" s="497">
        <v>0</v>
      </c>
      <c r="BX236" s="497">
        <v>0</v>
      </c>
      <c r="BY236" s="497">
        <v>0</v>
      </c>
      <c r="BZ236" s="497">
        <v>0</v>
      </c>
      <c r="CA236" s="497">
        <v>0</v>
      </c>
      <c r="CB236" s="497">
        <v>0</v>
      </c>
      <c r="CC236" s="497">
        <v>0</v>
      </c>
      <c r="CD236" s="497">
        <v>0</v>
      </c>
      <c r="CE236" s="497">
        <v>0</v>
      </c>
    </row>
    <row r="237" spans="1:83" x14ac:dyDescent="0.25">
      <c r="B237" s="635">
        <v>587</v>
      </c>
      <c r="C237" s="635" t="s">
        <v>761</v>
      </c>
      <c r="D237" s="635" t="s">
        <v>762</v>
      </c>
      <c r="E237" s="497"/>
      <c r="F237" s="497"/>
      <c r="G237" s="497"/>
      <c r="H237" s="497"/>
      <c r="I237" s="497"/>
      <c r="J237" s="497"/>
      <c r="K237" s="497"/>
      <c r="L237" s="497"/>
      <c r="M237" s="497"/>
      <c r="N237" s="497"/>
      <c r="O237" s="497"/>
      <c r="P237" s="497"/>
      <c r="Q237" s="497"/>
      <c r="R237" s="497"/>
      <c r="S237" s="497"/>
      <c r="T237" s="497"/>
      <c r="U237" s="497"/>
      <c r="V237" s="497"/>
      <c r="W237" s="497"/>
      <c r="X237" s="497"/>
      <c r="Y237" s="497"/>
      <c r="Z237" s="497"/>
      <c r="AA237" s="497"/>
      <c r="AB237" s="497"/>
      <c r="AC237" s="497"/>
      <c r="AD237" s="497"/>
      <c r="AE237" s="497"/>
      <c r="AF237" s="497"/>
      <c r="AG237" s="497"/>
      <c r="AH237" s="497"/>
      <c r="AI237" s="497"/>
      <c r="AJ237" s="497"/>
      <c r="AK237" s="497"/>
      <c r="AL237" s="497"/>
      <c r="AM237" s="497"/>
      <c r="AN237" s="497"/>
      <c r="AO237" s="497"/>
      <c r="AP237" s="497"/>
      <c r="AQ237" s="497"/>
      <c r="AR237" s="497"/>
      <c r="AS237" s="497"/>
      <c r="AT237" s="497"/>
      <c r="AU237" s="497"/>
      <c r="AV237" s="497"/>
      <c r="AW237" s="497"/>
      <c r="AX237" s="497"/>
      <c r="AY237" s="497"/>
      <c r="AZ237" s="497"/>
      <c r="BA237" s="497"/>
      <c r="BB237" s="497"/>
      <c r="BC237" s="497"/>
      <c r="BD237" s="497"/>
      <c r="BE237" s="497"/>
      <c r="BF237" s="497"/>
      <c r="BG237" s="497"/>
      <c r="BH237" s="497"/>
      <c r="BI237" s="497"/>
      <c r="BJ237" s="497"/>
      <c r="BK237" s="497"/>
      <c r="BL237" s="497"/>
      <c r="BM237" s="497"/>
      <c r="BN237" s="497"/>
      <c r="BO237" s="497"/>
      <c r="BP237" s="497"/>
      <c r="BQ237" s="497"/>
      <c r="BR237" s="497"/>
      <c r="BS237" s="497"/>
      <c r="BT237" s="497"/>
      <c r="BU237" s="497"/>
      <c r="BV237" s="497"/>
      <c r="BW237" s="497"/>
      <c r="BX237" s="497"/>
      <c r="BY237" s="497"/>
      <c r="BZ237" s="497"/>
      <c r="CA237" s="497"/>
      <c r="CB237" s="497"/>
      <c r="CC237" s="497"/>
      <c r="CD237" s="497"/>
      <c r="CE237" s="497"/>
    </row>
    <row r="238" spans="1:83" x14ac:dyDescent="0.25">
      <c r="B238" s="635">
        <v>588</v>
      </c>
      <c r="C238" s="635" t="s">
        <v>763</v>
      </c>
      <c r="D238" s="635" t="s">
        <v>764</v>
      </c>
      <c r="E238" s="497"/>
      <c r="F238" s="497"/>
      <c r="G238" s="497"/>
      <c r="H238" s="497"/>
      <c r="I238" s="497"/>
      <c r="J238" s="497"/>
      <c r="K238" s="497"/>
      <c r="L238" s="497"/>
      <c r="M238" s="497"/>
      <c r="N238" s="497"/>
      <c r="O238" s="497"/>
      <c r="P238" s="497"/>
      <c r="Q238" s="497"/>
      <c r="R238" s="497"/>
      <c r="S238" s="497"/>
      <c r="T238" s="497"/>
      <c r="U238" s="497"/>
      <c r="V238" s="497"/>
      <c r="W238" s="497"/>
      <c r="X238" s="497"/>
      <c r="Y238" s="497"/>
      <c r="Z238" s="497"/>
      <c r="AA238" s="497"/>
      <c r="AB238" s="497"/>
      <c r="AC238" s="497"/>
      <c r="AD238" s="497"/>
      <c r="AE238" s="497"/>
      <c r="AF238" s="497"/>
      <c r="AG238" s="497"/>
      <c r="AH238" s="497"/>
      <c r="AI238" s="497"/>
      <c r="AJ238" s="497"/>
      <c r="AK238" s="497"/>
      <c r="AL238" s="497"/>
      <c r="AM238" s="497"/>
      <c r="AN238" s="497"/>
      <c r="AO238" s="497"/>
      <c r="AP238" s="497"/>
      <c r="AQ238" s="497"/>
      <c r="AR238" s="497"/>
      <c r="AS238" s="497"/>
      <c r="AT238" s="497"/>
      <c r="AU238" s="497"/>
      <c r="AV238" s="497"/>
      <c r="AW238" s="497"/>
      <c r="AX238" s="497"/>
      <c r="AY238" s="497"/>
      <c r="AZ238" s="497"/>
      <c r="BA238" s="497"/>
      <c r="BB238" s="497"/>
      <c r="BC238" s="497"/>
      <c r="BD238" s="497"/>
      <c r="BE238" s="497"/>
      <c r="BF238" s="497"/>
      <c r="BG238" s="497"/>
      <c r="BH238" s="497"/>
      <c r="BI238" s="497"/>
      <c r="BJ238" s="497"/>
      <c r="BK238" s="497"/>
      <c r="BL238" s="497"/>
      <c r="BM238" s="497"/>
      <c r="BN238" s="497"/>
      <c r="BO238" s="497"/>
      <c r="BP238" s="497"/>
      <c r="BQ238" s="497"/>
      <c r="BR238" s="497"/>
      <c r="BS238" s="497"/>
      <c r="BT238" s="497"/>
      <c r="BU238" s="497"/>
      <c r="BV238" s="497"/>
      <c r="BW238" s="497"/>
      <c r="BX238" s="497"/>
      <c r="BY238" s="497"/>
      <c r="BZ238" s="497"/>
      <c r="CA238" s="497"/>
      <c r="CB238" s="497"/>
      <c r="CC238" s="497"/>
      <c r="CD238" s="497"/>
      <c r="CE238" s="497"/>
    </row>
    <row r="239" spans="1:83" x14ac:dyDescent="0.25">
      <c r="B239" s="635">
        <v>589</v>
      </c>
      <c r="C239" s="635" t="s">
        <v>765</v>
      </c>
      <c r="D239" s="635" t="s">
        <v>766</v>
      </c>
      <c r="E239" s="497"/>
      <c r="F239" s="497"/>
      <c r="G239" s="497"/>
      <c r="H239" s="497"/>
      <c r="I239" s="497"/>
      <c r="J239" s="497"/>
      <c r="K239" s="497"/>
      <c r="L239" s="497"/>
      <c r="M239" s="497"/>
      <c r="N239" s="497"/>
      <c r="O239" s="497"/>
      <c r="P239" s="497"/>
      <c r="Q239" s="497"/>
      <c r="R239" s="497"/>
      <c r="S239" s="497"/>
      <c r="T239" s="497"/>
      <c r="U239" s="497"/>
      <c r="V239" s="497"/>
      <c r="W239" s="497"/>
      <c r="X239" s="497"/>
      <c r="Y239" s="497"/>
      <c r="Z239" s="497"/>
      <c r="AA239" s="497"/>
      <c r="AB239" s="497"/>
      <c r="AC239" s="497"/>
      <c r="AD239" s="497"/>
      <c r="AE239" s="497"/>
      <c r="AF239" s="497"/>
      <c r="AG239" s="497"/>
      <c r="AH239" s="497"/>
      <c r="AI239" s="497"/>
      <c r="AJ239" s="497"/>
      <c r="AK239" s="497"/>
      <c r="AL239" s="497"/>
      <c r="AM239" s="497"/>
      <c r="AN239" s="497"/>
      <c r="AO239" s="497"/>
      <c r="AP239" s="497"/>
      <c r="AQ239" s="497"/>
      <c r="AR239" s="497"/>
      <c r="AS239" s="497"/>
      <c r="AT239" s="497"/>
      <c r="AU239" s="497"/>
      <c r="AV239" s="497"/>
      <c r="AW239" s="497"/>
      <c r="AX239" s="497"/>
      <c r="AY239" s="497"/>
      <c r="AZ239" s="497"/>
      <c r="BA239" s="497"/>
      <c r="BB239" s="497"/>
      <c r="BC239" s="497"/>
      <c r="BD239" s="497"/>
      <c r="BE239" s="497"/>
      <c r="BF239" s="497"/>
      <c r="BG239" s="497"/>
      <c r="BH239" s="497"/>
      <c r="BI239" s="497"/>
      <c r="BJ239" s="497"/>
      <c r="BK239" s="497"/>
      <c r="BL239" s="497"/>
      <c r="BM239" s="497"/>
      <c r="BN239" s="497"/>
      <c r="BO239" s="497"/>
      <c r="BP239" s="497"/>
      <c r="BQ239" s="497"/>
      <c r="BR239" s="497"/>
      <c r="BS239" s="497"/>
      <c r="BT239" s="497"/>
      <c r="BU239" s="497"/>
      <c r="BV239" s="497"/>
      <c r="BW239" s="497"/>
      <c r="BX239" s="497"/>
      <c r="BY239" s="497"/>
      <c r="BZ239" s="497"/>
      <c r="CA239" s="497"/>
      <c r="CB239" s="497"/>
      <c r="CC239" s="497"/>
      <c r="CD239" s="497"/>
      <c r="CE239" s="497"/>
    </row>
    <row r="240" spans="1:83" x14ac:dyDescent="0.25">
      <c r="B240" s="635">
        <v>590</v>
      </c>
      <c r="C240" s="635" t="s">
        <v>767</v>
      </c>
      <c r="D240" s="635" t="s">
        <v>768</v>
      </c>
      <c r="E240" s="497"/>
      <c r="F240" s="497"/>
      <c r="G240" s="497"/>
      <c r="H240" s="497"/>
      <c r="I240" s="497"/>
      <c r="J240" s="497"/>
      <c r="K240" s="497"/>
      <c r="L240" s="497"/>
      <c r="M240" s="497"/>
      <c r="N240" s="497"/>
      <c r="O240" s="497"/>
      <c r="P240" s="497"/>
      <c r="Q240" s="497"/>
      <c r="R240" s="497"/>
      <c r="S240" s="497"/>
      <c r="T240" s="497"/>
      <c r="U240" s="497"/>
      <c r="V240" s="497"/>
      <c r="W240" s="497"/>
      <c r="X240" s="497"/>
      <c r="Y240" s="497"/>
      <c r="Z240" s="497"/>
      <c r="AA240" s="497"/>
      <c r="AB240" s="497"/>
      <c r="AC240" s="497"/>
      <c r="AD240" s="497"/>
      <c r="AE240" s="497"/>
      <c r="AF240" s="497"/>
      <c r="AG240" s="497"/>
      <c r="AH240" s="497"/>
      <c r="AI240" s="497"/>
      <c r="AJ240" s="497"/>
      <c r="AK240" s="497"/>
      <c r="AL240" s="497"/>
      <c r="AM240" s="497"/>
      <c r="AN240" s="497"/>
      <c r="AO240" s="497"/>
      <c r="AP240" s="497"/>
      <c r="AQ240" s="497"/>
      <c r="AR240" s="497"/>
      <c r="AS240" s="497"/>
      <c r="AT240" s="497"/>
      <c r="AU240" s="497"/>
      <c r="AV240" s="497"/>
      <c r="AW240" s="497"/>
      <c r="AX240" s="497"/>
      <c r="AY240" s="497"/>
      <c r="AZ240" s="497"/>
      <c r="BA240" s="497"/>
      <c r="BB240" s="497"/>
      <c r="BC240" s="497"/>
      <c r="BD240" s="497"/>
      <c r="BE240" s="497"/>
      <c r="BF240" s="497"/>
      <c r="BG240" s="497"/>
      <c r="BH240" s="497"/>
      <c r="BI240" s="497"/>
      <c r="BJ240" s="497"/>
      <c r="BK240" s="497"/>
      <c r="BL240" s="497"/>
      <c r="BM240" s="497"/>
      <c r="BN240" s="497"/>
      <c r="BO240" s="497"/>
      <c r="BP240" s="497"/>
      <c r="BQ240" s="497"/>
      <c r="BR240" s="497"/>
      <c r="BS240" s="497"/>
      <c r="BT240" s="497"/>
      <c r="BU240" s="497"/>
      <c r="BV240" s="497"/>
      <c r="BW240" s="497"/>
      <c r="BX240" s="497"/>
      <c r="BY240" s="497"/>
      <c r="BZ240" s="497"/>
      <c r="CA240" s="497"/>
      <c r="CB240" s="497"/>
      <c r="CC240" s="497"/>
      <c r="CD240" s="497"/>
      <c r="CE240" s="497"/>
    </row>
    <row r="241" spans="1:83" x14ac:dyDescent="0.25">
      <c r="B241" s="635">
        <v>992</v>
      </c>
      <c r="D241" s="635" t="s">
        <v>698</v>
      </c>
      <c r="E241" s="497"/>
      <c r="F241" s="497"/>
      <c r="G241" s="497"/>
      <c r="H241" s="497"/>
      <c r="I241" s="497"/>
      <c r="J241" s="497"/>
      <c r="K241" s="497"/>
      <c r="L241" s="497"/>
      <c r="M241" s="497"/>
      <c r="N241" s="497"/>
      <c r="O241" s="497"/>
      <c r="P241" s="497"/>
      <c r="Q241" s="497"/>
      <c r="R241" s="497"/>
      <c r="S241" s="497"/>
      <c r="T241" s="497"/>
      <c r="U241" s="497"/>
      <c r="V241" s="497"/>
      <c r="W241" s="497"/>
      <c r="X241" s="497"/>
      <c r="Y241" s="497"/>
      <c r="Z241" s="497"/>
      <c r="AA241" s="497"/>
      <c r="AB241" s="497"/>
      <c r="AC241" s="497"/>
      <c r="AD241" s="497"/>
      <c r="AE241" s="497"/>
      <c r="AF241" s="497"/>
      <c r="AG241" s="497"/>
      <c r="AH241" s="497"/>
      <c r="AI241" s="497"/>
      <c r="AJ241" s="497"/>
      <c r="AK241" s="497"/>
      <c r="AL241" s="497"/>
      <c r="AM241" s="497"/>
      <c r="AN241" s="497"/>
      <c r="AO241" s="497"/>
      <c r="AP241" s="497"/>
      <c r="AQ241" s="497"/>
      <c r="AR241" s="497"/>
      <c r="AS241" s="497"/>
      <c r="AT241" s="497"/>
      <c r="AU241" s="497"/>
      <c r="AV241" s="497"/>
      <c r="AW241" s="497"/>
      <c r="AX241" s="497"/>
      <c r="AY241" s="497"/>
      <c r="AZ241" s="497"/>
      <c r="BA241" s="497"/>
      <c r="BB241" s="497"/>
      <c r="BC241" s="497"/>
      <c r="BD241" s="497"/>
      <c r="BE241" s="497"/>
      <c r="BF241" s="497"/>
      <c r="BG241" s="497"/>
      <c r="BH241" s="497"/>
      <c r="BI241" s="497"/>
      <c r="BJ241" s="497"/>
      <c r="BK241" s="497"/>
      <c r="BL241" s="497"/>
      <c r="BM241" s="497"/>
      <c r="BN241" s="497"/>
      <c r="BO241" s="497"/>
      <c r="BP241" s="497"/>
      <c r="BQ241" s="497"/>
      <c r="BR241" s="497"/>
      <c r="BS241" s="497"/>
      <c r="BT241" s="497"/>
      <c r="BU241" s="497"/>
      <c r="BV241" s="497"/>
      <c r="BW241" s="497"/>
      <c r="BX241" s="497"/>
      <c r="BY241" s="497"/>
      <c r="BZ241" s="497"/>
      <c r="CA241" s="497"/>
      <c r="CB241" s="497"/>
      <c r="CC241" s="497"/>
      <c r="CD241" s="497"/>
      <c r="CE241" s="497"/>
    </row>
    <row r="242" spans="1:83" x14ac:dyDescent="0.25">
      <c r="B242" s="752">
        <v>993</v>
      </c>
      <c r="C242" s="635" t="s">
        <v>580</v>
      </c>
      <c r="D242" s="635" t="s">
        <v>581</v>
      </c>
      <c r="E242" s="497"/>
      <c r="F242" s="497"/>
      <c r="G242" s="497"/>
      <c r="H242" s="497"/>
      <c r="I242" s="497"/>
      <c r="J242" s="497"/>
      <c r="K242" s="497"/>
      <c r="L242" s="497"/>
      <c r="M242" s="497"/>
      <c r="N242" s="497"/>
      <c r="O242" s="497"/>
      <c r="P242" s="497"/>
      <c r="Q242" s="497"/>
      <c r="R242" s="497"/>
      <c r="S242" s="497"/>
      <c r="T242" s="497"/>
      <c r="U242" s="497"/>
      <c r="V242" s="497"/>
      <c r="W242" s="497"/>
      <c r="X242" s="497"/>
      <c r="Y242" s="497"/>
      <c r="Z242" s="497"/>
      <c r="AA242" s="497"/>
      <c r="AB242" s="497"/>
      <c r="AC242" s="497"/>
      <c r="AD242" s="497"/>
      <c r="AE242" s="497"/>
      <c r="AF242" s="497"/>
      <c r="AG242" s="497"/>
      <c r="AH242" s="497"/>
      <c r="AI242" s="497"/>
      <c r="AJ242" s="497"/>
      <c r="AK242" s="497"/>
      <c r="AL242" s="497"/>
      <c r="AM242" s="497"/>
      <c r="AN242" s="497"/>
      <c r="AO242" s="497"/>
      <c r="AP242" s="497"/>
      <c r="AQ242" s="497"/>
      <c r="AR242" s="497"/>
      <c r="AS242" s="497"/>
      <c r="AT242" s="497"/>
      <c r="AU242" s="497"/>
      <c r="AV242" s="497"/>
      <c r="AW242" s="497"/>
      <c r="AX242" s="497"/>
      <c r="AY242" s="497"/>
      <c r="AZ242" s="497"/>
      <c r="BA242" s="497"/>
      <c r="BB242" s="497"/>
      <c r="BC242" s="497"/>
      <c r="BD242" s="497"/>
      <c r="BE242" s="497"/>
      <c r="BF242" s="497"/>
      <c r="BG242" s="497"/>
      <c r="BH242" s="497"/>
      <c r="BI242" s="497"/>
      <c r="BJ242" s="497"/>
      <c r="BK242" s="497"/>
      <c r="BL242" s="497"/>
      <c r="BM242" s="497"/>
      <c r="BN242" s="497"/>
      <c r="BO242" s="497"/>
      <c r="BP242" s="497"/>
      <c r="BQ242" s="497"/>
      <c r="BR242" s="497"/>
      <c r="BS242" s="497"/>
      <c r="BT242" s="497"/>
      <c r="BU242" s="497"/>
      <c r="BV242" s="497"/>
      <c r="BW242" s="497"/>
      <c r="BX242" s="497"/>
      <c r="BY242" s="497"/>
      <c r="BZ242" s="497"/>
      <c r="CA242" s="497"/>
      <c r="CB242" s="497"/>
      <c r="CC242" s="497"/>
      <c r="CD242" s="497"/>
      <c r="CE242" s="497"/>
    </row>
    <row r="243" spans="1:83" x14ac:dyDescent="0.25">
      <c r="B243" s="752">
        <v>994</v>
      </c>
      <c r="C243" s="635" t="s">
        <v>582</v>
      </c>
      <c r="D243" s="635" t="s">
        <v>583</v>
      </c>
      <c r="E243" s="497"/>
      <c r="F243" s="497"/>
      <c r="G243" s="497"/>
      <c r="H243" s="497"/>
      <c r="I243" s="497"/>
      <c r="J243" s="497"/>
      <c r="K243" s="497"/>
      <c r="L243" s="497"/>
      <c r="M243" s="497"/>
      <c r="N243" s="497"/>
      <c r="O243" s="497"/>
      <c r="P243" s="497"/>
      <c r="Q243" s="497"/>
      <c r="R243" s="497"/>
      <c r="S243" s="497"/>
      <c r="T243" s="497"/>
      <c r="U243" s="497"/>
      <c r="V243" s="497"/>
      <c r="W243" s="497"/>
      <c r="X243" s="497"/>
      <c r="Y243" s="497"/>
      <c r="Z243" s="497"/>
      <c r="AA243" s="497"/>
      <c r="AB243" s="497"/>
      <c r="AC243" s="497"/>
      <c r="AD243" s="497"/>
      <c r="AE243" s="497"/>
      <c r="AF243" s="497"/>
      <c r="AG243" s="497"/>
      <c r="AH243" s="497"/>
      <c r="AI243" s="497"/>
      <c r="AJ243" s="497"/>
      <c r="AK243" s="497"/>
      <c r="AL243" s="497"/>
      <c r="AM243" s="497"/>
      <c r="AN243" s="497"/>
      <c r="AO243" s="497"/>
      <c r="AP243" s="497"/>
      <c r="AQ243" s="497"/>
      <c r="AR243" s="497"/>
      <c r="AS243" s="497"/>
      <c r="AT243" s="497"/>
      <c r="AU243" s="497"/>
      <c r="AV243" s="497"/>
      <c r="AW243" s="497"/>
      <c r="AX243" s="497"/>
      <c r="AY243" s="497"/>
      <c r="AZ243" s="497"/>
      <c r="BA243" s="497"/>
      <c r="BB243" s="497"/>
      <c r="BC243" s="497"/>
      <c r="BD243" s="497"/>
      <c r="BE243" s="497"/>
      <c r="BF243" s="497"/>
      <c r="BG243" s="497"/>
      <c r="BH243" s="497"/>
      <c r="BI243" s="497"/>
      <c r="BJ243" s="497"/>
      <c r="BK243" s="497"/>
      <c r="BL243" s="497"/>
      <c r="BM243" s="497"/>
      <c r="BN243" s="497"/>
      <c r="BO243" s="497"/>
      <c r="BP243" s="497"/>
      <c r="BQ243" s="497"/>
      <c r="BR243" s="497"/>
      <c r="BS243" s="497"/>
      <c r="BT243" s="497"/>
      <c r="BU243" s="497"/>
      <c r="BV243" s="497"/>
      <c r="BW243" s="497"/>
      <c r="BX243" s="497"/>
      <c r="BY243" s="497"/>
      <c r="BZ243" s="497"/>
      <c r="CA243" s="497"/>
      <c r="CB243" s="497"/>
      <c r="CC243" s="497"/>
      <c r="CD243" s="497"/>
      <c r="CE243" s="497"/>
    </row>
    <row r="244" spans="1:83" x14ac:dyDescent="0.25">
      <c r="A244" s="635" t="s">
        <v>605</v>
      </c>
      <c r="B244" s="752">
        <v>995</v>
      </c>
      <c r="C244" s="635" t="s">
        <v>584</v>
      </c>
      <c r="D244" s="635" t="s">
        <v>585</v>
      </c>
      <c r="E244" s="390">
        <v>0</v>
      </c>
      <c r="F244" s="390">
        <v>0</v>
      </c>
      <c r="G244" s="390">
        <v>0</v>
      </c>
      <c r="H244" s="390">
        <v>0</v>
      </c>
      <c r="I244" s="390">
        <v>0</v>
      </c>
      <c r="J244" s="390">
        <v>0</v>
      </c>
      <c r="K244" s="390">
        <v>0</v>
      </c>
      <c r="L244" s="390">
        <v>0</v>
      </c>
      <c r="M244" s="390">
        <v>0.08</v>
      </c>
      <c r="N244" s="390">
        <v>0.09</v>
      </c>
      <c r="O244" s="390">
        <v>0</v>
      </c>
      <c r="P244" s="390">
        <v>0</v>
      </c>
      <c r="Q244" s="390">
        <v>0</v>
      </c>
      <c r="R244" s="390">
        <v>0.09</v>
      </c>
      <c r="S244" s="390">
        <v>0</v>
      </c>
      <c r="T244" s="390">
        <v>0.09</v>
      </c>
      <c r="U244" s="390">
        <v>0</v>
      </c>
      <c r="V244" s="390">
        <v>0</v>
      </c>
      <c r="W244" s="390">
        <v>0</v>
      </c>
      <c r="X244" s="390">
        <v>0</v>
      </c>
      <c r="Y244" s="390">
        <v>0</v>
      </c>
      <c r="Z244" s="390">
        <v>0.08</v>
      </c>
      <c r="AA244" s="390">
        <v>0</v>
      </c>
      <c r="AB244" s="390">
        <v>0</v>
      </c>
      <c r="AC244" s="390">
        <v>0</v>
      </c>
      <c r="AD244" s="390">
        <v>0</v>
      </c>
      <c r="AE244" s="390">
        <v>0</v>
      </c>
      <c r="AF244" s="390">
        <v>0</v>
      </c>
      <c r="AG244" s="390">
        <v>7.0000000000000007E-2</v>
      </c>
      <c r="AH244" s="390">
        <v>0</v>
      </c>
      <c r="AI244" s="390">
        <v>0</v>
      </c>
      <c r="AJ244" s="390">
        <v>0</v>
      </c>
      <c r="AK244" s="390">
        <v>0</v>
      </c>
      <c r="AL244" s="390">
        <v>0</v>
      </c>
      <c r="AM244" s="390">
        <v>0</v>
      </c>
      <c r="AN244" s="390">
        <v>0</v>
      </c>
      <c r="AO244" s="390">
        <v>0</v>
      </c>
      <c r="AP244" s="390">
        <v>0</v>
      </c>
      <c r="AQ244" s="390">
        <v>7.0000000000000007E-2</v>
      </c>
      <c r="AR244" s="390">
        <v>0</v>
      </c>
      <c r="AS244" s="390">
        <v>0</v>
      </c>
      <c r="AT244" s="390">
        <v>0</v>
      </c>
      <c r="AU244" s="390">
        <v>0</v>
      </c>
      <c r="AV244" s="390">
        <v>0</v>
      </c>
      <c r="AW244" s="390">
        <v>0.08</v>
      </c>
      <c r="AX244" s="390">
        <v>0</v>
      </c>
      <c r="AY244" s="390">
        <v>0</v>
      </c>
      <c r="AZ244" s="390">
        <v>0</v>
      </c>
      <c r="BA244" s="390">
        <v>0</v>
      </c>
      <c r="BB244" s="390">
        <v>0.08</v>
      </c>
      <c r="BC244" s="390">
        <v>0</v>
      </c>
      <c r="BD244" s="390">
        <v>0</v>
      </c>
      <c r="BE244" s="390">
        <v>0</v>
      </c>
      <c r="BF244" s="390">
        <v>0</v>
      </c>
      <c r="BG244" s="390">
        <v>0</v>
      </c>
      <c r="BH244" s="390">
        <v>0</v>
      </c>
      <c r="BI244" s="390">
        <v>0</v>
      </c>
      <c r="BJ244" s="390">
        <v>0</v>
      </c>
      <c r="BK244" s="390">
        <v>0</v>
      </c>
      <c r="BL244" s="390">
        <v>0</v>
      </c>
      <c r="BM244" s="390">
        <v>0</v>
      </c>
      <c r="BN244" s="390">
        <v>0</v>
      </c>
      <c r="BO244" s="390">
        <v>0.08</v>
      </c>
      <c r="BP244" s="390">
        <v>0</v>
      </c>
      <c r="BQ244" s="390">
        <v>7.0000000000000007E-2</v>
      </c>
      <c r="BR244" s="390">
        <v>0</v>
      </c>
      <c r="BS244" s="390">
        <v>0.09</v>
      </c>
      <c r="BT244" s="390">
        <v>0</v>
      </c>
      <c r="BU244" s="390">
        <v>0</v>
      </c>
      <c r="BV244" s="390">
        <v>0.08</v>
      </c>
      <c r="BW244" s="390">
        <v>0</v>
      </c>
      <c r="BX244" s="390">
        <v>0</v>
      </c>
      <c r="BY244" s="390">
        <v>0</v>
      </c>
      <c r="BZ244" s="390">
        <v>0</v>
      </c>
      <c r="CA244" s="390">
        <v>0.08</v>
      </c>
      <c r="CB244" s="390">
        <v>0</v>
      </c>
      <c r="CC244" s="390">
        <v>0</v>
      </c>
      <c r="CD244" s="390">
        <v>0</v>
      </c>
      <c r="CE244" s="390">
        <v>7.0000000000000007E-2</v>
      </c>
    </row>
    <row r="245" spans="1:83" x14ac:dyDescent="0.25">
      <c r="A245" s="635" t="s">
        <v>606</v>
      </c>
      <c r="B245" s="752">
        <v>996</v>
      </c>
      <c r="C245" s="635" t="s">
        <v>586</v>
      </c>
      <c r="D245" s="635" t="s">
        <v>587</v>
      </c>
      <c r="E245" s="390">
        <v>0.01</v>
      </c>
      <c r="F245" s="390">
        <v>0.01</v>
      </c>
      <c r="G245" s="390">
        <v>0</v>
      </c>
      <c r="H245" s="390">
        <v>0.01</v>
      </c>
      <c r="I245" s="390">
        <v>0.01</v>
      </c>
      <c r="J245" s="390">
        <v>0.01</v>
      </c>
      <c r="K245" s="390">
        <v>0</v>
      </c>
      <c r="L245" s="390">
        <v>0.01</v>
      </c>
      <c r="M245" s="390">
        <v>0.01</v>
      </c>
      <c r="N245" s="390">
        <v>0</v>
      </c>
      <c r="O245" s="390">
        <v>0</v>
      </c>
      <c r="P245" s="390">
        <v>0</v>
      </c>
      <c r="Q245" s="390">
        <v>0.01</v>
      </c>
      <c r="R245" s="390">
        <v>0.01</v>
      </c>
      <c r="S245" s="390">
        <v>0</v>
      </c>
      <c r="T245" s="390">
        <v>0.01</v>
      </c>
      <c r="U245" s="390">
        <v>0.01</v>
      </c>
      <c r="V245" s="390">
        <v>0.01</v>
      </c>
      <c r="W245" s="390">
        <v>0.01</v>
      </c>
      <c r="X245" s="390">
        <v>0</v>
      </c>
      <c r="Y245" s="390">
        <v>0.01</v>
      </c>
      <c r="Z245" s="390">
        <v>0.01</v>
      </c>
      <c r="AA245" s="390">
        <v>0.01</v>
      </c>
      <c r="AB245" s="390">
        <v>0.01</v>
      </c>
      <c r="AC245" s="390">
        <v>0.01</v>
      </c>
      <c r="AD245" s="390">
        <v>0</v>
      </c>
      <c r="AE245" s="390">
        <v>0</v>
      </c>
      <c r="AF245" s="390">
        <v>0</v>
      </c>
      <c r="AG245" s="390">
        <v>0.01</v>
      </c>
      <c r="AH245" s="390">
        <v>0</v>
      </c>
      <c r="AI245" s="390">
        <v>0.01</v>
      </c>
      <c r="AJ245" s="390">
        <v>0.01</v>
      </c>
      <c r="AK245" s="390">
        <v>0.01</v>
      </c>
      <c r="AL245" s="390">
        <v>0.01</v>
      </c>
      <c r="AM245" s="390">
        <v>0.01</v>
      </c>
      <c r="AN245" s="390">
        <v>0.01</v>
      </c>
      <c r="AO245" s="390">
        <v>0.01</v>
      </c>
      <c r="AP245" s="390">
        <v>0</v>
      </c>
      <c r="AQ245" s="390">
        <v>0.01</v>
      </c>
      <c r="AR245" s="390">
        <v>0</v>
      </c>
      <c r="AS245" s="390">
        <v>0</v>
      </c>
      <c r="AT245" s="390">
        <v>0.01</v>
      </c>
      <c r="AU245" s="390">
        <v>0.01</v>
      </c>
      <c r="AV245" s="390">
        <v>0.01</v>
      </c>
      <c r="AW245" s="390">
        <v>0.01</v>
      </c>
      <c r="AX245" s="390">
        <v>0.01</v>
      </c>
      <c r="AY245" s="390">
        <v>0.01</v>
      </c>
      <c r="AZ245" s="390">
        <v>0.01</v>
      </c>
      <c r="BA245" s="390">
        <v>0.01</v>
      </c>
      <c r="BB245" s="390">
        <v>0.01</v>
      </c>
      <c r="BC245" s="390">
        <v>0.01</v>
      </c>
      <c r="BD245" s="390">
        <v>0.01</v>
      </c>
      <c r="BE245" s="390">
        <v>0</v>
      </c>
      <c r="BF245" s="390">
        <v>0.01</v>
      </c>
      <c r="BG245" s="390">
        <v>0.01</v>
      </c>
      <c r="BH245" s="390">
        <v>0</v>
      </c>
      <c r="BI245" s="390">
        <v>0.01</v>
      </c>
      <c r="BJ245" s="390">
        <v>0.01</v>
      </c>
      <c r="BK245" s="390">
        <v>0</v>
      </c>
      <c r="BL245" s="390">
        <v>0</v>
      </c>
      <c r="BM245" s="390">
        <v>0.01</v>
      </c>
      <c r="BN245" s="390">
        <v>0.01</v>
      </c>
      <c r="BO245" s="390">
        <v>0.01</v>
      </c>
      <c r="BP245" s="390">
        <v>0.01</v>
      </c>
      <c r="BQ245" s="390">
        <v>0.01</v>
      </c>
      <c r="BR245" s="390">
        <v>0.01</v>
      </c>
      <c r="BS245" s="390">
        <v>0.01</v>
      </c>
      <c r="BT245" s="390">
        <v>0</v>
      </c>
      <c r="BU245" s="390">
        <v>0.01</v>
      </c>
      <c r="BV245" s="390">
        <v>0.01</v>
      </c>
      <c r="BW245" s="390">
        <v>0</v>
      </c>
      <c r="BX245" s="390">
        <v>0.01</v>
      </c>
      <c r="BY245" s="390">
        <v>0</v>
      </c>
      <c r="BZ245" s="390">
        <v>0.01</v>
      </c>
      <c r="CA245" s="390">
        <v>0.01</v>
      </c>
      <c r="CB245" s="390">
        <v>0</v>
      </c>
      <c r="CC245" s="390">
        <v>0.01</v>
      </c>
      <c r="CD245" s="390">
        <v>0</v>
      </c>
      <c r="CE245" s="390">
        <v>0</v>
      </c>
    </row>
    <row r="246" spans="1:83" x14ac:dyDescent="0.25">
      <c r="B246" s="752">
        <v>997</v>
      </c>
      <c r="E246" s="390"/>
      <c r="F246" s="390"/>
      <c r="G246" s="390"/>
      <c r="H246" s="390"/>
      <c r="I246" s="390"/>
      <c r="J246" s="390"/>
      <c r="K246" s="390"/>
      <c r="L246" s="390"/>
      <c r="M246" s="390"/>
      <c r="N246" s="390"/>
      <c r="O246" s="390"/>
      <c r="P246" s="390"/>
      <c r="Q246" s="390"/>
      <c r="R246" s="390"/>
      <c r="S246" s="390"/>
      <c r="T246" s="390"/>
      <c r="U246" s="390"/>
      <c r="V246" s="390"/>
      <c r="W246" s="390"/>
      <c r="X246" s="390"/>
      <c r="Y246" s="390"/>
      <c r="Z246" s="390"/>
      <c r="AA246" s="390"/>
      <c r="AB246" s="390"/>
      <c r="AC246" s="390"/>
      <c r="AD246" s="390"/>
      <c r="AE246" s="390"/>
      <c r="AF246" s="390"/>
      <c r="AG246" s="390"/>
      <c r="AH246" s="390"/>
      <c r="AI246" s="390"/>
      <c r="AJ246" s="390"/>
      <c r="AK246" s="390"/>
      <c r="AL246" s="390"/>
      <c r="AM246" s="390"/>
      <c r="AN246" s="390"/>
      <c r="AO246" s="390"/>
      <c r="AP246" s="390"/>
      <c r="AQ246" s="390"/>
      <c r="AR246" s="390"/>
      <c r="AS246" s="390"/>
      <c r="AT246" s="390"/>
      <c r="AU246" s="390"/>
      <c r="AV246" s="390"/>
      <c r="AW246" s="390"/>
      <c r="AX246" s="390"/>
      <c r="AY246" s="390"/>
      <c r="AZ246" s="390"/>
      <c r="BA246" s="390"/>
      <c r="BB246" s="390"/>
      <c r="BC246" s="390"/>
      <c r="BD246" s="390"/>
      <c r="BE246" s="390"/>
      <c r="BF246" s="390"/>
      <c r="BG246" s="390"/>
      <c r="BH246" s="390"/>
      <c r="BI246" s="390"/>
      <c r="BJ246" s="390"/>
      <c r="BK246" s="390"/>
      <c r="BL246" s="390"/>
      <c r="BM246" s="390"/>
      <c r="BN246" s="390"/>
      <c r="BO246" s="390"/>
      <c r="BP246" s="390"/>
      <c r="BQ246" s="390"/>
      <c r="BR246" s="390"/>
      <c r="BS246" s="390"/>
      <c r="BT246" s="390"/>
      <c r="BU246" s="390"/>
      <c r="BV246" s="390"/>
      <c r="BW246" s="390"/>
      <c r="BX246" s="390"/>
      <c r="BY246" s="390"/>
      <c r="BZ246" s="390"/>
      <c r="CA246" s="390"/>
      <c r="CB246" s="390"/>
      <c r="CC246" s="390"/>
      <c r="CD246" s="390"/>
      <c r="CE246" s="390"/>
    </row>
    <row r="247" spans="1:83" x14ac:dyDescent="0.25">
      <c r="A247" s="635" t="s">
        <v>607</v>
      </c>
      <c r="B247" s="752">
        <v>998</v>
      </c>
      <c r="C247" s="635" t="s">
        <v>357</v>
      </c>
      <c r="D247" s="635" t="s">
        <v>588</v>
      </c>
      <c r="E247" s="497">
        <v>50</v>
      </c>
      <c r="F247" s="497">
        <v>50</v>
      </c>
      <c r="G247" s="497">
        <v>50</v>
      </c>
      <c r="H247" s="497">
        <v>50</v>
      </c>
      <c r="I247" s="497">
        <v>50</v>
      </c>
      <c r="J247" s="497">
        <v>50</v>
      </c>
      <c r="K247" s="497">
        <v>50</v>
      </c>
      <c r="L247" s="497">
        <v>50</v>
      </c>
      <c r="M247" s="497">
        <v>50</v>
      </c>
      <c r="N247" s="497">
        <v>50</v>
      </c>
      <c r="O247" s="497">
        <v>50</v>
      </c>
      <c r="P247" s="497">
        <v>50</v>
      </c>
      <c r="Q247" s="497">
        <v>50</v>
      </c>
      <c r="R247" s="497">
        <v>50</v>
      </c>
      <c r="S247" s="497">
        <v>50</v>
      </c>
      <c r="T247" s="497">
        <v>50</v>
      </c>
      <c r="U247" s="497">
        <v>50</v>
      </c>
      <c r="V247" s="497">
        <v>50</v>
      </c>
      <c r="W247" s="497">
        <v>50</v>
      </c>
      <c r="X247" s="497">
        <v>50</v>
      </c>
      <c r="Y247" s="497">
        <v>50</v>
      </c>
      <c r="Z247" s="497">
        <v>50</v>
      </c>
      <c r="AA247" s="497">
        <v>50</v>
      </c>
      <c r="AB247" s="497">
        <v>50</v>
      </c>
      <c r="AC247" s="497">
        <v>50</v>
      </c>
      <c r="AD247" s="497">
        <v>50</v>
      </c>
      <c r="AE247" s="497">
        <v>50</v>
      </c>
      <c r="AF247" s="497">
        <v>50</v>
      </c>
      <c r="AG247" s="497">
        <v>50</v>
      </c>
      <c r="AH247" s="497">
        <v>50</v>
      </c>
      <c r="AI247" s="497">
        <v>50</v>
      </c>
      <c r="AJ247" s="497">
        <v>50</v>
      </c>
      <c r="AK247" s="497">
        <v>50</v>
      </c>
      <c r="AL247" s="497">
        <v>50</v>
      </c>
      <c r="AM247" s="497">
        <v>50</v>
      </c>
      <c r="AN247" s="497">
        <v>50</v>
      </c>
      <c r="AO247" s="497">
        <v>50</v>
      </c>
      <c r="AP247" s="497">
        <v>50</v>
      </c>
      <c r="AQ247" s="497">
        <v>50</v>
      </c>
      <c r="AR247" s="497">
        <v>50</v>
      </c>
      <c r="AS247" s="497">
        <v>50</v>
      </c>
      <c r="AT247" s="497">
        <v>50</v>
      </c>
      <c r="AU247" s="497">
        <v>50</v>
      </c>
      <c r="AV247" s="497">
        <v>50</v>
      </c>
      <c r="AW247" s="497">
        <v>50</v>
      </c>
      <c r="AX247" s="497">
        <v>50</v>
      </c>
      <c r="AY247" s="497">
        <v>50</v>
      </c>
      <c r="AZ247" s="497">
        <v>50</v>
      </c>
      <c r="BA247" s="497">
        <v>50</v>
      </c>
      <c r="BB247" s="497">
        <v>50</v>
      </c>
      <c r="BC247" s="497">
        <v>50</v>
      </c>
      <c r="BD247" s="497">
        <v>50</v>
      </c>
      <c r="BE247" s="497">
        <v>50</v>
      </c>
      <c r="BF247" s="497">
        <v>50</v>
      </c>
      <c r="BG247" s="497">
        <v>50</v>
      </c>
      <c r="BH247" s="497">
        <v>50</v>
      </c>
      <c r="BI247" s="497">
        <v>50</v>
      </c>
      <c r="BJ247" s="497">
        <v>50</v>
      </c>
      <c r="BK247" s="497">
        <v>50</v>
      </c>
      <c r="BL247" s="497">
        <v>50</v>
      </c>
      <c r="BM247" s="497">
        <v>50</v>
      </c>
      <c r="BN247" s="497">
        <v>50</v>
      </c>
      <c r="BO247" s="497">
        <v>50</v>
      </c>
      <c r="BP247" s="497">
        <v>50</v>
      </c>
      <c r="BQ247" s="497">
        <v>50</v>
      </c>
      <c r="BR247" s="497">
        <v>50</v>
      </c>
      <c r="BS247" s="497">
        <v>50</v>
      </c>
      <c r="BT247" s="497">
        <v>50</v>
      </c>
      <c r="BU247" s="497">
        <v>50</v>
      </c>
      <c r="BV247" s="497">
        <v>50</v>
      </c>
      <c r="BW247" s="497">
        <v>50</v>
      </c>
      <c r="BX247" s="497">
        <v>50</v>
      </c>
      <c r="BY247" s="497">
        <v>50</v>
      </c>
      <c r="BZ247" s="497">
        <v>50</v>
      </c>
      <c r="CA247" s="497">
        <v>50</v>
      </c>
      <c r="CB247" s="497">
        <v>50</v>
      </c>
      <c r="CC247" s="497">
        <v>50</v>
      </c>
      <c r="CD247" s="497">
        <v>50</v>
      </c>
      <c r="CE247" s="497">
        <v>50</v>
      </c>
    </row>
    <row r="248" spans="1:83" x14ac:dyDescent="0.25">
      <c r="A248" s="635" t="s">
        <v>608</v>
      </c>
      <c r="B248" s="752">
        <v>999</v>
      </c>
      <c r="C248" s="635" t="s">
        <v>358</v>
      </c>
      <c r="D248" s="635" t="s">
        <v>589</v>
      </c>
      <c r="E248" s="838">
        <v>50129</v>
      </c>
      <c r="F248" s="838">
        <v>50130</v>
      </c>
      <c r="G248" s="838">
        <v>50560</v>
      </c>
      <c r="H248" s="838">
        <v>50131</v>
      </c>
      <c r="I248" s="838">
        <v>50132</v>
      </c>
      <c r="J248" s="838">
        <v>50133</v>
      </c>
      <c r="K248" s="838">
        <v>50134</v>
      </c>
      <c r="L248" s="838">
        <v>50473</v>
      </c>
      <c r="M248" s="838">
        <v>50135</v>
      </c>
      <c r="N248" s="838">
        <v>50136</v>
      </c>
      <c r="O248" s="838">
        <v>50514</v>
      </c>
      <c r="P248" s="838">
        <v>50515</v>
      </c>
      <c r="Q248" s="838">
        <v>50570</v>
      </c>
      <c r="R248" s="838">
        <v>50137</v>
      </c>
      <c r="S248" s="838">
        <v>50549</v>
      </c>
      <c r="T248" s="838">
        <v>50138</v>
      </c>
      <c r="U248" s="838">
        <v>50139</v>
      </c>
      <c r="V248" s="838">
        <v>50474</v>
      </c>
      <c r="W248" s="838">
        <v>50140</v>
      </c>
      <c r="X248" s="838">
        <v>50141</v>
      </c>
      <c r="Y248" s="838">
        <v>50142</v>
      </c>
      <c r="Z248" s="838">
        <v>50143</v>
      </c>
      <c r="AA248" s="838">
        <v>50144</v>
      </c>
      <c r="AB248" s="838">
        <v>50492</v>
      </c>
      <c r="AC248" s="838">
        <v>50145</v>
      </c>
      <c r="AD248" s="838">
        <v>50146</v>
      </c>
      <c r="AE248" s="838">
        <v>50147</v>
      </c>
      <c r="AF248" s="838">
        <v>50148</v>
      </c>
      <c r="AG248" s="838">
        <v>50149</v>
      </c>
      <c r="AH248" s="838">
        <v>50150</v>
      </c>
      <c r="AI248" s="838">
        <v>50151</v>
      </c>
      <c r="AJ248" s="838">
        <v>50152</v>
      </c>
      <c r="AK248" s="838">
        <v>50153</v>
      </c>
      <c r="AL248" s="838">
        <v>50475</v>
      </c>
      <c r="AM248" s="838">
        <v>50154</v>
      </c>
      <c r="AN248" s="838">
        <v>50155</v>
      </c>
      <c r="AO248" s="838">
        <v>50156</v>
      </c>
      <c r="AP248" s="838">
        <v>50516</v>
      </c>
      <c r="AQ248" s="838">
        <v>50157</v>
      </c>
      <c r="AR248" s="838">
        <v>50158</v>
      </c>
      <c r="AS248" s="838">
        <v>50545</v>
      </c>
      <c r="AT248" s="838">
        <v>50517</v>
      </c>
      <c r="AU248" s="838">
        <v>50448</v>
      </c>
      <c r="AV248" s="838">
        <v>50159</v>
      </c>
      <c r="AW248" s="838">
        <v>50160</v>
      </c>
      <c r="AX248" s="838">
        <v>50161</v>
      </c>
      <c r="AY248" s="838">
        <v>50162</v>
      </c>
      <c r="AZ248" s="838">
        <v>50163</v>
      </c>
      <c r="BA248" s="838">
        <v>50165</v>
      </c>
      <c r="BB248" s="838">
        <v>50166</v>
      </c>
      <c r="BC248" s="838">
        <v>50167</v>
      </c>
      <c r="BD248" s="838">
        <v>50168</v>
      </c>
      <c r="BE248" s="838">
        <v>50169</v>
      </c>
      <c r="BF248" s="838">
        <v>50170</v>
      </c>
      <c r="BG248" s="838">
        <v>50451</v>
      </c>
      <c r="BH248" s="838">
        <v>50171</v>
      </c>
      <c r="BI248" s="838">
        <v>50172</v>
      </c>
      <c r="BJ248" s="838">
        <v>50440</v>
      </c>
      <c r="BK248" s="838">
        <v>50173</v>
      </c>
      <c r="BL248" s="838">
        <v>50547</v>
      </c>
      <c r="BM248" s="838">
        <v>50175</v>
      </c>
      <c r="BN248" s="838">
        <v>50176</v>
      </c>
      <c r="BO248" s="838">
        <v>50177</v>
      </c>
      <c r="BP248" s="838">
        <v>50178</v>
      </c>
      <c r="BQ248" s="838">
        <v>50180</v>
      </c>
      <c r="BR248" s="838">
        <v>50447</v>
      </c>
      <c r="BS248" s="838">
        <v>50179</v>
      </c>
      <c r="BT248" s="838">
        <v>50462</v>
      </c>
      <c r="BU248" s="838">
        <v>50181</v>
      </c>
      <c r="BV248" s="838">
        <v>50182</v>
      </c>
      <c r="BW248" s="838">
        <v>50183</v>
      </c>
      <c r="BX248" s="838">
        <v>50446</v>
      </c>
      <c r="BY248" s="838">
        <v>50184</v>
      </c>
      <c r="BZ248" s="838">
        <v>50185</v>
      </c>
      <c r="CA248" s="838">
        <v>50186</v>
      </c>
      <c r="CB248" s="838">
        <v>50187</v>
      </c>
      <c r="CC248" s="838">
        <v>50188</v>
      </c>
      <c r="CD248" s="838">
        <v>50189</v>
      </c>
      <c r="CE248" s="838">
        <v>50190</v>
      </c>
    </row>
    <row r="249" spans="1:83" x14ac:dyDescent="0.25">
      <c r="B249" s="752">
        <v>1000</v>
      </c>
      <c r="E249" s="497" t="s">
        <v>1191</v>
      </c>
      <c r="F249" s="497" t="s">
        <v>1191</v>
      </c>
      <c r="G249" s="497" t="s">
        <v>810</v>
      </c>
      <c r="H249" s="497" t="s">
        <v>1191</v>
      </c>
      <c r="I249" s="497" t="s">
        <v>1191</v>
      </c>
      <c r="J249" s="497" t="s">
        <v>1191</v>
      </c>
      <c r="K249" s="497" t="s">
        <v>810</v>
      </c>
      <c r="L249" s="497" t="s">
        <v>1191</v>
      </c>
      <c r="M249" s="497" t="s">
        <v>1191</v>
      </c>
      <c r="N249" s="497" t="s">
        <v>810</v>
      </c>
      <c r="O249" s="497" t="s">
        <v>810</v>
      </c>
      <c r="P249" s="497" t="s">
        <v>810</v>
      </c>
      <c r="Q249" s="497" t="s">
        <v>1191</v>
      </c>
      <c r="R249" s="497" t="s">
        <v>1191</v>
      </c>
      <c r="S249" s="497" t="s">
        <v>810</v>
      </c>
      <c r="T249" s="497" t="s">
        <v>1191</v>
      </c>
      <c r="U249" s="497" t="s">
        <v>1191</v>
      </c>
      <c r="V249" s="497" t="s">
        <v>1191</v>
      </c>
      <c r="W249" s="497" t="s">
        <v>1191</v>
      </c>
      <c r="X249" s="497" t="s">
        <v>810</v>
      </c>
      <c r="Y249" s="497" t="s">
        <v>1191</v>
      </c>
      <c r="Z249" s="497" t="s">
        <v>1191</v>
      </c>
      <c r="AA249" s="497" t="s">
        <v>1191</v>
      </c>
      <c r="AB249" s="497" t="s">
        <v>1191</v>
      </c>
      <c r="AC249" s="497" t="s">
        <v>1191</v>
      </c>
      <c r="AD249" s="497" t="s">
        <v>810</v>
      </c>
      <c r="AE249" s="497" t="s">
        <v>810</v>
      </c>
      <c r="AF249" s="497" t="s">
        <v>810</v>
      </c>
      <c r="AG249" s="497" t="s">
        <v>1191</v>
      </c>
      <c r="AH249" s="497" t="s">
        <v>810</v>
      </c>
      <c r="AI249" s="497" t="s">
        <v>1191</v>
      </c>
      <c r="AJ249" s="497" t="s">
        <v>1191</v>
      </c>
      <c r="AK249" s="497" t="s">
        <v>1191</v>
      </c>
      <c r="AL249" s="497" t="s">
        <v>1191</v>
      </c>
      <c r="AM249" s="497" t="s">
        <v>1191</v>
      </c>
      <c r="AN249" s="497" t="s">
        <v>1191</v>
      </c>
      <c r="AO249" s="497" t="s">
        <v>1191</v>
      </c>
      <c r="AP249" s="497" t="s">
        <v>810</v>
      </c>
      <c r="AQ249" s="497" t="s">
        <v>1191</v>
      </c>
      <c r="AR249" s="497" t="s">
        <v>810</v>
      </c>
      <c r="AS249" s="497" t="s">
        <v>810</v>
      </c>
      <c r="AT249" s="497" t="s">
        <v>1191</v>
      </c>
      <c r="AU249" s="497" t="s">
        <v>1191</v>
      </c>
      <c r="AV249" s="497" t="s">
        <v>1191</v>
      </c>
      <c r="AW249" s="497" t="s">
        <v>1191</v>
      </c>
      <c r="AX249" s="497" t="s">
        <v>1191</v>
      </c>
      <c r="AY249" s="497" t="s">
        <v>1191</v>
      </c>
      <c r="AZ249" s="497" t="s">
        <v>1191</v>
      </c>
      <c r="BA249" s="497" t="s">
        <v>1191</v>
      </c>
      <c r="BB249" s="497" t="s">
        <v>1191</v>
      </c>
      <c r="BC249" s="497" t="s">
        <v>1191</v>
      </c>
      <c r="BD249" s="497" t="s">
        <v>1191</v>
      </c>
      <c r="BE249" s="497" t="s">
        <v>810</v>
      </c>
      <c r="BF249" s="497" t="s">
        <v>1191</v>
      </c>
      <c r="BG249" s="497" t="s">
        <v>1191</v>
      </c>
      <c r="BH249" s="497" t="s">
        <v>810</v>
      </c>
      <c r="BI249" s="497" t="s">
        <v>1191</v>
      </c>
      <c r="BJ249" s="497" t="s">
        <v>1191</v>
      </c>
      <c r="BK249" s="497" t="s">
        <v>810</v>
      </c>
      <c r="BL249" s="497" t="s">
        <v>810</v>
      </c>
      <c r="BM249" s="497" t="s">
        <v>1191</v>
      </c>
      <c r="BN249" s="497" t="s">
        <v>1191</v>
      </c>
      <c r="BO249" s="497" t="s">
        <v>1191</v>
      </c>
      <c r="BP249" s="497" t="s">
        <v>1191</v>
      </c>
      <c r="BQ249" s="497" t="s">
        <v>1191</v>
      </c>
      <c r="BR249" s="497" t="s">
        <v>1191</v>
      </c>
      <c r="BS249" s="497" t="s">
        <v>1191</v>
      </c>
      <c r="BT249" s="497" t="s">
        <v>810</v>
      </c>
      <c r="BU249" s="497" t="s">
        <v>1191</v>
      </c>
      <c r="BV249" s="497" t="s">
        <v>1191</v>
      </c>
      <c r="BW249" s="497" t="s">
        <v>810</v>
      </c>
      <c r="BX249" s="497" t="s">
        <v>1191</v>
      </c>
      <c r="BY249" s="497" t="s">
        <v>810</v>
      </c>
      <c r="BZ249" s="497" t="s">
        <v>1191</v>
      </c>
      <c r="CA249" s="497" t="s">
        <v>1191</v>
      </c>
      <c r="CB249" s="497" t="s">
        <v>810</v>
      </c>
      <c r="CC249" s="497" t="s">
        <v>1191</v>
      </c>
      <c r="CD249" s="497" t="s">
        <v>810</v>
      </c>
      <c r="CE249" s="497" t="s">
        <v>810</v>
      </c>
    </row>
    <row r="250" spans="1:83" x14ac:dyDescent="0.25">
      <c r="B250" s="752">
        <v>537</v>
      </c>
      <c r="E250" s="497" t="s">
        <v>59</v>
      </c>
      <c r="F250" s="497" t="s">
        <v>59</v>
      </c>
      <c r="G250" s="497" t="s">
        <v>810</v>
      </c>
      <c r="H250" s="497" t="s">
        <v>58</v>
      </c>
      <c r="I250" s="497" t="s">
        <v>59</v>
      </c>
      <c r="J250" s="497" t="s">
        <v>59</v>
      </c>
      <c r="K250" s="497" t="s">
        <v>810</v>
      </c>
      <c r="L250" s="497" t="s">
        <v>59</v>
      </c>
      <c r="M250" s="497" t="s">
        <v>59</v>
      </c>
      <c r="N250" s="497" t="s">
        <v>810</v>
      </c>
      <c r="O250" s="497" t="s">
        <v>810</v>
      </c>
      <c r="P250" s="497" t="s">
        <v>810</v>
      </c>
      <c r="Q250" s="497" t="s">
        <v>59</v>
      </c>
      <c r="R250" s="497" t="s">
        <v>59</v>
      </c>
      <c r="S250" s="497" t="s">
        <v>810</v>
      </c>
      <c r="T250" s="497" t="s">
        <v>59</v>
      </c>
      <c r="U250" s="497" t="s">
        <v>59</v>
      </c>
      <c r="V250" s="497" t="s">
        <v>59</v>
      </c>
      <c r="W250" s="497" t="s">
        <v>58</v>
      </c>
      <c r="X250" s="497" t="s">
        <v>810</v>
      </c>
      <c r="Y250" s="497" t="s">
        <v>59</v>
      </c>
      <c r="Z250" s="497" t="s">
        <v>59</v>
      </c>
      <c r="AA250" s="497" t="s">
        <v>58</v>
      </c>
      <c r="AB250" s="497" t="s">
        <v>59</v>
      </c>
      <c r="AC250" s="497" t="s">
        <v>58</v>
      </c>
      <c r="AD250" s="497" t="s">
        <v>810</v>
      </c>
      <c r="AE250" s="497" t="s">
        <v>810</v>
      </c>
      <c r="AF250" s="497" t="s">
        <v>810</v>
      </c>
      <c r="AG250" s="497" t="s">
        <v>58</v>
      </c>
      <c r="AH250" s="497" t="s">
        <v>59</v>
      </c>
      <c r="AI250" s="497" t="s">
        <v>59</v>
      </c>
      <c r="AJ250" s="497" t="s">
        <v>59</v>
      </c>
      <c r="AK250" s="497" t="s">
        <v>59</v>
      </c>
      <c r="AL250" s="497" t="s">
        <v>59</v>
      </c>
      <c r="AM250" s="497" t="s">
        <v>810</v>
      </c>
      <c r="AN250" s="497" t="s">
        <v>59</v>
      </c>
      <c r="AO250" s="497" t="s">
        <v>59</v>
      </c>
      <c r="AP250" s="497" t="s">
        <v>59</v>
      </c>
      <c r="AQ250" s="497" t="s">
        <v>58</v>
      </c>
      <c r="AR250" s="497" t="s">
        <v>810</v>
      </c>
      <c r="AS250" s="497" t="s">
        <v>810</v>
      </c>
      <c r="AT250" s="497" t="s">
        <v>59</v>
      </c>
      <c r="AU250" s="497" t="s">
        <v>58</v>
      </c>
      <c r="AV250" s="497" t="s">
        <v>58</v>
      </c>
      <c r="AW250" s="497" t="s">
        <v>58</v>
      </c>
      <c r="AX250" s="497" t="s">
        <v>59</v>
      </c>
      <c r="AY250" s="497" t="s">
        <v>58</v>
      </c>
      <c r="AZ250" s="497" t="s">
        <v>59</v>
      </c>
      <c r="BA250" s="497" t="s">
        <v>810</v>
      </c>
      <c r="BB250" s="497" t="s">
        <v>810</v>
      </c>
      <c r="BC250" s="497" t="s">
        <v>59</v>
      </c>
      <c r="BD250" s="497" t="s">
        <v>59</v>
      </c>
      <c r="BE250" s="497" t="s">
        <v>59</v>
      </c>
      <c r="BF250" s="497" t="s">
        <v>810</v>
      </c>
      <c r="BG250" s="497" t="s">
        <v>59</v>
      </c>
      <c r="BH250" s="497" t="s">
        <v>810</v>
      </c>
      <c r="BI250" s="497" t="s">
        <v>58</v>
      </c>
      <c r="BJ250" s="497" t="s">
        <v>58</v>
      </c>
      <c r="BK250" s="497" t="s">
        <v>59</v>
      </c>
      <c r="BL250" s="497" t="s">
        <v>810</v>
      </c>
      <c r="BM250" s="497" t="s">
        <v>59</v>
      </c>
      <c r="BN250" s="497" t="s">
        <v>58</v>
      </c>
      <c r="BO250" s="497" t="s">
        <v>59</v>
      </c>
      <c r="BP250" s="497" t="s">
        <v>58</v>
      </c>
      <c r="BQ250" s="497" t="s">
        <v>58</v>
      </c>
      <c r="BR250" s="497" t="s">
        <v>59</v>
      </c>
      <c r="BS250" s="497" t="s">
        <v>59</v>
      </c>
      <c r="BT250" s="497" t="s">
        <v>810</v>
      </c>
      <c r="BU250" s="497" t="s">
        <v>58</v>
      </c>
      <c r="BV250" s="497" t="s">
        <v>59</v>
      </c>
      <c r="BW250" s="497" t="s">
        <v>59</v>
      </c>
      <c r="BX250" s="497" t="s">
        <v>59</v>
      </c>
      <c r="BY250" s="497" t="s">
        <v>810</v>
      </c>
      <c r="BZ250" s="497" t="s">
        <v>58</v>
      </c>
      <c r="CA250" s="497" t="s">
        <v>59</v>
      </c>
      <c r="CB250" s="497" t="s">
        <v>810</v>
      </c>
      <c r="CC250" s="497" t="s">
        <v>58</v>
      </c>
      <c r="CD250" s="497" t="s">
        <v>810</v>
      </c>
      <c r="CE250" s="497" t="s">
        <v>59</v>
      </c>
    </row>
    <row r="251" spans="1:83" x14ac:dyDescent="0.25">
      <c r="B251" s="752">
        <v>538</v>
      </c>
      <c r="E251" s="497" t="s">
        <v>59</v>
      </c>
      <c r="F251" s="497" t="s">
        <v>59</v>
      </c>
      <c r="G251" s="497" t="s">
        <v>810</v>
      </c>
      <c r="H251" s="497" t="s">
        <v>59</v>
      </c>
      <c r="I251" s="497" t="s">
        <v>59</v>
      </c>
      <c r="J251" s="497" t="s">
        <v>58</v>
      </c>
      <c r="K251" s="497" t="s">
        <v>810</v>
      </c>
      <c r="L251" s="497" t="s">
        <v>59</v>
      </c>
      <c r="M251" s="497" t="s">
        <v>59</v>
      </c>
      <c r="N251" s="497" t="s">
        <v>810</v>
      </c>
      <c r="O251" s="497" t="s">
        <v>810</v>
      </c>
      <c r="P251" s="497" t="s">
        <v>810</v>
      </c>
      <c r="Q251" s="497" t="s">
        <v>59</v>
      </c>
      <c r="R251" s="497" t="s">
        <v>59</v>
      </c>
      <c r="S251" s="497" t="s">
        <v>810</v>
      </c>
      <c r="T251" s="497" t="s">
        <v>59</v>
      </c>
      <c r="U251" s="497" t="s">
        <v>59</v>
      </c>
      <c r="V251" s="497" t="s">
        <v>59</v>
      </c>
      <c r="W251" s="497" t="s">
        <v>58</v>
      </c>
      <c r="X251" s="497" t="s">
        <v>810</v>
      </c>
      <c r="Y251" s="497" t="s">
        <v>59</v>
      </c>
      <c r="Z251" s="497" t="s">
        <v>58</v>
      </c>
      <c r="AA251" s="497" t="s">
        <v>58</v>
      </c>
      <c r="AB251" s="497" t="s">
        <v>59</v>
      </c>
      <c r="AC251" s="497" t="s">
        <v>59</v>
      </c>
      <c r="AD251" s="497" t="s">
        <v>810</v>
      </c>
      <c r="AE251" s="497" t="s">
        <v>810</v>
      </c>
      <c r="AF251" s="497" t="s">
        <v>810</v>
      </c>
      <c r="AG251" s="497" t="s">
        <v>59</v>
      </c>
      <c r="AH251" s="497" t="s">
        <v>59</v>
      </c>
      <c r="AI251" s="497" t="s">
        <v>59</v>
      </c>
      <c r="AJ251" s="497" t="s">
        <v>59</v>
      </c>
      <c r="AK251" s="497" t="s">
        <v>59</v>
      </c>
      <c r="AL251" s="497" t="s">
        <v>59</v>
      </c>
      <c r="AM251" s="497" t="s">
        <v>810</v>
      </c>
      <c r="AN251" s="497" t="s">
        <v>59</v>
      </c>
      <c r="AO251" s="497" t="s">
        <v>59</v>
      </c>
      <c r="AP251" s="497" t="s">
        <v>59</v>
      </c>
      <c r="AQ251" s="497" t="s">
        <v>58</v>
      </c>
      <c r="AR251" s="497" t="s">
        <v>810</v>
      </c>
      <c r="AS251" s="497" t="s">
        <v>810</v>
      </c>
      <c r="AT251" s="497" t="s">
        <v>59</v>
      </c>
      <c r="AU251" s="497" t="s">
        <v>59</v>
      </c>
      <c r="AV251" s="497" t="s">
        <v>58</v>
      </c>
      <c r="AW251" s="497" t="s">
        <v>59</v>
      </c>
      <c r="AX251" s="497" t="s">
        <v>59</v>
      </c>
      <c r="AY251" s="497" t="s">
        <v>59</v>
      </c>
      <c r="AZ251" s="497" t="s">
        <v>59</v>
      </c>
      <c r="BA251" s="497" t="s">
        <v>810</v>
      </c>
      <c r="BB251" s="497" t="s">
        <v>810</v>
      </c>
      <c r="BC251" s="497" t="s">
        <v>59</v>
      </c>
      <c r="BD251" s="497" t="s">
        <v>810</v>
      </c>
      <c r="BE251" s="497" t="s">
        <v>59</v>
      </c>
      <c r="BF251" s="497" t="s">
        <v>59</v>
      </c>
      <c r="BG251" s="497" t="s">
        <v>58</v>
      </c>
      <c r="BH251" s="497" t="s">
        <v>810</v>
      </c>
      <c r="BI251" s="497" t="s">
        <v>58</v>
      </c>
      <c r="BJ251" s="497" t="s">
        <v>58</v>
      </c>
      <c r="BK251" s="497" t="s">
        <v>59</v>
      </c>
      <c r="BL251" s="497" t="s">
        <v>810</v>
      </c>
      <c r="BM251" s="497" t="s">
        <v>59</v>
      </c>
      <c r="BN251" s="497" t="s">
        <v>58</v>
      </c>
      <c r="BO251" s="497" t="s">
        <v>810</v>
      </c>
      <c r="BP251" s="497" t="s">
        <v>58</v>
      </c>
      <c r="BQ251" s="497" t="s">
        <v>58</v>
      </c>
      <c r="BR251" s="497" t="s">
        <v>59</v>
      </c>
      <c r="BS251" s="497" t="s">
        <v>59</v>
      </c>
      <c r="BT251" s="497" t="s">
        <v>810</v>
      </c>
      <c r="BU251" s="497" t="s">
        <v>58</v>
      </c>
      <c r="BV251" s="497" t="s">
        <v>59</v>
      </c>
      <c r="BW251" s="497" t="s">
        <v>59</v>
      </c>
      <c r="BX251" s="497" t="s">
        <v>59</v>
      </c>
      <c r="BY251" s="497" t="s">
        <v>810</v>
      </c>
      <c r="BZ251" s="497" t="s">
        <v>58</v>
      </c>
      <c r="CA251" s="497" t="s">
        <v>59</v>
      </c>
      <c r="CB251" s="497" t="s">
        <v>810</v>
      </c>
      <c r="CC251" s="497" t="s">
        <v>59</v>
      </c>
      <c r="CD251" s="497" t="s">
        <v>59</v>
      </c>
      <c r="CE251" s="497" t="s">
        <v>59</v>
      </c>
    </row>
    <row r="252" spans="1:83" x14ac:dyDescent="0.25">
      <c r="A252" s="635">
        <v>591</v>
      </c>
      <c r="B252" s="635">
        <v>591</v>
      </c>
      <c r="C252" s="635" t="s">
        <v>706</v>
      </c>
      <c r="E252" s="497">
        <v>515262</v>
      </c>
      <c r="F252" s="497">
        <v>1462431</v>
      </c>
      <c r="G252" s="497">
        <v>0</v>
      </c>
      <c r="H252" s="497">
        <v>904100</v>
      </c>
      <c r="I252" s="497">
        <v>499078</v>
      </c>
      <c r="J252" s="497">
        <v>170210</v>
      </c>
      <c r="K252" s="497">
        <v>0</v>
      </c>
      <c r="L252" s="497">
        <v>372084</v>
      </c>
      <c r="M252" s="497">
        <v>10929204</v>
      </c>
      <c r="N252" s="497">
        <v>38311808</v>
      </c>
      <c r="O252" s="497">
        <v>0</v>
      </c>
      <c r="P252" s="497">
        <v>0</v>
      </c>
      <c r="Q252" s="497">
        <v>168439</v>
      </c>
      <c r="R252" s="497">
        <v>13182478</v>
      </c>
      <c r="S252" s="497">
        <v>0</v>
      </c>
      <c r="T252" s="497">
        <v>1042894</v>
      </c>
      <c r="U252" s="497">
        <v>1152970</v>
      </c>
      <c r="V252" s="497">
        <v>167297</v>
      </c>
      <c r="W252" s="497">
        <v>3437558</v>
      </c>
      <c r="X252" s="497">
        <v>0</v>
      </c>
      <c r="Y252" s="497">
        <v>0</v>
      </c>
      <c r="Z252" s="497">
        <v>3223071</v>
      </c>
      <c r="AA252" s="497">
        <v>11693145</v>
      </c>
      <c r="AB252" s="497">
        <v>136050</v>
      </c>
      <c r="AC252" s="497">
        <v>282768</v>
      </c>
      <c r="AD252" s="497">
        <v>0</v>
      </c>
      <c r="AE252" s="497">
        <v>0</v>
      </c>
      <c r="AF252" s="497">
        <v>0</v>
      </c>
      <c r="AG252" s="497">
        <v>116508300</v>
      </c>
      <c r="AH252" s="497">
        <v>263</v>
      </c>
      <c r="AI252" s="497">
        <v>201442</v>
      </c>
      <c r="AJ252" s="497">
        <v>3664546</v>
      </c>
      <c r="AK252" s="497">
        <v>88220</v>
      </c>
      <c r="AL252" s="497">
        <v>86312</v>
      </c>
      <c r="AM252" s="497">
        <v>0</v>
      </c>
      <c r="AN252" s="497">
        <v>336954</v>
      </c>
      <c r="AO252" s="497">
        <v>6628864</v>
      </c>
      <c r="AP252" s="497">
        <v>0</v>
      </c>
      <c r="AQ252" s="497">
        <v>9324124</v>
      </c>
      <c r="AR252" s="497">
        <v>0</v>
      </c>
      <c r="AS252" s="497">
        <v>0</v>
      </c>
      <c r="AT252" s="497">
        <v>1258818</v>
      </c>
      <c r="AU252" s="497">
        <v>420847</v>
      </c>
      <c r="AV252" s="497">
        <v>197911810</v>
      </c>
      <c r="AW252" s="497">
        <v>257244350</v>
      </c>
      <c r="AX252" s="497">
        <v>1232402</v>
      </c>
      <c r="AY252" s="497">
        <v>455463</v>
      </c>
      <c r="AZ252" s="497">
        <v>523021</v>
      </c>
      <c r="BA252" s="497">
        <v>266060</v>
      </c>
      <c r="BB252" s="497">
        <v>0</v>
      </c>
      <c r="BC252" s="497">
        <v>3202104</v>
      </c>
      <c r="BD252" s="497">
        <v>278586</v>
      </c>
      <c r="BE252" s="497">
        <v>0</v>
      </c>
      <c r="BF252" s="497">
        <v>143378</v>
      </c>
      <c r="BG252" s="497">
        <v>8311479</v>
      </c>
      <c r="BH252" s="497">
        <v>0</v>
      </c>
      <c r="BI252" s="497">
        <v>7635475</v>
      </c>
      <c r="BJ252" s="497">
        <v>2134814</v>
      </c>
      <c r="BK252" s="497">
        <v>0</v>
      </c>
      <c r="BL252" s="497">
        <v>0</v>
      </c>
      <c r="BM252" s="497">
        <v>13770692</v>
      </c>
      <c r="BN252" s="497">
        <v>17773664</v>
      </c>
      <c r="BO252" s="497">
        <v>4723369</v>
      </c>
      <c r="BP252" s="497">
        <v>32615990</v>
      </c>
      <c r="BQ252" s="497">
        <v>191319863</v>
      </c>
      <c r="BR252" s="497">
        <v>265234</v>
      </c>
      <c r="BS252" s="497">
        <v>9541897</v>
      </c>
      <c r="BT252" s="497">
        <v>0</v>
      </c>
      <c r="BU252" s="497">
        <v>9921568</v>
      </c>
      <c r="BV252" s="497">
        <v>742037</v>
      </c>
      <c r="BW252" s="497">
        <v>0</v>
      </c>
      <c r="BX252" s="497">
        <v>3543405</v>
      </c>
      <c r="BY252" s="497">
        <v>0</v>
      </c>
      <c r="BZ252" s="497">
        <v>17925235</v>
      </c>
      <c r="CA252" s="497">
        <v>1073674</v>
      </c>
      <c r="CB252" s="497">
        <v>0</v>
      </c>
      <c r="CC252" s="497">
        <v>253049</v>
      </c>
      <c r="CD252" s="497">
        <v>0</v>
      </c>
      <c r="CE252" s="497">
        <v>23521687</v>
      </c>
    </row>
    <row r="253" spans="1:83" x14ac:dyDescent="0.25">
      <c r="A253" s="635">
        <v>592</v>
      </c>
      <c r="B253" s="635">
        <v>592</v>
      </c>
      <c r="C253" s="635" t="s">
        <v>707</v>
      </c>
      <c r="E253" s="497">
        <v>345191</v>
      </c>
      <c r="F253" s="497">
        <v>309082</v>
      </c>
      <c r="G253" s="497">
        <v>0</v>
      </c>
      <c r="H253" s="497">
        <v>47664</v>
      </c>
      <c r="I253" s="497">
        <v>-161143</v>
      </c>
      <c r="J253" s="497">
        <v>-6653</v>
      </c>
      <c r="K253" s="497">
        <v>0</v>
      </c>
      <c r="L253" s="497">
        <v>247836</v>
      </c>
      <c r="M253" s="497">
        <v>133239</v>
      </c>
      <c r="N253" s="497">
        <v>6831818</v>
      </c>
      <c r="O253" s="497">
        <v>0</v>
      </c>
      <c r="P253" s="497">
        <v>0</v>
      </c>
      <c r="Q253" s="497">
        <v>544122</v>
      </c>
      <c r="R253" s="497">
        <v>1691082</v>
      </c>
      <c r="S253" s="497">
        <v>0</v>
      </c>
      <c r="T253" s="497">
        <v>632228</v>
      </c>
      <c r="U253" s="497">
        <v>-37000</v>
      </c>
      <c r="V253" s="497">
        <v>31224</v>
      </c>
      <c r="W253" s="497">
        <v>838860</v>
      </c>
      <c r="X253" s="497">
        <v>0</v>
      </c>
      <c r="Y253" s="497">
        <v>-224959</v>
      </c>
      <c r="Z253" s="497">
        <v>-1785</v>
      </c>
      <c r="AA253" s="497">
        <v>8469810</v>
      </c>
      <c r="AB253" s="497">
        <v>-78964</v>
      </c>
      <c r="AC253" s="497">
        <v>96389</v>
      </c>
      <c r="AD253" s="497">
        <v>0</v>
      </c>
      <c r="AE253" s="497">
        <v>0</v>
      </c>
      <c r="AF253" s="497">
        <v>0</v>
      </c>
      <c r="AG253" s="497">
        <v>16282799</v>
      </c>
      <c r="AH253" s="497">
        <v>-263</v>
      </c>
      <c r="AI253" s="497">
        <v>-67442</v>
      </c>
      <c r="AJ253" s="497">
        <v>202900</v>
      </c>
      <c r="AK253" s="497">
        <v>-74102</v>
      </c>
      <c r="AL253" s="497">
        <v>-4551</v>
      </c>
      <c r="AM253" s="497">
        <v>0</v>
      </c>
      <c r="AN253" s="497">
        <v>297189</v>
      </c>
      <c r="AO253" s="497">
        <v>117253</v>
      </c>
      <c r="AP253" s="497">
        <v>0</v>
      </c>
      <c r="AQ253" s="497">
        <v>197771</v>
      </c>
      <c r="AR253" s="497">
        <v>0</v>
      </c>
      <c r="AS253" s="497">
        <v>0</v>
      </c>
      <c r="AT253" s="497">
        <v>11541</v>
      </c>
      <c r="AU253" s="497">
        <v>144777</v>
      </c>
      <c r="AV253" s="497">
        <v>44389629</v>
      </c>
      <c r="AW253" s="497">
        <v>23076888</v>
      </c>
      <c r="AX253" s="497">
        <v>7593</v>
      </c>
      <c r="AY253" s="497">
        <v>-163680</v>
      </c>
      <c r="AZ253" s="497">
        <v>-13323</v>
      </c>
      <c r="BA253" s="497">
        <v>-117412</v>
      </c>
      <c r="BB253" s="497">
        <v>0</v>
      </c>
      <c r="BC253" s="497">
        <v>62390</v>
      </c>
      <c r="BD253" s="497">
        <v>-123666</v>
      </c>
      <c r="BE253" s="497">
        <v>0</v>
      </c>
      <c r="BF253" s="497">
        <v>3757</v>
      </c>
      <c r="BG253" s="497">
        <v>3059421</v>
      </c>
      <c r="BH253" s="497">
        <v>0</v>
      </c>
      <c r="BI253" s="497">
        <v>238949</v>
      </c>
      <c r="BJ253" s="497">
        <v>-406360</v>
      </c>
      <c r="BK253" s="497">
        <v>0</v>
      </c>
      <c r="BL253" s="497">
        <v>0</v>
      </c>
      <c r="BM253" s="497">
        <v>4620339</v>
      </c>
      <c r="BN253" s="497">
        <v>1393193</v>
      </c>
      <c r="BO253" s="497">
        <v>-235854</v>
      </c>
      <c r="BP253" s="497">
        <v>6254155</v>
      </c>
      <c r="BQ253" s="497">
        <v>22175589</v>
      </c>
      <c r="BR253" s="497">
        <v>27471</v>
      </c>
      <c r="BS253" s="497">
        <v>-32105</v>
      </c>
      <c r="BT253" s="497">
        <v>0</v>
      </c>
      <c r="BU253" s="497">
        <v>5025887</v>
      </c>
      <c r="BV253" s="497">
        <v>-132917</v>
      </c>
      <c r="BW253" s="497">
        <v>988062</v>
      </c>
      <c r="BX253" s="497">
        <v>122723</v>
      </c>
      <c r="BY253" s="497">
        <v>0</v>
      </c>
      <c r="BZ253" s="497">
        <v>7416883</v>
      </c>
      <c r="CA253" s="497">
        <v>-55546</v>
      </c>
      <c r="CB253" s="497">
        <v>0</v>
      </c>
      <c r="CC253" s="497">
        <v>115581</v>
      </c>
      <c r="CD253" s="497">
        <v>0</v>
      </c>
      <c r="CE253" s="497">
        <v>1935286</v>
      </c>
    </row>
    <row r="254" spans="1:83" x14ac:dyDescent="0.25">
      <c r="B254" s="635">
        <v>595</v>
      </c>
      <c r="C254" s="635" t="s">
        <v>785</v>
      </c>
      <c r="E254" s="497"/>
      <c r="F254" s="497"/>
      <c r="G254" s="497"/>
      <c r="H254" s="497"/>
      <c r="I254" s="497"/>
      <c r="J254" s="497"/>
      <c r="K254" s="497"/>
      <c r="L254" s="497"/>
      <c r="M254" s="497"/>
      <c r="N254" s="497"/>
      <c r="O254" s="497"/>
      <c r="P254" s="497"/>
      <c r="Q254" s="497"/>
      <c r="R254" s="497"/>
      <c r="S254" s="497"/>
      <c r="T254" s="497"/>
      <c r="U254" s="497"/>
      <c r="V254" s="497"/>
      <c r="W254" s="497"/>
      <c r="X254" s="497"/>
      <c r="Y254" s="497"/>
      <c r="Z254" s="497"/>
      <c r="AA254" s="497"/>
      <c r="AB254" s="497"/>
      <c r="AC254" s="497"/>
      <c r="AD254" s="497"/>
      <c r="AE254" s="497"/>
      <c r="AF254" s="497"/>
      <c r="AG254" s="497"/>
      <c r="AH254" s="497"/>
      <c r="AI254" s="497"/>
      <c r="AJ254" s="497"/>
      <c r="AK254" s="497"/>
      <c r="AL254" s="497"/>
      <c r="AM254" s="497"/>
      <c r="AN254" s="497"/>
      <c r="AO254" s="497"/>
      <c r="AP254" s="497"/>
      <c r="AQ254" s="497"/>
      <c r="AR254" s="497"/>
      <c r="AS254" s="497"/>
      <c r="AT254" s="497"/>
      <c r="AU254" s="497"/>
      <c r="AV254" s="497"/>
      <c r="AW254" s="497"/>
      <c r="AX254" s="497"/>
      <c r="AY254" s="497"/>
      <c r="AZ254" s="497"/>
      <c r="BA254" s="497"/>
      <c r="BB254" s="497"/>
      <c r="BC254" s="497"/>
      <c r="BD254" s="497"/>
      <c r="BE254" s="497"/>
      <c r="BF254" s="497"/>
      <c r="BG254" s="497"/>
      <c r="BH254" s="497"/>
      <c r="BI254" s="497"/>
      <c r="BJ254" s="497"/>
      <c r="BK254" s="497"/>
      <c r="BL254" s="497"/>
      <c r="BM254" s="497"/>
      <c r="BN254" s="497"/>
      <c r="BO254" s="497"/>
      <c r="BP254" s="497"/>
      <c r="BQ254" s="497"/>
      <c r="BR254" s="497"/>
      <c r="BS254" s="497"/>
      <c r="BT254" s="497"/>
      <c r="BU254" s="497"/>
      <c r="BV254" s="497"/>
      <c r="BW254" s="497"/>
      <c r="BX254" s="497"/>
      <c r="BY254" s="497"/>
      <c r="BZ254" s="497"/>
      <c r="CA254" s="497"/>
      <c r="CB254" s="497"/>
      <c r="CC254" s="497"/>
      <c r="CD254" s="497"/>
      <c r="CE254" s="497"/>
    </row>
    <row r="255" spans="1:83" x14ac:dyDescent="0.25">
      <c r="A255" s="635">
        <v>596</v>
      </c>
      <c r="B255" s="635">
        <v>596</v>
      </c>
      <c r="C255" s="635" t="s">
        <v>713</v>
      </c>
      <c r="E255" s="497">
        <v>52</v>
      </c>
      <c r="F255" s="497">
        <v>52</v>
      </c>
      <c r="G255" s="497">
        <v>0</v>
      </c>
      <c r="H255" s="497">
        <v>52</v>
      </c>
      <c r="I255" s="497">
        <v>52</v>
      </c>
      <c r="J255" s="497">
        <v>52</v>
      </c>
      <c r="K255" s="497">
        <v>0</v>
      </c>
      <c r="L255" s="497">
        <v>52</v>
      </c>
      <c r="M255" s="497">
        <v>52</v>
      </c>
      <c r="N255" s="497">
        <v>52</v>
      </c>
      <c r="O255" s="497">
        <v>0</v>
      </c>
      <c r="P255" s="497">
        <v>0</v>
      </c>
      <c r="Q255" s="497">
        <v>52</v>
      </c>
      <c r="R255" s="497">
        <v>52</v>
      </c>
      <c r="S255" s="497">
        <v>52</v>
      </c>
      <c r="T255" s="497">
        <v>52</v>
      </c>
      <c r="U255" s="497">
        <v>52</v>
      </c>
      <c r="V255" s="497">
        <v>52</v>
      </c>
      <c r="W255" s="497">
        <v>52</v>
      </c>
      <c r="X255" s="497">
        <v>51</v>
      </c>
      <c r="Y255" s="497">
        <v>52</v>
      </c>
      <c r="Z255" s="497">
        <v>52</v>
      </c>
      <c r="AA255" s="497">
        <v>52</v>
      </c>
      <c r="AB255" s="497">
        <v>52</v>
      </c>
      <c r="AC255" s="497">
        <v>52</v>
      </c>
      <c r="AD255" s="497">
        <v>0</v>
      </c>
      <c r="AE255" s="497">
        <v>0</v>
      </c>
      <c r="AF255" s="497">
        <v>0</v>
      </c>
      <c r="AG255" s="497">
        <v>52</v>
      </c>
      <c r="AH255" s="497">
        <v>52</v>
      </c>
      <c r="AI255" s="497">
        <v>52</v>
      </c>
      <c r="AJ255" s="497">
        <v>52</v>
      </c>
      <c r="AK255" s="497">
        <v>52</v>
      </c>
      <c r="AL255" s="497">
        <v>52</v>
      </c>
      <c r="AM255" s="497">
        <v>0</v>
      </c>
      <c r="AN255" s="497">
        <v>52</v>
      </c>
      <c r="AO255" s="497">
        <v>52</v>
      </c>
      <c r="AP255" s="497">
        <v>52</v>
      </c>
      <c r="AQ255" s="497">
        <v>52</v>
      </c>
      <c r="AR255" s="497">
        <v>52</v>
      </c>
      <c r="AS255" s="497">
        <v>52</v>
      </c>
      <c r="AT255" s="497">
        <v>52</v>
      </c>
      <c r="AU255" s="497">
        <v>52</v>
      </c>
      <c r="AV255" s="497">
        <v>52</v>
      </c>
      <c r="AW255" s="497">
        <v>52</v>
      </c>
      <c r="AX255" s="497">
        <v>52</v>
      </c>
      <c r="AY255" s="497">
        <v>52</v>
      </c>
      <c r="AZ255" s="497">
        <v>52</v>
      </c>
      <c r="BA255" s="497">
        <v>52</v>
      </c>
      <c r="BB255" s="497">
        <v>0</v>
      </c>
      <c r="BC255" s="497">
        <v>52</v>
      </c>
      <c r="BD255" s="497">
        <v>52</v>
      </c>
      <c r="BE255" s="497">
        <v>52</v>
      </c>
      <c r="BF255" s="497">
        <v>52</v>
      </c>
      <c r="BG255" s="497">
        <v>52</v>
      </c>
      <c r="BH255" s="497">
        <v>0</v>
      </c>
      <c r="BI255" s="497">
        <v>52</v>
      </c>
      <c r="BJ255" s="497">
        <v>52</v>
      </c>
      <c r="BK255" s="497">
        <v>52</v>
      </c>
      <c r="BL255" s="497">
        <v>0</v>
      </c>
      <c r="BM255" s="497">
        <v>52</v>
      </c>
      <c r="BN255" s="497">
        <v>52</v>
      </c>
      <c r="BO255" s="497">
        <v>52</v>
      </c>
      <c r="BP255" s="497">
        <v>52</v>
      </c>
      <c r="BQ255" s="497">
        <v>52</v>
      </c>
      <c r="BR255" s="497">
        <v>52</v>
      </c>
      <c r="BS255" s="497">
        <v>52</v>
      </c>
      <c r="BT255" s="497">
        <v>51</v>
      </c>
      <c r="BU255" s="497">
        <v>52</v>
      </c>
      <c r="BV255" s="497">
        <v>52</v>
      </c>
      <c r="BW255" s="497">
        <v>52</v>
      </c>
      <c r="BX255" s="497">
        <v>52</v>
      </c>
      <c r="BY255" s="497">
        <v>0</v>
      </c>
      <c r="BZ255" s="497">
        <v>52</v>
      </c>
      <c r="CA255" s="497">
        <v>52</v>
      </c>
      <c r="CB255" s="497">
        <v>52</v>
      </c>
      <c r="CC255" s="497">
        <v>52</v>
      </c>
      <c r="CD255" s="497">
        <v>52</v>
      </c>
      <c r="CE255" s="497">
        <v>52</v>
      </c>
    </row>
    <row r="256" spans="1:83" x14ac:dyDescent="0.25">
      <c r="A256" s="635">
        <v>597</v>
      </c>
      <c r="B256" s="635">
        <v>597</v>
      </c>
      <c r="C256" s="635" t="s">
        <v>786</v>
      </c>
      <c r="E256" s="497">
        <v>2036</v>
      </c>
      <c r="F256" s="497">
        <v>4467</v>
      </c>
      <c r="G256" s="497">
        <v>2924</v>
      </c>
      <c r="H256" s="497">
        <v>22408</v>
      </c>
      <c r="I256" s="497">
        <v>5278</v>
      </c>
      <c r="J256" s="497">
        <v>3244</v>
      </c>
      <c r="K256" s="497">
        <v>1207</v>
      </c>
      <c r="L256" s="497">
        <v>2553</v>
      </c>
      <c r="M256" s="497">
        <v>52408</v>
      </c>
      <c r="N256" s="497">
        <v>4136313</v>
      </c>
      <c r="O256" s="497">
        <v>56951</v>
      </c>
      <c r="P256" s="497">
        <v>57587</v>
      </c>
      <c r="Q256" s="497">
        <v>0</v>
      </c>
      <c r="R256" s="497">
        <v>211390</v>
      </c>
      <c r="S256" s="497">
        <v>521</v>
      </c>
      <c r="T256" s="497">
        <v>3916</v>
      </c>
      <c r="U256" s="497">
        <v>10198</v>
      </c>
      <c r="V256" s="497">
        <v>379</v>
      </c>
      <c r="W256" s="497">
        <v>87156</v>
      </c>
      <c r="X256" s="497">
        <v>6562</v>
      </c>
      <c r="Y256" s="497">
        <v>2055</v>
      </c>
      <c r="Z256" s="497">
        <v>6477</v>
      </c>
      <c r="AA256" s="497">
        <v>1270786</v>
      </c>
      <c r="AB256" s="497">
        <v>97462</v>
      </c>
      <c r="AC256" s="497">
        <v>3992</v>
      </c>
      <c r="AD256" s="497">
        <v>832311</v>
      </c>
      <c r="AE256" s="497">
        <v>2906</v>
      </c>
      <c r="AF256" s="497">
        <v>0</v>
      </c>
      <c r="AG256" s="497">
        <v>1890107</v>
      </c>
      <c r="AH256" s="497">
        <v>695</v>
      </c>
      <c r="AI256" s="497">
        <v>624</v>
      </c>
      <c r="AJ256" s="497">
        <v>61424</v>
      </c>
      <c r="AK256" s="497">
        <v>38</v>
      </c>
      <c r="AL256" s="497">
        <v>0</v>
      </c>
      <c r="AM256" s="497">
        <v>0</v>
      </c>
      <c r="AN256" s="497">
        <v>1071</v>
      </c>
      <c r="AO256" s="497">
        <v>225370</v>
      </c>
      <c r="AP256" s="497">
        <v>433</v>
      </c>
      <c r="AQ256" s="497">
        <v>127835</v>
      </c>
      <c r="AR256" s="497">
        <v>20509</v>
      </c>
      <c r="AS256" s="497">
        <v>1062</v>
      </c>
      <c r="AT256" s="497">
        <v>2461</v>
      </c>
      <c r="AU256" s="497">
        <v>11864</v>
      </c>
      <c r="AV256" s="497">
        <v>14301831</v>
      </c>
      <c r="AW256" s="497">
        <v>10985625</v>
      </c>
      <c r="AX256" s="497">
        <v>582</v>
      </c>
      <c r="AY256" s="497">
        <v>3829</v>
      </c>
      <c r="AZ256" s="497">
        <v>8848</v>
      </c>
      <c r="BA256" s="497">
        <v>44</v>
      </c>
      <c r="BB256" s="497">
        <v>0</v>
      </c>
      <c r="BC256" s="497">
        <v>88294</v>
      </c>
      <c r="BD256" s="497">
        <v>7263</v>
      </c>
      <c r="BE256" s="497">
        <v>91</v>
      </c>
      <c r="BF256" s="497">
        <v>700</v>
      </c>
      <c r="BG256" s="497">
        <v>472189</v>
      </c>
      <c r="BH256" s="497">
        <v>11</v>
      </c>
      <c r="BI256" s="497">
        <v>419505</v>
      </c>
      <c r="BJ256" s="497">
        <v>47413</v>
      </c>
      <c r="BK256" s="497">
        <v>4304</v>
      </c>
      <c r="BL256" s="497">
        <v>1034</v>
      </c>
      <c r="BM256" s="497">
        <v>433194</v>
      </c>
      <c r="BN256" s="497">
        <v>551927</v>
      </c>
      <c r="BO256" s="497">
        <v>2300</v>
      </c>
      <c r="BP256" s="497">
        <v>2558474</v>
      </c>
      <c r="BQ256" s="497">
        <v>5589021</v>
      </c>
      <c r="BR256" s="497">
        <v>2002</v>
      </c>
      <c r="BS256" s="497">
        <v>185629</v>
      </c>
      <c r="BT256" s="497">
        <v>9668</v>
      </c>
      <c r="BU256" s="497">
        <v>504215</v>
      </c>
      <c r="BV256" s="497">
        <v>0</v>
      </c>
      <c r="BW256" s="497">
        <v>3877</v>
      </c>
      <c r="BX256" s="497">
        <v>215717</v>
      </c>
      <c r="BY256" s="497">
        <v>0</v>
      </c>
      <c r="BZ256" s="497">
        <v>1132540</v>
      </c>
      <c r="CA256" s="497">
        <v>5749</v>
      </c>
      <c r="CB256" s="497">
        <v>161480</v>
      </c>
      <c r="CC256" s="497">
        <v>0</v>
      </c>
      <c r="CD256" s="497">
        <v>31539</v>
      </c>
      <c r="CE256" s="497">
        <v>1256807</v>
      </c>
    </row>
    <row r="257" spans="1:83" x14ac:dyDescent="0.25">
      <c r="E257" s="635" t="s">
        <v>1191</v>
      </c>
      <c r="F257" s="497"/>
      <c r="G257" s="497"/>
      <c r="H257" s="497"/>
      <c r="I257" s="497"/>
      <c r="J257" s="497"/>
      <c r="K257" s="497"/>
      <c r="L257" s="497"/>
      <c r="M257" s="497"/>
      <c r="N257" s="497"/>
      <c r="O257" s="497"/>
      <c r="P257" s="497"/>
      <c r="Q257" s="497"/>
      <c r="R257" s="497"/>
      <c r="S257" s="497"/>
      <c r="T257" s="497"/>
      <c r="U257" s="497"/>
      <c r="V257" s="497"/>
      <c r="W257" s="497"/>
      <c r="X257" s="497"/>
      <c r="Y257" s="497"/>
      <c r="Z257" s="497"/>
      <c r="AA257" s="497"/>
      <c r="AB257" s="497"/>
      <c r="AC257" s="497"/>
      <c r="AD257" s="497"/>
      <c r="AE257" s="497"/>
      <c r="AF257" s="497"/>
      <c r="AG257" s="497"/>
      <c r="AH257" s="497"/>
      <c r="AI257" s="497"/>
      <c r="AJ257" s="497"/>
      <c r="AK257" s="497"/>
      <c r="AL257" s="497"/>
      <c r="AM257" s="497"/>
      <c r="AN257" s="497"/>
      <c r="AO257" s="497"/>
      <c r="AP257" s="497"/>
      <c r="AQ257" s="497"/>
      <c r="AR257" s="497"/>
      <c r="AS257" s="497"/>
      <c r="AT257" s="497"/>
      <c r="AU257" s="497"/>
      <c r="AV257" s="497"/>
      <c r="AW257" s="497"/>
      <c r="AX257" s="497"/>
      <c r="AY257" s="497"/>
      <c r="AZ257" s="497"/>
      <c r="BA257" s="497"/>
      <c r="BB257" s="497"/>
      <c r="BC257" s="497"/>
      <c r="BD257" s="497"/>
      <c r="BE257" s="497"/>
      <c r="BF257" s="497"/>
      <c r="BG257" s="497"/>
      <c r="BH257" s="497"/>
      <c r="BI257" s="497"/>
      <c r="BJ257" s="497"/>
      <c r="BK257" s="497"/>
      <c r="BL257" s="497"/>
      <c r="BM257" s="497"/>
      <c r="BN257" s="497"/>
      <c r="BO257" s="497"/>
      <c r="BP257" s="497"/>
      <c r="BQ257" s="497"/>
      <c r="BR257" s="497"/>
      <c r="BS257" s="497"/>
      <c r="BT257" s="497"/>
      <c r="BU257" s="497"/>
      <c r="BV257" s="497"/>
      <c r="BW257" s="497"/>
      <c r="BX257" s="497"/>
      <c r="BY257" s="497"/>
      <c r="BZ257" s="497"/>
      <c r="CA257" s="497"/>
      <c r="CB257" s="497"/>
      <c r="CC257" s="497"/>
      <c r="CD257" s="497"/>
      <c r="CE257" s="497"/>
    </row>
    <row r="258" spans="1:83" x14ac:dyDescent="0.25">
      <c r="A258" s="635">
        <v>598</v>
      </c>
      <c r="B258" s="635">
        <v>598</v>
      </c>
      <c r="C258" s="635" t="s">
        <v>780</v>
      </c>
      <c r="E258" s="497">
        <v>0</v>
      </c>
      <c r="F258" s="497">
        <v>0</v>
      </c>
      <c r="G258" s="497">
        <v>0</v>
      </c>
      <c r="H258" s="497">
        <v>0</v>
      </c>
      <c r="I258" s="497">
        <v>0</v>
      </c>
      <c r="J258" s="497">
        <v>0</v>
      </c>
      <c r="K258" s="497">
        <v>0</v>
      </c>
      <c r="L258" s="497">
        <v>0</v>
      </c>
      <c r="M258" s="497">
        <v>25110</v>
      </c>
      <c r="N258" s="497">
        <v>892507</v>
      </c>
      <c r="O258" s="497">
        <v>0</v>
      </c>
      <c r="P258" s="497">
        <v>0</v>
      </c>
      <c r="Q258" s="497">
        <v>0</v>
      </c>
      <c r="R258" s="497">
        <v>18601</v>
      </c>
      <c r="S258" s="497">
        <v>0</v>
      </c>
      <c r="T258" s="497">
        <v>0</v>
      </c>
      <c r="U258" s="497">
        <v>0</v>
      </c>
      <c r="V258" s="497">
        <v>0</v>
      </c>
      <c r="W258" s="497">
        <v>31821</v>
      </c>
      <c r="X258" s="497">
        <v>0</v>
      </c>
      <c r="Y258" s="497">
        <v>0</v>
      </c>
      <c r="Z258" s="497">
        <v>0</v>
      </c>
      <c r="AA258" s="497">
        <v>31178</v>
      </c>
      <c r="AB258" s="497">
        <v>0</v>
      </c>
      <c r="AC258" s="497">
        <v>0</v>
      </c>
      <c r="AD258" s="497">
        <v>257275</v>
      </c>
      <c r="AE258" s="497">
        <v>0</v>
      </c>
      <c r="AF258" s="497">
        <v>0</v>
      </c>
      <c r="AG258" s="497">
        <v>1564928</v>
      </c>
      <c r="AH258" s="497">
        <v>0</v>
      </c>
      <c r="AI258" s="497">
        <v>0</v>
      </c>
      <c r="AJ258" s="497">
        <v>15924</v>
      </c>
      <c r="AK258" s="497">
        <v>0</v>
      </c>
      <c r="AL258" s="497">
        <v>0</v>
      </c>
      <c r="AM258" s="497">
        <v>0</v>
      </c>
      <c r="AN258" s="497">
        <v>0</v>
      </c>
      <c r="AO258" s="497">
        <v>19194</v>
      </c>
      <c r="AP258" s="497">
        <v>0</v>
      </c>
      <c r="AQ258" s="497">
        <v>26211</v>
      </c>
      <c r="AR258" s="497">
        <v>0</v>
      </c>
      <c r="AS258" s="497">
        <v>0</v>
      </c>
      <c r="AT258" s="497">
        <v>0</v>
      </c>
      <c r="AU258" s="497">
        <v>0</v>
      </c>
      <c r="AV258" s="497">
        <v>2658344</v>
      </c>
      <c r="AW258" s="497">
        <v>456393</v>
      </c>
      <c r="AX258" s="497">
        <v>0</v>
      </c>
      <c r="AY258" s="497">
        <v>0</v>
      </c>
      <c r="AZ258" s="497">
        <v>0</v>
      </c>
      <c r="BA258" s="497">
        <v>0</v>
      </c>
      <c r="BB258" s="497">
        <v>0</v>
      </c>
      <c r="BC258" s="497">
        <v>15510</v>
      </c>
      <c r="BD258" s="497">
        <v>0</v>
      </c>
      <c r="BE258" s="497">
        <v>0</v>
      </c>
      <c r="BF258" s="497">
        <v>0</v>
      </c>
      <c r="BG258" s="497">
        <v>0</v>
      </c>
      <c r="BH258" s="497">
        <v>0</v>
      </c>
      <c r="BI258" s="497">
        <v>42201</v>
      </c>
      <c r="BJ258" s="497">
        <v>40704</v>
      </c>
      <c r="BK258" s="497">
        <v>0</v>
      </c>
      <c r="BL258" s="497">
        <v>0</v>
      </c>
      <c r="BM258" s="497">
        <v>129941</v>
      </c>
      <c r="BN258" s="497">
        <v>34524</v>
      </c>
      <c r="BO258" s="497">
        <v>0</v>
      </c>
      <c r="BP258" s="497">
        <v>287178</v>
      </c>
      <c r="BQ258" s="497">
        <v>712815</v>
      </c>
      <c r="BR258" s="497">
        <v>0</v>
      </c>
      <c r="BS258" s="497">
        <v>26611</v>
      </c>
      <c r="BT258" s="497">
        <v>0</v>
      </c>
      <c r="BU258" s="497">
        <v>33238</v>
      </c>
      <c r="BV258" s="497">
        <v>0</v>
      </c>
      <c r="BW258" s="497">
        <v>0</v>
      </c>
      <c r="BX258" s="497">
        <v>2052</v>
      </c>
      <c r="BY258" s="497">
        <v>0</v>
      </c>
      <c r="BZ258" s="497">
        <v>0</v>
      </c>
      <c r="CA258" s="497">
        <v>0</v>
      </c>
      <c r="CB258" s="497">
        <v>12863</v>
      </c>
      <c r="CC258" s="497">
        <v>0</v>
      </c>
      <c r="CD258" s="497">
        <v>22808</v>
      </c>
      <c r="CE258" s="497">
        <v>33551</v>
      </c>
    </row>
    <row r="259" spans="1:83" x14ac:dyDescent="0.25">
      <c r="A259" s="635">
        <v>599</v>
      </c>
      <c r="B259" s="635">
        <v>599</v>
      </c>
      <c r="C259" s="635" t="s">
        <v>781</v>
      </c>
      <c r="E259" s="497">
        <v>27589</v>
      </c>
      <c r="F259" s="497">
        <v>99372</v>
      </c>
      <c r="G259" s="497">
        <v>0</v>
      </c>
      <c r="H259" s="497">
        <v>0</v>
      </c>
      <c r="I259" s="497">
        <v>0</v>
      </c>
      <c r="J259" s="497">
        <v>0</v>
      </c>
      <c r="K259" s="497">
        <v>0</v>
      </c>
      <c r="L259" s="497">
        <v>0</v>
      </c>
      <c r="M259" s="497">
        <v>609707</v>
      </c>
      <c r="N259" s="497">
        <v>15458716</v>
      </c>
      <c r="O259" s="497">
        <v>0</v>
      </c>
      <c r="P259" s="497">
        <v>279484</v>
      </c>
      <c r="Q259" s="497">
        <v>0</v>
      </c>
      <c r="R259" s="497">
        <v>930199</v>
      </c>
      <c r="S259" s="497">
        <v>0</v>
      </c>
      <c r="T259" s="497">
        <v>0</v>
      </c>
      <c r="U259" s="497">
        <v>65475</v>
      </c>
      <c r="V259" s="497">
        <v>57004</v>
      </c>
      <c r="W259" s="497">
        <v>896132</v>
      </c>
      <c r="X259" s="497">
        <v>240477</v>
      </c>
      <c r="Y259" s="497">
        <v>0</v>
      </c>
      <c r="Z259" s="497">
        <v>146525</v>
      </c>
      <c r="AA259" s="497">
        <v>980487</v>
      </c>
      <c r="AB259" s="497">
        <v>0</v>
      </c>
      <c r="AC259" s="497">
        <v>0</v>
      </c>
      <c r="AD259" s="497">
        <v>3526070</v>
      </c>
      <c r="AE259" s="497">
        <v>27878</v>
      </c>
      <c r="AF259" s="497">
        <v>0</v>
      </c>
      <c r="AG259" s="497">
        <v>19972541</v>
      </c>
      <c r="AH259" s="497">
        <v>0</v>
      </c>
      <c r="AI259" s="497">
        <v>0</v>
      </c>
      <c r="AJ259" s="497">
        <v>186367</v>
      </c>
      <c r="AK259" s="497">
        <v>46781</v>
      </c>
      <c r="AL259" s="497">
        <v>0</v>
      </c>
      <c r="AM259" s="497">
        <v>0</v>
      </c>
      <c r="AN259" s="497">
        <v>0</v>
      </c>
      <c r="AO259" s="497">
        <v>1050974</v>
      </c>
      <c r="AP259" s="497">
        <v>0</v>
      </c>
      <c r="AQ259" s="497">
        <v>299808</v>
      </c>
      <c r="AR259" s="497">
        <v>67565</v>
      </c>
      <c r="AS259" s="497">
        <v>0</v>
      </c>
      <c r="AT259" s="497">
        <v>0</v>
      </c>
      <c r="AU259" s="497">
        <v>0</v>
      </c>
      <c r="AV259" s="497">
        <v>28897352</v>
      </c>
      <c r="AW259" s="497">
        <v>7938326</v>
      </c>
      <c r="AX259" s="497">
        <v>34717</v>
      </c>
      <c r="AY259" s="497">
        <v>0</v>
      </c>
      <c r="AZ259" s="497">
        <v>0</v>
      </c>
      <c r="BA259" s="497">
        <v>0</v>
      </c>
      <c r="BB259" s="497">
        <v>0</v>
      </c>
      <c r="BC259" s="497">
        <v>460265</v>
      </c>
      <c r="BD259" s="497">
        <v>0</v>
      </c>
      <c r="BE259" s="497">
        <v>0</v>
      </c>
      <c r="BF259" s="497">
        <v>0</v>
      </c>
      <c r="BG259" s="497">
        <v>0</v>
      </c>
      <c r="BH259" s="497">
        <v>0</v>
      </c>
      <c r="BI259" s="497">
        <v>325590</v>
      </c>
      <c r="BJ259" s="497">
        <v>295962</v>
      </c>
      <c r="BK259" s="497">
        <v>0</v>
      </c>
      <c r="BL259" s="497">
        <v>0</v>
      </c>
      <c r="BM259" s="497">
        <v>1257814</v>
      </c>
      <c r="BN259" s="497">
        <v>1069048</v>
      </c>
      <c r="BO259" s="497">
        <v>58218</v>
      </c>
      <c r="BP259" s="497">
        <v>3544975</v>
      </c>
      <c r="BQ259" s="497">
        <v>12753352</v>
      </c>
      <c r="BR259" s="497">
        <v>0</v>
      </c>
      <c r="BS259" s="497">
        <v>409918</v>
      </c>
      <c r="BT259" s="497">
        <v>0</v>
      </c>
      <c r="BU259" s="497">
        <v>727333</v>
      </c>
      <c r="BV259" s="497">
        <v>0</v>
      </c>
      <c r="BW259" s="497">
        <v>0</v>
      </c>
      <c r="BX259" s="497">
        <v>216140</v>
      </c>
      <c r="BY259" s="497">
        <v>0</v>
      </c>
      <c r="BZ259" s="497">
        <v>1555524</v>
      </c>
      <c r="CA259" s="497">
        <v>0</v>
      </c>
      <c r="CB259" s="497">
        <v>565479</v>
      </c>
      <c r="CC259" s="497">
        <v>0</v>
      </c>
      <c r="CD259" s="497">
        <v>306896</v>
      </c>
      <c r="CE259" s="497">
        <v>2312062</v>
      </c>
    </row>
    <row r="260" spans="1:83" x14ac:dyDescent="0.25">
      <c r="B260" s="635">
        <v>600</v>
      </c>
      <c r="C260" s="635" t="s">
        <v>1192</v>
      </c>
      <c r="E260" s="497"/>
      <c r="F260" s="497"/>
      <c r="G260" s="497"/>
      <c r="H260" s="497"/>
      <c r="I260" s="497"/>
      <c r="J260" s="497"/>
      <c r="K260" s="497"/>
      <c r="L260" s="497"/>
      <c r="M260" s="497"/>
      <c r="N260" s="497"/>
      <c r="O260" s="497"/>
      <c r="P260" s="497"/>
      <c r="Q260" s="497"/>
      <c r="R260" s="497"/>
      <c r="S260" s="497"/>
      <c r="T260" s="497"/>
      <c r="U260" s="497"/>
      <c r="V260" s="497"/>
      <c r="W260" s="497"/>
      <c r="X260" s="497"/>
      <c r="Y260" s="497"/>
      <c r="Z260" s="497"/>
      <c r="AA260" s="497"/>
      <c r="AB260" s="497"/>
      <c r="AC260" s="497"/>
      <c r="AD260" s="497"/>
      <c r="AE260" s="497"/>
      <c r="AF260" s="497"/>
      <c r="AG260" s="497"/>
      <c r="AH260" s="497"/>
      <c r="AI260" s="497"/>
      <c r="AJ260" s="497"/>
      <c r="AK260" s="497"/>
      <c r="AL260" s="497"/>
      <c r="AM260" s="497"/>
      <c r="AN260" s="497"/>
      <c r="AO260" s="497"/>
      <c r="AP260" s="497"/>
      <c r="AQ260" s="497"/>
      <c r="AR260" s="497"/>
      <c r="AS260" s="497"/>
      <c r="AT260" s="497"/>
      <c r="AU260" s="497"/>
      <c r="AV260" s="497"/>
      <c r="AW260" s="497"/>
      <c r="AX260" s="497"/>
      <c r="AY260" s="497"/>
      <c r="AZ260" s="497"/>
      <c r="BA260" s="497"/>
      <c r="BB260" s="497"/>
      <c r="BC260" s="497"/>
      <c r="BD260" s="497"/>
      <c r="BE260" s="497"/>
      <c r="BF260" s="497"/>
      <c r="BG260" s="497"/>
      <c r="BH260" s="497"/>
      <c r="BI260" s="497"/>
      <c r="BJ260" s="497"/>
      <c r="BK260" s="497"/>
      <c r="BL260" s="497"/>
      <c r="BM260" s="497"/>
      <c r="BN260" s="497"/>
      <c r="BO260" s="497"/>
      <c r="BP260" s="497"/>
      <c r="BQ260" s="497"/>
      <c r="BR260" s="497"/>
      <c r="BS260" s="497"/>
      <c r="BT260" s="497"/>
      <c r="BU260" s="497"/>
      <c r="BV260" s="497"/>
      <c r="BW260" s="497"/>
      <c r="BX260" s="497"/>
      <c r="BY260" s="497"/>
      <c r="BZ260" s="497"/>
      <c r="CA260" s="497"/>
      <c r="CB260" s="497"/>
      <c r="CC260" s="497"/>
      <c r="CD260" s="497"/>
      <c r="CE260" s="497"/>
    </row>
    <row r="261" spans="1:83" x14ac:dyDescent="0.25">
      <c r="B261" s="635">
        <v>601</v>
      </c>
      <c r="C261" s="635" t="s">
        <v>1193</v>
      </c>
      <c r="E261" s="497"/>
      <c r="F261" s="497"/>
      <c r="G261" s="497"/>
      <c r="H261" s="497"/>
      <c r="I261" s="497"/>
      <c r="J261" s="497"/>
      <c r="K261" s="497"/>
      <c r="L261" s="497"/>
      <c r="M261" s="497"/>
      <c r="N261" s="497"/>
      <c r="O261" s="497"/>
      <c r="P261" s="497"/>
      <c r="Q261" s="497"/>
      <c r="R261" s="497"/>
      <c r="S261" s="497"/>
      <c r="T261" s="497"/>
      <c r="U261" s="497"/>
      <c r="V261" s="497"/>
      <c r="W261" s="497"/>
      <c r="X261" s="497"/>
      <c r="Y261" s="497"/>
      <c r="Z261" s="497"/>
      <c r="AA261" s="497"/>
      <c r="AB261" s="497"/>
      <c r="AC261" s="497"/>
      <c r="AD261" s="497"/>
      <c r="AE261" s="497"/>
      <c r="AF261" s="497"/>
      <c r="AG261" s="497"/>
      <c r="AH261" s="497"/>
      <c r="AI261" s="497"/>
      <c r="AJ261" s="497"/>
      <c r="AK261" s="497"/>
      <c r="AL261" s="497"/>
      <c r="AM261" s="497"/>
      <c r="AN261" s="497"/>
      <c r="AO261" s="497"/>
      <c r="AP261" s="497"/>
      <c r="AQ261" s="497"/>
      <c r="AR261" s="497"/>
      <c r="AS261" s="497"/>
      <c r="AT261" s="497"/>
      <c r="AU261" s="497"/>
      <c r="AV261" s="497"/>
      <c r="AW261" s="497"/>
      <c r="AX261" s="497"/>
      <c r="AY261" s="497"/>
      <c r="AZ261" s="497"/>
      <c r="BA261" s="497"/>
      <c r="BB261" s="497"/>
      <c r="BC261" s="497"/>
      <c r="BD261" s="497"/>
      <c r="BE261" s="497"/>
      <c r="BF261" s="497"/>
      <c r="BG261" s="497"/>
      <c r="BH261" s="497"/>
      <c r="BI261" s="497"/>
      <c r="BJ261" s="497"/>
      <c r="BK261" s="497"/>
      <c r="BL261" s="497"/>
      <c r="BM261" s="497"/>
      <c r="BN261" s="497"/>
      <c r="BO261" s="497"/>
      <c r="BP261" s="497"/>
      <c r="BQ261" s="497"/>
      <c r="BR261" s="497"/>
      <c r="BS261" s="497"/>
      <c r="BT261" s="497"/>
      <c r="BU261" s="497"/>
      <c r="BV261" s="497"/>
      <c r="BW261" s="497"/>
      <c r="BX261" s="497"/>
      <c r="BY261" s="497"/>
      <c r="BZ261" s="497"/>
      <c r="CA261" s="497"/>
      <c r="CB261" s="497"/>
      <c r="CC261" s="497"/>
      <c r="CD261" s="497"/>
      <c r="CE261" s="497"/>
    </row>
    <row r="262" spans="1:83" x14ac:dyDescent="0.25">
      <c r="A262" s="635">
        <v>602</v>
      </c>
      <c r="B262" s="635">
        <v>602</v>
      </c>
      <c r="C262" s="635" t="s">
        <v>811</v>
      </c>
      <c r="E262" s="497">
        <v>0</v>
      </c>
      <c r="F262" s="497">
        <v>0</v>
      </c>
      <c r="G262" s="497">
        <v>0</v>
      </c>
      <c r="H262" s="497">
        <v>0</v>
      </c>
      <c r="I262" s="497">
        <v>0</v>
      </c>
      <c r="J262" s="497">
        <v>0</v>
      </c>
      <c r="K262" s="497">
        <v>0</v>
      </c>
      <c r="L262" s="497">
        <v>0</v>
      </c>
      <c r="M262" s="497">
        <v>0</v>
      </c>
      <c r="N262" s="497">
        <v>0</v>
      </c>
      <c r="O262" s="497">
        <v>0</v>
      </c>
      <c r="P262" s="497">
        <v>0</v>
      </c>
      <c r="Q262" s="497">
        <v>0</v>
      </c>
      <c r="R262" s="497">
        <v>0</v>
      </c>
      <c r="S262" s="497">
        <v>0</v>
      </c>
      <c r="T262" s="497">
        <v>0</v>
      </c>
      <c r="U262" s="497">
        <v>0</v>
      </c>
      <c r="V262" s="497">
        <v>0</v>
      </c>
      <c r="W262" s="497">
        <v>0</v>
      </c>
      <c r="X262" s="497">
        <v>0</v>
      </c>
      <c r="Y262" s="497">
        <v>0</v>
      </c>
      <c r="Z262" s="497">
        <v>0</v>
      </c>
      <c r="AA262" s="497">
        <v>0</v>
      </c>
      <c r="AB262" s="497">
        <v>0</v>
      </c>
      <c r="AC262" s="497">
        <v>0</v>
      </c>
      <c r="AD262" s="497">
        <v>0</v>
      </c>
      <c r="AE262" s="497">
        <v>0</v>
      </c>
      <c r="AF262" s="497">
        <v>0</v>
      </c>
      <c r="AG262" s="497">
        <v>0</v>
      </c>
      <c r="AH262" s="497">
        <v>0</v>
      </c>
      <c r="AI262" s="497">
        <v>0</v>
      </c>
      <c r="AJ262" s="497">
        <v>0</v>
      </c>
      <c r="AK262" s="497">
        <v>0</v>
      </c>
      <c r="AL262" s="497">
        <v>0</v>
      </c>
      <c r="AM262" s="497">
        <v>0</v>
      </c>
      <c r="AN262" s="497">
        <v>0</v>
      </c>
      <c r="AO262" s="497">
        <v>0</v>
      </c>
      <c r="AP262" s="497">
        <v>0</v>
      </c>
      <c r="AQ262" s="497">
        <v>0</v>
      </c>
      <c r="AR262" s="497">
        <v>0</v>
      </c>
      <c r="AS262" s="497">
        <v>0</v>
      </c>
      <c r="AT262" s="497">
        <v>0</v>
      </c>
      <c r="AU262" s="497">
        <v>0</v>
      </c>
      <c r="AV262" s="497">
        <v>6648696</v>
      </c>
      <c r="AW262" s="497">
        <v>0</v>
      </c>
      <c r="AX262" s="497">
        <v>0</v>
      </c>
      <c r="AY262" s="497">
        <v>0</v>
      </c>
      <c r="AZ262" s="497">
        <v>0</v>
      </c>
      <c r="BA262" s="497">
        <v>0</v>
      </c>
      <c r="BB262" s="497">
        <v>0</v>
      </c>
      <c r="BC262" s="497">
        <v>0</v>
      </c>
      <c r="BD262" s="497">
        <v>0</v>
      </c>
      <c r="BE262" s="497">
        <v>0</v>
      </c>
      <c r="BF262" s="497">
        <v>0</v>
      </c>
      <c r="BG262" s="497">
        <v>0</v>
      </c>
      <c r="BH262" s="497">
        <v>0</v>
      </c>
      <c r="BI262" s="497">
        <v>0</v>
      </c>
      <c r="BJ262" s="497">
        <v>0</v>
      </c>
      <c r="BK262" s="497">
        <v>0</v>
      </c>
      <c r="BL262" s="497">
        <v>0</v>
      </c>
      <c r="BM262" s="497">
        <v>0</v>
      </c>
      <c r="BN262" s="497">
        <v>0</v>
      </c>
      <c r="BO262" s="497">
        <v>0</v>
      </c>
      <c r="BP262" s="497">
        <v>0</v>
      </c>
      <c r="BQ262" s="497">
        <v>0</v>
      </c>
      <c r="BR262" s="497">
        <v>0</v>
      </c>
      <c r="BS262" s="497">
        <v>0</v>
      </c>
      <c r="BT262" s="497">
        <v>0</v>
      </c>
      <c r="BU262" s="497">
        <v>0</v>
      </c>
      <c r="BV262" s="497">
        <v>0</v>
      </c>
      <c r="BW262" s="497">
        <v>0</v>
      </c>
      <c r="BX262" s="497">
        <v>0</v>
      </c>
      <c r="BY262" s="497">
        <v>0</v>
      </c>
      <c r="BZ262" s="497">
        <v>0</v>
      </c>
      <c r="CA262" s="497">
        <v>0</v>
      </c>
      <c r="CB262" s="497">
        <v>0</v>
      </c>
      <c r="CC262" s="497">
        <v>0</v>
      </c>
      <c r="CD262" s="497">
        <v>0</v>
      </c>
      <c r="CE262" s="497">
        <v>0</v>
      </c>
    </row>
    <row r="263" spans="1:83" x14ac:dyDescent="0.25">
      <c r="A263" s="635">
        <v>603</v>
      </c>
      <c r="B263" s="635">
        <v>603</v>
      </c>
      <c r="C263" s="635" t="s">
        <v>797</v>
      </c>
      <c r="E263" s="497">
        <v>4</v>
      </c>
      <c r="F263" s="497">
        <v>2</v>
      </c>
      <c r="G263" s="497">
        <v>2</v>
      </c>
      <c r="H263" s="497">
        <v>2</v>
      </c>
      <c r="I263" s="497">
        <v>1</v>
      </c>
      <c r="J263" s="497">
        <v>6</v>
      </c>
      <c r="K263" s="497">
        <v>4</v>
      </c>
      <c r="L263" s="497">
        <v>2</v>
      </c>
      <c r="M263" s="497">
        <v>2</v>
      </c>
      <c r="N263" s="497">
        <v>1</v>
      </c>
      <c r="O263" s="497">
        <v>2</v>
      </c>
      <c r="P263" s="497">
        <v>1</v>
      </c>
      <c r="Q263" s="497">
        <v>1</v>
      </c>
      <c r="R263" s="497">
        <v>4</v>
      </c>
      <c r="S263" s="497">
        <v>1</v>
      </c>
      <c r="T263" s="497">
        <v>2</v>
      </c>
      <c r="U263" s="497">
        <v>4</v>
      </c>
      <c r="V263" s="497">
        <v>1</v>
      </c>
      <c r="W263" s="497">
        <v>2</v>
      </c>
      <c r="X263" s="497">
        <v>2</v>
      </c>
      <c r="Y263" s="497">
        <v>4</v>
      </c>
      <c r="Z263" s="497">
        <v>4</v>
      </c>
      <c r="AA263" s="497">
        <v>2</v>
      </c>
      <c r="AB263" s="497">
        <v>4</v>
      </c>
      <c r="AC263" s="497">
        <v>2</v>
      </c>
      <c r="AD263" s="497">
        <v>1</v>
      </c>
      <c r="AE263" s="497">
        <v>2</v>
      </c>
      <c r="AF263" s="497">
        <v>0</v>
      </c>
      <c r="AG263" s="497">
        <v>2</v>
      </c>
      <c r="AH263" s="497">
        <v>6</v>
      </c>
      <c r="AI263" s="497">
        <v>2</v>
      </c>
      <c r="AJ263" s="497">
        <v>1</v>
      </c>
      <c r="AK263" s="497">
        <v>4</v>
      </c>
      <c r="AL263" s="497">
        <v>5</v>
      </c>
      <c r="AM263" s="497">
        <v>0</v>
      </c>
      <c r="AN263" s="497">
        <v>2</v>
      </c>
      <c r="AO263" s="497">
        <v>1</v>
      </c>
      <c r="AP263" s="497">
        <v>1</v>
      </c>
      <c r="AQ263" s="497">
        <v>1</v>
      </c>
      <c r="AR263" s="497">
        <v>1</v>
      </c>
      <c r="AS263" s="497">
        <v>4</v>
      </c>
      <c r="AT263" s="497">
        <v>6</v>
      </c>
      <c r="AU263" s="497">
        <v>2</v>
      </c>
      <c r="AV263" s="497">
        <v>1</v>
      </c>
      <c r="AW263" s="497">
        <v>1</v>
      </c>
      <c r="AX263" s="497">
        <v>5</v>
      </c>
      <c r="AY263" s="497">
        <v>1</v>
      </c>
      <c r="AZ263" s="497">
        <v>3</v>
      </c>
      <c r="BA263" s="497">
        <v>5</v>
      </c>
      <c r="BB263" s="497">
        <v>0</v>
      </c>
      <c r="BC263" s="497">
        <v>1</v>
      </c>
      <c r="BD263" s="497">
        <v>2</v>
      </c>
      <c r="BE263" s="497">
        <v>2</v>
      </c>
      <c r="BF263" s="497">
        <v>2</v>
      </c>
      <c r="BG263" s="497">
        <v>1</v>
      </c>
      <c r="BH263" s="497">
        <v>4</v>
      </c>
      <c r="BI263" s="497">
        <v>1</v>
      </c>
      <c r="BJ263" s="497">
        <v>4</v>
      </c>
      <c r="BK263" s="497">
        <v>1</v>
      </c>
      <c r="BL263" s="497">
        <v>2</v>
      </c>
      <c r="BM263" s="497">
        <v>4</v>
      </c>
      <c r="BN263" s="497">
        <v>2</v>
      </c>
      <c r="BO263" s="497">
        <v>4</v>
      </c>
      <c r="BP263" s="497">
        <v>1</v>
      </c>
      <c r="BQ263" s="497">
        <v>1</v>
      </c>
      <c r="BR263" s="497">
        <v>1</v>
      </c>
      <c r="BS263" s="497">
        <v>2</v>
      </c>
      <c r="BT263" s="497">
        <v>1</v>
      </c>
      <c r="BU263" s="497">
        <v>1</v>
      </c>
      <c r="BV263" s="497">
        <v>1</v>
      </c>
      <c r="BW263" s="497">
        <v>2</v>
      </c>
      <c r="BX263" s="497">
        <v>4</v>
      </c>
      <c r="BY263" s="497">
        <v>0</v>
      </c>
      <c r="BZ263" s="497">
        <v>4</v>
      </c>
      <c r="CA263" s="497">
        <v>1</v>
      </c>
      <c r="CB263" s="497">
        <v>1</v>
      </c>
      <c r="CC263" s="497">
        <v>5</v>
      </c>
      <c r="CD263" s="497">
        <v>2</v>
      </c>
      <c r="CE263" s="497">
        <v>1</v>
      </c>
    </row>
    <row r="264" spans="1:83" x14ac:dyDescent="0.25">
      <c r="B264" s="635">
        <v>604</v>
      </c>
      <c r="C264" s="635" t="s">
        <v>798</v>
      </c>
      <c r="E264" s="497"/>
      <c r="F264" s="497"/>
      <c r="G264" s="497"/>
      <c r="H264" s="497"/>
      <c r="I264" s="497"/>
      <c r="J264" s="497"/>
      <c r="K264" s="497"/>
      <c r="L264" s="497"/>
      <c r="M264" s="497"/>
      <c r="N264" s="497"/>
      <c r="O264" s="497"/>
      <c r="P264" s="497"/>
      <c r="Q264" s="497"/>
      <c r="R264" s="497"/>
      <c r="S264" s="497"/>
      <c r="T264" s="497"/>
      <c r="U264" s="497"/>
      <c r="V264" s="497"/>
      <c r="W264" s="497"/>
      <c r="X264" s="497"/>
      <c r="Y264" s="497"/>
      <c r="Z264" s="497"/>
      <c r="AA264" s="497"/>
      <c r="AB264" s="497"/>
      <c r="AC264" s="497"/>
      <c r="AD264" s="497"/>
      <c r="AE264" s="497"/>
      <c r="AF264" s="497"/>
      <c r="AG264" s="497"/>
      <c r="AH264" s="497"/>
      <c r="AI264" s="497"/>
      <c r="AJ264" s="497"/>
      <c r="AK264" s="497"/>
      <c r="AL264" s="497"/>
      <c r="AM264" s="497"/>
      <c r="AN264" s="497"/>
      <c r="AO264" s="497"/>
      <c r="AP264" s="497"/>
      <c r="AQ264" s="497"/>
      <c r="AR264" s="497"/>
      <c r="AS264" s="497"/>
      <c r="AT264" s="497"/>
      <c r="AU264" s="497"/>
      <c r="AV264" s="497"/>
      <c r="AW264" s="497"/>
      <c r="AX264" s="497"/>
      <c r="AY264" s="497"/>
      <c r="AZ264" s="497"/>
      <c r="BA264" s="497"/>
      <c r="BB264" s="497"/>
      <c r="BC264" s="497"/>
      <c r="BD264" s="497"/>
      <c r="BE264" s="497"/>
      <c r="BF264" s="497"/>
      <c r="BG264" s="497"/>
      <c r="BH264" s="497"/>
      <c r="BI264" s="497"/>
      <c r="BJ264" s="497"/>
      <c r="BK264" s="497"/>
      <c r="BL264" s="497"/>
      <c r="BM264" s="497"/>
      <c r="BN264" s="497"/>
      <c r="BO264" s="497"/>
      <c r="BP264" s="497"/>
      <c r="BQ264" s="497"/>
      <c r="BR264" s="497"/>
      <c r="BS264" s="497"/>
      <c r="BT264" s="497"/>
      <c r="BU264" s="497"/>
      <c r="BV264" s="497"/>
      <c r="BW264" s="497"/>
      <c r="BX264" s="497"/>
      <c r="BY264" s="497"/>
      <c r="BZ264" s="497"/>
      <c r="CA264" s="497"/>
      <c r="CB264" s="497"/>
      <c r="CC264" s="497"/>
      <c r="CD264" s="497"/>
      <c r="CE264" s="497"/>
    </row>
    <row r="265" spans="1:83" x14ac:dyDescent="0.25">
      <c r="A265" s="635">
        <v>605</v>
      </c>
      <c r="B265" s="635">
        <v>605</v>
      </c>
      <c r="C265" s="635" t="s">
        <v>800</v>
      </c>
      <c r="E265" s="497">
        <v>1</v>
      </c>
      <c r="F265" s="497">
        <v>1</v>
      </c>
      <c r="G265" s="497">
        <v>1</v>
      </c>
      <c r="H265" s="497">
        <v>1</v>
      </c>
      <c r="I265" s="497">
        <v>1</v>
      </c>
      <c r="J265" s="497">
        <v>1</v>
      </c>
      <c r="K265" s="497">
        <v>1</v>
      </c>
      <c r="L265" s="497">
        <v>1</v>
      </c>
      <c r="M265" s="497">
        <v>1</v>
      </c>
      <c r="N265" s="497">
        <v>1</v>
      </c>
      <c r="O265" s="497">
        <v>1</v>
      </c>
      <c r="P265" s="497">
        <v>1</v>
      </c>
      <c r="Q265" s="497">
        <v>1</v>
      </c>
      <c r="R265" s="497">
        <v>1</v>
      </c>
      <c r="S265" s="497">
        <v>1</v>
      </c>
      <c r="T265" s="497">
        <v>1</v>
      </c>
      <c r="U265" s="497">
        <v>1</v>
      </c>
      <c r="V265" s="497">
        <v>1</v>
      </c>
      <c r="W265" s="497">
        <v>1</v>
      </c>
      <c r="X265" s="497">
        <v>1</v>
      </c>
      <c r="Y265" s="497">
        <v>1</v>
      </c>
      <c r="Z265" s="497">
        <v>1</v>
      </c>
      <c r="AA265" s="497">
        <v>1</v>
      </c>
      <c r="AB265" s="497">
        <v>1</v>
      </c>
      <c r="AC265" s="497">
        <v>1</v>
      </c>
      <c r="AD265" s="497">
        <v>1</v>
      </c>
      <c r="AE265" s="497">
        <v>1</v>
      </c>
      <c r="AF265" s="497">
        <v>0</v>
      </c>
      <c r="AG265" s="497">
        <v>1</v>
      </c>
      <c r="AH265" s="497">
        <v>1</v>
      </c>
      <c r="AI265" s="497">
        <v>1</v>
      </c>
      <c r="AJ265" s="497">
        <v>1</v>
      </c>
      <c r="AK265" s="497">
        <v>1</v>
      </c>
      <c r="AL265" s="497">
        <v>1</v>
      </c>
      <c r="AM265" s="497">
        <v>0</v>
      </c>
      <c r="AN265" s="497">
        <v>1</v>
      </c>
      <c r="AO265" s="497">
        <v>1</v>
      </c>
      <c r="AP265" s="497">
        <v>1</v>
      </c>
      <c r="AQ265" s="497">
        <v>1</v>
      </c>
      <c r="AR265" s="497">
        <v>1</v>
      </c>
      <c r="AS265" s="497">
        <v>1</v>
      </c>
      <c r="AT265" s="497">
        <v>1</v>
      </c>
      <c r="AU265" s="497">
        <v>1</v>
      </c>
      <c r="AV265" s="497">
        <v>1</v>
      </c>
      <c r="AW265" s="497">
        <v>1</v>
      </c>
      <c r="AX265" s="497">
        <v>1</v>
      </c>
      <c r="AY265" s="497">
        <v>1</v>
      </c>
      <c r="AZ265" s="497">
        <v>1</v>
      </c>
      <c r="BA265" s="497">
        <v>1</v>
      </c>
      <c r="BB265" s="497">
        <v>0</v>
      </c>
      <c r="BC265" s="497">
        <v>1</v>
      </c>
      <c r="BD265" s="497">
        <v>1</v>
      </c>
      <c r="BE265" s="497">
        <v>1</v>
      </c>
      <c r="BF265" s="497">
        <v>1</v>
      </c>
      <c r="BG265" s="497">
        <v>1</v>
      </c>
      <c r="BH265" s="497">
        <v>1</v>
      </c>
      <c r="BI265" s="497">
        <v>1</v>
      </c>
      <c r="BJ265" s="497">
        <v>1</v>
      </c>
      <c r="BK265" s="497">
        <v>1</v>
      </c>
      <c r="BL265" s="497">
        <v>1</v>
      </c>
      <c r="BM265" s="497">
        <v>1</v>
      </c>
      <c r="BN265" s="497">
        <v>1</v>
      </c>
      <c r="BO265" s="497">
        <v>1</v>
      </c>
      <c r="BP265" s="497">
        <v>1</v>
      </c>
      <c r="BQ265" s="497">
        <v>1</v>
      </c>
      <c r="BR265" s="497">
        <v>1</v>
      </c>
      <c r="BS265" s="497">
        <v>1</v>
      </c>
      <c r="BT265" s="497">
        <v>1</v>
      </c>
      <c r="BU265" s="497">
        <v>1</v>
      </c>
      <c r="BV265" s="497">
        <v>1</v>
      </c>
      <c r="BW265" s="497">
        <v>1</v>
      </c>
      <c r="BX265" s="497">
        <v>1</v>
      </c>
      <c r="BY265" s="497">
        <v>0</v>
      </c>
      <c r="BZ265" s="497">
        <v>1</v>
      </c>
      <c r="CA265" s="497">
        <v>1</v>
      </c>
      <c r="CB265" s="497">
        <v>1</v>
      </c>
      <c r="CC265" s="497">
        <v>1</v>
      </c>
      <c r="CD265" s="497">
        <v>1</v>
      </c>
      <c r="CE265" s="497">
        <v>1</v>
      </c>
    </row>
    <row r="266" spans="1:83" x14ac:dyDescent="0.25">
      <c r="A266" s="635">
        <v>606</v>
      </c>
      <c r="B266" s="635">
        <v>606</v>
      </c>
      <c r="C266" s="635" t="s">
        <v>819</v>
      </c>
      <c r="E266" s="497">
        <v>1</v>
      </c>
      <c r="F266" s="497">
        <v>0</v>
      </c>
      <c r="G266" s="497">
        <v>0</v>
      </c>
      <c r="H266" s="497">
        <v>0</v>
      </c>
      <c r="I266" s="497">
        <v>0</v>
      </c>
      <c r="J266" s="497">
        <v>0</v>
      </c>
      <c r="K266" s="497">
        <v>0</v>
      </c>
      <c r="L266" s="497">
        <v>1</v>
      </c>
      <c r="M266" s="497">
        <v>0</v>
      </c>
      <c r="N266" s="497">
        <v>1</v>
      </c>
      <c r="O266" s="497">
        <v>0</v>
      </c>
      <c r="P266" s="497">
        <v>1</v>
      </c>
      <c r="Q266" s="497">
        <v>1</v>
      </c>
      <c r="R266" s="497">
        <v>0</v>
      </c>
      <c r="S266" s="497">
        <v>0</v>
      </c>
      <c r="T266" s="497">
        <v>1</v>
      </c>
      <c r="U266" s="497">
        <v>0</v>
      </c>
      <c r="V266" s="497">
        <v>0</v>
      </c>
      <c r="W266" s="497">
        <v>1</v>
      </c>
      <c r="X266" s="497">
        <v>0</v>
      </c>
      <c r="Y266" s="497">
        <v>0</v>
      </c>
      <c r="Z266" s="497">
        <v>1</v>
      </c>
      <c r="AA266" s="497">
        <v>1</v>
      </c>
      <c r="AB266" s="497">
        <v>0</v>
      </c>
      <c r="AC266" s="497">
        <v>0</v>
      </c>
      <c r="AD266" s="497">
        <v>1</v>
      </c>
      <c r="AE266" s="497">
        <v>0</v>
      </c>
      <c r="AF266" s="497">
        <v>0</v>
      </c>
      <c r="AG266" s="497">
        <v>1</v>
      </c>
      <c r="AH266" s="497">
        <v>0</v>
      </c>
      <c r="AI266" s="497">
        <v>0</v>
      </c>
      <c r="AJ266" s="497">
        <v>0</v>
      </c>
      <c r="AK266" s="497">
        <v>0</v>
      </c>
      <c r="AL266" s="497">
        <v>0</v>
      </c>
      <c r="AM266" s="497">
        <v>0</v>
      </c>
      <c r="AN266" s="497">
        <v>0</v>
      </c>
      <c r="AO266" s="497">
        <v>1</v>
      </c>
      <c r="AP266" s="497">
        <v>0</v>
      </c>
      <c r="AQ266" s="497">
        <v>1</v>
      </c>
      <c r="AR266" s="497">
        <v>0</v>
      </c>
      <c r="AS266" s="497">
        <v>0</v>
      </c>
      <c r="AT266" s="497">
        <v>0</v>
      </c>
      <c r="AU266" s="497">
        <v>0</v>
      </c>
      <c r="AV266" s="497">
        <v>1</v>
      </c>
      <c r="AW266" s="497">
        <v>1</v>
      </c>
      <c r="AX266" s="497">
        <v>0</v>
      </c>
      <c r="AY266" s="497">
        <v>0</v>
      </c>
      <c r="AZ266" s="497">
        <v>0</v>
      </c>
      <c r="BA266" s="497">
        <v>0</v>
      </c>
      <c r="BB266" s="497">
        <v>0</v>
      </c>
      <c r="BC266" s="497">
        <v>0</v>
      </c>
      <c r="BD266" s="497">
        <v>0</v>
      </c>
      <c r="BE266" s="497">
        <v>0</v>
      </c>
      <c r="BF266" s="497">
        <v>0</v>
      </c>
      <c r="BG266" s="497">
        <v>0</v>
      </c>
      <c r="BH266" s="497">
        <v>0</v>
      </c>
      <c r="BI266" s="497">
        <v>1</v>
      </c>
      <c r="BJ266" s="497">
        <v>1</v>
      </c>
      <c r="BK266" s="497">
        <v>0</v>
      </c>
      <c r="BL266" s="497">
        <v>0</v>
      </c>
      <c r="BM266" s="497">
        <v>1</v>
      </c>
      <c r="BN266" s="497">
        <v>0</v>
      </c>
      <c r="BO266" s="497">
        <v>0</v>
      </c>
      <c r="BP266" s="497">
        <v>1</v>
      </c>
      <c r="BQ266" s="497">
        <v>1</v>
      </c>
      <c r="BR266" s="497">
        <v>0</v>
      </c>
      <c r="BS266" s="497">
        <v>0</v>
      </c>
      <c r="BT266" s="497">
        <v>0</v>
      </c>
      <c r="BU266" s="497">
        <v>1</v>
      </c>
      <c r="BV266" s="497">
        <v>0</v>
      </c>
      <c r="BW266" s="497">
        <v>1</v>
      </c>
      <c r="BX266" s="497">
        <v>0</v>
      </c>
      <c r="BY266" s="497">
        <v>0</v>
      </c>
      <c r="BZ266" s="497">
        <v>1</v>
      </c>
      <c r="CA266" s="497">
        <v>0</v>
      </c>
      <c r="CB266" s="497">
        <v>0</v>
      </c>
      <c r="CC266" s="497">
        <v>0</v>
      </c>
      <c r="CD266" s="497">
        <v>0</v>
      </c>
      <c r="CE266" s="497">
        <v>1</v>
      </c>
    </row>
    <row r="267" spans="1:83" x14ac:dyDescent="0.25">
      <c r="A267" s="635">
        <v>607</v>
      </c>
      <c r="B267" s="635">
        <v>607</v>
      </c>
      <c r="C267" s="635" t="s">
        <v>790</v>
      </c>
      <c r="E267" s="497">
        <v>0</v>
      </c>
      <c r="F267" s="497">
        <v>1875072</v>
      </c>
      <c r="G267" s="497">
        <v>0</v>
      </c>
      <c r="H267" s="497">
        <v>518604</v>
      </c>
      <c r="I267" s="497">
        <v>0</v>
      </c>
      <c r="J267" s="497">
        <v>0</v>
      </c>
      <c r="K267" s="497">
        <v>0</v>
      </c>
      <c r="L267" s="497">
        <v>0</v>
      </c>
      <c r="M267" s="497">
        <v>2348198</v>
      </c>
      <c r="N267" s="497">
        <v>43291013</v>
      </c>
      <c r="O267" s="497">
        <v>0</v>
      </c>
      <c r="P267" s="497">
        <v>0</v>
      </c>
      <c r="Q267" s="497">
        <v>0</v>
      </c>
      <c r="R267" s="497">
        <v>0</v>
      </c>
      <c r="S267" s="497">
        <v>0</v>
      </c>
      <c r="T267" s="497">
        <v>0</v>
      </c>
      <c r="U267" s="497">
        <v>0</v>
      </c>
      <c r="V267" s="497">
        <v>0</v>
      </c>
      <c r="W267" s="497">
        <v>1685244</v>
      </c>
      <c r="X267" s="497">
        <v>0</v>
      </c>
      <c r="Y267" s="497">
        <v>0</v>
      </c>
      <c r="Z267" s="497">
        <v>592905</v>
      </c>
      <c r="AA267" s="497">
        <v>3621863</v>
      </c>
      <c r="AB267" s="497">
        <v>0</v>
      </c>
      <c r="AC267" s="497">
        <v>0</v>
      </c>
      <c r="AD267" s="497">
        <v>14852366</v>
      </c>
      <c r="AE267" s="497">
        <v>0</v>
      </c>
      <c r="AF267" s="497">
        <v>0</v>
      </c>
      <c r="AG267" s="497">
        <v>53213429</v>
      </c>
      <c r="AH267" s="497">
        <v>0</v>
      </c>
      <c r="AI267" s="497">
        <v>0</v>
      </c>
      <c r="AJ267" s="497">
        <v>594264</v>
      </c>
      <c r="AK267" s="497">
        <v>0</v>
      </c>
      <c r="AL267" s="497">
        <v>0</v>
      </c>
      <c r="AM267" s="497">
        <v>0</v>
      </c>
      <c r="AN267" s="497">
        <v>0</v>
      </c>
      <c r="AO267" s="497">
        <v>12001297</v>
      </c>
      <c r="AP267" s="497">
        <v>0</v>
      </c>
      <c r="AQ267" s="497">
        <v>164885</v>
      </c>
      <c r="AR267" s="497">
        <v>0</v>
      </c>
      <c r="AS267" s="497">
        <v>0</v>
      </c>
      <c r="AT267" s="497">
        <v>0</v>
      </c>
      <c r="AU267" s="497">
        <v>0</v>
      </c>
      <c r="AV267" s="497">
        <v>137588257</v>
      </c>
      <c r="AW267" s="497">
        <v>53680537</v>
      </c>
      <c r="AX267" s="497">
        <v>0</v>
      </c>
      <c r="AY267" s="497">
        <v>0</v>
      </c>
      <c r="AZ267" s="497">
        <v>0</v>
      </c>
      <c r="BA267" s="497">
        <v>0</v>
      </c>
      <c r="BB267" s="497">
        <v>0</v>
      </c>
      <c r="BC267" s="497">
        <v>7530444</v>
      </c>
      <c r="BD267" s="497">
        <v>0</v>
      </c>
      <c r="BE267" s="497">
        <v>0</v>
      </c>
      <c r="BF267" s="497">
        <v>0</v>
      </c>
      <c r="BG267" s="497">
        <v>0</v>
      </c>
      <c r="BH267" s="497">
        <v>0</v>
      </c>
      <c r="BI267" s="497">
        <v>2838472</v>
      </c>
      <c r="BJ267" s="497">
        <v>1208092</v>
      </c>
      <c r="BK267" s="497">
        <v>0</v>
      </c>
      <c r="BL267" s="497">
        <v>0</v>
      </c>
      <c r="BM267" s="497">
        <v>12903099</v>
      </c>
      <c r="BN267" s="497">
        <v>2833222</v>
      </c>
      <c r="BO267" s="497">
        <v>0</v>
      </c>
      <c r="BP267" s="497">
        <v>21027154</v>
      </c>
      <c r="BQ267" s="497">
        <v>10503157</v>
      </c>
      <c r="BR267" s="497">
        <v>0</v>
      </c>
      <c r="BS267" s="497">
        <v>137813</v>
      </c>
      <c r="BT267" s="497">
        <v>0</v>
      </c>
      <c r="BU267" s="497">
        <v>1634361</v>
      </c>
      <c r="BV267" s="497">
        <v>0</v>
      </c>
      <c r="BW267" s="497">
        <v>0</v>
      </c>
      <c r="BX267" s="497">
        <v>0</v>
      </c>
      <c r="BY267" s="497">
        <v>0</v>
      </c>
      <c r="BZ267" s="497">
        <v>3503743</v>
      </c>
      <c r="CA267" s="497">
        <v>0</v>
      </c>
      <c r="CB267" s="497">
        <v>7653431</v>
      </c>
      <c r="CC267" s="497">
        <v>0</v>
      </c>
      <c r="CD267" s="497">
        <v>0</v>
      </c>
      <c r="CE267" s="497">
        <v>2252633</v>
      </c>
    </row>
    <row r="268" spans="1:83" x14ac:dyDescent="0.25">
      <c r="A268" s="635">
        <v>608</v>
      </c>
      <c r="B268" s="635">
        <v>608</v>
      </c>
      <c r="C268" s="635" t="s">
        <v>791</v>
      </c>
      <c r="E268" s="497">
        <v>0</v>
      </c>
      <c r="F268" s="497">
        <v>0</v>
      </c>
      <c r="G268" s="497">
        <v>0</v>
      </c>
      <c r="H268" s="497">
        <v>0</v>
      </c>
      <c r="I268" s="497">
        <v>0</v>
      </c>
      <c r="J268" s="497">
        <v>0</v>
      </c>
      <c r="K268" s="497">
        <v>0</v>
      </c>
      <c r="L268" s="497">
        <v>0</v>
      </c>
      <c r="M268" s="497">
        <v>0</v>
      </c>
      <c r="N268" s="497">
        <v>0</v>
      </c>
      <c r="O268" s="497">
        <v>0</v>
      </c>
      <c r="P268" s="497">
        <v>0</v>
      </c>
      <c r="Q268" s="497">
        <v>0</v>
      </c>
      <c r="R268" s="497">
        <v>0</v>
      </c>
      <c r="S268" s="497">
        <v>0</v>
      </c>
      <c r="T268" s="497">
        <v>0</v>
      </c>
      <c r="U268" s="497">
        <v>0</v>
      </c>
      <c r="V268" s="497">
        <v>0</v>
      </c>
      <c r="W268" s="497">
        <v>0</v>
      </c>
      <c r="X268" s="497">
        <v>0</v>
      </c>
      <c r="Y268" s="497">
        <v>0</v>
      </c>
      <c r="Z268" s="497">
        <v>0</v>
      </c>
      <c r="AA268" s="497">
        <v>0</v>
      </c>
      <c r="AB268" s="497">
        <v>0</v>
      </c>
      <c r="AC268" s="497">
        <v>0</v>
      </c>
      <c r="AD268" s="497">
        <v>0</v>
      </c>
      <c r="AE268" s="497">
        <v>0</v>
      </c>
      <c r="AF268" s="497">
        <v>0</v>
      </c>
      <c r="AG268" s="497">
        <v>0</v>
      </c>
      <c r="AH268" s="497">
        <v>0</v>
      </c>
      <c r="AI268" s="497">
        <v>0</v>
      </c>
      <c r="AJ268" s="497">
        <v>0</v>
      </c>
      <c r="AK268" s="497">
        <v>0</v>
      </c>
      <c r="AL268" s="497">
        <v>0</v>
      </c>
      <c r="AM268" s="497">
        <v>0</v>
      </c>
      <c r="AN268" s="497">
        <v>0</v>
      </c>
      <c r="AO268" s="497">
        <v>0</v>
      </c>
      <c r="AP268" s="497">
        <v>0</v>
      </c>
      <c r="AQ268" s="497">
        <v>0</v>
      </c>
      <c r="AR268" s="497">
        <v>0</v>
      </c>
      <c r="AS268" s="497">
        <v>0</v>
      </c>
      <c r="AT268" s="497">
        <v>0</v>
      </c>
      <c r="AU268" s="497">
        <v>0</v>
      </c>
      <c r="AV268" s="497">
        <v>23133424</v>
      </c>
      <c r="AW268" s="497">
        <v>10199582</v>
      </c>
      <c r="AX268" s="497">
        <v>0</v>
      </c>
      <c r="AY268" s="497">
        <v>0</v>
      </c>
      <c r="AZ268" s="497">
        <v>0</v>
      </c>
      <c r="BA268" s="497">
        <v>0</v>
      </c>
      <c r="BB268" s="497">
        <v>0</v>
      </c>
      <c r="BC268" s="497">
        <v>0</v>
      </c>
      <c r="BD268" s="497">
        <v>0</v>
      </c>
      <c r="BE268" s="497">
        <v>0</v>
      </c>
      <c r="BF268" s="497">
        <v>0</v>
      </c>
      <c r="BG268" s="497">
        <v>0</v>
      </c>
      <c r="BH268" s="497">
        <v>0</v>
      </c>
      <c r="BI268" s="497">
        <v>0</v>
      </c>
      <c r="BJ268" s="497">
        <v>0</v>
      </c>
      <c r="BK268" s="497">
        <v>0</v>
      </c>
      <c r="BL268" s="497">
        <v>0</v>
      </c>
      <c r="BM268" s="497">
        <v>0</v>
      </c>
      <c r="BN268" s="497">
        <v>0</v>
      </c>
      <c r="BO268" s="497">
        <v>0</v>
      </c>
      <c r="BP268" s="497">
        <v>0</v>
      </c>
      <c r="BQ268" s="497">
        <v>0</v>
      </c>
      <c r="BR268" s="497">
        <v>0</v>
      </c>
      <c r="BS268" s="497">
        <v>0</v>
      </c>
      <c r="BT268" s="497">
        <v>0</v>
      </c>
      <c r="BU268" s="497">
        <v>0</v>
      </c>
      <c r="BV268" s="497">
        <v>0</v>
      </c>
      <c r="BW268" s="497">
        <v>0</v>
      </c>
      <c r="BX268" s="497">
        <v>0</v>
      </c>
      <c r="BY268" s="497">
        <v>0</v>
      </c>
      <c r="BZ268" s="497">
        <v>0</v>
      </c>
      <c r="CA268" s="497">
        <v>0</v>
      </c>
      <c r="CB268" s="497">
        <v>0</v>
      </c>
      <c r="CC268" s="497">
        <v>0</v>
      </c>
      <c r="CD268" s="497">
        <v>0</v>
      </c>
      <c r="CE268" s="497">
        <v>0</v>
      </c>
    </row>
    <row r="269" spans="1:83" x14ac:dyDescent="0.25">
      <c r="A269" s="635">
        <v>609</v>
      </c>
      <c r="B269" s="635">
        <v>609</v>
      </c>
      <c r="C269" s="635" t="s">
        <v>812</v>
      </c>
      <c r="E269" s="390">
        <v>0</v>
      </c>
      <c r="F269" s="390">
        <v>0</v>
      </c>
      <c r="G269" s="390">
        <v>0</v>
      </c>
      <c r="H269" s="390">
        <v>0</v>
      </c>
      <c r="I269" s="390">
        <v>0</v>
      </c>
      <c r="J269" s="390">
        <v>0</v>
      </c>
      <c r="K269" s="390">
        <v>0</v>
      </c>
      <c r="L269" s="390">
        <v>0</v>
      </c>
      <c r="M269" s="390">
        <v>0</v>
      </c>
      <c r="N269" s="390">
        <v>0</v>
      </c>
      <c r="O269" s="390">
        <v>0</v>
      </c>
      <c r="P269" s="390">
        <v>0</v>
      </c>
      <c r="Q269" s="390">
        <v>0</v>
      </c>
      <c r="R269" s="390">
        <v>0</v>
      </c>
      <c r="S269" s="390">
        <v>0</v>
      </c>
      <c r="T269" s="390">
        <v>0</v>
      </c>
      <c r="U269" s="390">
        <v>0</v>
      </c>
      <c r="V269" s="390">
        <v>0</v>
      </c>
      <c r="W269" s="390">
        <v>0</v>
      </c>
      <c r="X269" s="390">
        <v>0</v>
      </c>
      <c r="Y269" s="390">
        <v>0</v>
      </c>
      <c r="Z269" s="390">
        <v>0</v>
      </c>
      <c r="AA269" s="390">
        <v>0</v>
      </c>
      <c r="AB269" s="390">
        <v>0</v>
      </c>
      <c r="AC269" s="390">
        <v>0</v>
      </c>
      <c r="AD269" s="390">
        <v>0</v>
      </c>
      <c r="AE269" s="390">
        <v>0</v>
      </c>
      <c r="AF269" s="390">
        <v>0</v>
      </c>
      <c r="AG269" s="390">
        <v>0</v>
      </c>
      <c r="AH269" s="390">
        <v>0</v>
      </c>
      <c r="AI269" s="390">
        <v>0</v>
      </c>
      <c r="AJ269" s="390">
        <v>0</v>
      </c>
      <c r="AK269" s="390">
        <v>0</v>
      </c>
      <c r="AL269" s="390">
        <v>0</v>
      </c>
      <c r="AM269" s="390">
        <v>0</v>
      </c>
      <c r="AN269" s="390">
        <v>0</v>
      </c>
      <c r="AO269" s="390">
        <v>0</v>
      </c>
      <c r="AP269" s="390">
        <v>0</v>
      </c>
      <c r="AQ269" s="390">
        <v>0</v>
      </c>
      <c r="AR269" s="390">
        <v>0</v>
      </c>
      <c r="AS269" s="390">
        <v>0</v>
      </c>
      <c r="AT269" s="390">
        <v>0</v>
      </c>
      <c r="AU269" s="390">
        <v>0</v>
      </c>
      <c r="AV269" s="390">
        <v>16.8</v>
      </c>
      <c r="AW269" s="390">
        <v>19</v>
      </c>
      <c r="AX269" s="390">
        <v>0</v>
      </c>
      <c r="AY269" s="390">
        <v>0</v>
      </c>
      <c r="AZ269" s="390">
        <v>0</v>
      </c>
      <c r="BA269" s="390">
        <v>0</v>
      </c>
      <c r="BB269" s="390">
        <v>0</v>
      </c>
      <c r="BC269" s="390">
        <v>0</v>
      </c>
      <c r="BD269" s="390">
        <v>0</v>
      </c>
      <c r="BE269" s="390">
        <v>0</v>
      </c>
      <c r="BF269" s="390">
        <v>0</v>
      </c>
      <c r="BG269" s="390">
        <v>0</v>
      </c>
      <c r="BH269" s="390">
        <v>0</v>
      </c>
      <c r="BI269" s="390">
        <v>0</v>
      </c>
      <c r="BJ269" s="390">
        <v>0</v>
      </c>
      <c r="BK269" s="390">
        <v>0</v>
      </c>
      <c r="BL269" s="390">
        <v>0</v>
      </c>
      <c r="BM269" s="390">
        <v>0</v>
      </c>
      <c r="BN269" s="390">
        <v>0</v>
      </c>
      <c r="BO269" s="390">
        <v>0</v>
      </c>
      <c r="BP269" s="390">
        <v>0</v>
      </c>
      <c r="BQ269" s="390">
        <v>0</v>
      </c>
      <c r="BR269" s="390">
        <v>0</v>
      </c>
      <c r="BS269" s="390">
        <v>0</v>
      </c>
      <c r="BT269" s="390">
        <v>0</v>
      </c>
      <c r="BU269" s="390">
        <v>0</v>
      </c>
      <c r="BV269" s="390">
        <v>0</v>
      </c>
      <c r="BW269" s="390">
        <v>0</v>
      </c>
      <c r="BX269" s="390">
        <v>0</v>
      </c>
      <c r="BY269" s="390">
        <v>0</v>
      </c>
      <c r="BZ269" s="390">
        <v>0</v>
      </c>
      <c r="CA269" s="390">
        <v>0</v>
      </c>
      <c r="CB269" s="390">
        <v>0</v>
      </c>
      <c r="CC269" s="390">
        <v>0</v>
      </c>
      <c r="CD269" s="390">
        <v>0</v>
      </c>
      <c r="CE269" s="390">
        <v>0</v>
      </c>
    </row>
    <row r="270" spans="1:83" x14ac:dyDescent="0.25">
      <c r="A270" s="635">
        <v>610</v>
      </c>
      <c r="B270" s="635">
        <v>610</v>
      </c>
      <c r="C270" s="635" t="s">
        <v>792</v>
      </c>
      <c r="E270" s="497">
        <v>0</v>
      </c>
      <c r="F270" s="497">
        <v>0</v>
      </c>
      <c r="G270" s="497">
        <v>0</v>
      </c>
      <c r="H270" s="497">
        <v>0</v>
      </c>
      <c r="I270" s="497">
        <v>0</v>
      </c>
      <c r="J270" s="497">
        <v>0</v>
      </c>
      <c r="K270" s="497">
        <v>0</v>
      </c>
      <c r="L270" s="497">
        <v>0</v>
      </c>
      <c r="M270" s="497">
        <v>0</v>
      </c>
      <c r="N270" s="497">
        <v>0</v>
      </c>
      <c r="O270" s="497">
        <v>0</v>
      </c>
      <c r="P270" s="497">
        <v>0</v>
      </c>
      <c r="Q270" s="497">
        <v>0</v>
      </c>
      <c r="R270" s="497">
        <v>0</v>
      </c>
      <c r="S270" s="497">
        <v>0</v>
      </c>
      <c r="T270" s="497">
        <v>0</v>
      </c>
      <c r="U270" s="497">
        <v>0</v>
      </c>
      <c r="V270" s="497">
        <v>0</v>
      </c>
      <c r="W270" s="497">
        <v>0</v>
      </c>
      <c r="X270" s="497">
        <v>0</v>
      </c>
      <c r="Y270" s="497">
        <v>0</v>
      </c>
      <c r="Z270" s="497">
        <v>0</v>
      </c>
      <c r="AA270" s="497">
        <v>0</v>
      </c>
      <c r="AB270" s="497">
        <v>0</v>
      </c>
      <c r="AC270" s="497">
        <v>0</v>
      </c>
      <c r="AD270" s="497">
        <v>0</v>
      </c>
      <c r="AE270" s="497">
        <v>0</v>
      </c>
      <c r="AF270" s="497">
        <v>0</v>
      </c>
      <c r="AG270" s="497">
        <v>0</v>
      </c>
      <c r="AH270" s="497">
        <v>0</v>
      </c>
      <c r="AI270" s="497">
        <v>0</v>
      </c>
      <c r="AJ270" s="497">
        <v>0</v>
      </c>
      <c r="AK270" s="497">
        <v>0</v>
      </c>
      <c r="AL270" s="497">
        <v>0</v>
      </c>
      <c r="AM270" s="497">
        <v>0</v>
      </c>
      <c r="AN270" s="497">
        <v>0</v>
      </c>
      <c r="AO270" s="497">
        <v>0</v>
      </c>
      <c r="AP270" s="497">
        <v>0</v>
      </c>
      <c r="AQ270" s="497">
        <v>0</v>
      </c>
      <c r="AR270" s="497">
        <v>0</v>
      </c>
      <c r="AS270" s="497">
        <v>0</v>
      </c>
      <c r="AT270" s="497">
        <v>0</v>
      </c>
      <c r="AU270" s="497">
        <v>0</v>
      </c>
      <c r="AV270" s="497">
        <v>0</v>
      </c>
      <c r="AW270" s="497">
        <v>0</v>
      </c>
      <c r="AX270" s="497">
        <v>0</v>
      </c>
      <c r="AY270" s="497">
        <v>0</v>
      </c>
      <c r="AZ270" s="497">
        <v>0</v>
      </c>
      <c r="BA270" s="497">
        <v>0</v>
      </c>
      <c r="BB270" s="497">
        <v>0</v>
      </c>
      <c r="BC270" s="497">
        <v>0</v>
      </c>
      <c r="BD270" s="497">
        <v>0</v>
      </c>
      <c r="BE270" s="497">
        <v>0</v>
      </c>
      <c r="BF270" s="497">
        <v>0</v>
      </c>
      <c r="BG270" s="497">
        <v>0</v>
      </c>
      <c r="BH270" s="497">
        <v>0</v>
      </c>
      <c r="BI270" s="497">
        <v>0</v>
      </c>
      <c r="BJ270" s="497">
        <v>0</v>
      </c>
      <c r="BK270" s="497">
        <v>0</v>
      </c>
      <c r="BL270" s="497">
        <v>0</v>
      </c>
      <c r="BM270" s="497">
        <v>0</v>
      </c>
      <c r="BN270" s="497">
        <v>0</v>
      </c>
      <c r="BO270" s="497">
        <v>0</v>
      </c>
      <c r="BP270" s="497">
        <v>0</v>
      </c>
      <c r="BQ270" s="497">
        <v>0</v>
      </c>
      <c r="BR270" s="497">
        <v>0</v>
      </c>
      <c r="BS270" s="497">
        <v>0</v>
      </c>
      <c r="BT270" s="497">
        <v>0</v>
      </c>
      <c r="BU270" s="497">
        <v>0</v>
      </c>
      <c r="BV270" s="497">
        <v>0</v>
      </c>
      <c r="BW270" s="497">
        <v>0</v>
      </c>
      <c r="BX270" s="497">
        <v>0</v>
      </c>
      <c r="BY270" s="497">
        <v>0</v>
      </c>
      <c r="BZ270" s="497">
        <v>0</v>
      </c>
      <c r="CA270" s="497">
        <v>0</v>
      </c>
      <c r="CB270" s="497">
        <v>0</v>
      </c>
      <c r="CC270" s="497">
        <v>0</v>
      </c>
      <c r="CD270" s="497">
        <v>0</v>
      </c>
      <c r="CE270" s="497">
        <v>0</v>
      </c>
    </row>
    <row r="271" spans="1:83" x14ac:dyDescent="0.25">
      <c r="A271" s="635">
        <v>611</v>
      </c>
      <c r="B271" s="635">
        <v>611</v>
      </c>
      <c r="C271" s="635" t="s">
        <v>793</v>
      </c>
      <c r="E271" s="497">
        <v>0</v>
      </c>
      <c r="F271" s="497">
        <v>0</v>
      </c>
      <c r="G271" s="497">
        <v>0</v>
      </c>
      <c r="H271" s="497">
        <v>0</v>
      </c>
      <c r="I271" s="497">
        <v>0</v>
      </c>
      <c r="J271" s="497">
        <v>0</v>
      </c>
      <c r="K271" s="497">
        <v>0</v>
      </c>
      <c r="L271" s="497">
        <v>0</v>
      </c>
      <c r="M271" s="497">
        <v>0</v>
      </c>
      <c r="N271" s="497">
        <v>0</v>
      </c>
      <c r="O271" s="497">
        <v>0</v>
      </c>
      <c r="P271" s="497">
        <v>0</v>
      </c>
      <c r="Q271" s="497">
        <v>0</v>
      </c>
      <c r="R271" s="497">
        <v>0</v>
      </c>
      <c r="S271" s="497">
        <v>0</v>
      </c>
      <c r="T271" s="497">
        <v>0</v>
      </c>
      <c r="U271" s="497">
        <v>0</v>
      </c>
      <c r="V271" s="497">
        <v>0</v>
      </c>
      <c r="W271" s="497">
        <v>0</v>
      </c>
      <c r="X271" s="497">
        <v>0</v>
      </c>
      <c r="Y271" s="497">
        <v>0</v>
      </c>
      <c r="Z271" s="497">
        <v>0</v>
      </c>
      <c r="AA271" s="497">
        <v>0</v>
      </c>
      <c r="AB271" s="497">
        <v>0</v>
      </c>
      <c r="AC271" s="497">
        <v>0</v>
      </c>
      <c r="AD271" s="497">
        <v>0</v>
      </c>
      <c r="AE271" s="497">
        <v>0</v>
      </c>
      <c r="AF271" s="497">
        <v>0</v>
      </c>
      <c r="AG271" s="497">
        <v>0</v>
      </c>
      <c r="AH271" s="497">
        <v>0</v>
      </c>
      <c r="AI271" s="497">
        <v>0</v>
      </c>
      <c r="AJ271" s="497">
        <v>0</v>
      </c>
      <c r="AK271" s="497">
        <v>0</v>
      </c>
      <c r="AL271" s="497">
        <v>0</v>
      </c>
      <c r="AM271" s="497">
        <v>0</v>
      </c>
      <c r="AN271" s="497">
        <v>0</v>
      </c>
      <c r="AO271" s="497">
        <v>0</v>
      </c>
      <c r="AP271" s="497">
        <v>0</v>
      </c>
      <c r="AQ271" s="497">
        <v>0</v>
      </c>
      <c r="AR271" s="497">
        <v>0</v>
      </c>
      <c r="AS271" s="497">
        <v>0</v>
      </c>
      <c r="AT271" s="497">
        <v>0</v>
      </c>
      <c r="AU271" s="497">
        <v>0</v>
      </c>
      <c r="AV271" s="497">
        <v>0</v>
      </c>
      <c r="AW271" s="497">
        <v>0</v>
      </c>
      <c r="AX271" s="497">
        <v>0</v>
      </c>
      <c r="AY271" s="497">
        <v>0</v>
      </c>
      <c r="AZ271" s="497">
        <v>0</v>
      </c>
      <c r="BA271" s="497">
        <v>0</v>
      </c>
      <c r="BB271" s="497">
        <v>0</v>
      </c>
      <c r="BC271" s="497">
        <v>0</v>
      </c>
      <c r="BD271" s="497">
        <v>0</v>
      </c>
      <c r="BE271" s="497">
        <v>0</v>
      </c>
      <c r="BF271" s="497">
        <v>0</v>
      </c>
      <c r="BG271" s="497">
        <v>0</v>
      </c>
      <c r="BH271" s="497">
        <v>0</v>
      </c>
      <c r="BI271" s="497">
        <v>0</v>
      </c>
      <c r="BJ271" s="497">
        <v>0</v>
      </c>
      <c r="BK271" s="497">
        <v>0</v>
      </c>
      <c r="BL271" s="497">
        <v>0</v>
      </c>
      <c r="BM271" s="497">
        <v>0</v>
      </c>
      <c r="BN271" s="497">
        <v>0</v>
      </c>
      <c r="BO271" s="497">
        <v>0</v>
      </c>
      <c r="BP271" s="497">
        <v>0</v>
      </c>
      <c r="BQ271" s="497">
        <v>0</v>
      </c>
      <c r="BR271" s="497">
        <v>0</v>
      </c>
      <c r="BS271" s="497">
        <v>0</v>
      </c>
      <c r="BT271" s="497">
        <v>0</v>
      </c>
      <c r="BU271" s="497">
        <v>0</v>
      </c>
      <c r="BV271" s="497">
        <v>0</v>
      </c>
      <c r="BW271" s="497">
        <v>0</v>
      </c>
      <c r="BX271" s="497">
        <v>0</v>
      </c>
      <c r="BY271" s="497">
        <v>0</v>
      </c>
      <c r="BZ271" s="497">
        <v>0</v>
      </c>
      <c r="CA271" s="497">
        <v>0</v>
      </c>
      <c r="CB271" s="497">
        <v>0</v>
      </c>
      <c r="CC271" s="497">
        <v>0</v>
      </c>
      <c r="CD271" s="497">
        <v>0</v>
      </c>
      <c r="CE271" s="497">
        <v>0</v>
      </c>
    </row>
    <row r="272" spans="1:83" x14ac:dyDescent="0.25">
      <c r="A272" s="635">
        <v>612</v>
      </c>
      <c r="B272" s="635">
        <v>612</v>
      </c>
      <c r="C272" s="635" t="s">
        <v>813</v>
      </c>
      <c r="E272" s="390">
        <v>0</v>
      </c>
      <c r="F272" s="390">
        <v>0</v>
      </c>
      <c r="G272" s="390">
        <v>0</v>
      </c>
      <c r="H272" s="390">
        <v>0</v>
      </c>
      <c r="I272" s="390">
        <v>0</v>
      </c>
      <c r="J272" s="390">
        <v>0</v>
      </c>
      <c r="K272" s="390">
        <v>0</v>
      </c>
      <c r="L272" s="390">
        <v>0</v>
      </c>
      <c r="M272" s="390">
        <v>0</v>
      </c>
      <c r="N272" s="390">
        <v>0</v>
      </c>
      <c r="O272" s="390">
        <v>0</v>
      </c>
      <c r="P272" s="390">
        <v>0</v>
      </c>
      <c r="Q272" s="390">
        <v>0</v>
      </c>
      <c r="R272" s="390">
        <v>0</v>
      </c>
      <c r="S272" s="390">
        <v>0</v>
      </c>
      <c r="T272" s="390">
        <v>0</v>
      </c>
      <c r="U272" s="390">
        <v>0</v>
      </c>
      <c r="V272" s="390">
        <v>0</v>
      </c>
      <c r="W272" s="390">
        <v>0</v>
      </c>
      <c r="X272" s="390">
        <v>0</v>
      </c>
      <c r="Y272" s="390">
        <v>0</v>
      </c>
      <c r="Z272" s="390">
        <v>0</v>
      </c>
      <c r="AA272" s="390">
        <v>0</v>
      </c>
      <c r="AB272" s="390">
        <v>0</v>
      </c>
      <c r="AC272" s="390">
        <v>0</v>
      </c>
      <c r="AD272" s="390">
        <v>0</v>
      </c>
      <c r="AE272" s="390">
        <v>0</v>
      </c>
      <c r="AF272" s="390">
        <v>0</v>
      </c>
      <c r="AG272" s="390">
        <v>0</v>
      </c>
      <c r="AH272" s="390">
        <v>0</v>
      </c>
      <c r="AI272" s="390">
        <v>0</v>
      </c>
      <c r="AJ272" s="390">
        <v>0</v>
      </c>
      <c r="AK272" s="390">
        <v>0</v>
      </c>
      <c r="AL272" s="390">
        <v>0</v>
      </c>
      <c r="AM272" s="390">
        <v>0</v>
      </c>
      <c r="AN272" s="390">
        <v>0</v>
      </c>
      <c r="AO272" s="390">
        <v>0</v>
      </c>
      <c r="AP272" s="390">
        <v>0</v>
      </c>
      <c r="AQ272" s="390">
        <v>0</v>
      </c>
      <c r="AR272" s="390">
        <v>0</v>
      </c>
      <c r="AS272" s="390">
        <v>0</v>
      </c>
      <c r="AT272" s="390">
        <v>0</v>
      </c>
      <c r="AU272" s="390">
        <v>0</v>
      </c>
      <c r="AV272" s="390">
        <v>0</v>
      </c>
      <c r="AW272" s="390">
        <v>0</v>
      </c>
      <c r="AX272" s="390">
        <v>0</v>
      </c>
      <c r="AY272" s="390">
        <v>0</v>
      </c>
      <c r="AZ272" s="390">
        <v>0</v>
      </c>
      <c r="BA272" s="390">
        <v>0</v>
      </c>
      <c r="BB272" s="390">
        <v>0</v>
      </c>
      <c r="BC272" s="390">
        <v>0</v>
      </c>
      <c r="BD272" s="390">
        <v>0</v>
      </c>
      <c r="BE272" s="390">
        <v>0</v>
      </c>
      <c r="BF272" s="390">
        <v>0</v>
      </c>
      <c r="BG272" s="390">
        <v>0</v>
      </c>
      <c r="BH272" s="390">
        <v>0</v>
      </c>
      <c r="BI272" s="390">
        <v>0</v>
      </c>
      <c r="BJ272" s="390">
        <v>0</v>
      </c>
      <c r="BK272" s="390">
        <v>0</v>
      </c>
      <c r="BL272" s="390">
        <v>0</v>
      </c>
      <c r="BM272" s="390">
        <v>0</v>
      </c>
      <c r="BN272" s="390">
        <v>0</v>
      </c>
      <c r="BO272" s="390">
        <v>0</v>
      </c>
      <c r="BP272" s="390">
        <v>0</v>
      </c>
      <c r="BQ272" s="390">
        <v>0</v>
      </c>
      <c r="BR272" s="390">
        <v>0</v>
      </c>
      <c r="BS272" s="390">
        <v>0</v>
      </c>
      <c r="BT272" s="390">
        <v>0</v>
      </c>
      <c r="BU272" s="390">
        <v>0</v>
      </c>
      <c r="BV272" s="390">
        <v>0</v>
      </c>
      <c r="BW272" s="390">
        <v>0</v>
      </c>
      <c r="BX272" s="390">
        <v>0</v>
      </c>
      <c r="BY272" s="390">
        <v>0</v>
      </c>
      <c r="BZ272" s="390">
        <v>0</v>
      </c>
      <c r="CA272" s="390">
        <v>0</v>
      </c>
      <c r="CB272" s="390">
        <v>0</v>
      </c>
      <c r="CC272" s="390">
        <v>0</v>
      </c>
      <c r="CD272" s="390">
        <v>0</v>
      </c>
      <c r="CE272" s="390">
        <v>0</v>
      </c>
    </row>
    <row r="273" spans="1:83" x14ac:dyDescent="0.25">
      <c r="A273" s="635">
        <v>613</v>
      </c>
      <c r="B273" s="635">
        <v>613</v>
      </c>
      <c r="C273" s="635" t="s">
        <v>801</v>
      </c>
      <c r="E273" s="497">
        <v>0</v>
      </c>
      <c r="F273" s="497">
        <v>0</v>
      </c>
      <c r="G273" s="497">
        <v>0</v>
      </c>
      <c r="H273" s="497">
        <v>0</v>
      </c>
      <c r="I273" s="497">
        <v>0</v>
      </c>
      <c r="J273" s="497">
        <v>0</v>
      </c>
      <c r="K273" s="497">
        <v>0</v>
      </c>
      <c r="L273" s="497">
        <v>0</v>
      </c>
      <c r="M273" s="497">
        <v>0</v>
      </c>
      <c r="N273" s="497">
        <v>0</v>
      </c>
      <c r="O273" s="497">
        <v>0</v>
      </c>
      <c r="P273" s="497">
        <v>0</v>
      </c>
      <c r="Q273" s="497">
        <v>0</v>
      </c>
      <c r="R273" s="497">
        <v>0</v>
      </c>
      <c r="S273" s="497">
        <v>0</v>
      </c>
      <c r="T273" s="497">
        <v>0</v>
      </c>
      <c r="U273" s="497">
        <v>0</v>
      </c>
      <c r="V273" s="497">
        <v>0</v>
      </c>
      <c r="W273" s="497">
        <v>0</v>
      </c>
      <c r="X273" s="497">
        <v>0</v>
      </c>
      <c r="Y273" s="497">
        <v>0</v>
      </c>
      <c r="Z273" s="497">
        <v>0</v>
      </c>
      <c r="AA273" s="497">
        <v>0</v>
      </c>
      <c r="AB273" s="497">
        <v>0</v>
      </c>
      <c r="AC273" s="497">
        <v>0</v>
      </c>
      <c r="AD273" s="497">
        <v>0</v>
      </c>
      <c r="AE273" s="497">
        <v>0</v>
      </c>
      <c r="AF273" s="497">
        <v>0</v>
      </c>
      <c r="AG273" s="497">
        <v>0</v>
      </c>
      <c r="AH273" s="497">
        <v>0</v>
      </c>
      <c r="AI273" s="497">
        <v>0</v>
      </c>
      <c r="AJ273" s="497">
        <v>0</v>
      </c>
      <c r="AK273" s="497">
        <v>0</v>
      </c>
      <c r="AL273" s="497">
        <v>0</v>
      </c>
      <c r="AM273" s="497">
        <v>0</v>
      </c>
      <c r="AN273" s="497">
        <v>0</v>
      </c>
      <c r="AO273" s="497">
        <v>0</v>
      </c>
      <c r="AP273" s="497">
        <v>0</v>
      </c>
      <c r="AQ273" s="497">
        <v>0</v>
      </c>
      <c r="AR273" s="497">
        <v>0</v>
      </c>
      <c r="AS273" s="497">
        <v>0</v>
      </c>
      <c r="AT273" s="497">
        <v>0</v>
      </c>
      <c r="AU273" s="497">
        <v>0</v>
      </c>
      <c r="AV273" s="497">
        <v>0</v>
      </c>
      <c r="AW273" s="497">
        <v>0</v>
      </c>
      <c r="AX273" s="497">
        <v>0</v>
      </c>
      <c r="AY273" s="497">
        <v>0</v>
      </c>
      <c r="AZ273" s="497">
        <v>0</v>
      </c>
      <c r="BA273" s="497">
        <v>0</v>
      </c>
      <c r="BB273" s="497">
        <v>0</v>
      </c>
      <c r="BC273" s="497">
        <v>0</v>
      </c>
      <c r="BD273" s="497">
        <v>0</v>
      </c>
      <c r="BE273" s="497">
        <v>0</v>
      </c>
      <c r="BF273" s="497">
        <v>0</v>
      </c>
      <c r="BG273" s="497">
        <v>0</v>
      </c>
      <c r="BH273" s="497">
        <v>0</v>
      </c>
      <c r="BI273" s="497">
        <v>0</v>
      </c>
      <c r="BJ273" s="497">
        <v>0</v>
      </c>
      <c r="BK273" s="497">
        <v>0</v>
      </c>
      <c r="BL273" s="497">
        <v>0</v>
      </c>
      <c r="BM273" s="497">
        <v>0</v>
      </c>
      <c r="BN273" s="497">
        <v>0</v>
      </c>
      <c r="BO273" s="497">
        <v>0</v>
      </c>
      <c r="BP273" s="497">
        <v>0</v>
      </c>
      <c r="BQ273" s="497">
        <v>0</v>
      </c>
      <c r="BR273" s="497">
        <v>0</v>
      </c>
      <c r="BS273" s="497">
        <v>0</v>
      </c>
      <c r="BT273" s="497">
        <v>0</v>
      </c>
      <c r="BU273" s="497">
        <v>0</v>
      </c>
      <c r="BV273" s="497">
        <v>0</v>
      </c>
      <c r="BW273" s="497">
        <v>0</v>
      </c>
      <c r="BX273" s="497">
        <v>0</v>
      </c>
      <c r="BY273" s="497">
        <v>0</v>
      </c>
      <c r="BZ273" s="497">
        <v>0</v>
      </c>
      <c r="CA273" s="497">
        <v>0</v>
      </c>
      <c r="CB273" s="497">
        <v>0</v>
      </c>
      <c r="CC273" s="497">
        <v>0</v>
      </c>
      <c r="CD273" s="497">
        <v>0</v>
      </c>
      <c r="CE273" s="497">
        <v>0</v>
      </c>
    </row>
    <row r="274" spans="1:83" x14ac:dyDescent="0.25">
      <c r="A274" s="635">
        <v>614</v>
      </c>
      <c r="B274" s="635">
        <v>614</v>
      </c>
      <c r="C274" s="635" t="s">
        <v>794</v>
      </c>
      <c r="E274" s="497">
        <v>0</v>
      </c>
      <c r="F274" s="497">
        <v>0</v>
      </c>
      <c r="G274" s="497">
        <v>0</v>
      </c>
      <c r="H274" s="497">
        <v>0</v>
      </c>
      <c r="I274" s="497">
        <v>0</v>
      </c>
      <c r="J274" s="497">
        <v>0</v>
      </c>
      <c r="K274" s="497">
        <v>0</v>
      </c>
      <c r="L274" s="497">
        <v>0</v>
      </c>
      <c r="M274" s="497">
        <v>0</v>
      </c>
      <c r="N274" s="497">
        <v>0</v>
      </c>
      <c r="O274" s="497">
        <v>0</v>
      </c>
      <c r="P274" s="497">
        <v>0</v>
      </c>
      <c r="Q274" s="497">
        <v>0</v>
      </c>
      <c r="R274" s="497">
        <v>0</v>
      </c>
      <c r="S274" s="497">
        <v>0</v>
      </c>
      <c r="T274" s="497">
        <v>0</v>
      </c>
      <c r="U274" s="497">
        <v>0</v>
      </c>
      <c r="V274" s="497">
        <v>0</v>
      </c>
      <c r="W274" s="497">
        <v>0</v>
      </c>
      <c r="X274" s="497">
        <v>0</v>
      </c>
      <c r="Y274" s="497">
        <v>0</v>
      </c>
      <c r="Z274" s="497">
        <v>0</v>
      </c>
      <c r="AA274" s="497">
        <v>0</v>
      </c>
      <c r="AB274" s="497">
        <v>0</v>
      </c>
      <c r="AC274" s="497">
        <v>0</v>
      </c>
      <c r="AD274" s="497">
        <v>0</v>
      </c>
      <c r="AE274" s="497">
        <v>0</v>
      </c>
      <c r="AF274" s="497">
        <v>0</v>
      </c>
      <c r="AG274" s="497">
        <v>0</v>
      </c>
      <c r="AH274" s="497">
        <v>0</v>
      </c>
      <c r="AI274" s="497">
        <v>0</v>
      </c>
      <c r="AJ274" s="497">
        <v>0</v>
      </c>
      <c r="AK274" s="497">
        <v>0</v>
      </c>
      <c r="AL274" s="497">
        <v>0</v>
      </c>
      <c r="AM274" s="497">
        <v>0</v>
      </c>
      <c r="AN274" s="497">
        <v>0</v>
      </c>
      <c r="AO274" s="497">
        <v>0</v>
      </c>
      <c r="AP274" s="497">
        <v>0</v>
      </c>
      <c r="AQ274" s="497">
        <v>0</v>
      </c>
      <c r="AR274" s="497">
        <v>0</v>
      </c>
      <c r="AS274" s="497">
        <v>0</v>
      </c>
      <c r="AT274" s="497">
        <v>0</v>
      </c>
      <c r="AU274" s="497">
        <v>0</v>
      </c>
      <c r="AV274" s="497">
        <v>0</v>
      </c>
      <c r="AW274" s="497">
        <v>0</v>
      </c>
      <c r="AX274" s="497">
        <v>0</v>
      </c>
      <c r="AY274" s="497">
        <v>0</v>
      </c>
      <c r="AZ274" s="497">
        <v>0</v>
      </c>
      <c r="BA274" s="497">
        <v>0</v>
      </c>
      <c r="BB274" s="497">
        <v>0</v>
      </c>
      <c r="BC274" s="497">
        <v>0</v>
      </c>
      <c r="BD274" s="497">
        <v>0</v>
      </c>
      <c r="BE274" s="497">
        <v>0</v>
      </c>
      <c r="BF274" s="497">
        <v>0</v>
      </c>
      <c r="BG274" s="497">
        <v>0</v>
      </c>
      <c r="BH274" s="497">
        <v>0</v>
      </c>
      <c r="BI274" s="497">
        <v>0</v>
      </c>
      <c r="BJ274" s="497">
        <v>0</v>
      </c>
      <c r="BK274" s="497">
        <v>0</v>
      </c>
      <c r="BL274" s="497">
        <v>0</v>
      </c>
      <c r="BM274" s="497">
        <v>0</v>
      </c>
      <c r="BN274" s="497">
        <v>0</v>
      </c>
      <c r="BO274" s="497">
        <v>0</v>
      </c>
      <c r="BP274" s="497">
        <v>0</v>
      </c>
      <c r="BQ274" s="497">
        <v>0</v>
      </c>
      <c r="BR274" s="497">
        <v>0</v>
      </c>
      <c r="BS274" s="497">
        <v>0</v>
      </c>
      <c r="BT274" s="497">
        <v>0</v>
      </c>
      <c r="BU274" s="497">
        <v>0</v>
      </c>
      <c r="BV274" s="497">
        <v>0</v>
      </c>
      <c r="BW274" s="497">
        <v>0</v>
      </c>
      <c r="BX274" s="497">
        <v>0</v>
      </c>
      <c r="BY274" s="497">
        <v>0</v>
      </c>
      <c r="BZ274" s="497">
        <v>0</v>
      </c>
      <c r="CA274" s="497">
        <v>0</v>
      </c>
      <c r="CB274" s="497">
        <v>0</v>
      </c>
      <c r="CC274" s="497">
        <v>0</v>
      </c>
      <c r="CD274" s="497">
        <v>0</v>
      </c>
      <c r="CE274" s="497">
        <v>0</v>
      </c>
    </row>
    <row r="275" spans="1:83" x14ac:dyDescent="0.25">
      <c r="A275" s="635">
        <v>615</v>
      </c>
      <c r="B275" s="635">
        <v>615</v>
      </c>
      <c r="C275" s="635" t="s">
        <v>814</v>
      </c>
      <c r="E275" s="390">
        <v>0</v>
      </c>
      <c r="F275" s="390">
        <v>0</v>
      </c>
      <c r="G275" s="390">
        <v>0</v>
      </c>
      <c r="H275" s="390">
        <v>0</v>
      </c>
      <c r="I275" s="390">
        <v>0</v>
      </c>
      <c r="J275" s="390">
        <v>0</v>
      </c>
      <c r="K275" s="390">
        <v>0</v>
      </c>
      <c r="L275" s="390">
        <v>0</v>
      </c>
      <c r="M275" s="390">
        <v>0</v>
      </c>
      <c r="N275" s="390">
        <v>0</v>
      </c>
      <c r="O275" s="390">
        <v>0</v>
      </c>
      <c r="P275" s="390">
        <v>0</v>
      </c>
      <c r="Q275" s="390">
        <v>0</v>
      </c>
      <c r="R275" s="390">
        <v>0</v>
      </c>
      <c r="S275" s="390">
        <v>0</v>
      </c>
      <c r="T275" s="390">
        <v>0</v>
      </c>
      <c r="U275" s="390">
        <v>0</v>
      </c>
      <c r="V275" s="390">
        <v>0</v>
      </c>
      <c r="W275" s="390">
        <v>0</v>
      </c>
      <c r="X275" s="390">
        <v>0</v>
      </c>
      <c r="Y275" s="390">
        <v>0</v>
      </c>
      <c r="Z275" s="390">
        <v>0</v>
      </c>
      <c r="AA275" s="390">
        <v>0</v>
      </c>
      <c r="AB275" s="390">
        <v>0</v>
      </c>
      <c r="AC275" s="390">
        <v>0</v>
      </c>
      <c r="AD275" s="390">
        <v>0</v>
      </c>
      <c r="AE275" s="390">
        <v>0</v>
      </c>
      <c r="AF275" s="390">
        <v>0</v>
      </c>
      <c r="AG275" s="390">
        <v>0</v>
      </c>
      <c r="AH275" s="390">
        <v>0</v>
      </c>
      <c r="AI275" s="390">
        <v>0</v>
      </c>
      <c r="AJ275" s="390">
        <v>0</v>
      </c>
      <c r="AK275" s="390">
        <v>0</v>
      </c>
      <c r="AL275" s="390">
        <v>0</v>
      </c>
      <c r="AM275" s="390">
        <v>0</v>
      </c>
      <c r="AN275" s="390">
        <v>0</v>
      </c>
      <c r="AO275" s="390">
        <v>0</v>
      </c>
      <c r="AP275" s="390">
        <v>0</v>
      </c>
      <c r="AQ275" s="390">
        <v>0</v>
      </c>
      <c r="AR275" s="390">
        <v>0</v>
      </c>
      <c r="AS275" s="390">
        <v>0</v>
      </c>
      <c r="AT275" s="390">
        <v>0</v>
      </c>
      <c r="AU275" s="390">
        <v>0</v>
      </c>
      <c r="AV275" s="390">
        <v>0</v>
      </c>
      <c r="AW275" s="390">
        <v>0</v>
      </c>
      <c r="AX275" s="390">
        <v>0</v>
      </c>
      <c r="AY275" s="390">
        <v>0</v>
      </c>
      <c r="AZ275" s="390">
        <v>0</v>
      </c>
      <c r="BA275" s="390">
        <v>0</v>
      </c>
      <c r="BB275" s="390">
        <v>0</v>
      </c>
      <c r="BC275" s="390">
        <v>0</v>
      </c>
      <c r="BD275" s="390">
        <v>0</v>
      </c>
      <c r="BE275" s="390">
        <v>0</v>
      </c>
      <c r="BF275" s="390">
        <v>0</v>
      </c>
      <c r="BG275" s="390">
        <v>0</v>
      </c>
      <c r="BH275" s="390">
        <v>0</v>
      </c>
      <c r="BI275" s="390">
        <v>0</v>
      </c>
      <c r="BJ275" s="390">
        <v>0</v>
      </c>
      <c r="BK275" s="390">
        <v>0</v>
      </c>
      <c r="BL275" s="390">
        <v>0</v>
      </c>
      <c r="BM275" s="390">
        <v>0</v>
      </c>
      <c r="BN275" s="390">
        <v>0</v>
      </c>
      <c r="BO275" s="390">
        <v>0</v>
      </c>
      <c r="BP275" s="390">
        <v>0</v>
      </c>
      <c r="BQ275" s="390">
        <v>0</v>
      </c>
      <c r="BR275" s="390">
        <v>0</v>
      </c>
      <c r="BS275" s="390">
        <v>0</v>
      </c>
      <c r="BT275" s="390">
        <v>0</v>
      </c>
      <c r="BU275" s="390">
        <v>0</v>
      </c>
      <c r="BV275" s="390">
        <v>0</v>
      </c>
      <c r="BW275" s="390">
        <v>0</v>
      </c>
      <c r="BX275" s="390">
        <v>0</v>
      </c>
      <c r="BY275" s="390">
        <v>0</v>
      </c>
      <c r="BZ275" s="390">
        <v>0</v>
      </c>
      <c r="CA275" s="390">
        <v>0</v>
      </c>
      <c r="CB275" s="390">
        <v>0</v>
      </c>
      <c r="CC275" s="390">
        <v>0</v>
      </c>
      <c r="CD275" s="390">
        <v>0</v>
      </c>
      <c r="CE275" s="390">
        <v>0</v>
      </c>
    </row>
    <row r="276" spans="1:83" x14ac:dyDescent="0.25">
      <c r="A276" s="635">
        <v>616</v>
      </c>
      <c r="B276" s="635">
        <v>616</v>
      </c>
      <c r="C276" s="635" t="s">
        <v>795</v>
      </c>
      <c r="E276" s="497">
        <v>0</v>
      </c>
      <c r="F276" s="497">
        <v>0</v>
      </c>
      <c r="G276" s="497">
        <v>0</v>
      </c>
      <c r="H276" s="497">
        <v>0</v>
      </c>
      <c r="I276" s="497">
        <v>0</v>
      </c>
      <c r="J276" s="497">
        <v>0</v>
      </c>
      <c r="K276" s="497">
        <v>0</v>
      </c>
      <c r="L276" s="497">
        <v>0</v>
      </c>
      <c r="M276" s="497">
        <v>0</v>
      </c>
      <c r="N276" s="497">
        <v>0</v>
      </c>
      <c r="O276" s="497">
        <v>0</v>
      </c>
      <c r="P276" s="497">
        <v>0</v>
      </c>
      <c r="Q276" s="497">
        <v>0</v>
      </c>
      <c r="R276" s="497">
        <v>0</v>
      </c>
      <c r="S276" s="497">
        <v>0</v>
      </c>
      <c r="T276" s="497">
        <v>0</v>
      </c>
      <c r="U276" s="497">
        <v>0</v>
      </c>
      <c r="V276" s="497">
        <v>0</v>
      </c>
      <c r="W276" s="497">
        <v>0</v>
      </c>
      <c r="X276" s="497">
        <v>0</v>
      </c>
      <c r="Y276" s="497">
        <v>0</v>
      </c>
      <c r="Z276" s="497">
        <v>0</v>
      </c>
      <c r="AA276" s="497">
        <v>0</v>
      </c>
      <c r="AB276" s="497">
        <v>0</v>
      </c>
      <c r="AC276" s="497">
        <v>0</v>
      </c>
      <c r="AD276" s="497">
        <v>0</v>
      </c>
      <c r="AE276" s="497">
        <v>0</v>
      </c>
      <c r="AF276" s="497">
        <v>0</v>
      </c>
      <c r="AG276" s="497">
        <v>0</v>
      </c>
      <c r="AH276" s="497">
        <v>0</v>
      </c>
      <c r="AI276" s="497">
        <v>0</v>
      </c>
      <c r="AJ276" s="497">
        <v>0</v>
      </c>
      <c r="AK276" s="497">
        <v>0</v>
      </c>
      <c r="AL276" s="497">
        <v>0</v>
      </c>
      <c r="AM276" s="497">
        <v>0</v>
      </c>
      <c r="AN276" s="497">
        <v>0</v>
      </c>
      <c r="AO276" s="497">
        <v>0</v>
      </c>
      <c r="AP276" s="497">
        <v>0</v>
      </c>
      <c r="AQ276" s="497">
        <v>0</v>
      </c>
      <c r="AR276" s="497">
        <v>0</v>
      </c>
      <c r="AS276" s="497">
        <v>0</v>
      </c>
      <c r="AT276" s="497">
        <v>0</v>
      </c>
      <c r="AU276" s="497">
        <v>0</v>
      </c>
      <c r="AV276" s="497">
        <v>0</v>
      </c>
      <c r="AW276" s="497">
        <v>0</v>
      </c>
      <c r="AX276" s="497">
        <v>0</v>
      </c>
      <c r="AY276" s="497">
        <v>0</v>
      </c>
      <c r="AZ276" s="497">
        <v>0</v>
      </c>
      <c r="BA276" s="497">
        <v>0</v>
      </c>
      <c r="BB276" s="497">
        <v>0</v>
      </c>
      <c r="BC276" s="497">
        <v>0</v>
      </c>
      <c r="BD276" s="497">
        <v>0</v>
      </c>
      <c r="BE276" s="497">
        <v>0</v>
      </c>
      <c r="BF276" s="497">
        <v>0</v>
      </c>
      <c r="BG276" s="497">
        <v>0</v>
      </c>
      <c r="BH276" s="497">
        <v>0</v>
      </c>
      <c r="BI276" s="497">
        <v>0</v>
      </c>
      <c r="BJ276" s="497">
        <v>0</v>
      </c>
      <c r="BK276" s="497">
        <v>0</v>
      </c>
      <c r="BL276" s="497">
        <v>0</v>
      </c>
      <c r="BM276" s="497">
        <v>0</v>
      </c>
      <c r="BN276" s="497">
        <v>0</v>
      </c>
      <c r="BO276" s="497">
        <v>0</v>
      </c>
      <c r="BP276" s="497">
        <v>0</v>
      </c>
      <c r="BQ276" s="497">
        <v>0</v>
      </c>
      <c r="BR276" s="497">
        <v>0</v>
      </c>
      <c r="BS276" s="497">
        <v>0</v>
      </c>
      <c r="BT276" s="497">
        <v>0</v>
      </c>
      <c r="BU276" s="497">
        <v>0</v>
      </c>
      <c r="BV276" s="497">
        <v>0</v>
      </c>
      <c r="BW276" s="497">
        <v>0</v>
      </c>
      <c r="BX276" s="497">
        <v>0</v>
      </c>
      <c r="BY276" s="497">
        <v>0</v>
      </c>
      <c r="BZ276" s="497">
        <v>0</v>
      </c>
      <c r="CA276" s="497">
        <v>0</v>
      </c>
      <c r="CB276" s="497">
        <v>0</v>
      </c>
      <c r="CC276" s="497">
        <v>0</v>
      </c>
      <c r="CD276" s="497">
        <v>0</v>
      </c>
      <c r="CE276" s="497">
        <v>0</v>
      </c>
    </row>
    <row r="277" spans="1:83" x14ac:dyDescent="0.25">
      <c r="A277" s="635">
        <v>617</v>
      </c>
      <c r="B277" s="635">
        <v>617</v>
      </c>
      <c r="C277" s="635" t="s">
        <v>796</v>
      </c>
      <c r="E277" s="497">
        <v>0</v>
      </c>
      <c r="F277" s="497">
        <v>0</v>
      </c>
      <c r="G277" s="497">
        <v>0</v>
      </c>
      <c r="H277" s="497">
        <v>0</v>
      </c>
      <c r="I277" s="497">
        <v>0</v>
      </c>
      <c r="J277" s="497">
        <v>0</v>
      </c>
      <c r="K277" s="497">
        <v>0</v>
      </c>
      <c r="L277" s="497">
        <v>0</v>
      </c>
      <c r="M277" s="497">
        <v>0</v>
      </c>
      <c r="N277" s="497">
        <v>0</v>
      </c>
      <c r="O277" s="497">
        <v>0</v>
      </c>
      <c r="P277" s="497">
        <v>0</v>
      </c>
      <c r="Q277" s="497">
        <v>0</v>
      </c>
      <c r="R277" s="497">
        <v>0</v>
      </c>
      <c r="S277" s="497">
        <v>0</v>
      </c>
      <c r="T277" s="497">
        <v>0</v>
      </c>
      <c r="U277" s="497">
        <v>0</v>
      </c>
      <c r="V277" s="497">
        <v>0</v>
      </c>
      <c r="W277" s="497">
        <v>0</v>
      </c>
      <c r="X277" s="497">
        <v>0</v>
      </c>
      <c r="Y277" s="497">
        <v>0</v>
      </c>
      <c r="Z277" s="497">
        <v>0</v>
      </c>
      <c r="AA277" s="497">
        <v>0</v>
      </c>
      <c r="AB277" s="497">
        <v>0</v>
      </c>
      <c r="AC277" s="497">
        <v>0</v>
      </c>
      <c r="AD277" s="497">
        <v>0</v>
      </c>
      <c r="AE277" s="497">
        <v>0</v>
      </c>
      <c r="AF277" s="497">
        <v>0</v>
      </c>
      <c r="AG277" s="497">
        <v>0</v>
      </c>
      <c r="AH277" s="497">
        <v>0</v>
      </c>
      <c r="AI277" s="497">
        <v>0</v>
      </c>
      <c r="AJ277" s="497">
        <v>0</v>
      </c>
      <c r="AK277" s="497">
        <v>0</v>
      </c>
      <c r="AL277" s="497">
        <v>0</v>
      </c>
      <c r="AM277" s="497">
        <v>0</v>
      </c>
      <c r="AN277" s="497">
        <v>0</v>
      </c>
      <c r="AO277" s="497">
        <v>0</v>
      </c>
      <c r="AP277" s="497">
        <v>0</v>
      </c>
      <c r="AQ277" s="497">
        <v>0</v>
      </c>
      <c r="AR277" s="497">
        <v>0</v>
      </c>
      <c r="AS277" s="497">
        <v>0</v>
      </c>
      <c r="AT277" s="497">
        <v>0</v>
      </c>
      <c r="AU277" s="497">
        <v>0</v>
      </c>
      <c r="AV277" s="497">
        <v>0</v>
      </c>
      <c r="AW277" s="497">
        <v>0</v>
      </c>
      <c r="AX277" s="497">
        <v>0</v>
      </c>
      <c r="AY277" s="497">
        <v>0</v>
      </c>
      <c r="AZ277" s="497">
        <v>0</v>
      </c>
      <c r="BA277" s="497">
        <v>0</v>
      </c>
      <c r="BB277" s="497">
        <v>0</v>
      </c>
      <c r="BC277" s="497">
        <v>0</v>
      </c>
      <c r="BD277" s="497">
        <v>0</v>
      </c>
      <c r="BE277" s="497">
        <v>0</v>
      </c>
      <c r="BF277" s="497">
        <v>0</v>
      </c>
      <c r="BG277" s="497">
        <v>0</v>
      </c>
      <c r="BH277" s="497">
        <v>0</v>
      </c>
      <c r="BI277" s="497">
        <v>0</v>
      </c>
      <c r="BJ277" s="497">
        <v>0</v>
      </c>
      <c r="BK277" s="497">
        <v>0</v>
      </c>
      <c r="BL277" s="497">
        <v>0</v>
      </c>
      <c r="BM277" s="497">
        <v>0</v>
      </c>
      <c r="BN277" s="497">
        <v>0</v>
      </c>
      <c r="BO277" s="497">
        <v>0</v>
      </c>
      <c r="BP277" s="497">
        <v>0</v>
      </c>
      <c r="BQ277" s="497">
        <v>0</v>
      </c>
      <c r="BR277" s="497">
        <v>0</v>
      </c>
      <c r="BS277" s="497">
        <v>0</v>
      </c>
      <c r="BT277" s="497">
        <v>0</v>
      </c>
      <c r="BU277" s="497">
        <v>0</v>
      </c>
      <c r="BV277" s="497">
        <v>0</v>
      </c>
      <c r="BW277" s="497">
        <v>0</v>
      </c>
      <c r="BX277" s="497">
        <v>0</v>
      </c>
      <c r="BY277" s="497">
        <v>0</v>
      </c>
      <c r="BZ277" s="497">
        <v>0</v>
      </c>
      <c r="CA277" s="497">
        <v>0</v>
      </c>
      <c r="CB277" s="497">
        <v>0</v>
      </c>
      <c r="CC277" s="497">
        <v>0</v>
      </c>
      <c r="CD277" s="497">
        <v>0</v>
      </c>
      <c r="CE277" s="497">
        <v>0</v>
      </c>
    </row>
    <row r="278" spans="1:83" x14ac:dyDescent="0.25">
      <c r="A278" s="635">
        <v>618</v>
      </c>
      <c r="B278" s="635">
        <v>618</v>
      </c>
      <c r="C278" s="635" t="s">
        <v>815</v>
      </c>
      <c r="E278" s="390">
        <v>0</v>
      </c>
      <c r="F278" s="390">
        <v>0</v>
      </c>
      <c r="G278" s="390">
        <v>0</v>
      </c>
      <c r="H278" s="390">
        <v>0</v>
      </c>
      <c r="I278" s="390">
        <v>0</v>
      </c>
      <c r="J278" s="390">
        <v>0</v>
      </c>
      <c r="K278" s="390">
        <v>0</v>
      </c>
      <c r="L278" s="390">
        <v>0</v>
      </c>
      <c r="M278" s="390">
        <v>0</v>
      </c>
      <c r="N278" s="390">
        <v>0</v>
      </c>
      <c r="O278" s="390">
        <v>0</v>
      </c>
      <c r="P278" s="390">
        <v>0</v>
      </c>
      <c r="Q278" s="390">
        <v>0</v>
      </c>
      <c r="R278" s="390">
        <v>0</v>
      </c>
      <c r="S278" s="390">
        <v>0</v>
      </c>
      <c r="T278" s="390">
        <v>0</v>
      </c>
      <c r="U278" s="390">
        <v>0</v>
      </c>
      <c r="V278" s="390">
        <v>0</v>
      </c>
      <c r="W278" s="390">
        <v>0</v>
      </c>
      <c r="X278" s="390">
        <v>0</v>
      </c>
      <c r="Y278" s="390">
        <v>0</v>
      </c>
      <c r="Z278" s="390">
        <v>0</v>
      </c>
      <c r="AA278" s="390">
        <v>0</v>
      </c>
      <c r="AB278" s="390">
        <v>0</v>
      </c>
      <c r="AC278" s="390">
        <v>0</v>
      </c>
      <c r="AD278" s="390">
        <v>0</v>
      </c>
      <c r="AE278" s="390">
        <v>0</v>
      </c>
      <c r="AF278" s="390">
        <v>0</v>
      </c>
      <c r="AG278" s="390">
        <v>0</v>
      </c>
      <c r="AH278" s="390">
        <v>0</v>
      </c>
      <c r="AI278" s="390">
        <v>0</v>
      </c>
      <c r="AJ278" s="390">
        <v>0</v>
      </c>
      <c r="AK278" s="390">
        <v>0</v>
      </c>
      <c r="AL278" s="390">
        <v>0</v>
      </c>
      <c r="AM278" s="390">
        <v>0</v>
      </c>
      <c r="AN278" s="390">
        <v>0</v>
      </c>
      <c r="AO278" s="390">
        <v>0</v>
      </c>
      <c r="AP278" s="390">
        <v>0</v>
      </c>
      <c r="AQ278" s="390">
        <v>0</v>
      </c>
      <c r="AR278" s="390">
        <v>0</v>
      </c>
      <c r="AS278" s="390">
        <v>0</v>
      </c>
      <c r="AT278" s="390">
        <v>0</v>
      </c>
      <c r="AU278" s="390">
        <v>0</v>
      </c>
      <c r="AV278" s="390">
        <v>0</v>
      </c>
      <c r="AW278" s="390">
        <v>0</v>
      </c>
      <c r="AX278" s="390">
        <v>0</v>
      </c>
      <c r="AY278" s="390">
        <v>0</v>
      </c>
      <c r="AZ278" s="390">
        <v>0</v>
      </c>
      <c r="BA278" s="390">
        <v>0</v>
      </c>
      <c r="BB278" s="390">
        <v>0</v>
      </c>
      <c r="BC278" s="390">
        <v>0</v>
      </c>
      <c r="BD278" s="390">
        <v>0</v>
      </c>
      <c r="BE278" s="390">
        <v>0</v>
      </c>
      <c r="BF278" s="390">
        <v>0</v>
      </c>
      <c r="BG278" s="390">
        <v>0</v>
      </c>
      <c r="BH278" s="390">
        <v>0</v>
      </c>
      <c r="BI278" s="390">
        <v>0</v>
      </c>
      <c r="BJ278" s="390">
        <v>0</v>
      </c>
      <c r="BK278" s="390">
        <v>0</v>
      </c>
      <c r="BL278" s="390">
        <v>0</v>
      </c>
      <c r="BM278" s="390">
        <v>0</v>
      </c>
      <c r="BN278" s="390">
        <v>0</v>
      </c>
      <c r="BO278" s="390">
        <v>0</v>
      </c>
      <c r="BP278" s="390">
        <v>0</v>
      </c>
      <c r="BQ278" s="390">
        <v>0</v>
      </c>
      <c r="BR278" s="390">
        <v>0</v>
      </c>
      <c r="BS278" s="390">
        <v>0</v>
      </c>
      <c r="BT278" s="390">
        <v>0</v>
      </c>
      <c r="BU278" s="390">
        <v>0</v>
      </c>
      <c r="BV278" s="390">
        <v>0</v>
      </c>
      <c r="BW278" s="390">
        <v>0</v>
      </c>
      <c r="BX278" s="390">
        <v>0</v>
      </c>
      <c r="BY278" s="390">
        <v>0</v>
      </c>
      <c r="BZ278" s="390">
        <v>0</v>
      </c>
      <c r="CA278" s="390">
        <v>0</v>
      </c>
      <c r="CB278" s="390">
        <v>0</v>
      </c>
      <c r="CC278" s="390">
        <v>0</v>
      </c>
      <c r="CD278" s="390">
        <v>0</v>
      </c>
      <c r="CE278" s="390">
        <v>0</v>
      </c>
    </row>
    <row r="279" spans="1:83" x14ac:dyDescent="0.25">
      <c r="A279" s="635">
        <v>619</v>
      </c>
      <c r="B279" s="635">
        <v>619</v>
      </c>
      <c r="C279" s="635" t="s">
        <v>817</v>
      </c>
      <c r="E279" s="390">
        <v>0</v>
      </c>
      <c r="F279" s="390">
        <v>0</v>
      </c>
      <c r="G279" s="390">
        <v>0</v>
      </c>
      <c r="H279" s="390">
        <v>0</v>
      </c>
      <c r="I279" s="390">
        <v>0</v>
      </c>
      <c r="J279" s="390">
        <v>0</v>
      </c>
      <c r="K279" s="390">
        <v>0</v>
      </c>
      <c r="L279" s="390">
        <v>0</v>
      </c>
      <c r="M279" s="390">
        <v>0</v>
      </c>
      <c r="N279" s="390">
        <v>0</v>
      </c>
      <c r="O279" s="390">
        <v>0</v>
      </c>
      <c r="P279" s="390">
        <v>0</v>
      </c>
      <c r="Q279" s="390">
        <v>0</v>
      </c>
      <c r="R279" s="390">
        <v>0</v>
      </c>
      <c r="S279" s="390">
        <v>0</v>
      </c>
      <c r="T279" s="390">
        <v>0</v>
      </c>
      <c r="U279" s="390">
        <v>0</v>
      </c>
      <c r="V279" s="390">
        <v>0</v>
      </c>
      <c r="W279" s="390">
        <v>0</v>
      </c>
      <c r="X279" s="390">
        <v>0</v>
      </c>
      <c r="Y279" s="390">
        <v>0</v>
      </c>
      <c r="Z279" s="390">
        <v>0</v>
      </c>
      <c r="AA279" s="390">
        <v>0</v>
      </c>
      <c r="AB279" s="390">
        <v>0</v>
      </c>
      <c r="AC279" s="390">
        <v>0</v>
      </c>
      <c r="AD279" s="390">
        <v>0</v>
      </c>
      <c r="AE279" s="390">
        <v>0</v>
      </c>
      <c r="AF279" s="390">
        <v>0</v>
      </c>
      <c r="AG279" s="390">
        <v>0</v>
      </c>
      <c r="AH279" s="390">
        <v>0</v>
      </c>
      <c r="AI279" s="390">
        <v>0</v>
      </c>
      <c r="AJ279" s="390">
        <v>0</v>
      </c>
      <c r="AK279" s="390">
        <v>0</v>
      </c>
      <c r="AL279" s="390">
        <v>0</v>
      </c>
      <c r="AM279" s="390">
        <v>0</v>
      </c>
      <c r="AN279" s="390">
        <v>0</v>
      </c>
      <c r="AO279" s="390">
        <v>0</v>
      </c>
      <c r="AP279" s="390">
        <v>0</v>
      </c>
      <c r="AQ279" s="390">
        <v>0</v>
      </c>
      <c r="AR279" s="390">
        <v>0</v>
      </c>
      <c r="AS279" s="390">
        <v>0</v>
      </c>
      <c r="AT279" s="390">
        <v>0</v>
      </c>
      <c r="AU279" s="390">
        <v>0</v>
      </c>
      <c r="AV279" s="390">
        <v>23</v>
      </c>
      <c r="AW279" s="390">
        <v>0</v>
      </c>
      <c r="AX279" s="390">
        <v>0</v>
      </c>
      <c r="AY279" s="390">
        <v>0</v>
      </c>
      <c r="AZ279" s="390">
        <v>0</v>
      </c>
      <c r="BA279" s="390">
        <v>0</v>
      </c>
      <c r="BB279" s="390">
        <v>0</v>
      </c>
      <c r="BC279" s="390">
        <v>0</v>
      </c>
      <c r="BD279" s="390">
        <v>0</v>
      </c>
      <c r="BE279" s="390">
        <v>0</v>
      </c>
      <c r="BF279" s="390">
        <v>0</v>
      </c>
      <c r="BG279" s="390">
        <v>0</v>
      </c>
      <c r="BH279" s="390">
        <v>0</v>
      </c>
      <c r="BI279" s="390">
        <v>0</v>
      </c>
      <c r="BJ279" s="390">
        <v>0</v>
      </c>
      <c r="BK279" s="390">
        <v>0</v>
      </c>
      <c r="BL279" s="390">
        <v>0</v>
      </c>
      <c r="BM279" s="390">
        <v>0</v>
      </c>
      <c r="BN279" s="390">
        <v>0</v>
      </c>
      <c r="BO279" s="390">
        <v>0</v>
      </c>
      <c r="BP279" s="390">
        <v>0</v>
      </c>
      <c r="BQ279" s="390">
        <v>0</v>
      </c>
      <c r="BR279" s="390">
        <v>0</v>
      </c>
      <c r="BS279" s="390">
        <v>0</v>
      </c>
      <c r="BT279" s="390">
        <v>0</v>
      </c>
      <c r="BU279" s="390">
        <v>0</v>
      </c>
      <c r="BV279" s="390">
        <v>0</v>
      </c>
      <c r="BW279" s="390">
        <v>0</v>
      </c>
      <c r="BX279" s="390">
        <v>0</v>
      </c>
      <c r="BY279" s="390">
        <v>0</v>
      </c>
      <c r="BZ279" s="390">
        <v>0</v>
      </c>
      <c r="CA279" s="390">
        <v>0</v>
      </c>
      <c r="CB279" s="390">
        <v>0</v>
      </c>
      <c r="CC279" s="390">
        <v>0</v>
      </c>
      <c r="CD279" s="390">
        <v>0</v>
      </c>
      <c r="CE279" s="390">
        <v>0</v>
      </c>
    </row>
    <row r="280" spans="1:83" x14ac:dyDescent="0.25">
      <c r="A280" s="635">
        <v>620</v>
      </c>
      <c r="B280" s="635">
        <v>620</v>
      </c>
      <c r="C280" s="635" t="s">
        <v>805</v>
      </c>
      <c r="E280" s="497">
        <v>2</v>
      </c>
      <c r="F280" s="497">
        <v>2</v>
      </c>
      <c r="G280" s="497">
        <v>2</v>
      </c>
      <c r="H280" s="497">
        <v>2</v>
      </c>
      <c r="I280" s="497">
        <v>2</v>
      </c>
      <c r="J280" s="497">
        <v>2</v>
      </c>
      <c r="K280" s="497">
        <v>2</v>
      </c>
      <c r="L280" s="497">
        <v>2</v>
      </c>
      <c r="M280" s="497">
        <v>2</v>
      </c>
      <c r="N280" s="497">
        <v>1</v>
      </c>
      <c r="O280" s="497">
        <v>2</v>
      </c>
      <c r="P280" s="497">
        <v>1</v>
      </c>
      <c r="Q280" s="497">
        <v>2</v>
      </c>
      <c r="R280" s="497">
        <v>2</v>
      </c>
      <c r="S280" s="497">
        <v>2</v>
      </c>
      <c r="T280" s="497">
        <v>2</v>
      </c>
      <c r="U280" s="497">
        <v>2</v>
      </c>
      <c r="V280" s="497">
        <v>2</v>
      </c>
      <c r="W280" s="497">
        <v>2</v>
      </c>
      <c r="X280" s="497">
        <v>2</v>
      </c>
      <c r="Y280" s="497">
        <v>0</v>
      </c>
      <c r="Z280" s="497">
        <v>2</v>
      </c>
      <c r="AA280" s="497">
        <v>2</v>
      </c>
      <c r="AB280" s="497">
        <v>2</v>
      </c>
      <c r="AC280" s="497">
        <v>2</v>
      </c>
      <c r="AD280" s="497">
        <v>2</v>
      </c>
      <c r="AE280" s="497">
        <v>0</v>
      </c>
      <c r="AF280" s="497">
        <v>0</v>
      </c>
      <c r="AG280" s="497">
        <v>1</v>
      </c>
      <c r="AH280" s="497">
        <v>2</v>
      </c>
      <c r="AI280" s="497">
        <v>2</v>
      </c>
      <c r="AJ280" s="497">
        <v>1</v>
      </c>
      <c r="AK280" s="497">
        <v>2</v>
      </c>
      <c r="AL280" s="497">
        <v>2</v>
      </c>
      <c r="AM280" s="497">
        <v>0</v>
      </c>
      <c r="AN280" s="497">
        <v>2</v>
      </c>
      <c r="AO280" s="497">
        <v>2</v>
      </c>
      <c r="AP280" s="497">
        <v>2</v>
      </c>
      <c r="AQ280" s="497">
        <v>2</v>
      </c>
      <c r="AR280" s="497">
        <v>2</v>
      </c>
      <c r="AS280" s="497">
        <v>2</v>
      </c>
      <c r="AT280" s="497">
        <v>2</v>
      </c>
      <c r="AU280" s="497">
        <v>2</v>
      </c>
      <c r="AV280" s="497">
        <v>1</v>
      </c>
      <c r="AW280" s="497">
        <v>1</v>
      </c>
      <c r="AX280" s="497">
        <v>2</v>
      </c>
      <c r="AY280" s="497">
        <v>2</v>
      </c>
      <c r="AZ280" s="497">
        <v>2</v>
      </c>
      <c r="BA280" s="497">
        <v>2</v>
      </c>
      <c r="BB280" s="497">
        <v>0</v>
      </c>
      <c r="BC280" s="497">
        <v>2</v>
      </c>
      <c r="BD280" s="497">
        <v>2</v>
      </c>
      <c r="BE280" s="497">
        <v>2</v>
      </c>
      <c r="BF280" s="497">
        <v>0</v>
      </c>
      <c r="BG280" s="497">
        <v>1</v>
      </c>
      <c r="BH280" s="497">
        <v>2</v>
      </c>
      <c r="BI280" s="497">
        <v>2</v>
      </c>
      <c r="BJ280" s="497">
        <v>1</v>
      </c>
      <c r="BK280" s="497">
        <v>2</v>
      </c>
      <c r="BL280" s="497">
        <v>0</v>
      </c>
      <c r="BM280" s="497">
        <v>2</v>
      </c>
      <c r="BN280" s="497">
        <v>1</v>
      </c>
      <c r="BO280" s="497">
        <v>2</v>
      </c>
      <c r="BP280" s="497">
        <v>1</v>
      </c>
      <c r="BQ280" s="497">
        <v>1</v>
      </c>
      <c r="BR280" s="497">
        <v>2</v>
      </c>
      <c r="BS280" s="497">
        <v>2</v>
      </c>
      <c r="BT280" s="497">
        <v>0</v>
      </c>
      <c r="BU280" s="497">
        <v>1</v>
      </c>
      <c r="BV280" s="497">
        <v>2</v>
      </c>
      <c r="BW280" s="497">
        <v>2</v>
      </c>
      <c r="BX280" s="497">
        <v>2</v>
      </c>
      <c r="BY280" s="497">
        <v>0</v>
      </c>
      <c r="BZ280" s="497">
        <v>2</v>
      </c>
      <c r="CA280" s="497">
        <v>2</v>
      </c>
      <c r="CB280" s="497">
        <v>2</v>
      </c>
      <c r="CC280" s="497">
        <v>2</v>
      </c>
      <c r="CD280" s="497">
        <v>2</v>
      </c>
      <c r="CE280" s="497">
        <v>1</v>
      </c>
    </row>
    <row r="281" spans="1:83" x14ac:dyDescent="0.25">
      <c r="A281" s="635">
        <v>621</v>
      </c>
      <c r="B281" s="635">
        <v>621</v>
      </c>
      <c r="C281" s="635" t="s">
        <v>823</v>
      </c>
      <c r="E281" s="497">
        <v>0</v>
      </c>
      <c r="F281" s="497">
        <v>0</v>
      </c>
      <c r="G281" s="497">
        <v>0</v>
      </c>
      <c r="H281" s="497">
        <v>0</v>
      </c>
      <c r="I281" s="497">
        <v>0</v>
      </c>
      <c r="J281" s="497">
        <v>0</v>
      </c>
      <c r="K281" s="497">
        <v>0</v>
      </c>
      <c r="L281" s="497">
        <v>0</v>
      </c>
      <c r="M281" s="497">
        <v>0</v>
      </c>
      <c r="N281" s="497">
        <v>0</v>
      </c>
      <c r="O281" s="497">
        <v>0</v>
      </c>
      <c r="P281" s="497">
        <v>0</v>
      </c>
      <c r="Q281" s="497">
        <v>0</v>
      </c>
      <c r="R281" s="497">
        <v>10480910</v>
      </c>
      <c r="S281" s="497">
        <v>0</v>
      </c>
      <c r="T281" s="497">
        <v>0</v>
      </c>
      <c r="U281" s="497">
        <v>0</v>
      </c>
      <c r="V281" s="497">
        <v>0</v>
      </c>
      <c r="W281" s="497">
        <v>0</v>
      </c>
      <c r="X281" s="497">
        <v>0</v>
      </c>
      <c r="Y281" s="497">
        <v>0</v>
      </c>
      <c r="Z281" s="497">
        <v>0</v>
      </c>
      <c r="AA281" s="497">
        <v>0</v>
      </c>
      <c r="AB281" s="497">
        <v>0</v>
      </c>
      <c r="AC281" s="497">
        <v>0</v>
      </c>
      <c r="AD281" s="497">
        <v>0</v>
      </c>
      <c r="AE281" s="497">
        <v>0</v>
      </c>
      <c r="AF281" s="497">
        <v>0</v>
      </c>
      <c r="AG281" s="497">
        <v>0</v>
      </c>
      <c r="AH281" s="497">
        <v>0</v>
      </c>
      <c r="AI281" s="497">
        <v>0</v>
      </c>
      <c r="AJ281" s="497">
        <v>0</v>
      </c>
      <c r="AK281" s="497">
        <v>0</v>
      </c>
      <c r="AL281" s="497">
        <v>0</v>
      </c>
      <c r="AM281" s="497">
        <v>0</v>
      </c>
      <c r="AN281" s="497">
        <v>0</v>
      </c>
      <c r="AO281" s="497">
        <v>0</v>
      </c>
      <c r="AP281" s="497">
        <v>0</v>
      </c>
      <c r="AQ281" s="497">
        <v>0</v>
      </c>
      <c r="AR281" s="497">
        <v>0</v>
      </c>
      <c r="AS281" s="497">
        <v>0</v>
      </c>
      <c r="AT281" s="497">
        <v>0</v>
      </c>
      <c r="AU281" s="497">
        <v>0</v>
      </c>
      <c r="AV281" s="497">
        <v>0</v>
      </c>
      <c r="AW281" s="497">
        <v>0</v>
      </c>
      <c r="AX281" s="497">
        <v>0</v>
      </c>
      <c r="AY281" s="497">
        <v>0</v>
      </c>
      <c r="AZ281" s="497">
        <v>0</v>
      </c>
      <c r="BA281" s="497">
        <v>0</v>
      </c>
      <c r="BB281" s="497">
        <v>0</v>
      </c>
      <c r="BC281" s="497">
        <v>0</v>
      </c>
      <c r="BD281" s="497">
        <v>0</v>
      </c>
      <c r="BE281" s="497">
        <v>0</v>
      </c>
      <c r="BF281" s="497">
        <v>0</v>
      </c>
      <c r="BG281" s="497">
        <v>0</v>
      </c>
      <c r="BH281" s="497">
        <v>0</v>
      </c>
      <c r="BI281" s="497">
        <v>0</v>
      </c>
      <c r="BJ281" s="497">
        <v>0</v>
      </c>
      <c r="BK281" s="497">
        <v>0</v>
      </c>
      <c r="BL281" s="497">
        <v>0</v>
      </c>
      <c r="BM281" s="497">
        <v>0</v>
      </c>
      <c r="BN281" s="497">
        <v>0</v>
      </c>
      <c r="BO281" s="497">
        <v>0</v>
      </c>
      <c r="BP281" s="497">
        <v>0</v>
      </c>
      <c r="BQ281" s="497">
        <v>0</v>
      </c>
      <c r="BR281" s="497">
        <v>0</v>
      </c>
      <c r="BS281" s="497">
        <v>0</v>
      </c>
      <c r="BT281" s="497">
        <v>0</v>
      </c>
      <c r="BU281" s="497">
        <v>0</v>
      </c>
      <c r="BV281" s="497">
        <v>0</v>
      </c>
      <c r="BW281" s="497">
        <v>0</v>
      </c>
      <c r="BX281" s="497">
        <v>0</v>
      </c>
      <c r="BY281" s="497">
        <v>0</v>
      </c>
      <c r="BZ281" s="497">
        <v>0</v>
      </c>
      <c r="CA281" s="497">
        <v>0</v>
      </c>
      <c r="CB281" s="497">
        <v>0</v>
      </c>
      <c r="CC281" s="497">
        <v>0</v>
      </c>
      <c r="CD281" s="497">
        <v>0</v>
      </c>
      <c r="CE281" s="497">
        <v>0</v>
      </c>
    </row>
    <row r="282" spans="1:83" x14ac:dyDescent="0.25">
      <c r="A282" s="635">
        <v>622</v>
      </c>
      <c r="B282" s="635">
        <v>622</v>
      </c>
      <c r="C282" s="635" t="s">
        <v>1194</v>
      </c>
      <c r="E282" s="497">
        <v>52192</v>
      </c>
      <c r="F282" s="497">
        <v>254078</v>
      </c>
      <c r="G282" s="497">
        <v>0</v>
      </c>
      <c r="H282" s="497">
        <v>76630</v>
      </c>
      <c r="I282" s="497">
        <v>40804</v>
      </c>
      <c r="J282" s="497">
        <v>5694</v>
      </c>
      <c r="K282" s="497">
        <v>0</v>
      </c>
      <c r="L282" s="497">
        <v>0</v>
      </c>
      <c r="M282" s="497">
        <v>1061387</v>
      </c>
      <c r="N282" s="497">
        <v>30045474</v>
      </c>
      <c r="O282" s="497">
        <v>33214</v>
      </c>
      <c r="P282" s="497">
        <v>669475</v>
      </c>
      <c r="Q282" s="497">
        <v>0</v>
      </c>
      <c r="R282" s="497">
        <v>2421449</v>
      </c>
      <c r="S282" s="497">
        <v>0</v>
      </c>
      <c r="T282" s="497">
        <v>0</v>
      </c>
      <c r="U282" s="497">
        <v>274954</v>
      </c>
      <c r="V282" s="497">
        <v>83506</v>
      </c>
      <c r="W282" s="497">
        <v>911928</v>
      </c>
      <c r="X282" s="497">
        <v>210664</v>
      </c>
      <c r="Y282" s="497">
        <v>0</v>
      </c>
      <c r="Z282" s="497">
        <v>263330</v>
      </c>
      <c r="AA282" s="497">
        <v>4976225</v>
      </c>
      <c r="AB282" s="497">
        <v>0</v>
      </c>
      <c r="AC282" s="497">
        <v>28943</v>
      </c>
      <c r="AD282" s="497">
        <v>3526070</v>
      </c>
      <c r="AE282" s="497">
        <v>55987</v>
      </c>
      <c r="AF282" s="497">
        <v>0</v>
      </c>
      <c r="AG282" s="497">
        <v>16409491</v>
      </c>
      <c r="AH282" s="497">
        <v>0</v>
      </c>
      <c r="AI282" s="497">
        <v>22063</v>
      </c>
      <c r="AJ282" s="497">
        <v>1102427</v>
      </c>
      <c r="AK282" s="497">
        <v>102248</v>
      </c>
      <c r="AL282" s="497">
        <v>0</v>
      </c>
      <c r="AM282" s="497">
        <v>0</v>
      </c>
      <c r="AN282" s="497">
        <v>0</v>
      </c>
      <c r="AO282" s="497">
        <v>2514920</v>
      </c>
      <c r="AP282" s="497">
        <v>0</v>
      </c>
      <c r="AQ282" s="497">
        <v>912878</v>
      </c>
      <c r="AR282" s="497">
        <v>318368</v>
      </c>
      <c r="AS282" s="497">
        <v>0</v>
      </c>
      <c r="AT282" s="497">
        <v>104383</v>
      </c>
      <c r="AU282" s="497">
        <v>0</v>
      </c>
      <c r="AV282" s="497">
        <v>59030749</v>
      </c>
      <c r="AW282" s="497">
        <v>15074099</v>
      </c>
      <c r="AX282" s="497">
        <v>245538</v>
      </c>
      <c r="AY282" s="497">
        <v>39381</v>
      </c>
      <c r="AZ282" s="497">
        <v>46023</v>
      </c>
      <c r="BA282" s="497">
        <v>0</v>
      </c>
      <c r="BB282" s="497">
        <v>0</v>
      </c>
      <c r="BC282" s="497">
        <v>1401342</v>
      </c>
      <c r="BD282" s="497">
        <v>0</v>
      </c>
      <c r="BE282" s="497">
        <v>0</v>
      </c>
      <c r="BF282" s="497">
        <v>0</v>
      </c>
      <c r="BG282" s="497">
        <v>2246147</v>
      </c>
      <c r="BH282" s="497">
        <v>0</v>
      </c>
      <c r="BI282" s="497">
        <v>2001309</v>
      </c>
      <c r="BJ282" s="497">
        <v>350395</v>
      </c>
      <c r="BK282" s="497">
        <v>0</v>
      </c>
      <c r="BL282" s="497">
        <v>0</v>
      </c>
      <c r="BM282" s="497">
        <v>3099939</v>
      </c>
      <c r="BN282" s="497">
        <v>4637691</v>
      </c>
      <c r="BO282" s="497">
        <v>345651</v>
      </c>
      <c r="BP282" s="497">
        <v>10536521</v>
      </c>
      <c r="BQ282" s="497">
        <v>26841389</v>
      </c>
      <c r="BR282" s="497">
        <v>0</v>
      </c>
      <c r="BS282" s="497">
        <v>1162922</v>
      </c>
      <c r="BT282" s="497">
        <v>69984</v>
      </c>
      <c r="BU282" s="497">
        <v>2209362</v>
      </c>
      <c r="BV282" s="497">
        <v>37720</v>
      </c>
      <c r="BW282" s="497">
        <v>0</v>
      </c>
      <c r="BX282" s="497">
        <v>479213</v>
      </c>
      <c r="BY282" s="497">
        <v>0</v>
      </c>
      <c r="BZ282" s="497">
        <v>6407933</v>
      </c>
      <c r="CA282" s="497">
        <v>67375</v>
      </c>
      <c r="CB282" s="497">
        <v>2135820</v>
      </c>
      <c r="CC282" s="497">
        <v>0</v>
      </c>
      <c r="CD282" s="497">
        <v>385031</v>
      </c>
      <c r="CE282" s="497">
        <v>4033930</v>
      </c>
    </row>
    <row r="283" spans="1:83" x14ac:dyDescent="0.25">
      <c r="A283" s="635">
        <v>624</v>
      </c>
      <c r="B283" s="635">
        <v>624</v>
      </c>
      <c r="C283" s="635" t="s">
        <v>826</v>
      </c>
      <c r="E283" s="497">
        <v>1</v>
      </c>
      <c r="F283" s="497">
        <v>1</v>
      </c>
      <c r="G283" s="497">
        <v>1</v>
      </c>
      <c r="H283" s="497">
        <v>2</v>
      </c>
      <c r="I283" s="497">
        <v>1</v>
      </c>
      <c r="J283" s="497">
        <v>1</v>
      </c>
      <c r="K283" s="497">
        <v>1</v>
      </c>
      <c r="L283" s="497">
        <v>1</v>
      </c>
      <c r="M283" s="497">
        <v>2</v>
      </c>
      <c r="N283" s="497">
        <v>1</v>
      </c>
      <c r="O283" s="497">
        <v>2</v>
      </c>
      <c r="P283" s="497">
        <v>2</v>
      </c>
      <c r="Q283" s="497">
        <v>2</v>
      </c>
      <c r="R283" s="497">
        <v>1</v>
      </c>
      <c r="S283" s="497">
        <v>1</v>
      </c>
      <c r="T283" s="497">
        <v>2</v>
      </c>
      <c r="U283" s="497">
        <v>1</v>
      </c>
      <c r="V283" s="497">
        <v>2</v>
      </c>
      <c r="W283" s="497">
        <v>1</v>
      </c>
      <c r="X283" s="497">
        <v>1</v>
      </c>
      <c r="Y283" s="497">
        <v>0</v>
      </c>
      <c r="Z283" s="497">
        <v>2</v>
      </c>
      <c r="AA283" s="497">
        <v>1</v>
      </c>
      <c r="AB283" s="497">
        <v>2</v>
      </c>
      <c r="AC283" s="497">
        <v>2</v>
      </c>
      <c r="AD283" s="497">
        <v>2</v>
      </c>
      <c r="AE283" s="497">
        <v>2</v>
      </c>
      <c r="AF283" s="497">
        <v>0</v>
      </c>
      <c r="AG283" s="497">
        <v>1</v>
      </c>
      <c r="AH283" s="497">
        <v>1</v>
      </c>
      <c r="AI283" s="497">
        <v>1</v>
      </c>
      <c r="AJ283" s="497">
        <v>2</v>
      </c>
      <c r="AK283" s="497">
        <v>1</v>
      </c>
      <c r="AL283" s="497">
        <v>1</v>
      </c>
      <c r="AM283" s="497">
        <v>0</v>
      </c>
      <c r="AN283" s="497">
        <v>2</v>
      </c>
      <c r="AO283" s="497">
        <v>2</v>
      </c>
      <c r="AP283" s="497">
        <v>2</v>
      </c>
      <c r="AQ283" s="497">
        <v>1</v>
      </c>
      <c r="AR283" s="497">
        <v>2</v>
      </c>
      <c r="AS283" s="497">
        <v>1</v>
      </c>
      <c r="AT283" s="497">
        <v>1</v>
      </c>
      <c r="AU283" s="497">
        <v>1</v>
      </c>
      <c r="AV283" s="497">
        <v>1</v>
      </c>
      <c r="AW283" s="497">
        <v>2</v>
      </c>
      <c r="AX283" s="497">
        <v>1</v>
      </c>
      <c r="AY283" s="497">
        <v>2</v>
      </c>
      <c r="AZ283" s="497">
        <v>1</v>
      </c>
      <c r="BA283" s="497">
        <v>1</v>
      </c>
      <c r="BB283" s="497">
        <v>0</v>
      </c>
      <c r="BC283" s="497">
        <v>2</v>
      </c>
      <c r="BD283" s="497">
        <v>1</v>
      </c>
      <c r="BE283" s="497">
        <v>1</v>
      </c>
      <c r="BF283" s="497">
        <v>1</v>
      </c>
      <c r="BG283" s="497">
        <v>1</v>
      </c>
      <c r="BH283" s="497">
        <v>2</v>
      </c>
      <c r="BI283" s="497">
        <v>1</v>
      </c>
      <c r="BJ283" s="497">
        <v>2</v>
      </c>
      <c r="BK283" s="497">
        <v>1</v>
      </c>
      <c r="BL283" s="497">
        <v>0</v>
      </c>
      <c r="BM283" s="497">
        <v>1</v>
      </c>
      <c r="BN283" s="497">
        <v>2</v>
      </c>
      <c r="BO283" s="497">
        <v>1</v>
      </c>
      <c r="BP283" s="497">
        <v>1</v>
      </c>
      <c r="BQ283" s="497">
        <v>1</v>
      </c>
      <c r="BR283" s="497">
        <v>1</v>
      </c>
      <c r="BS283" s="497">
        <v>1</v>
      </c>
      <c r="BT283" s="497">
        <v>1</v>
      </c>
      <c r="BU283" s="497">
        <v>1</v>
      </c>
      <c r="BV283" s="497">
        <v>2</v>
      </c>
      <c r="BW283" s="497">
        <v>2</v>
      </c>
      <c r="BX283" s="497">
        <v>2</v>
      </c>
      <c r="BY283" s="497">
        <v>0</v>
      </c>
      <c r="BZ283" s="497">
        <v>1</v>
      </c>
      <c r="CA283" s="497">
        <v>2</v>
      </c>
      <c r="CB283" s="497">
        <v>1</v>
      </c>
      <c r="CC283" s="497">
        <v>2</v>
      </c>
      <c r="CD283" s="497">
        <v>2</v>
      </c>
      <c r="CE283" s="497">
        <v>1</v>
      </c>
    </row>
    <row r="284" spans="1:83" x14ac:dyDescent="0.25">
      <c r="A284" s="635">
        <v>625</v>
      </c>
      <c r="B284" s="635">
        <v>625</v>
      </c>
      <c r="C284" s="635" t="s">
        <v>995</v>
      </c>
      <c r="E284" s="497">
        <v>3</v>
      </c>
      <c r="F284" s="497">
        <v>1</v>
      </c>
      <c r="G284" s="497">
        <v>1</v>
      </c>
      <c r="H284" s="497">
        <v>3</v>
      </c>
      <c r="I284" s="497">
        <v>1</v>
      </c>
      <c r="J284" s="497">
        <v>1</v>
      </c>
      <c r="K284" s="497">
        <v>3</v>
      </c>
      <c r="L284" s="497">
        <v>1</v>
      </c>
      <c r="M284" s="497">
        <v>3</v>
      </c>
      <c r="N284" s="497">
        <v>1</v>
      </c>
      <c r="O284" s="497">
        <v>1</v>
      </c>
      <c r="P284" s="497">
        <v>1</v>
      </c>
      <c r="Q284" s="497">
        <v>1</v>
      </c>
      <c r="R284" s="497">
        <v>1</v>
      </c>
      <c r="S284" s="497">
        <v>1</v>
      </c>
      <c r="T284" s="497">
        <v>1</v>
      </c>
      <c r="U284" s="497">
        <v>3</v>
      </c>
      <c r="V284" s="497">
        <v>1</v>
      </c>
      <c r="W284" s="497">
        <v>1</v>
      </c>
      <c r="X284" s="497">
        <v>1</v>
      </c>
      <c r="Y284" s="497">
        <v>3</v>
      </c>
      <c r="Z284" s="497">
        <v>4</v>
      </c>
      <c r="AA284" s="497">
        <v>1</v>
      </c>
      <c r="AB284" s="497">
        <v>3</v>
      </c>
      <c r="AC284" s="497">
        <v>1</v>
      </c>
      <c r="AD284" s="497">
        <v>1</v>
      </c>
      <c r="AE284" s="497">
        <v>1</v>
      </c>
      <c r="AF284" s="497">
        <v>0</v>
      </c>
      <c r="AG284" s="497">
        <v>1</v>
      </c>
      <c r="AH284" s="497">
        <v>1</v>
      </c>
      <c r="AI284" s="497">
        <v>3</v>
      </c>
      <c r="AJ284" s="497">
        <v>1</v>
      </c>
      <c r="AK284" s="497">
        <v>3</v>
      </c>
      <c r="AL284" s="497">
        <v>4</v>
      </c>
      <c r="AM284" s="497">
        <v>0</v>
      </c>
      <c r="AN284" s="497">
        <v>1</v>
      </c>
      <c r="AO284" s="497">
        <v>1</v>
      </c>
      <c r="AP284" s="497">
        <v>1</v>
      </c>
      <c r="AQ284" s="497">
        <v>3</v>
      </c>
      <c r="AR284" s="497">
        <v>1</v>
      </c>
      <c r="AS284" s="497">
        <v>3</v>
      </c>
      <c r="AT284" s="497">
        <v>1</v>
      </c>
      <c r="AU284" s="497">
        <v>1</v>
      </c>
      <c r="AV284" s="497">
        <v>1</v>
      </c>
      <c r="AW284" s="497">
        <v>1</v>
      </c>
      <c r="AX284" s="497">
        <v>3</v>
      </c>
      <c r="AY284" s="497">
        <v>1</v>
      </c>
      <c r="AZ284" s="497">
        <v>3</v>
      </c>
      <c r="BA284" s="497">
        <v>4</v>
      </c>
      <c r="BB284" s="497">
        <v>0</v>
      </c>
      <c r="BC284" s="497">
        <v>1</v>
      </c>
      <c r="BD284" s="497">
        <v>1</v>
      </c>
      <c r="BE284" s="497">
        <v>1</v>
      </c>
      <c r="BF284" s="497">
        <v>1</v>
      </c>
      <c r="BG284" s="497">
        <v>1</v>
      </c>
      <c r="BH284" s="497">
        <v>4</v>
      </c>
      <c r="BI284" s="497">
        <v>1</v>
      </c>
      <c r="BJ284" s="497">
        <v>3</v>
      </c>
      <c r="BK284" s="497">
        <v>1</v>
      </c>
      <c r="BL284" s="497">
        <v>1</v>
      </c>
      <c r="BM284" s="497">
        <v>4</v>
      </c>
      <c r="BN284" s="497">
        <v>1</v>
      </c>
      <c r="BO284" s="497">
        <v>3</v>
      </c>
      <c r="BP284" s="497">
        <v>1</v>
      </c>
      <c r="BQ284" s="497">
        <v>1</v>
      </c>
      <c r="BR284" s="497">
        <v>1</v>
      </c>
      <c r="BS284" s="497">
        <v>1</v>
      </c>
      <c r="BT284" s="497">
        <v>1</v>
      </c>
      <c r="BU284" s="497">
        <v>4</v>
      </c>
      <c r="BV284" s="497">
        <v>1</v>
      </c>
      <c r="BW284" s="497">
        <v>1</v>
      </c>
      <c r="BX284" s="497">
        <v>3</v>
      </c>
      <c r="BY284" s="497">
        <v>0</v>
      </c>
      <c r="BZ284" s="497">
        <v>3</v>
      </c>
      <c r="CA284" s="497">
        <v>1</v>
      </c>
      <c r="CB284" s="497">
        <v>1</v>
      </c>
      <c r="CC284" s="497">
        <v>2</v>
      </c>
      <c r="CD284" s="497">
        <v>1</v>
      </c>
      <c r="CE284" s="497">
        <v>1</v>
      </c>
    </row>
    <row r="285" spans="1:83" x14ac:dyDescent="0.25">
      <c r="E285" s="497"/>
      <c r="F285" s="497"/>
      <c r="G285" s="497"/>
      <c r="H285" s="497"/>
      <c r="I285" s="497"/>
      <c r="J285" s="497"/>
      <c r="K285" s="497"/>
      <c r="L285" s="497"/>
      <c r="M285" s="497"/>
      <c r="N285" s="497"/>
      <c r="O285" s="497"/>
      <c r="P285" s="497"/>
      <c r="Q285" s="497"/>
      <c r="R285" s="497"/>
      <c r="S285" s="497"/>
      <c r="T285" s="497"/>
      <c r="U285" s="497"/>
      <c r="V285" s="497"/>
      <c r="W285" s="497"/>
      <c r="X285" s="497"/>
      <c r="Y285" s="497"/>
      <c r="Z285" s="497"/>
      <c r="AA285" s="497"/>
      <c r="AB285" s="497"/>
      <c r="AC285" s="497"/>
      <c r="AD285" s="497"/>
      <c r="AE285" s="497"/>
      <c r="AF285" s="497"/>
      <c r="AG285" s="497"/>
      <c r="AH285" s="497"/>
      <c r="AI285" s="497"/>
      <c r="AJ285" s="497"/>
      <c r="AK285" s="497"/>
      <c r="AL285" s="497"/>
      <c r="AM285" s="497"/>
      <c r="AN285" s="497"/>
      <c r="AO285" s="497"/>
      <c r="AP285" s="497"/>
      <c r="AQ285" s="497"/>
      <c r="AR285" s="497"/>
      <c r="AS285" s="497"/>
      <c r="AT285" s="497"/>
      <c r="AU285" s="497"/>
      <c r="AV285" s="497"/>
      <c r="AW285" s="497"/>
      <c r="AX285" s="497"/>
      <c r="AY285" s="497"/>
      <c r="AZ285" s="497"/>
      <c r="BA285" s="497"/>
      <c r="BB285" s="497"/>
      <c r="BC285" s="497"/>
      <c r="BD285" s="497"/>
      <c r="BE285" s="497"/>
      <c r="BF285" s="497"/>
      <c r="BG285" s="497"/>
      <c r="BH285" s="497"/>
      <c r="BI285" s="497"/>
      <c r="BJ285" s="497"/>
      <c r="BK285" s="497"/>
      <c r="BL285" s="497"/>
      <c r="BM285" s="497"/>
      <c r="BN285" s="497"/>
      <c r="BO285" s="497"/>
      <c r="BP285" s="497"/>
      <c r="BQ285" s="497"/>
      <c r="BR285" s="497"/>
      <c r="BS285" s="497"/>
      <c r="BT285" s="497"/>
      <c r="BU285" s="497"/>
      <c r="BV285" s="497"/>
      <c r="BW285" s="497"/>
      <c r="BX285" s="497"/>
      <c r="BY285" s="497"/>
      <c r="BZ285" s="497"/>
      <c r="CA285" s="497"/>
      <c r="CB285" s="497"/>
      <c r="CC285" s="497"/>
      <c r="CD285" s="497"/>
      <c r="CE285" s="497"/>
    </row>
    <row r="286" spans="1:83" x14ac:dyDescent="0.25">
      <c r="E286" s="646"/>
      <c r="F286" s="646"/>
      <c r="G286" s="646"/>
      <c r="H286" s="646"/>
      <c r="I286" s="646"/>
      <c r="J286" s="646"/>
      <c r="K286" s="646"/>
      <c r="L286" s="646"/>
      <c r="M286" s="646"/>
      <c r="N286" s="646"/>
      <c r="O286" s="646"/>
      <c r="P286" s="646"/>
      <c r="Q286" s="646"/>
      <c r="R286" s="646"/>
      <c r="S286" s="646"/>
      <c r="T286" s="646"/>
      <c r="U286" s="646"/>
      <c r="V286" s="646"/>
      <c r="W286" s="646"/>
      <c r="X286" s="646"/>
      <c r="Y286" s="646"/>
      <c r="Z286" s="646"/>
      <c r="AA286" s="646"/>
      <c r="AB286" s="646"/>
      <c r="AC286" s="646"/>
      <c r="AD286" s="646"/>
      <c r="AE286" s="646"/>
      <c r="AG286" s="646"/>
      <c r="AH286" s="646"/>
      <c r="AI286" s="646"/>
      <c r="AJ286" s="646"/>
      <c r="AK286" s="646"/>
      <c r="AL286" s="646"/>
      <c r="AN286" s="646"/>
      <c r="AO286" s="646"/>
      <c r="AP286" s="646"/>
      <c r="AQ286" s="646"/>
      <c r="AR286" s="646"/>
      <c r="AS286" s="646"/>
      <c r="AT286" s="646"/>
      <c r="AU286" s="646"/>
      <c r="AV286" s="646"/>
      <c r="AW286" s="646"/>
      <c r="AX286" s="646"/>
      <c r="AY286" s="646"/>
      <c r="AZ286" s="646"/>
      <c r="BA286" s="646"/>
      <c r="BC286" s="646"/>
      <c r="BD286" s="646"/>
      <c r="BE286" s="646"/>
      <c r="BF286" s="646"/>
      <c r="BG286" s="646"/>
      <c r="BH286" s="646"/>
      <c r="BI286" s="646"/>
      <c r="BJ286" s="646"/>
      <c r="BK286" s="646"/>
      <c r="BL286" s="646"/>
      <c r="BM286" s="646"/>
      <c r="BN286" s="646"/>
      <c r="BO286" s="646"/>
      <c r="BP286" s="646"/>
      <c r="BQ286" s="646"/>
      <c r="BR286" s="646"/>
      <c r="BS286" s="646"/>
      <c r="BT286" s="646"/>
      <c r="BU286" s="646"/>
      <c r="BV286" s="646"/>
      <c r="BW286" s="646"/>
      <c r="BX286" s="646"/>
      <c r="BZ286" s="646"/>
      <c r="CA286" s="646"/>
      <c r="CB286" s="646"/>
      <c r="CC286" s="646"/>
      <c r="CD286" s="646"/>
      <c r="CE286" s="646"/>
    </row>
    <row r="287" spans="1:83" x14ac:dyDescent="0.25">
      <c r="E287" s="834"/>
      <c r="F287" s="834"/>
      <c r="G287" s="834"/>
      <c r="H287" s="834"/>
      <c r="I287" s="834"/>
      <c r="J287" s="834"/>
      <c r="K287" s="834"/>
      <c r="L287" s="834"/>
      <c r="M287" s="834"/>
      <c r="N287" s="834"/>
      <c r="O287" s="834"/>
      <c r="P287" s="834"/>
      <c r="Q287" s="834"/>
      <c r="R287" s="834"/>
      <c r="S287" s="834"/>
      <c r="T287" s="834"/>
      <c r="U287" s="834"/>
      <c r="V287" s="834"/>
      <c r="W287" s="834"/>
      <c r="X287" s="834"/>
      <c r="Y287" s="834"/>
      <c r="Z287" s="834"/>
      <c r="AA287" s="834"/>
      <c r="AB287" s="834"/>
      <c r="AC287" s="834"/>
      <c r="AD287" s="834"/>
      <c r="AE287" s="834"/>
      <c r="AF287" s="834"/>
      <c r="AG287" s="834"/>
      <c r="AH287" s="834"/>
      <c r="AI287" s="834"/>
      <c r="AJ287" s="834"/>
      <c r="AK287" s="834"/>
      <c r="AL287" s="834"/>
      <c r="AM287" s="834"/>
      <c r="AN287" s="834"/>
      <c r="AO287" s="834"/>
      <c r="AP287" s="834"/>
      <c r="AQ287" s="834"/>
      <c r="AR287" s="834"/>
      <c r="AS287" s="834"/>
      <c r="AT287" s="834"/>
      <c r="AU287" s="834"/>
      <c r="AV287" s="834"/>
      <c r="AW287" s="834"/>
      <c r="AX287" s="834"/>
      <c r="AY287" s="834"/>
      <c r="AZ287" s="834"/>
      <c r="BA287" s="834"/>
      <c r="BB287" s="834"/>
      <c r="BC287" s="834"/>
      <c r="BD287" s="834"/>
      <c r="BE287" s="834"/>
      <c r="BF287" s="834"/>
      <c r="BG287" s="834"/>
      <c r="BH287" s="834"/>
      <c r="BI287" s="834"/>
      <c r="BJ287" s="834"/>
      <c r="BK287" s="834"/>
      <c r="BL287" s="834"/>
      <c r="BM287" s="834"/>
      <c r="BN287" s="834"/>
      <c r="BO287" s="834"/>
      <c r="BP287" s="834"/>
      <c r="BQ287" s="834"/>
      <c r="BR287" s="834"/>
      <c r="BS287" s="834"/>
      <c r="BT287" s="834"/>
      <c r="BU287" s="834"/>
      <c r="BV287" s="834"/>
      <c r="BW287" s="834"/>
      <c r="BX287" s="834"/>
      <c r="BY287" s="834"/>
      <c r="BZ287" s="834"/>
      <c r="CA287" s="834"/>
      <c r="CB287" s="834"/>
      <c r="CC287" s="834"/>
      <c r="CD287" s="834"/>
      <c r="CE287" s="834"/>
    </row>
    <row r="289" spans="1:83" x14ac:dyDescent="0.25">
      <c r="A289" s="635">
        <v>647</v>
      </c>
      <c r="B289" s="635">
        <v>647</v>
      </c>
      <c r="C289" s="635" t="s">
        <v>930</v>
      </c>
      <c r="E289" s="635">
        <v>0</v>
      </c>
      <c r="F289" s="635">
        <v>0</v>
      </c>
      <c r="G289" s="635">
        <v>0</v>
      </c>
      <c r="H289" s="635">
        <v>0</v>
      </c>
      <c r="I289" s="635">
        <v>0</v>
      </c>
      <c r="J289" s="635">
        <v>0</v>
      </c>
      <c r="K289" s="635">
        <v>0</v>
      </c>
      <c r="L289" s="635">
        <v>0</v>
      </c>
      <c r="M289" s="635">
        <v>0</v>
      </c>
      <c r="N289" s="635">
        <v>0</v>
      </c>
      <c r="O289" s="635">
        <v>0</v>
      </c>
      <c r="P289" s="635">
        <v>0</v>
      </c>
      <c r="Q289" s="635">
        <v>0</v>
      </c>
      <c r="R289" s="635">
        <v>0</v>
      </c>
      <c r="S289" s="635">
        <v>0</v>
      </c>
      <c r="T289" s="635">
        <v>0</v>
      </c>
      <c r="U289" s="635">
        <v>0</v>
      </c>
      <c r="V289" s="635">
        <v>0</v>
      </c>
      <c r="W289" s="635">
        <v>0</v>
      </c>
      <c r="X289" s="635">
        <v>0</v>
      </c>
      <c r="Y289" s="635">
        <v>0</v>
      </c>
      <c r="Z289" s="635">
        <v>0</v>
      </c>
      <c r="AA289" s="635">
        <v>4258932</v>
      </c>
      <c r="AB289" s="635">
        <v>0</v>
      </c>
      <c r="AC289" s="635">
        <v>0</v>
      </c>
      <c r="AD289" s="635">
        <v>0</v>
      </c>
      <c r="AE289" s="635">
        <v>0</v>
      </c>
      <c r="AF289" s="635">
        <v>0</v>
      </c>
      <c r="AG289" s="635">
        <v>0</v>
      </c>
      <c r="AH289" s="635">
        <v>0</v>
      </c>
      <c r="AI289" s="635">
        <v>0</v>
      </c>
      <c r="AJ289" s="635">
        <v>0</v>
      </c>
      <c r="AK289" s="635">
        <v>0</v>
      </c>
      <c r="AL289" s="635">
        <v>0</v>
      </c>
      <c r="AM289" s="635">
        <v>0</v>
      </c>
      <c r="AN289" s="635">
        <v>0</v>
      </c>
      <c r="AO289" s="635">
        <v>0</v>
      </c>
      <c r="AP289" s="635">
        <v>0</v>
      </c>
      <c r="AQ289" s="635">
        <v>0</v>
      </c>
      <c r="AR289" s="635">
        <v>0</v>
      </c>
      <c r="AS289" s="635">
        <v>0</v>
      </c>
      <c r="AT289" s="635">
        <v>0</v>
      </c>
      <c r="AU289" s="635">
        <v>0</v>
      </c>
      <c r="AV289" s="635">
        <v>28636370</v>
      </c>
      <c r="AW289" s="635">
        <v>1134799</v>
      </c>
      <c r="AX289" s="635">
        <v>0</v>
      </c>
      <c r="AY289" s="635">
        <v>0</v>
      </c>
      <c r="AZ289" s="635">
        <v>0</v>
      </c>
      <c r="BA289" s="635">
        <v>0</v>
      </c>
      <c r="BB289" s="635">
        <v>0</v>
      </c>
      <c r="BC289" s="635">
        <v>0</v>
      </c>
      <c r="BD289" s="635">
        <v>0</v>
      </c>
      <c r="BE289" s="635">
        <v>0</v>
      </c>
      <c r="BF289" s="635">
        <v>0</v>
      </c>
      <c r="BG289" s="635">
        <v>0</v>
      </c>
      <c r="BH289" s="635">
        <v>0</v>
      </c>
      <c r="BI289" s="635">
        <v>0</v>
      </c>
      <c r="BJ289" s="635">
        <v>0</v>
      </c>
      <c r="BK289" s="635">
        <v>0</v>
      </c>
      <c r="BL289" s="635">
        <v>0</v>
      </c>
      <c r="BM289" s="635">
        <v>0</v>
      </c>
      <c r="BN289" s="635">
        <v>0</v>
      </c>
      <c r="BO289" s="635">
        <v>0</v>
      </c>
      <c r="BP289" s="635">
        <v>0</v>
      </c>
      <c r="BQ289" s="635">
        <v>13193040</v>
      </c>
      <c r="BR289" s="635">
        <v>0</v>
      </c>
      <c r="BS289" s="635">
        <v>0</v>
      </c>
      <c r="BT289" s="635">
        <v>0</v>
      </c>
      <c r="BU289" s="635">
        <v>0</v>
      </c>
      <c r="BV289" s="635">
        <v>0</v>
      </c>
      <c r="BW289" s="635">
        <v>0</v>
      </c>
      <c r="BX289" s="635">
        <v>0</v>
      </c>
      <c r="BY289" s="635">
        <v>0</v>
      </c>
      <c r="BZ289" s="635">
        <v>0</v>
      </c>
      <c r="CA289" s="635">
        <v>0</v>
      </c>
      <c r="CB289" s="635">
        <v>0</v>
      </c>
      <c r="CC289" s="635">
        <v>0</v>
      </c>
      <c r="CD289" s="635">
        <v>0</v>
      </c>
      <c r="CE289" s="635">
        <v>0</v>
      </c>
    </row>
    <row r="290" spans="1:83" s="833" customFormat="1" x14ac:dyDescent="0.25">
      <c r="A290" s="832" t="s">
        <v>931</v>
      </c>
      <c r="B290" s="835"/>
      <c r="C290" s="835" t="s">
        <v>935</v>
      </c>
      <c r="D290" s="835"/>
      <c r="E290" s="480">
        <f t="shared" ref="E290:BP290" si="0">E156+E186-E3-E4-E5+E289</f>
        <v>407322</v>
      </c>
      <c r="F290" s="480">
        <f t="shared" si="0"/>
        <v>765932</v>
      </c>
      <c r="G290" s="480">
        <f t="shared" si="0"/>
        <v>408580</v>
      </c>
      <c r="H290" s="480">
        <f t="shared" si="0"/>
        <v>948907</v>
      </c>
      <c r="I290" s="480">
        <f t="shared" si="0"/>
        <v>652161</v>
      </c>
      <c r="J290" s="480">
        <f t="shared" si="0"/>
        <v>176255</v>
      </c>
      <c r="K290" s="480">
        <f t="shared" si="0"/>
        <v>122809</v>
      </c>
      <c r="L290" s="480">
        <f t="shared" si="0"/>
        <v>653169</v>
      </c>
      <c r="M290" s="480">
        <f t="shared" si="0"/>
        <v>2428501</v>
      </c>
      <c r="N290" s="480">
        <f t="shared" si="0"/>
        <v>56500345</v>
      </c>
      <c r="O290" s="480">
        <f t="shared" si="0"/>
        <v>2718252</v>
      </c>
      <c r="P290" s="480">
        <f t="shared" si="0"/>
        <v>4362983</v>
      </c>
      <c r="Q290" s="480">
        <f t="shared" si="0"/>
        <v>116434</v>
      </c>
      <c r="R290" s="480">
        <f t="shared" si="0"/>
        <v>4257971</v>
      </c>
      <c r="S290" s="480">
        <f t="shared" si="0"/>
        <v>128723</v>
      </c>
      <c r="T290" s="480">
        <f t="shared" si="0"/>
        <v>535158</v>
      </c>
      <c r="U290" s="480">
        <f t="shared" si="0"/>
        <v>494097</v>
      </c>
      <c r="V290" s="480">
        <f t="shared" si="0"/>
        <v>999745</v>
      </c>
      <c r="W290" s="480">
        <f t="shared" si="0"/>
        <v>3394179</v>
      </c>
      <c r="X290" s="480">
        <f t="shared" si="0"/>
        <v>1014092</v>
      </c>
      <c r="Y290" s="480">
        <f t="shared" si="0"/>
        <v>427586</v>
      </c>
      <c r="Z290" s="480">
        <f t="shared" si="0"/>
        <v>108832</v>
      </c>
      <c r="AA290" s="480">
        <f t="shared" si="0"/>
        <v>26734777</v>
      </c>
      <c r="AB290" s="480">
        <f t="shared" si="0"/>
        <v>7160511</v>
      </c>
      <c r="AC290" s="480">
        <f t="shared" si="0"/>
        <v>709657</v>
      </c>
      <c r="AD290" s="480">
        <f t="shared" si="0"/>
        <v>24630417</v>
      </c>
      <c r="AE290" s="480">
        <f t="shared" si="0"/>
        <v>461104</v>
      </c>
      <c r="AF290" s="480">
        <f t="shared" si="0"/>
        <v>0</v>
      </c>
      <c r="AG290" s="480">
        <f t="shared" si="0"/>
        <v>22809352</v>
      </c>
      <c r="AH290" s="480">
        <f t="shared" si="0"/>
        <v>852960</v>
      </c>
      <c r="AI290" s="480">
        <f t="shared" si="0"/>
        <v>304734</v>
      </c>
      <c r="AJ290" s="480">
        <f t="shared" si="0"/>
        <v>2170866</v>
      </c>
      <c r="AK290" s="480">
        <f t="shared" si="0"/>
        <v>787511</v>
      </c>
      <c r="AL290" s="480">
        <f t="shared" si="0"/>
        <v>57024</v>
      </c>
      <c r="AM290" s="480">
        <f t="shared" si="0"/>
        <v>0</v>
      </c>
      <c r="AN290" s="480">
        <f t="shared" si="0"/>
        <v>664734</v>
      </c>
      <c r="AO290" s="480">
        <f t="shared" si="0"/>
        <v>8866165</v>
      </c>
      <c r="AP290" s="480">
        <f t="shared" si="0"/>
        <v>48884</v>
      </c>
      <c r="AQ290" s="480">
        <f t="shared" si="0"/>
        <v>2750093</v>
      </c>
      <c r="AR290" s="480">
        <f t="shared" si="0"/>
        <v>1841583</v>
      </c>
      <c r="AS290" s="480">
        <f t="shared" si="0"/>
        <v>195783</v>
      </c>
      <c r="AT290" s="480">
        <f t="shared" si="0"/>
        <v>639049</v>
      </c>
      <c r="AU290" s="480">
        <f t="shared" si="0"/>
        <v>622066</v>
      </c>
      <c r="AV290" s="480">
        <f t="shared" si="0"/>
        <v>65911605</v>
      </c>
      <c r="AW290" s="480">
        <f t="shared" si="0"/>
        <v>16952592</v>
      </c>
      <c r="AX290" s="480">
        <f t="shared" si="0"/>
        <v>629123</v>
      </c>
      <c r="AY290" s="480">
        <f t="shared" si="0"/>
        <v>245685</v>
      </c>
      <c r="AZ290" s="480">
        <f t="shared" si="0"/>
        <v>297114</v>
      </c>
      <c r="BA290" s="480">
        <f t="shared" si="0"/>
        <v>176611</v>
      </c>
      <c r="BB290" s="480">
        <f t="shared" si="0"/>
        <v>0</v>
      </c>
      <c r="BC290" s="480">
        <f t="shared" si="0"/>
        <v>2499355</v>
      </c>
      <c r="BD290" s="480">
        <f t="shared" si="0"/>
        <v>1114779</v>
      </c>
      <c r="BE290" s="480">
        <f t="shared" si="0"/>
        <v>228739</v>
      </c>
      <c r="BF290" s="480">
        <f t="shared" si="0"/>
        <v>123468</v>
      </c>
      <c r="BG290" s="480">
        <f t="shared" si="0"/>
        <v>4609181</v>
      </c>
      <c r="BH290" s="480">
        <f t="shared" si="0"/>
        <v>77739</v>
      </c>
      <c r="BI290" s="480">
        <f t="shared" si="0"/>
        <v>9296758</v>
      </c>
      <c r="BJ290" s="480">
        <f t="shared" si="0"/>
        <v>896562</v>
      </c>
      <c r="BK290" s="480">
        <f t="shared" si="0"/>
        <v>472253</v>
      </c>
      <c r="BL290" s="480">
        <f t="shared" si="0"/>
        <v>477943</v>
      </c>
      <c r="BM290" s="480">
        <f t="shared" si="0"/>
        <v>10827500</v>
      </c>
      <c r="BN290" s="480">
        <f t="shared" si="0"/>
        <v>5182283</v>
      </c>
      <c r="BO290" s="480">
        <f t="shared" si="0"/>
        <v>1739538</v>
      </c>
      <c r="BP290" s="480">
        <f t="shared" si="0"/>
        <v>28652245</v>
      </c>
      <c r="BQ290" s="480">
        <f t="shared" ref="BQ290:BS290" si="1">BQ156+BQ186-BQ3-BQ4-BQ5+BQ289</f>
        <v>28339122</v>
      </c>
      <c r="BR290" s="480">
        <f t="shared" si="1"/>
        <v>230722</v>
      </c>
      <c r="BS290" s="480">
        <f t="shared" si="1"/>
        <v>3742332</v>
      </c>
      <c r="BT290" s="480">
        <f t="shared" ref="BT290:CE290" si="2">BT156+BT186-BT3-BT4-BT5+BT289</f>
        <v>2641956</v>
      </c>
      <c r="BU290" s="480">
        <f t="shared" si="2"/>
        <v>4579613</v>
      </c>
      <c r="BV290" s="480">
        <f t="shared" si="2"/>
        <v>301442</v>
      </c>
      <c r="BW290" s="480">
        <f t="shared" si="2"/>
        <v>1054697</v>
      </c>
      <c r="BX290" s="480">
        <f t="shared" si="2"/>
        <v>2485688</v>
      </c>
      <c r="BY290" s="480">
        <f t="shared" si="2"/>
        <v>0</v>
      </c>
      <c r="BZ290" s="480">
        <f t="shared" si="2"/>
        <v>13240310</v>
      </c>
      <c r="CA290" s="480">
        <f t="shared" si="2"/>
        <v>134550</v>
      </c>
      <c r="CB290" s="480">
        <f t="shared" si="2"/>
        <v>5784034</v>
      </c>
      <c r="CC290" s="480">
        <f t="shared" si="2"/>
        <v>409585</v>
      </c>
      <c r="CD290" s="480">
        <f t="shared" si="2"/>
        <v>1574865</v>
      </c>
      <c r="CE290" s="480">
        <f t="shared" si="2"/>
        <v>45040667</v>
      </c>
    </row>
    <row r="291" spans="1:83" s="833" customFormat="1" x14ac:dyDescent="0.25">
      <c r="A291" s="832" t="s">
        <v>932</v>
      </c>
      <c r="B291" s="835"/>
      <c r="C291" s="835" t="s">
        <v>942</v>
      </c>
      <c r="D291" s="835"/>
      <c r="E291" s="480">
        <f>E182+E159+E15-E183-E158</f>
        <v>2652387</v>
      </c>
      <c r="F291" s="480">
        <f t="shared" ref="F291:BQ291" si="3">F182+F159+F15-F183-F158</f>
        <v>2375429</v>
      </c>
      <c r="G291" s="480">
        <f t="shared" si="3"/>
        <v>371481</v>
      </c>
      <c r="H291" s="480">
        <f t="shared" si="3"/>
        <v>865670</v>
      </c>
      <c r="I291" s="480">
        <f t="shared" si="3"/>
        <v>620042</v>
      </c>
      <c r="J291" s="480">
        <f t="shared" si="3"/>
        <v>408021</v>
      </c>
      <c r="K291" s="480">
        <f t="shared" si="3"/>
        <v>58326</v>
      </c>
      <c r="L291" s="480">
        <f t="shared" si="3"/>
        <v>69683</v>
      </c>
      <c r="M291" s="480">
        <f t="shared" si="3"/>
        <v>4834650</v>
      </c>
      <c r="N291" s="480">
        <f t="shared" si="3"/>
        <v>162037667</v>
      </c>
      <c r="O291" s="480">
        <f t="shared" si="3"/>
        <v>2007267</v>
      </c>
      <c r="P291" s="480">
        <f t="shared" si="3"/>
        <v>7341793</v>
      </c>
      <c r="Q291" s="480">
        <f t="shared" si="3"/>
        <v>140421</v>
      </c>
      <c r="R291" s="480">
        <f t="shared" si="3"/>
        <v>16622793</v>
      </c>
      <c r="S291" s="480">
        <f t="shared" si="3"/>
        <v>68683</v>
      </c>
      <c r="T291" s="480">
        <f t="shared" si="3"/>
        <v>265541</v>
      </c>
      <c r="U291" s="480">
        <f t="shared" si="3"/>
        <v>1848615</v>
      </c>
      <c r="V291" s="480">
        <f t="shared" si="3"/>
        <v>1732473</v>
      </c>
      <c r="W291" s="480">
        <f t="shared" si="3"/>
        <v>4348579</v>
      </c>
      <c r="X291" s="480">
        <f t="shared" si="3"/>
        <v>2117039</v>
      </c>
      <c r="Y291" s="480">
        <f t="shared" si="3"/>
        <v>705208</v>
      </c>
      <c r="Z291" s="480">
        <f t="shared" si="3"/>
        <v>1150373</v>
      </c>
      <c r="AA291" s="480">
        <f t="shared" si="3"/>
        <v>29922382</v>
      </c>
      <c r="AB291" s="480">
        <f t="shared" si="3"/>
        <v>1017117</v>
      </c>
      <c r="AC291" s="480">
        <f t="shared" si="3"/>
        <v>582904</v>
      </c>
      <c r="AD291" s="480">
        <f t="shared" si="3"/>
        <v>36454676</v>
      </c>
      <c r="AE291" s="480">
        <f t="shared" si="3"/>
        <v>717536</v>
      </c>
      <c r="AF291" s="480">
        <f t="shared" si="3"/>
        <v>0</v>
      </c>
      <c r="AG291" s="480">
        <f t="shared" si="3"/>
        <v>64898695</v>
      </c>
      <c r="AH291" s="480">
        <f t="shared" si="3"/>
        <v>121739</v>
      </c>
      <c r="AI291" s="480">
        <f t="shared" si="3"/>
        <v>203586</v>
      </c>
      <c r="AJ291" s="480">
        <f t="shared" si="3"/>
        <v>6662424</v>
      </c>
      <c r="AK291" s="480">
        <f t="shared" si="3"/>
        <v>758061</v>
      </c>
      <c r="AL291" s="480">
        <f t="shared" si="3"/>
        <v>53565</v>
      </c>
      <c r="AM291" s="480">
        <f t="shared" si="3"/>
        <v>0</v>
      </c>
      <c r="AN291" s="480">
        <f t="shared" si="3"/>
        <v>119539</v>
      </c>
      <c r="AO291" s="480">
        <f t="shared" si="3"/>
        <v>12455163</v>
      </c>
      <c r="AP291" s="480">
        <f t="shared" si="3"/>
        <v>65186</v>
      </c>
      <c r="AQ291" s="480">
        <f t="shared" si="3"/>
        <v>4312635</v>
      </c>
      <c r="AR291" s="480">
        <f t="shared" si="3"/>
        <v>2546993</v>
      </c>
      <c r="AS291" s="480">
        <f t="shared" si="3"/>
        <v>54125</v>
      </c>
      <c r="AT291" s="480">
        <f t="shared" si="3"/>
        <v>900974</v>
      </c>
      <c r="AU291" s="480">
        <f t="shared" si="3"/>
        <v>161614</v>
      </c>
      <c r="AV291" s="480">
        <f t="shared" si="3"/>
        <v>285238549</v>
      </c>
      <c r="AW291" s="480">
        <f t="shared" si="3"/>
        <v>83783928</v>
      </c>
      <c r="AX291" s="480">
        <f t="shared" si="3"/>
        <v>1635168</v>
      </c>
      <c r="AY291" s="480">
        <f t="shared" si="3"/>
        <v>281354</v>
      </c>
      <c r="AZ291" s="480">
        <f t="shared" si="3"/>
        <v>296811</v>
      </c>
      <c r="BA291" s="480">
        <f t="shared" si="3"/>
        <v>198124</v>
      </c>
      <c r="BB291" s="480">
        <f t="shared" si="3"/>
        <v>0</v>
      </c>
      <c r="BC291" s="480">
        <f t="shared" si="3"/>
        <v>5227129</v>
      </c>
      <c r="BD291" s="480">
        <f t="shared" si="3"/>
        <v>246781</v>
      </c>
      <c r="BE291" s="480">
        <f t="shared" si="3"/>
        <v>96190</v>
      </c>
      <c r="BF291" s="480">
        <f t="shared" si="3"/>
        <v>47047</v>
      </c>
      <c r="BG291" s="480">
        <f t="shared" si="3"/>
        <v>15267319</v>
      </c>
      <c r="BH291" s="480">
        <f t="shared" si="3"/>
        <v>14981</v>
      </c>
      <c r="BI291" s="480">
        <f t="shared" si="3"/>
        <v>13000336</v>
      </c>
      <c r="BJ291" s="480">
        <f t="shared" si="3"/>
        <v>2365485</v>
      </c>
      <c r="BK291" s="480">
        <f t="shared" si="3"/>
        <v>200146</v>
      </c>
      <c r="BL291" s="480">
        <f t="shared" si="3"/>
        <v>72187</v>
      </c>
      <c r="BM291" s="480">
        <f t="shared" si="3"/>
        <v>15745642</v>
      </c>
      <c r="BN291" s="480">
        <f t="shared" si="3"/>
        <v>15788760</v>
      </c>
      <c r="BO291" s="480">
        <f t="shared" si="3"/>
        <v>1707016</v>
      </c>
      <c r="BP291" s="480">
        <f t="shared" si="3"/>
        <v>53105991</v>
      </c>
      <c r="BQ291" s="480">
        <f t="shared" si="3"/>
        <v>107226937</v>
      </c>
      <c r="BR291" s="480">
        <f>BR182+BR159+BR15-BR183-BR158</f>
        <v>362835</v>
      </c>
      <c r="BS291" s="480">
        <f>BS182+BS159+BS15-BS183-BS158</f>
        <v>6012595</v>
      </c>
      <c r="BT291" s="480">
        <f t="shared" ref="BT291:CE291" si="4">BT182+BT159+BT15-BT183-BT158</f>
        <v>1467218</v>
      </c>
      <c r="BU291" s="480">
        <f t="shared" si="4"/>
        <v>9569292</v>
      </c>
      <c r="BV291" s="480">
        <f t="shared" si="4"/>
        <v>146707</v>
      </c>
      <c r="BW291" s="480">
        <f t="shared" si="4"/>
        <v>584691</v>
      </c>
      <c r="BX291" s="480">
        <f t="shared" si="4"/>
        <v>3368887</v>
      </c>
      <c r="BY291" s="480">
        <f t="shared" si="4"/>
        <v>0</v>
      </c>
      <c r="BZ291" s="480">
        <f t="shared" si="4"/>
        <v>47514126</v>
      </c>
      <c r="CA291" s="480">
        <f t="shared" si="4"/>
        <v>267604</v>
      </c>
      <c r="CB291" s="480">
        <f t="shared" si="4"/>
        <v>14008315</v>
      </c>
      <c r="CC291" s="480">
        <f t="shared" si="4"/>
        <v>652066</v>
      </c>
      <c r="CD291" s="480">
        <f t="shared" si="4"/>
        <v>3151991</v>
      </c>
      <c r="CE291" s="480">
        <f t="shared" si="4"/>
        <v>39354415</v>
      </c>
    </row>
    <row r="292" spans="1:83" s="833" customFormat="1" x14ac:dyDescent="0.25">
      <c r="A292" s="832" t="s">
        <v>933</v>
      </c>
      <c r="B292" s="835"/>
      <c r="C292" s="494" t="s">
        <v>941</v>
      </c>
      <c r="D292" s="835"/>
      <c r="E292" s="495">
        <f>E290/E291</f>
        <v>0.15356808791477261</v>
      </c>
      <c r="F292" s="495">
        <f t="shared" ref="F292:BQ292" si="5">F290/F291</f>
        <v>0.32243944146509956</v>
      </c>
      <c r="G292" s="495">
        <f t="shared" si="5"/>
        <v>1.0998678263491268</v>
      </c>
      <c r="H292" s="495">
        <f t="shared" si="5"/>
        <v>1.0961532685665438</v>
      </c>
      <c r="I292" s="495">
        <f t="shared" si="5"/>
        <v>1.0518013295873505</v>
      </c>
      <c r="J292" s="495">
        <f t="shared" si="5"/>
        <v>0.43197531499604186</v>
      </c>
      <c r="K292" s="495">
        <f t="shared" si="5"/>
        <v>2.1055618420601445</v>
      </c>
      <c r="L292" s="495">
        <f t="shared" si="5"/>
        <v>9.373433979593301</v>
      </c>
      <c r="M292" s="495">
        <f t="shared" si="5"/>
        <v>0.50231164613777624</v>
      </c>
      <c r="N292" s="495">
        <f t="shared" si="5"/>
        <v>0.34868648781520656</v>
      </c>
      <c r="O292" s="495">
        <f t="shared" si="5"/>
        <v>1.3542054943363289</v>
      </c>
      <c r="P292" s="495">
        <f t="shared" si="5"/>
        <v>0.59426668662546056</v>
      </c>
      <c r="Q292" s="495">
        <f t="shared" si="5"/>
        <v>0.82917797195576159</v>
      </c>
      <c r="R292" s="495">
        <f t="shared" si="5"/>
        <v>0.25615256112495655</v>
      </c>
      <c r="S292" s="495">
        <f t="shared" si="5"/>
        <v>1.8741610005387068</v>
      </c>
      <c r="T292" s="495">
        <f t="shared" si="5"/>
        <v>2.0153497953235093</v>
      </c>
      <c r="U292" s="495">
        <f t="shared" si="5"/>
        <v>0.26727955793932212</v>
      </c>
      <c r="V292" s="495">
        <f t="shared" si="5"/>
        <v>0.57706238423340506</v>
      </c>
      <c r="W292" s="495">
        <f t="shared" si="5"/>
        <v>0.78052600631148705</v>
      </c>
      <c r="X292" s="495">
        <f t="shared" si="5"/>
        <v>0.47901432141779154</v>
      </c>
      <c r="Y292" s="495">
        <f t="shared" si="5"/>
        <v>0.60632607684541295</v>
      </c>
      <c r="Z292" s="495">
        <f t="shared" si="5"/>
        <v>9.4605836541712993E-2</v>
      </c>
      <c r="AA292" s="495">
        <f t="shared" si="5"/>
        <v>0.89347088076076298</v>
      </c>
      <c r="AB292" s="495">
        <f t="shared" si="5"/>
        <v>7.0400071968121658</v>
      </c>
      <c r="AC292" s="495">
        <f t="shared" si="5"/>
        <v>1.2174509010059975</v>
      </c>
      <c r="AD292" s="495">
        <f t="shared" si="5"/>
        <v>0.67564492961067601</v>
      </c>
      <c r="AE292" s="495">
        <f t="shared" si="5"/>
        <v>0.64262141551085938</v>
      </c>
      <c r="AF292" s="495" t="e">
        <f t="shared" si="5"/>
        <v>#DIV/0!</v>
      </c>
      <c r="AG292" s="495">
        <f t="shared" si="5"/>
        <v>0.35146087298057382</v>
      </c>
      <c r="AH292" s="495">
        <f t="shared" si="5"/>
        <v>7.0064646497835534</v>
      </c>
      <c r="AI292" s="495">
        <f t="shared" si="5"/>
        <v>1.4968318057233798</v>
      </c>
      <c r="AJ292" s="495">
        <f t="shared" si="5"/>
        <v>0.32583726283406761</v>
      </c>
      <c r="AK292" s="495">
        <f t="shared" si="5"/>
        <v>1.0388491163639866</v>
      </c>
      <c r="AL292" s="495">
        <f t="shared" si="5"/>
        <v>1.0645757490898908</v>
      </c>
      <c r="AM292" s="495" t="e">
        <f t="shared" si="5"/>
        <v>#DIV/0!</v>
      </c>
      <c r="AN292" s="495">
        <f t="shared" si="5"/>
        <v>5.5608127891315808</v>
      </c>
      <c r="AO292" s="495">
        <f t="shared" si="5"/>
        <v>0.71184656515534961</v>
      </c>
      <c r="AP292" s="495">
        <f t="shared" si="5"/>
        <v>0.74991562605467432</v>
      </c>
      <c r="AQ292" s="495">
        <f t="shared" si="5"/>
        <v>0.63768276239468447</v>
      </c>
      <c r="AR292" s="495">
        <f t="shared" si="5"/>
        <v>0.72304203427335689</v>
      </c>
      <c r="AS292" s="495">
        <f t="shared" si="5"/>
        <v>3.6172378752886836</v>
      </c>
      <c r="AT292" s="495">
        <f t="shared" si="5"/>
        <v>0.70928683846592688</v>
      </c>
      <c r="AU292" s="495">
        <f t="shared" si="5"/>
        <v>3.8490848565099558</v>
      </c>
      <c r="AV292" s="495">
        <f t="shared" si="5"/>
        <v>0.23107537614069129</v>
      </c>
      <c r="AW292" s="495">
        <f t="shared" si="5"/>
        <v>0.20233704010630774</v>
      </c>
      <c r="AX292" s="495">
        <f t="shared" si="5"/>
        <v>0.38474517603084207</v>
      </c>
      <c r="AY292" s="495">
        <f t="shared" si="5"/>
        <v>0.87322376792226164</v>
      </c>
      <c r="AZ292" s="495">
        <f t="shared" si="5"/>
        <v>1.0010208516530721</v>
      </c>
      <c r="BA292" s="495">
        <f t="shared" si="5"/>
        <v>0.8914164866447275</v>
      </c>
      <c r="BB292" s="495" t="e">
        <f t="shared" si="5"/>
        <v>#DIV/0!</v>
      </c>
      <c r="BC292" s="495">
        <f t="shared" si="5"/>
        <v>0.4781506253241502</v>
      </c>
      <c r="BD292" s="495">
        <f t="shared" si="5"/>
        <v>4.5172805037664974</v>
      </c>
      <c r="BE292" s="495">
        <f t="shared" si="5"/>
        <v>2.3779914752053228</v>
      </c>
      <c r="BF292" s="495">
        <f t="shared" si="5"/>
        <v>2.62435436903522</v>
      </c>
      <c r="BG292" s="495">
        <f t="shared" si="5"/>
        <v>0.30189851931436029</v>
      </c>
      <c r="BH292" s="495">
        <f t="shared" si="5"/>
        <v>5.1891729524063814</v>
      </c>
      <c r="BI292" s="495">
        <f t="shared" si="5"/>
        <v>0.71511674775175038</v>
      </c>
      <c r="BJ292" s="495">
        <f t="shared" si="5"/>
        <v>0.37901825629839125</v>
      </c>
      <c r="BK292" s="495">
        <f t="shared" si="5"/>
        <v>2.3595425339502163</v>
      </c>
      <c r="BL292" s="495">
        <f t="shared" si="5"/>
        <v>6.6209012703118288</v>
      </c>
      <c r="BM292" s="495">
        <f t="shared" si="5"/>
        <v>0.68765058928686429</v>
      </c>
      <c r="BN292" s="495">
        <f t="shared" si="5"/>
        <v>0.32822609248604706</v>
      </c>
      <c r="BO292" s="495">
        <f t="shared" si="5"/>
        <v>1.0190519596770036</v>
      </c>
      <c r="BP292" s="495">
        <f t="shared" si="5"/>
        <v>0.53952942898664669</v>
      </c>
      <c r="BQ292" s="495">
        <f t="shared" si="5"/>
        <v>0.26429107081553582</v>
      </c>
      <c r="BR292" s="495">
        <f>BR290/BR291</f>
        <v>0.63588683561398429</v>
      </c>
      <c r="BS292" s="495">
        <f>BS290/BS291</f>
        <v>0.62241544624242939</v>
      </c>
      <c r="BT292" s="495">
        <f t="shared" ref="BT292:CE292" si="6">BT290/BT291</f>
        <v>1.8006567531205315</v>
      </c>
      <c r="BU292" s="495">
        <f t="shared" si="6"/>
        <v>0.47857385896469667</v>
      </c>
      <c r="BV292" s="495">
        <f t="shared" si="6"/>
        <v>2.0547213152746631</v>
      </c>
      <c r="BW292" s="495">
        <f t="shared" si="6"/>
        <v>1.80385365945431</v>
      </c>
      <c r="BX292" s="495">
        <f t="shared" si="6"/>
        <v>0.73783656145189791</v>
      </c>
      <c r="BY292" s="495" t="e">
        <f t="shared" si="6"/>
        <v>#DIV/0!</v>
      </c>
      <c r="BZ292" s="495">
        <f t="shared" si="6"/>
        <v>0.27866049772229839</v>
      </c>
      <c r="CA292" s="495">
        <f t="shared" si="6"/>
        <v>0.50279517496001558</v>
      </c>
      <c r="CB292" s="495">
        <f t="shared" si="6"/>
        <v>0.4129000525759165</v>
      </c>
      <c r="CC292" s="495">
        <f t="shared" si="6"/>
        <v>0.62813426861698052</v>
      </c>
      <c r="CD292" s="495">
        <f t="shared" si="6"/>
        <v>0.49964133780838843</v>
      </c>
      <c r="CE292" s="495">
        <f t="shared" si="6"/>
        <v>1.1444882867652841</v>
      </c>
    </row>
    <row r="293" spans="1:83" s="833" customFormat="1" x14ac:dyDescent="0.25">
      <c r="A293" s="832" t="s">
        <v>936</v>
      </c>
      <c r="B293" s="835"/>
      <c r="C293" s="496" t="s">
        <v>944</v>
      </c>
      <c r="D293" s="835"/>
      <c r="E293" s="652">
        <f>E97+E51</f>
        <v>326591</v>
      </c>
      <c r="F293" s="652">
        <f t="shared" ref="F293:BQ293" si="7">F97+F51</f>
        <v>182292</v>
      </c>
      <c r="G293" s="652">
        <f t="shared" si="7"/>
        <v>0</v>
      </c>
      <c r="H293" s="652">
        <f t="shared" si="7"/>
        <v>25086</v>
      </c>
      <c r="I293" s="652">
        <f t="shared" si="7"/>
        <v>94244</v>
      </c>
      <c r="J293" s="652">
        <f t="shared" si="7"/>
        <v>0</v>
      </c>
      <c r="K293" s="652">
        <f t="shared" si="7"/>
        <v>0</v>
      </c>
      <c r="L293" s="652">
        <f t="shared" si="7"/>
        <v>51086</v>
      </c>
      <c r="M293" s="652">
        <f>M97+M51</f>
        <v>830545</v>
      </c>
      <c r="N293" s="652">
        <f t="shared" si="7"/>
        <v>0</v>
      </c>
      <c r="O293" s="652">
        <f t="shared" si="7"/>
        <v>0</v>
      </c>
      <c r="P293" s="652">
        <f t="shared" si="7"/>
        <v>0</v>
      </c>
      <c r="Q293" s="652">
        <f t="shared" si="7"/>
        <v>0</v>
      </c>
      <c r="R293" s="652">
        <f t="shared" si="7"/>
        <v>95846</v>
      </c>
      <c r="S293" s="652">
        <f t="shared" si="7"/>
        <v>0</v>
      </c>
      <c r="T293" s="652">
        <f t="shared" si="7"/>
        <v>0</v>
      </c>
      <c r="U293" s="652">
        <f t="shared" si="7"/>
        <v>109603</v>
      </c>
      <c r="V293" s="652">
        <f t="shared" si="7"/>
        <v>95548</v>
      </c>
      <c r="W293" s="652">
        <f t="shared" si="7"/>
        <v>1035197</v>
      </c>
      <c r="X293" s="652">
        <f t="shared" si="7"/>
        <v>0</v>
      </c>
      <c r="Y293" s="652">
        <f t="shared" si="7"/>
        <v>21527</v>
      </c>
      <c r="Z293" s="652">
        <f t="shared" si="7"/>
        <v>101510</v>
      </c>
      <c r="AA293" s="652">
        <f t="shared" si="7"/>
        <v>3966990</v>
      </c>
      <c r="AB293" s="652">
        <f t="shared" si="7"/>
        <v>0</v>
      </c>
      <c r="AC293" s="652">
        <f t="shared" si="7"/>
        <v>12719</v>
      </c>
      <c r="AD293" s="652">
        <f t="shared" si="7"/>
        <v>0</v>
      </c>
      <c r="AE293" s="652">
        <f t="shared" si="7"/>
        <v>0</v>
      </c>
      <c r="AF293" s="652">
        <f t="shared" si="7"/>
        <v>0</v>
      </c>
      <c r="AG293" s="652">
        <f t="shared" si="7"/>
        <v>7048410</v>
      </c>
      <c r="AH293" s="652">
        <f t="shared" si="7"/>
        <v>0</v>
      </c>
      <c r="AI293" s="652">
        <f t="shared" si="7"/>
        <v>0</v>
      </c>
      <c r="AJ293" s="652">
        <f t="shared" si="7"/>
        <v>48718</v>
      </c>
      <c r="AK293" s="652">
        <f t="shared" si="7"/>
        <v>0</v>
      </c>
      <c r="AL293" s="652">
        <f t="shared" si="7"/>
        <v>0</v>
      </c>
      <c r="AM293" s="652">
        <f t="shared" si="7"/>
        <v>0</v>
      </c>
      <c r="AN293" s="652">
        <f t="shared" si="7"/>
        <v>126000</v>
      </c>
      <c r="AO293" s="652">
        <f t="shared" si="7"/>
        <v>650773</v>
      </c>
      <c r="AP293" s="652">
        <f t="shared" si="7"/>
        <v>0</v>
      </c>
      <c r="AQ293" s="652">
        <f t="shared" si="7"/>
        <v>201561</v>
      </c>
      <c r="AR293" s="652">
        <f t="shared" si="7"/>
        <v>0</v>
      </c>
      <c r="AS293" s="652">
        <f t="shared" si="7"/>
        <v>0</v>
      </c>
      <c r="AT293" s="652">
        <f t="shared" si="7"/>
        <v>215020</v>
      </c>
      <c r="AU293" s="652">
        <f t="shared" si="7"/>
        <v>0</v>
      </c>
      <c r="AV293" s="652">
        <f t="shared" si="7"/>
        <v>21982105</v>
      </c>
      <c r="AW293" s="652">
        <f t="shared" si="7"/>
        <v>11443630</v>
      </c>
      <c r="AX293" s="652">
        <f t="shared" si="7"/>
        <v>49792</v>
      </c>
      <c r="AY293" s="652">
        <f t="shared" si="7"/>
        <v>28080</v>
      </c>
      <c r="AZ293" s="652">
        <f t="shared" si="7"/>
        <v>0</v>
      </c>
      <c r="BA293" s="652">
        <f t="shared" si="7"/>
        <v>0</v>
      </c>
      <c r="BB293" s="652">
        <f t="shared" si="7"/>
        <v>0</v>
      </c>
      <c r="BC293" s="652">
        <f t="shared" si="7"/>
        <v>111115</v>
      </c>
      <c r="BD293" s="652">
        <f t="shared" si="7"/>
        <v>13581</v>
      </c>
      <c r="BE293" s="652">
        <f t="shared" si="7"/>
        <v>0</v>
      </c>
      <c r="BF293" s="652">
        <f t="shared" si="7"/>
        <v>36102</v>
      </c>
      <c r="BG293" s="652">
        <f t="shared" si="7"/>
        <v>1674920</v>
      </c>
      <c r="BH293" s="652">
        <f t="shared" si="7"/>
        <v>0</v>
      </c>
      <c r="BI293" s="652">
        <f t="shared" si="7"/>
        <v>1020964</v>
      </c>
      <c r="BJ293" s="652">
        <f t="shared" si="7"/>
        <v>32908</v>
      </c>
      <c r="BK293" s="652">
        <f t="shared" si="7"/>
        <v>0</v>
      </c>
      <c r="BL293" s="652">
        <f t="shared" si="7"/>
        <v>0</v>
      </c>
      <c r="BM293" s="652">
        <f t="shared" si="7"/>
        <v>2535544</v>
      </c>
      <c r="BN293" s="652">
        <f t="shared" si="7"/>
        <v>2312996</v>
      </c>
      <c r="BO293" s="652">
        <f t="shared" si="7"/>
        <v>609240</v>
      </c>
      <c r="BP293" s="652">
        <f t="shared" si="7"/>
        <v>3432090</v>
      </c>
      <c r="BQ293" s="652">
        <f t="shared" si="7"/>
        <v>16501856</v>
      </c>
      <c r="BR293" s="652">
        <f>BR97+BR51</f>
        <v>0</v>
      </c>
      <c r="BS293" s="652">
        <f>BS97+BS51</f>
        <v>93349</v>
      </c>
      <c r="BT293" s="652">
        <f t="shared" ref="BT293:CE293" si="8">BT97+BT51</f>
        <v>0</v>
      </c>
      <c r="BU293" s="652">
        <f t="shared" si="8"/>
        <v>2004103</v>
      </c>
      <c r="BV293" s="652">
        <f t="shared" si="8"/>
        <v>0</v>
      </c>
      <c r="BW293" s="652">
        <f t="shared" si="8"/>
        <v>0</v>
      </c>
      <c r="BX293" s="652">
        <f t="shared" si="8"/>
        <v>753927</v>
      </c>
      <c r="BY293" s="652">
        <f t="shared" si="8"/>
        <v>0</v>
      </c>
      <c r="BZ293" s="652">
        <f t="shared" si="8"/>
        <v>4000380</v>
      </c>
      <c r="CA293" s="652">
        <f t="shared" si="8"/>
        <v>25730</v>
      </c>
      <c r="CB293" s="652">
        <f t="shared" si="8"/>
        <v>0</v>
      </c>
      <c r="CC293" s="652">
        <f t="shared" si="8"/>
        <v>25321</v>
      </c>
      <c r="CD293" s="652">
        <f t="shared" si="8"/>
        <v>0</v>
      </c>
      <c r="CE293" s="652">
        <f t="shared" si="8"/>
        <v>0</v>
      </c>
    </row>
    <row r="294" spans="1:83" s="833" customFormat="1" x14ac:dyDescent="0.25">
      <c r="A294" s="832" t="s">
        <v>934</v>
      </c>
      <c r="B294" s="835"/>
      <c r="C294" s="835" t="s">
        <v>937</v>
      </c>
      <c r="D294" s="835"/>
      <c r="E294" s="652">
        <f>E60+E58</f>
        <v>0</v>
      </c>
      <c r="F294" s="652">
        <f t="shared" ref="F294:BQ294" si="9">F60+F58</f>
        <v>0</v>
      </c>
      <c r="G294" s="652">
        <f t="shared" si="9"/>
        <v>0</v>
      </c>
      <c r="H294" s="652">
        <f t="shared" si="9"/>
        <v>0</v>
      </c>
      <c r="I294" s="652">
        <f t="shared" si="9"/>
        <v>0</v>
      </c>
      <c r="J294" s="652">
        <f t="shared" si="9"/>
        <v>0</v>
      </c>
      <c r="K294" s="652">
        <f t="shared" si="9"/>
        <v>0</v>
      </c>
      <c r="L294" s="652">
        <f t="shared" si="9"/>
        <v>0</v>
      </c>
      <c r="M294" s="652">
        <f t="shared" si="9"/>
        <v>258813</v>
      </c>
      <c r="N294" s="652">
        <f t="shared" si="9"/>
        <v>0</v>
      </c>
      <c r="O294" s="652">
        <f t="shared" si="9"/>
        <v>0</v>
      </c>
      <c r="P294" s="652">
        <f t="shared" si="9"/>
        <v>0</v>
      </c>
      <c r="Q294" s="652">
        <f t="shared" si="9"/>
        <v>0</v>
      </c>
      <c r="R294" s="652">
        <f t="shared" si="9"/>
        <v>34949</v>
      </c>
      <c r="S294" s="652">
        <f t="shared" si="9"/>
        <v>0</v>
      </c>
      <c r="T294" s="652">
        <f t="shared" si="9"/>
        <v>0</v>
      </c>
      <c r="U294" s="652">
        <f t="shared" si="9"/>
        <v>0</v>
      </c>
      <c r="V294" s="652">
        <f t="shared" si="9"/>
        <v>0</v>
      </c>
      <c r="W294" s="652">
        <f t="shared" si="9"/>
        <v>0</v>
      </c>
      <c r="X294" s="652">
        <f t="shared" si="9"/>
        <v>0</v>
      </c>
      <c r="Y294" s="652">
        <f t="shared" si="9"/>
        <v>0</v>
      </c>
      <c r="Z294" s="652">
        <f t="shared" si="9"/>
        <v>2685</v>
      </c>
      <c r="AA294" s="652">
        <f t="shared" si="9"/>
        <v>0</v>
      </c>
      <c r="AB294" s="652">
        <f t="shared" si="9"/>
        <v>0</v>
      </c>
      <c r="AC294" s="652">
        <f t="shared" si="9"/>
        <v>0</v>
      </c>
      <c r="AD294" s="652">
        <f t="shared" si="9"/>
        <v>0</v>
      </c>
      <c r="AE294" s="652">
        <f t="shared" si="9"/>
        <v>0</v>
      </c>
      <c r="AF294" s="652">
        <f t="shared" si="9"/>
        <v>0</v>
      </c>
      <c r="AG294" s="652">
        <f t="shared" si="9"/>
        <v>16869</v>
      </c>
      <c r="AH294" s="652">
        <f t="shared" si="9"/>
        <v>0</v>
      </c>
      <c r="AI294" s="652">
        <f t="shared" si="9"/>
        <v>0</v>
      </c>
      <c r="AJ294" s="652">
        <f t="shared" si="9"/>
        <v>0</v>
      </c>
      <c r="AK294" s="652">
        <f t="shared" si="9"/>
        <v>0</v>
      </c>
      <c r="AL294" s="652">
        <f t="shared" si="9"/>
        <v>0</v>
      </c>
      <c r="AM294" s="652">
        <f t="shared" si="9"/>
        <v>0</v>
      </c>
      <c r="AN294" s="652">
        <f t="shared" si="9"/>
        <v>0</v>
      </c>
      <c r="AO294" s="652">
        <f t="shared" si="9"/>
        <v>0</v>
      </c>
      <c r="AP294" s="652">
        <f t="shared" si="9"/>
        <v>0</v>
      </c>
      <c r="AQ294" s="652">
        <f t="shared" si="9"/>
        <v>0</v>
      </c>
      <c r="AR294" s="652">
        <f t="shared" si="9"/>
        <v>0</v>
      </c>
      <c r="AS294" s="652">
        <f t="shared" si="9"/>
        <v>0</v>
      </c>
      <c r="AT294" s="652">
        <f t="shared" si="9"/>
        <v>0</v>
      </c>
      <c r="AU294" s="652">
        <f t="shared" si="9"/>
        <v>0</v>
      </c>
      <c r="AV294" s="652">
        <f t="shared" si="9"/>
        <v>0</v>
      </c>
      <c r="AW294" s="652">
        <f t="shared" si="9"/>
        <v>3964422</v>
      </c>
      <c r="AX294" s="652">
        <f t="shared" si="9"/>
        <v>0</v>
      </c>
      <c r="AY294" s="652">
        <f t="shared" si="9"/>
        <v>0</v>
      </c>
      <c r="AZ294" s="652">
        <f t="shared" si="9"/>
        <v>0</v>
      </c>
      <c r="BA294" s="652">
        <f t="shared" si="9"/>
        <v>0</v>
      </c>
      <c r="BB294" s="652">
        <f t="shared" si="9"/>
        <v>0</v>
      </c>
      <c r="BC294" s="652">
        <f t="shared" si="9"/>
        <v>0</v>
      </c>
      <c r="BD294" s="652">
        <f t="shared" si="9"/>
        <v>0</v>
      </c>
      <c r="BE294" s="652">
        <f t="shared" si="9"/>
        <v>0</v>
      </c>
      <c r="BF294" s="652">
        <f t="shared" si="9"/>
        <v>0</v>
      </c>
      <c r="BG294" s="652">
        <f t="shared" si="9"/>
        <v>0</v>
      </c>
      <c r="BH294" s="652">
        <f t="shared" si="9"/>
        <v>0</v>
      </c>
      <c r="BI294" s="652">
        <f t="shared" si="9"/>
        <v>0</v>
      </c>
      <c r="BJ294" s="652">
        <f t="shared" si="9"/>
        <v>0</v>
      </c>
      <c r="BK294" s="652">
        <f t="shared" si="9"/>
        <v>0</v>
      </c>
      <c r="BL294" s="652">
        <f t="shared" si="9"/>
        <v>0</v>
      </c>
      <c r="BM294" s="652">
        <f t="shared" si="9"/>
        <v>0</v>
      </c>
      <c r="BN294" s="652">
        <f t="shared" si="9"/>
        <v>0</v>
      </c>
      <c r="BO294" s="652">
        <f t="shared" si="9"/>
        <v>19223</v>
      </c>
      <c r="BP294" s="652">
        <f t="shared" si="9"/>
        <v>0</v>
      </c>
      <c r="BQ294" s="652">
        <f t="shared" si="9"/>
        <v>0</v>
      </c>
      <c r="BR294" s="652">
        <f>BR60+BR58</f>
        <v>0</v>
      </c>
      <c r="BS294" s="652">
        <f>BS60+BS58</f>
        <v>314680</v>
      </c>
      <c r="BT294" s="652">
        <f t="shared" ref="BT294:CE294" si="10">BT60+BT58</f>
        <v>0</v>
      </c>
      <c r="BU294" s="652">
        <f t="shared" si="10"/>
        <v>0</v>
      </c>
      <c r="BV294" s="652">
        <f t="shared" si="10"/>
        <v>0</v>
      </c>
      <c r="BW294" s="652">
        <f t="shared" si="10"/>
        <v>0</v>
      </c>
      <c r="BX294" s="652">
        <f t="shared" si="10"/>
        <v>0</v>
      </c>
      <c r="BY294" s="652">
        <f t="shared" si="10"/>
        <v>0</v>
      </c>
      <c r="BZ294" s="652">
        <f t="shared" si="10"/>
        <v>0</v>
      </c>
      <c r="CA294" s="652">
        <f t="shared" si="10"/>
        <v>2788</v>
      </c>
      <c r="CB294" s="652">
        <f t="shared" si="10"/>
        <v>0</v>
      </c>
      <c r="CC294" s="652">
        <f t="shared" si="10"/>
        <v>0</v>
      </c>
      <c r="CD294" s="652">
        <f t="shared" si="10"/>
        <v>0</v>
      </c>
      <c r="CE294" s="652">
        <f t="shared" si="10"/>
        <v>0</v>
      </c>
    </row>
    <row r="295" spans="1:83" s="833" customFormat="1" x14ac:dyDescent="0.25">
      <c r="A295" s="832" t="s">
        <v>940</v>
      </c>
      <c r="C295" s="835" t="s">
        <v>939</v>
      </c>
      <c r="E295" s="497">
        <f>E31-E160</f>
        <v>201742</v>
      </c>
      <c r="F295" s="497">
        <f t="shared" ref="F295:BQ295" si="11">F31-F160</f>
        <v>332542</v>
      </c>
      <c r="G295" s="497">
        <f t="shared" si="11"/>
        <v>0</v>
      </c>
      <c r="H295" s="497">
        <f t="shared" si="11"/>
        <v>930722</v>
      </c>
      <c r="I295" s="497">
        <f t="shared" si="11"/>
        <v>408219</v>
      </c>
      <c r="J295" s="497">
        <f t="shared" si="11"/>
        <v>128361</v>
      </c>
      <c r="K295" s="497">
        <f t="shared" si="11"/>
        <v>0</v>
      </c>
      <c r="L295" s="497">
        <f t="shared" si="11"/>
        <v>442770</v>
      </c>
      <c r="M295" s="497">
        <f t="shared" si="11"/>
        <v>3908414</v>
      </c>
      <c r="N295" s="497">
        <f t="shared" si="11"/>
        <v>0</v>
      </c>
      <c r="O295" s="497">
        <f t="shared" si="11"/>
        <v>0</v>
      </c>
      <c r="P295" s="497">
        <f t="shared" si="11"/>
        <v>0</v>
      </c>
      <c r="Q295" s="497">
        <f t="shared" si="11"/>
        <v>133110</v>
      </c>
      <c r="R295" s="497">
        <f t="shared" si="11"/>
        <v>5974041</v>
      </c>
      <c r="S295" s="497">
        <f t="shared" si="11"/>
        <v>0</v>
      </c>
      <c r="T295" s="497">
        <f t="shared" si="11"/>
        <v>223054</v>
      </c>
      <c r="U295" s="497">
        <f t="shared" si="11"/>
        <v>1045579</v>
      </c>
      <c r="V295" s="497">
        <f t="shared" si="11"/>
        <v>837288</v>
      </c>
      <c r="W295" s="497">
        <f t="shared" si="11"/>
        <v>5559060</v>
      </c>
      <c r="X295" s="497">
        <f t="shared" si="11"/>
        <v>0</v>
      </c>
      <c r="Y295" s="497">
        <f t="shared" si="11"/>
        <v>423831</v>
      </c>
      <c r="Z295" s="497">
        <f t="shared" si="11"/>
        <v>218459</v>
      </c>
      <c r="AA295" s="497">
        <f t="shared" si="11"/>
        <v>20166041</v>
      </c>
      <c r="AB295" s="497">
        <f t="shared" si="11"/>
        <v>15647</v>
      </c>
      <c r="AC295" s="497">
        <f t="shared" si="11"/>
        <v>509165</v>
      </c>
      <c r="AD295" s="497">
        <f t="shared" si="11"/>
        <v>0</v>
      </c>
      <c r="AE295" s="497">
        <f t="shared" si="11"/>
        <v>0</v>
      </c>
      <c r="AF295" s="497">
        <f t="shared" si="11"/>
        <v>0</v>
      </c>
      <c r="AG295" s="497">
        <f t="shared" si="11"/>
        <v>27648082</v>
      </c>
      <c r="AH295" s="497">
        <f t="shared" si="11"/>
        <v>704</v>
      </c>
      <c r="AI295" s="497">
        <f t="shared" si="11"/>
        <v>245601</v>
      </c>
      <c r="AJ295" s="497">
        <f t="shared" si="11"/>
        <v>2136489</v>
      </c>
      <c r="AK295" s="497">
        <f t="shared" si="11"/>
        <v>94641</v>
      </c>
      <c r="AL295" s="497">
        <f t="shared" si="11"/>
        <v>92405</v>
      </c>
      <c r="AM295" s="497">
        <f t="shared" si="11"/>
        <v>0</v>
      </c>
      <c r="AN295" s="497">
        <f t="shared" si="11"/>
        <v>328411</v>
      </c>
      <c r="AO295" s="497">
        <f t="shared" si="11"/>
        <v>11716758</v>
      </c>
      <c r="AP295" s="497">
        <f t="shared" si="11"/>
        <v>0</v>
      </c>
      <c r="AQ295" s="497">
        <f t="shared" si="11"/>
        <v>2613955</v>
      </c>
      <c r="AR295" s="497">
        <f t="shared" si="11"/>
        <v>0</v>
      </c>
      <c r="AS295" s="497">
        <f t="shared" si="11"/>
        <v>0</v>
      </c>
      <c r="AT295" s="497">
        <f t="shared" si="11"/>
        <v>1964864</v>
      </c>
      <c r="AU295" s="497">
        <f t="shared" si="11"/>
        <v>398004</v>
      </c>
      <c r="AV295" s="497">
        <f t="shared" si="11"/>
        <v>61248783</v>
      </c>
      <c r="AW295" s="497">
        <f t="shared" si="11"/>
        <v>20692686</v>
      </c>
      <c r="AX295" s="497">
        <f t="shared" si="11"/>
        <v>649725</v>
      </c>
      <c r="AY295" s="497">
        <f t="shared" si="11"/>
        <v>153111</v>
      </c>
      <c r="AZ295" s="497">
        <f t="shared" si="11"/>
        <v>216930</v>
      </c>
      <c r="BA295" s="497">
        <f t="shared" si="11"/>
        <v>82524</v>
      </c>
      <c r="BB295" s="497">
        <f t="shared" si="11"/>
        <v>0</v>
      </c>
      <c r="BC295" s="497">
        <f t="shared" si="11"/>
        <v>3743814</v>
      </c>
      <c r="BD295" s="497">
        <f t="shared" si="11"/>
        <v>530891</v>
      </c>
      <c r="BE295" s="497">
        <f t="shared" si="11"/>
        <v>0</v>
      </c>
      <c r="BF295" s="497">
        <f t="shared" si="11"/>
        <v>163731</v>
      </c>
      <c r="BG295" s="497">
        <f t="shared" si="11"/>
        <v>9862465</v>
      </c>
      <c r="BH295" s="497">
        <f t="shared" si="11"/>
        <v>0</v>
      </c>
      <c r="BI295" s="497">
        <f t="shared" si="11"/>
        <v>9651920</v>
      </c>
      <c r="BJ295" s="497">
        <f t="shared" si="11"/>
        <v>965677</v>
      </c>
      <c r="BK295" s="497">
        <f t="shared" si="11"/>
        <v>0</v>
      </c>
      <c r="BL295" s="497">
        <f t="shared" si="11"/>
        <v>0</v>
      </c>
      <c r="BM295" s="497">
        <f t="shared" si="11"/>
        <v>28771249</v>
      </c>
      <c r="BN295" s="497">
        <f t="shared" si="11"/>
        <v>16602424</v>
      </c>
      <c r="BO295" s="497">
        <f t="shared" si="11"/>
        <v>747350</v>
      </c>
      <c r="BP295" s="497">
        <f t="shared" si="11"/>
        <v>39177925</v>
      </c>
      <c r="BQ295" s="497">
        <f t="shared" si="11"/>
        <v>63863266</v>
      </c>
      <c r="BR295" s="497">
        <f>BR31-BR160</f>
        <v>181502</v>
      </c>
      <c r="BS295" s="497">
        <f>BS31-BS160</f>
        <v>2018078</v>
      </c>
      <c r="BT295" s="497">
        <f t="shared" ref="BT295:CE295" si="12">BT31-BT160</f>
        <v>0</v>
      </c>
      <c r="BU295" s="497">
        <f t="shared" si="12"/>
        <v>19696769</v>
      </c>
      <c r="BV295" s="497">
        <f t="shared" si="12"/>
        <v>290885</v>
      </c>
      <c r="BW295" s="497">
        <f t="shared" si="12"/>
        <v>0</v>
      </c>
      <c r="BX295" s="497">
        <f t="shared" si="12"/>
        <v>3216578</v>
      </c>
      <c r="BY295" s="497">
        <f t="shared" si="12"/>
        <v>0</v>
      </c>
      <c r="BZ295" s="497">
        <f t="shared" si="12"/>
        <v>38704475</v>
      </c>
      <c r="CA295" s="497">
        <f t="shared" si="12"/>
        <v>455208</v>
      </c>
      <c r="CB295" s="497">
        <f t="shared" si="12"/>
        <v>0</v>
      </c>
      <c r="CC295" s="497">
        <f t="shared" si="12"/>
        <v>152840</v>
      </c>
      <c r="CD295" s="497">
        <f t="shared" si="12"/>
        <v>0</v>
      </c>
      <c r="CE295" s="497">
        <f t="shared" si="12"/>
        <v>0</v>
      </c>
    </row>
    <row r="296" spans="1:83" s="833" customFormat="1" x14ac:dyDescent="0.25">
      <c r="A296" s="832" t="s">
        <v>945</v>
      </c>
      <c r="C296" s="835" t="s">
        <v>947</v>
      </c>
      <c r="E296" s="834">
        <f>E45*365/E50</f>
        <v>23.180479558699229</v>
      </c>
      <c r="F296" s="834">
        <f t="shared" ref="F296:BQ296" si="13">F45*365/F50</f>
        <v>29.864593580537221</v>
      </c>
      <c r="G296" s="834" t="e">
        <f t="shared" si="13"/>
        <v>#DIV/0!</v>
      </c>
      <c r="H296" s="834">
        <f t="shared" si="13"/>
        <v>53.185078196746026</v>
      </c>
      <c r="I296" s="834">
        <f t="shared" si="13"/>
        <v>54.433442252488852</v>
      </c>
      <c r="J296" s="834">
        <f t="shared" si="13"/>
        <v>36.111458985597999</v>
      </c>
      <c r="K296" s="834" t="e">
        <f t="shared" si="13"/>
        <v>#DIV/0!</v>
      </c>
      <c r="L296" s="834">
        <f t="shared" si="13"/>
        <v>34.191273887907499</v>
      </c>
      <c r="M296" s="834">
        <f t="shared" si="13"/>
        <v>66.158250110905016</v>
      </c>
      <c r="N296" s="834" t="e">
        <f t="shared" si="13"/>
        <v>#DIV/0!</v>
      </c>
      <c r="O296" s="834" t="e">
        <f t="shared" si="13"/>
        <v>#DIV/0!</v>
      </c>
      <c r="P296" s="834" t="e">
        <f t="shared" si="13"/>
        <v>#DIV/0!</v>
      </c>
      <c r="Q296" s="834">
        <f t="shared" si="13"/>
        <v>148.49956396015972</v>
      </c>
      <c r="R296" s="834">
        <f t="shared" si="13"/>
        <v>45.913388826133946</v>
      </c>
      <c r="S296" s="834" t="e">
        <f t="shared" si="13"/>
        <v>#DIV/0!</v>
      </c>
      <c r="T296" s="834">
        <f t="shared" si="13"/>
        <v>32.5462718138551</v>
      </c>
      <c r="U296" s="834">
        <f t="shared" si="13"/>
        <v>33.588230655751126</v>
      </c>
      <c r="V296" s="834">
        <f t="shared" si="13"/>
        <v>44.1561756723627</v>
      </c>
      <c r="W296" s="834">
        <f t="shared" si="13"/>
        <v>49.430677228870813</v>
      </c>
      <c r="X296" s="834" t="e">
        <f t="shared" si="13"/>
        <v>#DIV/0!</v>
      </c>
      <c r="Y296" s="834">
        <f t="shared" si="13"/>
        <v>34.545509858965808</v>
      </c>
      <c r="Z296" s="834">
        <f t="shared" si="13"/>
        <v>50.128351667616251</v>
      </c>
      <c r="AA296" s="834">
        <f t="shared" si="13"/>
        <v>39.3930434974272</v>
      </c>
      <c r="AB296" s="834">
        <f t="shared" si="13"/>
        <v>74.776214833759596</v>
      </c>
      <c r="AC296" s="834">
        <f t="shared" si="13"/>
        <v>34.883452886937121</v>
      </c>
      <c r="AD296" s="834" t="e">
        <f t="shared" si="13"/>
        <v>#DIV/0!</v>
      </c>
      <c r="AE296" s="834" t="e">
        <f t="shared" si="13"/>
        <v>#DIV/0!</v>
      </c>
      <c r="AF296" s="834" t="e">
        <f t="shared" si="13"/>
        <v>#DIV/0!</v>
      </c>
      <c r="AG296" s="834">
        <f t="shared" si="13"/>
        <v>59.441043823922641</v>
      </c>
      <c r="AH296" s="834" t="e">
        <f t="shared" si="13"/>
        <v>#DIV/0!</v>
      </c>
      <c r="AI296" s="834">
        <f t="shared" si="13"/>
        <v>75.640398966575745</v>
      </c>
      <c r="AJ296" s="834">
        <f t="shared" si="13"/>
        <v>31.318783787495576</v>
      </c>
      <c r="AK296" s="834">
        <f t="shared" si="13"/>
        <v>145.66811622850366</v>
      </c>
      <c r="AL296" s="834">
        <f t="shared" si="13"/>
        <v>15.039994618461124</v>
      </c>
      <c r="AM296" s="834" t="e">
        <f t="shared" si="13"/>
        <v>#DIV/0!</v>
      </c>
      <c r="AN296" s="834">
        <f t="shared" si="13"/>
        <v>0</v>
      </c>
      <c r="AO296" s="834">
        <f t="shared" si="13"/>
        <v>64.786147044851162</v>
      </c>
      <c r="AP296" s="834" t="e">
        <f t="shared" si="13"/>
        <v>#DIV/0!</v>
      </c>
      <c r="AQ296" s="834">
        <f t="shared" si="13"/>
        <v>103.37524821463818</v>
      </c>
      <c r="AR296" s="834" t="e">
        <f t="shared" si="13"/>
        <v>#DIV/0!</v>
      </c>
      <c r="AS296" s="834" t="e">
        <f t="shared" si="13"/>
        <v>#DIV/0!</v>
      </c>
      <c r="AT296" s="834">
        <f t="shared" si="13"/>
        <v>55.363185883490452</v>
      </c>
      <c r="AU296" s="834">
        <f t="shared" si="13"/>
        <v>40.195129220094451</v>
      </c>
      <c r="AV296" s="834">
        <f t="shared" si="13"/>
        <v>54.632747864468179</v>
      </c>
      <c r="AW296" s="834">
        <f t="shared" si="13"/>
        <v>49.313687386383876</v>
      </c>
      <c r="AX296" s="834">
        <f t="shared" si="13"/>
        <v>42.500519629124085</v>
      </c>
      <c r="AY296" s="834">
        <f t="shared" si="13"/>
        <v>24.668275488256636</v>
      </c>
      <c r="AZ296" s="834">
        <f t="shared" si="13"/>
        <v>34.948084985864348</v>
      </c>
      <c r="BA296" s="834">
        <f t="shared" si="13"/>
        <v>58.401178631253913</v>
      </c>
      <c r="BB296" s="834" t="e">
        <f t="shared" si="13"/>
        <v>#DIV/0!</v>
      </c>
      <c r="BC296" s="834">
        <f t="shared" si="13"/>
        <v>38.148720710457155</v>
      </c>
      <c r="BD296" s="834">
        <f t="shared" si="13"/>
        <v>37.783866349078579</v>
      </c>
      <c r="BE296" s="834" t="e">
        <f t="shared" si="13"/>
        <v>#DIV/0!</v>
      </c>
      <c r="BF296" s="834">
        <f t="shared" si="13"/>
        <v>38.127798816132945</v>
      </c>
      <c r="BG296" s="834">
        <f t="shared" si="13"/>
        <v>65.624407390463148</v>
      </c>
      <c r="BH296" s="834" t="e">
        <f t="shared" si="13"/>
        <v>#DIV/0!</v>
      </c>
      <c r="BI296" s="834">
        <f t="shared" si="13"/>
        <v>48.811703894171096</v>
      </c>
      <c r="BJ296" s="834">
        <f t="shared" si="13"/>
        <v>22.559601234883942</v>
      </c>
      <c r="BK296" s="834" t="e">
        <f t="shared" si="13"/>
        <v>#DIV/0!</v>
      </c>
      <c r="BL296" s="834" t="e">
        <f t="shared" si="13"/>
        <v>#DIV/0!</v>
      </c>
      <c r="BM296" s="834">
        <f t="shared" si="13"/>
        <v>28.56344424576389</v>
      </c>
      <c r="BN296" s="834">
        <f t="shared" si="13"/>
        <v>55.128725927974457</v>
      </c>
      <c r="BO296" s="834">
        <f t="shared" si="13"/>
        <v>60.177335853600759</v>
      </c>
      <c r="BP296" s="834">
        <f t="shared" si="13"/>
        <v>45.081768264077716</v>
      </c>
      <c r="BQ296" s="834">
        <f t="shared" si="13"/>
        <v>39.535801183573547</v>
      </c>
      <c r="BR296" s="834">
        <f>BR45*365/BR50</f>
        <v>30.172124116307273</v>
      </c>
      <c r="BS296" s="834">
        <f>BS45*365/BS50</f>
        <v>55.927392079593247</v>
      </c>
      <c r="BT296" s="834" t="e">
        <f t="shared" ref="BT296:CE296" si="14">BT45*365/BT50</f>
        <v>#DIV/0!</v>
      </c>
      <c r="BU296" s="834">
        <f t="shared" si="14"/>
        <v>59.524520468987248</v>
      </c>
      <c r="BV296" s="834">
        <f t="shared" si="14"/>
        <v>77.865652900978475</v>
      </c>
      <c r="BW296" s="834" t="e">
        <f t="shared" si="14"/>
        <v>#DIV/0!</v>
      </c>
      <c r="BX296" s="834">
        <f t="shared" si="14"/>
        <v>46.146239910937936</v>
      </c>
      <c r="BY296" s="834" t="e">
        <f t="shared" si="14"/>
        <v>#DIV/0!</v>
      </c>
      <c r="BZ296" s="834">
        <f t="shared" si="14"/>
        <v>50.470450700348607</v>
      </c>
      <c r="CA296" s="834">
        <f t="shared" si="14"/>
        <v>78.603781993497478</v>
      </c>
      <c r="CB296" s="834" t="e">
        <f t="shared" si="14"/>
        <v>#DIV/0!</v>
      </c>
      <c r="CC296" s="834">
        <f t="shared" si="14"/>
        <v>28.801145324821629</v>
      </c>
      <c r="CD296" s="834" t="e">
        <f t="shared" si="14"/>
        <v>#DIV/0!</v>
      </c>
      <c r="CE296" s="834" t="e">
        <f t="shared" si="14"/>
        <v>#DIV/0!</v>
      </c>
    </row>
    <row r="297" spans="1:83" s="833" customFormat="1" x14ac:dyDescent="0.25">
      <c r="A297" s="832" t="s">
        <v>946</v>
      </c>
      <c r="C297" s="835" t="s">
        <v>948</v>
      </c>
      <c r="E297" s="834" t="e">
        <f>E53*365/E57</f>
        <v>#DIV/0!</v>
      </c>
      <c r="F297" s="834" t="e">
        <f t="shared" ref="F297:BQ297" si="15">F53*365/F57</f>
        <v>#DIV/0!</v>
      </c>
      <c r="G297" s="834" t="e">
        <f t="shared" si="15"/>
        <v>#DIV/0!</v>
      </c>
      <c r="H297" s="834" t="e">
        <f t="shared" si="15"/>
        <v>#DIV/0!</v>
      </c>
      <c r="I297" s="834" t="e">
        <f t="shared" si="15"/>
        <v>#DIV/0!</v>
      </c>
      <c r="J297" s="834" t="e">
        <f t="shared" si="15"/>
        <v>#DIV/0!</v>
      </c>
      <c r="K297" s="834" t="e">
        <f t="shared" si="15"/>
        <v>#DIV/0!</v>
      </c>
      <c r="L297" s="834" t="e">
        <f t="shared" si="15"/>
        <v>#DIV/0!</v>
      </c>
      <c r="M297" s="834">
        <f t="shared" si="15"/>
        <v>52.885611311829209</v>
      </c>
      <c r="N297" s="834" t="e">
        <f t="shared" si="15"/>
        <v>#DIV/0!</v>
      </c>
      <c r="O297" s="834" t="e">
        <f t="shared" si="15"/>
        <v>#DIV/0!</v>
      </c>
      <c r="P297" s="834" t="e">
        <f t="shared" si="15"/>
        <v>#DIV/0!</v>
      </c>
      <c r="Q297" s="834" t="e">
        <f t="shared" si="15"/>
        <v>#DIV/0!</v>
      </c>
      <c r="R297" s="834">
        <f t="shared" si="15"/>
        <v>57.155478869293546</v>
      </c>
      <c r="S297" s="834" t="e">
        <f t="shared" si="15"/>
        <v>#DIV/0!</v>
      </c>
      <c r="T297" s="834">
        <f t="shared" si="15"/>
        <v>34.851597175066672</v>
      </c>
      <c r="U297" s="834" t="e">
        <f t="shared" si="15"/>
        <v>#DIV/0!</v>
      </c>
      <c r="V297" s="834" t="e">
        <f t="shared" si="15"/>
        <v>#DIV/0!</v>
      </c>
      <c r="W297" s="834" t="e">
        <f t="shared" si="15"/>
        <v>#DIV/0!</v>
      </c>
      <c r="X297" s="834" t="e">
        <f t="shared" si="15"/>
        <v>#DIV/0!</v>
      </c>
      <c r="Y297" s="834" t="e">
        <f t="shared" si="15"/>
        <v>#DIV/0!</v>
      </c>
      <c r="Z297" s="834">
        <f t="shared" si="15"/>
        <v>49.829633259206211</v>
      </c>
      <c r="AA297" s="834" t="e">
        <f t="shared" si="15"/>
        <v>#DIV/0!</v>
      </c>
      <c r="AB297" s="834" t="e">
        <f t="shared" si="15"/>
        <v>#DIV/0!</v>
      </c>
      <c r="AC297" s="834" t="e">
        <f t="shared" si="15"/>
        <v>#DIV/0!</v>
      </c>
      <c r="AD297" s="834" t="e">
        <f t="shared" si="15"/>
        <v>#DIV/0!</v>
      </c>
      <c r="AE297" s="834" t="e">
        <f t="shared" si="15"/>
        <v>#DIV/0!</v>
      </c>
      <c r="AF297" s="834" t="e">
        <f t="shared" si="15"/>
        <v>#DIV/0!</v>
      </c>
      <c r="AG297" s="834">
        <f t="shared" si="15"/>
        <v>48.55172385821686</v>
      </c>
      <c r="AH297" s="834" t="e">
        <f t="shared" si="15"/>
        <v>#DIV/0!</v>
      </c>
      <c r="AI297" s="834" t="e">
        <f t="shared" si="15"/>
        <v>#DIV/0!</v>
      </c>
      <c r="AJ297" s="834" t="e">
        <f t="shared" si="15"/>
        <v>#DIV/0!</v>
      </c>
      <c r="AK297" s="834" t="e">
        <f t="shared" si="15"/>
        <v>#DIV/0!</v>
      </c>
      <c r="AL297" s="834" t="e">
        <f t="shared" si="15"/>
        <v>#DIV/0!</v>
      </c>
      <c r="AM297" s="834" t="e">
        <f t="shared" si="15"/>
        <v>#DIV/0!</v>
      </c>
      <c r="AN297" s="834" t="e">
        <f t="shared" si="15"/>
        <v>#DIV/0!</v>
      </c>
      <c r="AO297" s="834" t="e">
        <f t="shared" si="15"/>
        <v>#DIV/0!</v>
      </c>
      <c r="AP297" s="834" t="e">
        <f t="shared" si="15"/>
        <v>#DIV/0!</v>
      </c>
      <c r="AQ297" s="834">
        <f t="shared" si="15"/>
        <v>49.745380089733189</v>
      </c>
      <c r="AR297" s="834" t="e">
        <f t="shared" si="15"/>
        <v>#DIV/0!</v>
      </c>
      <c r="AS297" s="834" t="e">
        <f t="shared" si="15"/>
        <v>#DIV/0!</v>
      </c>
      <c r="AT297" s="834" t="e">
        <f t="shared" si="15"/>
        <v>#DIV/0!</v>
      </c>
      <c r="AU297" s="834" t="e">
        <f t="shared" si="15"/>
        <v>#DIV/0!</v>
      </c>
      <c r="AV297" s="834" t="e">
        <f t="shared" si="15"/>
        <v>#DIV/0!</v>
      </c>
      <c r="AW297" s="834">
        <f t="shared" si="15"/>
        <v>43.973635970404494</v>
      </c>
      <c r="AX297" s="834" t="e">
        <f t="shared" si="15"/>
        <v>#DIV/0!</v>
      </c>
      <c r="AY297" s="834" t="e">
        <f t="shared" si="15"/>
        <v>#DIV/0!</v>
      </c>
      <c r="AZ297" s="834" t="e">
        <f t="shared" si="15"/>
        <v>#DIV/0!</v>
      </c>
      <c r="BA297" s="834" t="e">
        <f t="shared" si="15"/>
        <v>#DIV/0!</v>
      </c>
      <c r="BB297" s="834" t="e">
        <f t="shared" si="15"/>
        <v>#DIV/0!</v>
      </c>
      <c r="BC297" s="834" t="e">
        <f t="shared" si="15"/>
        <v>#DIV/0!</v>
      </c>
      <c r="BD297" s="834" t="e">
        <f t="shared" si="15"/>
        <v>#DIV/0!</v>
      </c>
      <c r="BE297" s="834" t="e">
        <f t="shared" si="15"/>
        <v>#DIV/0!</v>
      </c>
      <c r="BF297" s="834" t="e">
        <f t="shared" si="15"/>
        <v>#DIV/0!</v>
      </c>
      <c r="BG297" s="834" t="e">
        <f t="shared" si="15"/>
        <v>#DIV/0!</v>
      </c>
      <c r="BH297" s="834" t="e">
        <f t="shared" si="15"/>
        <v>#DIV/0!</v>
      </c>
      <c r="BI297" s="834" t="e">
        <f t="shared" si="15"/>
        <v>#DIV/0!</v>
      </c>
      <c r="BJ297" s="834" t="e">
        <f t="shared" si="15"/>
        <v>#DIV/0!</v>
      </c>
      <c r="BK297" s="834" t="e">
        <f t="shared" si="15"/>
        <v>#DIV/0!</v>
      </c>
      <c r="BL297" s="834" t="e">
        <f t="shared" si="15"/>
        <v>#DIV/0!</v>
      </c>
      <c r="BM297" s="834" t="e">
        <f t="shared" si="15"/>
        <v>#DIV/0!</v>
      </c>
      <c r="BN297" s="834" t="e">
        <f t="shared" si="15"/>
        <v>#DIV/0!</v>
      </c>
      <c r="BO297" s="834">
        <f t="shared" si="15"/>
        <v>45.225888039514643</v>
      </c>
      <c r="BP297" s="834" t="e">
        <f t="shared" si="15"/>
        <v>#DIV/0!</v>
      </c>
      <c r="BQ297" s="834">
        <f t="shared" si="15"/>
        <v>43.988111408563597</v>
      </c>
      <c r="BR297" s="834" t="e">
        <f>BR53*365/BR57</f>
        <v>#DIV/0!</v>
      </c>
      <c r="BS297" s="834">
        <f>BS53*365/BS57</f>
        <v>42.324170260470972</v>
      </c>
      <c r="BT297" s="834" t="e">
        <f t="shared" ref="BT297:CE297" si="16">BT53*365/BT57</f>
        <v>#DIV/0!</v>
      </c>
      <c r="BU297" s="834" t="e">
        <f t="shared" si="16"/>
        <v>#DIV/0!</v>
      </c>
      <c r="BV297" s="834">
        <f t="shared" si="16"/>
        <v>27.432213246950486</v>
      </c>
      <c r="BW297" s="834" t="e">
        <f t="shared" si="16"/>
        <v>#DIV/0!</v>
      </c>
      <c r="BX297" s="834" t="e">
        <f t="shared" si="16"/>
        <v>#DIV/0!</v>
      </c>
      <c r="BY297" s="834" t="e">
        <f t="shared" si="16"/>
        <v>#DIV/0!</v>
      </c>
      <c r="BZ297" s="834" t="e">
        <f t="shared" si="16"/>
        <v>#DIV/0!</v>
      </c>
      <c r="CA297" s="834">
        <f t="shared" si="16"/>
        <v>37.474977027889253</v>
      </c>
      <c r="CB297" s="834" t="e">
        <f t="shared" si="16"/>
        <v>#DIV/0!</v>
      </c>
      <c r="CC297" s="834" t="e">
        <f t="shared" si="16"/>
        <v>#DIV/0!</v>
      </c>
      <c r="CD297" s="834" t="e">
        <f t="shared" si="16"/>
        <v>#DIV/0!</v>
      </c>
      <c r="CE297" s="834">
        <f t="shared" si="16"/>
        <v>43.040554727946578</v>
      </c>
    </row>
    <row r="303" spans="1:83" x14ac:dyDescent="0.25">
      <c r="E303" s="497"/>
      <c r="F303" s="497"/>
      <c r="G303" s="497"/>
      <c r="H303" s="497"/>
      <c r="I303" s="497"/>
      <c r="J303" s="497"/>
      <c r="K303" s="497"/>
      <c r="L303" s="497"/>
      <c r="M303" s="497"/>
      <c r="N303" s="497"/>
      <c r="O303" s="497"/>
      <c r="P303" s="497"/>
      <c r="Q303" s="497"/>
      <c r="R303" s="497"/>
      <c r="S303" s="497"/>
      <c r="T303" s="497"/>
      <c r="U303" s="497"/>
      <c r="V303" s="497"/>
      <c r="W303" s="497"/>
      <c r="X303" s="497"/>
      <c r="Y303" s="497"/>
      <c r="Z303" s="497"/>
      <c r="AA303" s="497"/>
      <c r="AB303" s="497"/>
      <c r="AC303" s="497"/>
      <c r="AD303" s="497"/>
      <c r="AE303" s="497"/>
      <c r="AF303" s="497"/>
      <c r="AG303" s="497"/>
      <c r="AH303" s="497"/>
      <c r="AI303" s="497"/>
      <c r="AJ303" s="497"/>
      <c r="AK303" s="497"/>
      <c r="AL303" s="497"/>
      <c r="AM303" s="497"/>
      <c r="AN303" s="497"/>
      <c r="AO303" s="497"/>
      <c r="AP303" s="497"/>
      <c r="AQ303" s="497"/>
      <c r="AR303" s="497"/>
      <c r="AS303" s="497"/>
      <c r="AT303" s="497"/>
      <c r="AU303" s="497"/>
      <c r="AV303" s="497"/>
      <c r="AW303" s="497"/>
      <c r="AX303" s="497"/>
      <c r="AY303" s="497"/>
      <c r="AZ303" s="497"/>
      <c r="BA303" s="497"/>
      <c r="BB303" s="497"/>
      <c r="BC303" s="497"/>
      <c r="BD303" s="497"/>
      <c r="BE303" s="497"/>
      <c r="BF303" s="497"/>
      <c r="BG303" s="497"/>
      <c r="BH303" s="497"/>
      <c r="BI303" s="497"/>
      <c r="BJ303" s="497"/>
      <c r="BK303" s="497"/>
      <c r="BL303" s="497"/>
      <c r="BM303" s="497"/>
      <c r="BN303" s="497"/>
      <c r="BO303" s="497"/>
      <c r="BP303" s="497"/>
      <c r="BQ303" s="497"/>
      <c r="BR303" s="497"/>
      <c r="BS303" s="497"/>
      <c r="BT303" s="497"/>
      <c r="BU303" s="497"/>
      <c r="BV303" s="497"/>
      <c r="BW303" s="390"/>
      <c r="BX303" s="497"/>
      <c r="BY303" s="497"/>
      <c r="BZ303" s="497"/>
      <c r="CA303" s="497"/>
      <c r="CB303" s="497"/>
      <c r="CC303" s="497"/>
      <c r="CD303" s="497"/>
      <c r="CE303" s="497"/>
    </row>
    <row r="304" spans="1:83" s="753" customFormat="1" ht="13.5" x14ac:dyDescent="0.25">
      <c r="E304" s="754"/>
      <c r="F304" s="754"/>
      <c r="G304" s="754"/>
      <c r="H304" s="754"/>
      <c r="I304" s="754"/>
      <c r="J304" s="754"/>
      <c r="K304" s="754"/>
      <c r="L304" s="754"/>
      <c r="M304" s="754"/>
      <c r="N304" s="754"/>
      <c r="O304" s="754"/>
      <c r="P304" s="754"/>
      <c r="Q304" s="754"/>
      <c r="R304" s="754"/>
      <c r="S304" s="754"/>
      <c r="T304" s="754"/>
      <c r="U304" s="754"/>
      <c r="V304" s="754"/>
      <c r="W304" s="754"/>
      <c r="X304" s="754"/>
      <c r="Y304" s="754"/>
      <c r="Z304" s="754"/>
      <c r="AA304" s="754"/>
      <c r="AB304" s="754"/>
      <c r="AC304" s="754"/>
      <c r="AD304" s="754"/>
      <c r="AE304" s="754"/>
      <c r="AF304" s="754"/>
      <c r="AG304" s="754"/>
      <c r="AH304" s="754"/>
      <c r="AI304" s="754"/>
      <c r="AJ304" s="754"/>
      <c r="AK304" s="754"/>
      <c r="AL304" s="754"/>
      <c r="AM304" s="754"/>
      <c r="AN304" s="754"/>
      <c r="AO304" s="754"/>
      <c r="AP304" s="754"/>
      <c r="AQ304" s="754"/>
      <c r="AR304" s="754"/>
      <c r="AS304" s="754"/>
      <c r="AT304" s="754"/>
      <c r="AU304" s="754"/>
      <c r="AV304" s="754"/>
      <c r="AW304" s="754"/>
      <c r="AX304" s="754"/>
      <c r="AY304" s="754"/>
      <c r="AZ304" s="754"/>
      <c r="BA304" s="754"/>
      <c r="BB304" s="754"/>
      <c r="BC304" s="754"/>
      <c r="BD304" s="754"/>
      <c r="BE304" s="754"/>
      <c r="BF304" s="754"/>
      <c r="BG304" s="754"/>
      <c r="BH304" s="754"/>
      <c r="BI304" s="754"/>
      <c r="BJ304" s="754"/>
      <c r="BK304" s="754"/>
      <c r="BL304" s="754"/>
      <c r="BM304" s="754"/>
      <c r="BN304" s="754"/>
      <c r="BO304" s="754"/>
      <c r="BP304" s="754"/>
      <c r="BQ304" s="754"/>
      <c r="BR304" s="754"/>
      <c r="BS304" s="754"/>
      <c r="BT304" s="754"/>
      <c r="BU304" s="754"/>
      <c r="BV304" s="754"/>
      <c r="BW304" s="754"/>
      <c r="BX304" s="754"/>
      <c r="BY304" s="754"/>
      <c r="BZ304" s="754"/>
      <c r="CA304" s="754"/>
      <c r="CB304" s="754"/>
      <c r="CC304" s="754"/>
      <c r="CD304" s="754"/>
      <c r="CE304" s="754"/>
    </row>
    <row r="305" spans="5:84" x14ac:dyDescent="0.25">
      <c r="E305" s="390"/>
      <c r="F305" s="390"/>
      <c r="G305" s="390"/>
      <c r="H305" s="390"/>
      <c r="I305" s="390"/>
      <c r="J305" s="390"/>
      <c r="K305" s="390"/>
      <c r="L305" s="390"/>
      <c r="M305" s="390"/>
      <c r="N305" s="390"/>
      <c r="O305" s="390"/>
      <c r="P305" s="390"/>
      <c r="Q305" s="390"/>
      <c r="R305" s="390"/>
      <c r="S305" s="390"/>
      <c r="T305" s="390"/>
      <c r="U305" s="390"/>
      <c r="V305" s="390"/>
      <c r="W305" s="390"/>
      <c r="X305" s="390"/>
      <c r="Y305" s="390"/>
      <c r="Z305" s="390"/>
      <c r="AA305" s="390"/>
      <c r="AB305" s="390"/>
      <c r="AC305" s="390"/>
      <c r="AD305" s="390"/>
      <c r="AE305" s="390"/>
      <c r="AF305" s="390"/>
      <c r="AG305" s="390"/>
      <c r="AH305" s="390"/>
      <c r="AI305" s="390"/>
      <c r="AJ305" s="390"/>
      <c r="AK305" s="390"/>
      <c r="AL305" s="390"/>
      <c r="AM305" s="390"/>
      <c r="AN305" s="390"/>
      <c r="AO305" s="390"/>
      <c r="AP305" s="390"/>
      <c r="AQ305" s="390"/>
      <c r="AR305" s="390"/>
      <c r="AS305" s="390"/>
      <c r="AT305" s="390"/>
      <c r="AU305" s="390"/>
      <c r="AV305" s="390"/>
      <c r="AW305" s="390"/>
      <c r="AX305" s="390"/>
      <c r="AY305" s="390"/>
      <c r="AZ305" s="390"/>
      <c r="BA305" s="390"/>
      <c r="BB305" s="390"/>
      <c r="BC305" s="390"/>
      <c r="BD305" s="390"/>
      <c r="BE305" s="390"/>
      <c r="BF305" s="390"/>
      <c r="BG305" s="390"/>
      <c r="BH305" s="390"/>
      <c r="BI305" s="390"/>
      <c r="BJ305" s="390"/>
      <c r="BK305" s="390"/>
      <c r="BL305" s="390"/>
      <c r="BM305" s="390"/>
      <c r="BN305" s="390"/>
      <c r="BO305" s="390"/>
      <c r="BP305" s="390"/>
      <c r="BQ305" s="390"/>
      <c r="BR305" s="390"/>
      <c r="BS305" s="390"/>
      <c r="BT305" s="390"/>
      <c r="BU305" s="390"/>
      <c r="BV305" s="390"/>
      <c r="BW305" s="390"/>
      <c r="BX305" s="390"/>
      <c r="BY305" s="390"/>
      <c r="BZ305" s="390"/>
      <c r="CA305" s="390"/>
      <c r="CB305" s="390"/>
      <c r="CC305" s="390"/>
      <c r="CD305" s="390"/>
      <c r="CE305" s="390"/>
      <c r="CF305" s="390"/>
    </row>
    <row r="389" spans="4:14" x14ac:dyDescent="0.25">
      <c r="D389" s="752"/>
      <c r="E389" s="752"/>
      <c r="L389" s="752"/>
      <c r="N389" s="752"/>
    </row>
    <row r="390" spans="4:14" x14ac:dyDescent="0.25">
      <c r="D390" s="752"/>
      <c r="E390" s="752"/>
      <c r="L390" s="752"/>
      <c r="N390" s="752"/>
    </row>
    <row r="391" spans="4:14" x14ac:dyDescent="0.25">
      <c r="D391" s="752"/>
      <c r="E391" s="752"/>
      <c r="L391" s="752"/>
      <c r="N391" s="752"/>
    </row>
    <row r="392" spans="4:14" x14ac:dyDescent="0.25">
      <c r="D392" s="752"/>
      <c r="E392" s="752"/>
      <c r="L392" s="752"/>
      <c r="N392" s="752"/>
    </row>
    <row r="393" spans="4:14" x14ac:dyDescent="0.25">
      <c r="D393" s="752"/>
      <c r="E393" s="752"/>
      <c r="L393" s="752"/>
      <c r="N393" s="752"/>
    </row>
    <row r="394" spans="4:14" x14ac:dyDescent="0.25">
      <c r="D394" s="752"/>
      <c r="E394" s="752"/>
      <c r="L394" s="752"/>
      <c r="N394" s="752"/>
    </row>
    <row r="395" spans="4:14" x14ac:dyDescent="0.25">
      <c r="D395" s="752"/>
      <c r="E395" s="752"/>
      <c r="L395" s="752"/>
      <c r="N395" s="752"/>
    </row>
    <row r="396" spans="4:14" x14ac:dyDescent="0.25">
      <c r="D396" s="752"/>
      <c r="E396" s="752"/>
      <c r="L396" s="752"/>
      <c r="N396" s="752"/>
    </row>
    <row r="397" spans="4:14" x14ac:dyDescent="0.25">
      <c r="D397" s="752"/>
      <c r="E397" s="752"/>
      <c r="L397" s="752"/>
      <c r="N397" s="752"/>
    </row>
    <row r="398" spans="4:14" x14ac:dyDescent="0.25">
      <c r="D398" s="752"/>
      <c r="E398" s="752"/>
      <c r="L398" s="752"/>
      <c r="N398" s="752"/>
    </row>
    <row r="399" spans="4:14" x14ac:dyDescent="0.25">
      <c r="D399" s="752"/>
      <c r="E399" s="752"/>
      <c r="L399" s="752"/>
      <c r="N399" s="752"/>
    </row>
    <row r="400" spans="4:14" x14ac:dyDescent="0.25">
      <c r="D400" s="752"/>
      <c r="E400" s="752"/>
      <c r="L400" s="752"/>
      <c r="N400" s="752"/>
    </row>
    <row r="401" spans="4:14" x14ac:dyDescent="0.25">
      <c r="D401" s="752"/>
      <c r="E401" s="752"/>
      <c r="L401" s="752"/>
      <c r="N401" s="752"/>
    </row>
    <row r="402" spans="4:14" x14ac:dyDescent="0.25">
      <c r="D402" s="752"/>
      <c r="E402" s="752"/>
      <c r="L402" s="752"/>
      <c r="N402" s="752"/>
    </row>
    <row r="403" spans="4:14" x14ac:dyDescent="0.25">
      <c r="D403" s="752"/>
      <c r="E403" s="752"/>
      <c r="L403" s="752"/>
      <c r="N403" s="752"/>
    </row>
    <row r="404" spans="4:14" x14ac:dyDescent="0.25">
      <c r="D404" s="752"/>
      <c r="E404" s="752"/>
      <c r="L404" s="752"/>
      <c r="N404" s="752"/>
    </row>
    <row r="405" spans="4:14" x14ac:dyDescent="0.25">
      <c r="D405" s="752"/>
      <c r="E405" s="752"/>
      <c r="L405" s="752"/>
      <c r="N405" s="752"/>
    </row>
    <row r="406" spans="4:14" x14ac:dyDescent="0.25">
      <c r="D406" s="752"/>
      <c r="E406" s="752"/>
      <c r="L406" s="752"/>
      <c r="N406" s="752"/>
    </row>
    <row r="407" spans="4:14" x14ac:dyDescent="0.25">
      <c r="D407" s="752"/>
      <c r="E407" s="752"/>
      <c r="L407" s="752"/>
      <c r="N407" s="752"/>
    </row>
    <row r="408" spans="4:14" x14ac:dyDescent="0.25">
      <c r="D408" s="752"/>
      <c r="E408" s="752"/>
      <c r="L408" s="752"/>
      <c r="N408" s="752"/>
    </row>
    <row r="409" spans="4:14" x14ac:dyDescent="0.25">
      <c r="D409" s="752"/>
      <c r="E409" s="752"/>
      <c r="L409" s="752"/>
      <c r="N409" s="752"/>
    </row>
    <row r="410" spans="4:14" x14ac:dyDescent="0.25">
      <c r="D410" s="752"/>
      <c r="E410" s="752"/>
      <c r="L410" s="752"/>
      <c r="N410" s="752"/>
    </row>
    <row r="411" spans="4:14" x14ac:dyDescent="0.25">
      <c r="D411" s="752"/>
      <c r="E411" s="752"/>
      <c r="L411" s="752"/>
      <c r="N411" s="752"/>
    </row>
    <row r="412" spans="4:14" x14ac:dyDescent="0.25">
      <c r="D412" s="752"/>
      <c r="E412" s="752"/>
      <c r="L412" s="752"/>
      <c r="N412" s="752"/>
    </row>
    <row r="413" spans="4:14" x14ac:dyDescent="0.25">
      <c r="D413" s="752"/>
      <c r="E413" s="752"/>
      <c r="L413" s="752"/>
      <c r="N413" s="752"/>
    </row>
    <row r="414" spans="4:14" x14ac:dyDescent="0.25">
      <c r="D414" s="752"/>
      <c r="E414" s="752"/>
      <c r="L414" s="752"/>
      <c r="N414" s="752"/>
    </row>
    <row r="415" spans="4:14" x14ac:dyDescent="0.25">
      <c r="D415" s="752"/>
      <c r="E415" s="752"/>
      <c r="L415" s="752"/>
      <c r="N415" s="752"/>
    </row>
    <row r="416" spans="4:14" x14ac:dyDescent="0.25">
      <c r="D416" s="752"/>
      <c r="E416" s="752"/>
      <c r="L416" s="752"/>
      <c r="N416" s="752"/>
    </row>
    <row r="417" spans="4:14" x14ac:dyDescent="0.25">
      <c r="D417" s="752"/>
      <c r="E417" s="752"/>
      <c r="L417" s="752"/>
      <c r="N417" s="752"/>
    </row>
    <row r="418" spans="4:14" x14ac:dyDescent="0.25">
      <c r="D418" s="752"/>
      <c r="E418" s="752"/>
      <c r="L418" s="752"/>
      <c r="N418" s="752"/>
    </row>
    <row r="419" spans="4:14" x14ac:dyDescent="0.25">
      <c r="D419" s="752"/>
      <c r="E419" s="752"/>
      <c r="L419" s="752"/>
      <c r="N419" s="752"/>
    </row>
    <row r="420" spans="4:14" x14ac:dyDescent="0.25">
      <c r="D420" s="752"/>
      <c r="E420" s="752"/>
      <c r="L420" s="752"/>
      <c r="N420" s="752"/>
    </row>
    <row r="421" spans="4:14" x14ac:dyDescent="0.25">
      <c r="D421" s="752"/>
      <c r="E421" s="752"/>
      <c r="L421" s="752"/>
      <c r="N421" s="752"/>
    </row>
    <row r="422" spans="4:14" x14ac:dyDescent="0.25">
      <c r="D422" s="752"/>
      <c r="E422" s="752"/>
      <c r="L422" s="752"/>
      <c r="N422" s="752"/>
    </row>
    <row r="423" spans="4:14" x14ac:dyDescent="0.25">
      <c r="D423" s="752"/>
      <c r="E423" s="752"/>
      <c r="L423" s="752"/>
      <c r="N423" s="752"/>
    </row>
    <row r="424" spans="4:14" x14ac:dyDescent="0.25">
      <c r="D424" s="752"/>
      <c r="E424" s="752"/>
      <c r="L424" s="752"/>
      <c r="N424" s="752"/>
    </row>
    <row r="425" spans="4:14" x14ac:dyDescent="0.25">
      <c r="D425" s="752"/>
      <c r="E425" s="752"/>
      <c r="L425" s="752"/>
      <c r="N425" s="752"/>
    </row>
    <row r="426" spans="4:14" x14ac:dyDescent="0.25">
      <c r="D426" s="752"/>
      <c r="E426" s="752"/>
      <c r="L426" s="752"/>
      <c r="N426" s="752"/>
    </row>
    <row r="427" spans="4:14" x14ac:dyDescent="0.25">
      <c r="D427" s="752"/>
      <c r="E427" s="752"/>
      <c r="L427" s="752"/>
      <c r="N427" s="752"/>
    </row>
    <row r="428" spans="4:14" x14ac:dyDescent="0.25">
      <c r="D428" s="752"/>
      <c r="E428" s="752"/>
      <c r="L428" s="752"/>
      <c r="N428" s="752"/>
    </row>
    <row r="429" spans="4:14" x14ac:dyDescent="0.25">
      <c r="D429" s="752"/>
      <c r="E429" s="752"/>
      <c r="L429" s="752"/>
      <c r="N429" s="752"/>
    </row>
    <row r="430" spans="4:14" x14ac:dyDescent="0.25">
      <c r="D430" s="752"/>
      <c r="E430" s="752"/>
      <c r="L430" s="752"/>
      <c r="N430" s="752"/>
    </row>
    <row r="431" spans="4:14" x14ac:dyDescent="0.25">
      <c r="D431" s="752"/>
      <c r="E431" s="752"/>
      <c r="L431" s="752"/>
      <c r="N431" s="752"/>
    </row>
    <row r="432" spans="4:14" x14ac:dyDescent="0.25">
      <c r="D432" s="752"/>
      <c r="E432" s="752"/>
      <c r="L432" s="752"/>
      <c r="N432" s="752"/>
    </row>
    <row r="433" spans="4:14" x14ac:dyDescent="0.25">
      <c r="D433" s="752"/>
      <c r="E433" s="752"/>
      <c r="L433" s="752"/>
      <c r="N433" s="752"/>
    </row>
    <row r="434" spans="4:14" x14ac:dyDescent="0.25">
      <c r="D434" s="752"/>
      <c r="E434" s="752"/>
      <c r="L434" s="752"/>
      <c r="N434" s="752"/>
    </row>
    <row r="435" spans="4:14" x14ac:dyDescent="0.25">
      <c r="D435" s="752"/>
      <c r="E435" s="752"/>
      <c r="L435" s="752"/>
      <c r="N435" s="752"/>
    </row>
    <row r="436" spans="4:14" x14ac:dyDescent="0.25">
      <c r="D436" s="752"/>
      <c r="E436" s="752"/>
      <c r="L436" s="752"/>
      <c r="N436" s="752"/>
    </row>
    <row r="437" spans="4:14" x14ac:dyDescent="0.25">
      <c r="D437" s="752"/>
      <c r="E437" s="752"/>
      <c r="L437" s="752"/>
      <c r="N437" s="752"/>
    </row>
    <row r="438" spans="4:14" x14ac:dyDescent="0.25">
      <c r="D438" s="752"/>
      <c r="E438" s="752"/>
      <c r="L438" s="752"/>
      <c r="N438" s="752"/>
    </row>
    <row r="439" spans="4:14" x14ac:dyDescent="0.25">
      <c r="D439" s="752"/>
      <c r="E439" s="752"/>
      <c r="L439" s="752"/>
      <c r="N439" s="752"/>
    </row>
    <row r="440" spans="4:14" x14ac:dyDescent="0.25">
      <c r="D440" s="752"/>
      <c r="E440" s="752"/>
      <c r="L440" s="752"/>
      <c r="N440" s="752"/>
    </row>
    <row r="441" spans="4:14" x14ac:dyDescent="0.25">
      <c r="D441" s="752"/>
      <c r="E441" s="752"/>
      <c r="L441" s="752"/>
      <c r="N441" s="752"/>
    </row>
    <row r="442" spans="4:14" x14ac:dyDescent="0.25">
      <c r="D442" s="752"/>
      <c r="E442" s="752"/>
      <c r="L442" s="752"/>
      <c r="N442" s="752"/>
    </row>
    <row r="443" spans="4:14" x14ac:dyDescent="0.25">
      <c r="D443" s="752"/>
      <c r="E443" s="752"/>
      <c r="L443" s="752"/>
      <c r="N443" s="752"/>
    </row>
    <row r="444" spans="4:14" x14ac:dyDescent="0.25">
      <c r="D444" s="752"/>
      <c r="E444" s="752"/>
      <c r="L444" s="752"/>
      <c r="N444" s="752"/>
    </row>
    <row r="445" spans="4:14" x14ac:dyDescent="0.25">
      <c r="D445" s="752"/>
      <c r="E445" s="752"/>
      <c r="L445" s="752"/>
      <c r="N445" s="752"/>
    </row>
    <row r="446" spans="4:14" x14ac:dyDescent="0.25">
      <c r="D446" s="752"/>
      <c r="E446" s="752"/>
      <c r="L446" s="752"/>
      <c r="N446" s="752"/>
    </row>
    <row r="447" spans="4:14" x14ac:dyDescent="0.25">
      <c r="D447" s="752"/>
      <c r="E447" s="752"/>
      <c r="L447" s="752"/>
      <c r="N447" s="752"/>
    </row>
  </sheetData>
  <sheetProtection password="CEAA"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I364"/>
  <sheetViews>
    <sheetView workbookViewId="0">
      <pane xSplit="4" ySplit="1" topLeftCell="E2" activePane="bottomRight" state="frozen"/>
      <selection pane="topRight" activeCell="E1" sqref="E1"/>
      <selection pane="bottomLeft" activeCell="A2" sqref="A2"/>
      <selection pane="bottomRight" activeCell="E2" sqref="E2"/>
    </sheetView>
  </sheetViews>
  <sheetFormatPr defaultRowHeight="15" x14ac:dyDescent="0.25"/>
  <cols>
    <col min="1" max="2" width="9.140625" style="635"/>
    <col min="3" max="3" width="46.85546875" style="635" customWidth="1"/>
    <col min="4" max="4" width="15" style="752" customWidth="1"/>
    <col min="5" max="5" width="16" style="752" bestFit="1" customWidth="1"/>
    <col min="6" max="11" width="15.42578125" style="635" customWidth="1"/>
    <col min="12" max="12" width="15.42578125" style="752" customWidth="1"/>
    <col min="13" max="13" width="15.42578125" style="635" customWidth="1"/>
    <col min="14" max="14" width="18.85546875" style="752" customWidth="1"/>
    <col min="15" max="16" width="15.42578125" style="635" customWidth="1"/>
    <col min="17" max="17" width="23" style="635" customWidth="1"/>
    <col min="18" max="18" width="21.42578125" style="635" customWidth="1"/>
    <col min="19" max="26" width="15.42578125" style="635" customWidth="1"/>
    <col min="27" max="27" width="20.42578125" style="635" customWidth="1"/>
    <col min="28" max="32" width="15.42578125" style="635" customWidth="1"/>
    <col min="33" max="33" width="18.42578125" style="635" customWidth="1"/>
    <col min="34" max="38" width="15.42578125" style="635" customWidth="1"/>
    <col min="39" max="39" width="20.42578125" style="635" customWidth="1"/>
    <col min="40" max="47" width="15.42578125" style="635" customWidth="1"/>
    <col min="48" max="48" width="21.7109375" style="635" customWidth="1"/>
    <col min="49" max="49" width="19.7109375" style="635" customWidth="1"/>
    <col min="50" max="67" width="15.42578125" style="635" customWidth="1"/>
    <col min="68" max="68" width="23.42578125" style="635" customWidth="1"/>
    <col min="69" max="69" width="22.140625" style="635" customWidth="1"/>
    <col min="70" max="71" width="15.42578125" style="635" customWidth="1"/>
    <col min="72" max="72" width="19.7109375" style="635" customWidth="1"/>
    <col min="73" max="77" width="15.42578125" style="635" customWidth="1"/>
    <col min="78" max="78" width="17.28515625" style="635" customWidth="1"/>
    <col min="79" max="82" width="15.42578125" style="635" customWidth="1"/>
    <col min="83" max="83" width="20.7109375" style="635" customWidth="1"/>
    <col min="84" max="139" width="10.42578125" style="635" bestFit="1" customWidth="1"/>
    <col min="140" max="16384" width="9.140625" style="635"/>
  </cols>
  <sheetData>
    <row r="1" spans="1:139" ht="41.25" customHeight="1" x14ac:dyDescent="0.25">
      <c r="A1" s="755" t="s">
        <v>808</v>
      </c>
      <c r="B1" s="659" t="s">
        <v>663</v>
      </c>
      <c r="D1" s="659" t="s">
        <v>663</v>
      </c>
      <c r="E1" s="756" t="s">
        <v>1105</v>
      </c>
      <c r="F1" s="756" t="s">
        <v>1106</v>
      </c>
      <c r="G1" s="756" t="s">
        <v>1107</v>
      </c>
      <c r="H1" s="756" t="s">
        <v>1108</v>
      </c>
      <c r="I1" s="756" t="s">
        <v>1109</v>
      </c>
      <c r="J1" s="756" t="s">
        <v>1110</v>
      </c>
      <c r="K1" s="756" t="s">
        <v>1111</v>
      </c>
      <c r="L1" s="756" t="s">
        <v>1112</v>
      </c>
      <c r="M1" s="756" t="s">
        <v>1113</v>
      </c>
      <c r="N1" s="756" t="s">
        <v>1114</v>
      </c>
      <c r="O1" s="756" t="s">
        <v>1115</v>
      </c>
      <c r="P1" s="756" t="s">
        <v>1116</v>
      </c>
      <c r="Q1" s="756" t="s">
        <v>1117</v>
      </c>
      <c r="R1" s="756" t="s">
        <v>1118</v>
      </c>
      <c r="S1" s="756" t="s">
        <v>1119</v>
      </c>
      <c r="T1" s="756" t="s">
        <v>1120</v>
      </c>
      <c r="U1" s="756" t="s">
        <v>1121</v>
      </c>
      <c r="V1" s="756" t="s">
        <v>1122</v>
      </c>
      <c r="W1" s="756" t="s">
        <v>1123</v>
      </c>
      <c r="X1" s="756" t="s">
        <v>1124</v>
      </c>
      <c r="Y1" s="756" t="s">
        <v>1195</v>
      </c>
      <c r="Z1" s="756" t="s">
        <v>1125</v>
      </c>
      <c r="AA1" s="756" t="s">
        <v>1126</v>
      </c>
      <c r="AB1" s="756" t="s">
        <v>1127</v>
      </c>
      <c r="AC1" s="756" t="s">
        <v>1128</v>
      </c>
      <c r="AD1" s="756" t="s">
        <v>1129</v>
      </c>
      <c r="AE1" s="756" t="s">
        <v>1130</v>
      </c>
      <c r="AF1" s="756" t="s">
        <v>901</v>
      </c>
      <c r="AG1" s="756" t="s">
        <v>1131</v>
      </c>
      <c r="AH1" s="756" t="s">
        <v>1132</v>
      </c>
      <c r="AI1" s="756" t="s">
        <v>1133</v>
      </c>
      <c r="AJ1" s="756" t="s">
        <v>1134</v>
      </c>
      <c r="AK1" s="756" t="s">
        <v>1135</v>
      </c>
      <c r="AL1" s="756" t="s">
        <v>1136</v>
      </c>
      <c r="AM1" s="756" t="s">
        <v>1137</v>
      </c>
      <c r="AN1" s="756" t="s">
        <v>1138</v>
      </c>
      <c r="AO1" s="756" t="s">
        <v>1139</v>
      </c>
      <c r="AP1" s="756" t="s">
        <v>1140</v>
      </c>
      <c r="AQ1" s="756" t="s">
        <v>1141</v>
      </c>
      <c r="AR1" s="756" t="s">
        <v>1142</v>
      </c>
      <c r="AS1" s="756" t="s">
        <v>1143</v>
      </c>
      <c r="AT1" s="756" t="s">
        <v>1144</v>
      </c>
      <c r="AU1" s="756" t="s">
        <v>1145</v>
      </c>
      <c r="AV1" s="756" t="s">
        <v>915</v>
      </c>
      <c r="AW1" s="756" t="s">
        <v>916</v>
      </c>
      <c r="AX1" s="756" t="s">
        <v>1146</v>
      </c>
      <c r="AY1" s="756" t="s">
        <v>1147</v>
      </c>
      <c r="AZ1" s="756" t="s">
        <v>1148</v>
      </c>
      <c r="BA1" s="756" t="s">
        <v>1149</v>
      </c>
      <c r="BB1" s="756" t="s">
        <v>1150</v>
      </c>
      <c r="BC1" s="756" t="s">
        <v>1151</v>
      </c>
      <c r="BD1" s="756" t="s">
        <v>1152</v>
      </c>
      <c r="BE1" s="756" t="s">
        <v>1153</v>
      </c>
      <c r="BF1" s="756" t="s">
        <v>1154</v>
      </c>
      <c r="BG1" s="756" t="s">
        <v>1155</v>
      </c>
      <c r="BH1" s="756" t="s">
        <v>1156</v>
      </c>
      <c r="BI1" s="756" t="s">
        <v>1157</v>
      </c>
      <c r="BJ1" s="756" t="s">
        <v>1158</v>
      </c>
      <c r="BK1" s="756" t="s">
        <v>1159</v>
      </c>
      <c r="BL1" s="757" t="s">
        <v>1160</v>
      </c>
      <c r="BM1" s="756" t="s">
        <v>902</v>
      </c>
      <c r="BN1" s="756" t="s">
        <v>1161</v>
      </c>
      <c r="BO1" s="756" t="s">
        <v>1162</v>
      </c>
      <c r="BP1" s="756" t="s">
        <v>1163</v>
      </c>
      <c r="BQ1" s="756" t="s">
        <v>917</v>
      </c>
      <c r="BR1" s="756" t="s">
        <v>1164</v>
      </c>
      <c r="BS1" s="756" t="s">
        <v>1165</v>
      </c>
      <c r="BT1" s="756" t="s">
        <v>1166</v>
      </c>
      <c r="BU1" s="756" t="s">
        <v>1167</v>
      </c>
      <c r="BV1" s="756" t="s">
        <v>1168</v>
      </c>
      <c r="BW1" s="756" t="s">
        <v>1169</v>
      </c>
      <c r="BX1" s="756" t="s">
        <v>1170</v>
      </c>
      <c r="BY1" s="756" t="s">
        <v>1171</v>
      </c>
      <c r="BZ1" s="756" t="s">
        <v>1172</v>
      </c>
      <c r="CA1" s="756" t="s">
        <v>1173</v>
      </c>
      <c r="CB1" s="756" t="s">
        <v>1174</v>
      </c>
      <c r="CC1" s="756" t="s">
        <v>1175</v>
      </c>
      <c r="CD1" s="756" t="s">
        <v>1176</v>
      </c>
      <c r="CE1" s="756" t="s">
        <v>1177</v>
      </c>
    </row>
    <row r="2" spans="1:139" s="759" customFormat="1" ht="12.75" x14ac:dyDescent="0.2">
      <c r="A2" s="758" t="s">
        <v>822</v>
      </c>
      <c r="D2" s="760" t="s">
        <v>362</v>
      </c>
      <c r="E2" s="761">
        <v>50129</v>
      </c>
      <c r="F2" s="762">
        <v>50130</v>
      </c>
      <c r="G2" s="762">
        <v>50560</v>
      </c>
      <c r="H2" s="762">
        <v>50131</v>
      </c>
      <c r="I2" s="762">
        <v>50132</v>
      </c>
      <c r="J2" s="762">
        <v>50133</v>
      </c>
      <c r="K2" s="761">
        <v>50134</v>
      </c>
      <c r="L2" s="763">
        <v>50473</v>
      </c>
      <c r="M2" s="764">
        <v>50135</v>
      </c>
      <c r="N2" s="765">
        <v>50136</v>
      </c>
      <c r="O2" s="764">
        <v>50514</v>
      </c>
      <c r="P2" s="764">
        <v>50515</v>
      </c>
      <c r="Q2" s="764">
        <v>50570</v>
      </c>
      <c r="R2" s="764">
        <v>50137</v>
      </c>
      <c r="S2" s="764">
        <v>50549</v>
      </c>
      <c r="T2" s="764">
        <v>50138</v>
      </c>
      <c r="U2" s="764">
        <v>50139</v>
      </c>
      <c r="V2" s="764">
        <v>50474</v>
      </c>
      <c r="W2" s="764">
        <v>50140</v>
      </c>
      <c r="X2" s="764">
        <v>50141</v>
      </c>
      <c r="Y2" s="764">
        <v>50142</v>
      </c>
      <c r="Z2" s="764">
        <v>50143</v>
      </c>
      <c r="AA2" s="764">
        <v>50144</v>
      </c>
      <c r="AB2" s="766">
        <v>50492</v>
      </c>
      <c r="AC2" s="766">
        <v>50145</v>
      </c>
      <c r="AD2" s="766">
        <v>50146</v>
      </c>
      <c r="AE2" s="766">
        <v>50147</v>
      </c>
      <c r="AF2" s="766">
        <v>50148</v>
      </c>
      <c r="AG2" s="766">
        <v>50149</v>
      </c>
      <c r="AH2" s="766">
        <v>50150</v>
      </c>
      <c r="AI2" s="766">
        <v>50151</v>
      </c>
      <c r="AJ2" s="766">
        <v>50152</v>
      </c>
      <c r="AK2" s="766">
        <v>50153</v>
      </c>
      <c r="AL2" s="766">
        <v>50475</v>
      </c>
      <c r="AM2" s="766">
        <v>50154</v>
      </c>
      <c r="AN2" s="766">
        <v>50155</v>
      </c>
      <c r="AO2" s="766">
        <v>50156</v>
      </c>
      <c r="AP2" s="766">
        <v>50516</v>
      </c>
      <c r="AQ2" s="766">
        <v>50157</v>
      </c>
      <c r="AR2" s="766">
        <v>50158</v>
      </c>
      <c r="AS2" s="766">
        <v>50545</v>
      </c>
      <c r="AT2" s="766">
        <v>50517</v>
      </c>
      <c r="AU2" s="766">
        <v>50448</v>
      </c>
      <c r="AV2" s="766">
        <v>50159</v>
      </c>
      <c r="AW2" s="766">
        <v>50160</v>
      </c>
      <c r="AX2" s="766">
        <v>50161</v>
      </c>
      <c r="AY2" s="766">
        <v>50162</v>
      </c>
      <c r="AZ2" s="766">
        <v>50163</v>
      </c>
      <c r="BA2" s="766">
        <v>50165</v>
      </c>
      <c r="BB2" s="766">
        <v>50166</v>
      </c>
      <c r="BC2" s="766">
        <v>50167</v>
      </c>
      <c r="BD2" s="766">
        <v>50168</v>
      </c>
      <c r="BE2" s="766">
        <v>50169</v>
      </c>
      <c r="BF2" s="766">
        <v>50170</v>
      </c>
      <c r="BG2" s="766">
        <v>50451</v>
      </c>
      <c r="BH2" s="766">
        <v>50171</v>
      </c>
      <c r="BI2" s="766">
        <v>50172</v>
      </c>
      <c r="BJ2" s="766">
        <v>50440</v>
      </c>
      <c r="BK2" s="766">
        <v>50173</v>
      </c>
      <c r="BL2" s="766">
        <v>50547</v>
      </c>
      <c r="BM2" s="766">
        <v>50175</v>
      </c>
      <c r="BN2" s="766">
        <v>50176</v>
      </c>
      <c r="BO2" s="766">
        <v>50177</v>
      </c>
      <c r="BP2" s="766">
        <v>50178</v>
      </c>
      <c r="BQ2" s="766">
        <v>50180</v>
      </c>
      <c r="BR2" s="766">
        <v>50447</v>
      </c>
      <c r="BS2" s="766">
        <v>50179</v>
      </c>
      <c r="BT2" s="766">
        <v>50462</v>
      </c>
      <c r="BU2" s="766">
        <v>50181</v>
      </c>
      <c r="BV2" s="766">
        <v>50182</v>
      </c>
      <c r="BW2" s="766">
        <v>50183</v>
      </c>
      <c r="BX2" s="766">
        <v>50446</v>
      </c>
      <c r="BY2" s="766">
        <v>50184</v>
      </c>
      <c r="BZ2" s="766">
        <v>50185</v>
      </c>
      <c r="CA2" s="766">
        <v>50186</v>
      </c>
      <c r="CB2" s="766">
        <v>50187</v>
      </c>
      <c r="CC2" s="766">
        <v>50188</v>
      </c>
      <c r="CD2" s="766">
        <v>50189</v>
      </c>
      <c r="CE2" s="766">
        <v>50190</v>
      </c>
      <c r="CF2" s="763"/>
      <c r="CG2" s="763"/>
      <c r="CH2" s="763"/>
      <c r="CI2" s="763"/>
      <c r="CJ2" s="763"/>
      <c r="CK2" s="763"/>
      <c r="CL2" s="763"/>
      <c r="CM2" s="763"/>
      <c r="CN2" s="763"/>
      <c r="CO2" s="763"/>
      <c r="CP2" s="763"/>
      <c r="CQ2" s="763"/>
      <c r="CR2" s="763"/>
      <c r="CS2" s="763"/>
      <c r="CT2" s="763"/>
      <c r="CU2" s="763"/>
      <c r="CV2" s="763"/>
      <c r="CW2" s="763"/>
      <c r="CX2" s="763"/>
      <c r="CY2" s="763"/>
      <c r="CZ2" s="763"/>
      <c r="DA2" s="763"/>
      <c r="DB2" s="763"/>
      <c r="DC2" s="763"/>
      <c r="DD2" s="763"/>
      <c r="DE2" s="763"/>
      <c r="DF2" s="763"/>
      <c r="DG2" s="763"/>
      <c r="DH2" s="763"/>
      <c r="DI2" s="763"/>
      <c r="DJ2" s="763"/>
      <c r="DK2" s="763"/>
      <c r="DL2" s="763"/>
      <c r="DM2" s="763"/>
      <c r="DN2" s="763"/>
      <c r="DO2" s="763"/>
      <c r="DP2" s="763"/>
      <c r="DQ2" s="763"/>
      <c r="DR2" s="763"/>
      <c r="DS2" s="763"/>
      <c r="DT2" s="763"/>
      <c r="DU2" s="763"/>
      <c r="DV2" s="763"/>
      <c r="DW2" s="763"/>
      <c r="DX2" s="763"/>
      <c r="DY2" s="763"/>
      <c r="DZ2" s="763"/>
      <c r="EA2" s="763"/>
      <c r="EB2" s="763"/>
      <c r="EC2" s="763"/>
      <c r="ED2" s="763"/>
      <c r="EE2" s="763"/>
      <c r="EF2" s="763"/>
      <c r="EG2" s="763"/>
      <c r="EH2" s="763"/>
      <c r="EI2" s="763"/>
    </row>
    <row r="3" spans="1:139" x14ac:dyDescent="0.25">
      <c r="A3" s="767">
        <v>4</v>
      </c>
      <c r="B3" s="752">
        <v>4</v>
      </c>
      <c r="C3" s="768" t="s">
        <v>714</v>
      </c>
      <c r="D3" s="635" t="s">
        <v>363</v>
      </c>
      <c r="E3" s="769">
        <v>1889</v>
      </c>
      <c r="F3" s="770">
        <v>46623</v>
      </c>
      <c r="G3" s="770">
        <v>17197</v>
      </c>
      <c r="H3" s="770">
        <v>41694</v>
      </c>
      <c r="I3" s="770">
        <v>126973</v>
      </c>
      <c r="J3" s="770">
        <v>7913</v>
      </c>
      <c r="K3" s="771">
        <v>467</v>
      </c>
      <c r="L3" s="772">
        <v>421</v>
      </c>
      <c r="M3" s="772">
        <v>238970</v>
      </c>
      <c r="N3" s="773">
        <v>7830990</v>
      </c>
      <c r="O3" s="773">
        <v>48192</v>
      </c>
      <c r="P3" s="773">
        <v>28257</v>
      </c>
      <c r="Q3" s="773">
        <v>4910</v>
      </c>
      <c r="R3" s="773">
        <v>1032482</v>
      </c>
      <c r="S3" s="773">
        <v>0</v>
      </c>
      <c r="T3" s="773">
        <v>7214</v>
      </c>
      <c r="U3" s="773">
        <v>36303</v>
      </c>
      <c r="V3" s="773">
        <v>16448</v>
      </c>
      <c r="W3" s="773">
        <v>140616</v>
      </c>
      <c r="X3" s="773">
        <v>22444</v>
      </c>
      <c r="Y3" s="773">
        <v>10217</v>
      </c>
      <c r="Z3" s="773">
        <v>167301</v>
      </c>
      <c r="AA3" s="773">
        <v>1459704</v>
      </c>
      <c r="AB3" s="773">
        <v>2806</v>
      </c>
      <c r="AC3" s="772">
        <v>15473</v>
      </c>
      <c r="AD3" s="772">
        <v>1030751</v>
      </c>
      <c r="AE3" s="772">
        <v>14956</v>
      </c>
      <c r="AF3" s="772">
        <v>5340</v>
      </c>
      <c r="AG3" s="772">
        <v>3012240</v>
      </c>
      <c r="AH3" s="772">
        <v>13785</v>
      </c>
      <c r="AI3" s="772">
        <v>2823</v>
      </c>
      <c r="AJ3" s="772">
        <v>188887</v>
      </c>
      <c r="AK3" s="772">
        <v>12707</v>
      </c>
      <c r="AL3" s="772">
        <v>3244</v>
      </c>
      <c r="AM3" s="772">
        <v>2091686</v>
      </c>
      <c r="AN3" s="772">
        <v>0</v>
      </c>
      <c r="AO3" s="772">
        <v>646556</v>
      </c>
      <c r="AP3" s="772">
        <v>1400</v>
      </c>
      <c r="AQ3" s="772">
        <v>112334</v>
      </c>
      <c r="AR3" s="772">
        <v>55277</v>
      </c>
      <c r="AS3" s="772">
        <v>1044</v>
      </c>
      <c r="AT3" s="772">
        <v>57937</v>
      </c>
      <c r="AU3" s="772">
        <v>20031</v>
      </c>
      <c r="AV3" s="772">
        <v>9382131</v>
      </c>
      <c r="AW3" s="772">
        <v>3249413</v>
      </c>
      <c r="AX3" s="772">
        <v>32067</v>
      </c>
      <c r="AY3" s="772">
        <v>4378</v>
      </c>
      <c r="AZ3" s="772">
        <v>34986</v>
      </c>
      <c r="BA3" s="772">
        <v>54</v>
      </c>
      <c r="BB3" s="772">
        <v>41478</v>
      </c>
      <c r="BC3" s="772">
        <v>160133</v>
      </c>
      <c r="BD3" s="772">
        <v>6576</v>
      </c>
      <c r="BE3" s="772">
        <v>2819</v>
      </c>
      <c r="BF3" s="772">
        <v>2142</v>
      </c>
      <c r="BG3" s="772">
        <v>473307</v>
      </c>
      <c r="BH3" s="772">
        <v>0</v>
      </c>
      <c r="BI3" s="772">
        <v>431675</v>
      </c>
      <c r="BJ3" s="772">
        <v>51292</v>
      </c>
      <c r="BK3" s="772">
        <v>8785</v>
      </c>
      <c r="BL3" s="772">
        <v>803</v>
      </c>
      <c r="BM3" s="772">
        <v>659284</v>
      </c>
      <c r="BN3" s="772">
        <v>562716</v>
      </c>
      <c r="BO3" s="772">
        <v>20999</v>
      </c>
      <c r="BP3" s="772">
        <v>2298085</v>
      </c>
      <c r="BQ3" s="772">
        <v>6927429</v>
      </c>
      <c r="BR3" s="772">
        <v>7152</v>
      </c>
      <c r="BS3" s="772">
        <v>201096</v>
      </c>
      <c r="BT3" s="772">
        <v>44238</v>
      </c>
      <c r="BU3" s="772">
        <v>489601</v>
      </c>
      <c r="BV3" s="772">
        <v>3485</v>
      </c>
      <c r="BW3" s="772">
        <v>28041</v>
      </c>
      <c r="BX3" s="772">
        <v>13218</v>
      </c>
      <c r="BY3" s="772">
        <v>84422</v>
      </c>
      <c r="BZ3" s="772">
        <v>1531386</v>
      </c>
      <c r="CA3" s="772">
        <v>202911</v>
      </c>
      <c r="CB3" s="772">
        <v>420422</v>
      </c>
      <c r="CC3" s="772">
        <v>9679</v>
      </c>
      <c r="CD3" s="772">
        <v>188973</v>
      </c>
      <c r="CE3" s="772">
        <v>4874722</v>
      </c>
      <c r="CF3" s="646"/>
      <c r="CG3" s="646"/>
      <c r="CH3" s="646"/>
      <c r="CI3" s="646"/>
      <c r="CJ3" s="646"/>
      <c r="CK3" s="646"/>
      <c r="CL3" s="646"/>
      <c r="CM3" s="646"/>
      <c r="CN3" s="646"/>
      <c r="CO3" s="646"/>
      <c r="CP3" s="646"/>
      <c r="CQ3" s="646"/>
      <c r="CR3" s="646"/>
      <c r="CS3" s="646"/>
      <c r="CT3" s="646"/>
      <c r="CU3" s="646"/>
      <c r="CV3" s="646"/>
      <c r="CW3" s="646"/>
      <c r="CX3" s="646"/>
      <c r="CY3" s="646"/>
      <c r="CZ3" s="646"/>
      <c r="DA3" s="646"/>
      <c r="DB3" s="646"/>
      <c r="DC3" s="646"/>
      <c r="DD3" s="646"/>
      <c r="DE3" s="646"/>
      <c r="DF3" s="646"/>
      <c r="DG3" s="646"/>
      <c r="DH3" s="646"/>
      <c r="DI3" s="646"/>
      <c r="DJ3" s="646"/>
      <c r="DK3" s="646"/>
      <c r="DL3" s="646"/>
      <c r="DM3" s="646"/>
      <c r="DN3" s="646"/>
      <c r="DO3" s="646"/>
      <c r="DP3" s="646"/>
      <c r="DQ3" s="646"/>
      <c r="DR3" s="646"/>
      <c r="DS3" s="646"/>
      <c r="DT3" s="646"/>
      <c r="DU3" s="646"/>
      <c r="DV3" s="646"/>
      <c r="DW3" s="646"/>
      <c r="DX3" s="646"/>
      <c r="DY3" s="646"/>
      <c r="DZ3" s="646"/>
      <c r="EA3" s="646"/>
      <c r="EB3" s="646"/>
      <c r="EC3" s="646"/>
      <c r="ED3" s="646"/>
      <c r="EE3" s="646"/>
      <c r="EF3" s="646"/>
      <c r="EG3" s="646"/>
      <c r="EH3" s="646"/>
      <c r="EI3" s="646"/>
    </row>
    <row r="4" spans="1:139" ht="30" x14ac:dyDescent="0.25">
      <c r="A4" s="767">
        <v>5</v>
      </c>
      <c r="B4" s="752">
        <v>5</v>
      </c>
      <c r="C4" s="768" t="s">
        <v>127</v>
      </c>
      <c r="D4" s="635" t="s">
        <v>364</v>
      </c>
      <c r="E4" s="769">
        <v>213995</v>
      </c>
      <c r="F4" s="770">
        <v>0</v>
      </c>
      <c r="G4" s="770">
        <v>317</v>
      </c>
      <c r="H4" s="770">
        <v>0</v>
      </c>
      <c r="I4" s="770">
        <v>0</v>
      </c>
      <c r="J4" s="770">
        <v>0</v>
      </c>
      <c r="K4" s="771">
        <v>0</v>
      </c>
      <c r="L4" s="772">
        <v>0</v>
      </c>
      <c r="M4" s="772">
        <v>0</v>
      </c>
      <c r="N4" s="773">
        <v>0</v>
      </c>
      <c r="O4" s="773">
        <v>19817</v>
      </c>
      <c r="P4" s="773">
        <v>0</v>
      </c>
      <c r="Q4" s="773">
        <v>0</v>
      </c>
      <c r="R4" s="773">
        <v>64</v>
      </c>
      <c r="S4" s="773">
        <v>0</v>
      </c>
      <c r="T4" s="773">
        <v>0</v>
      </c>
      <c r="U4" s="773">
        <v>0</v>
      </c>
      <c r="V4" s="773">
        <v>261</v>
      </c>
      <c r="W4" s="773">
        <v>6314</v>
      </c>
      <c r="X4" s="773">
        <v>0</v>
      </c>
      <c r="Y4" s="773">
        <v>0</v>
      </c>
      <c r="Z4" s="773">
        <v>0</v>
      </c>
      <c r="AA4" s="773">
        <v>12737</v>
      </c>
      <c r="AB4" s="772">
        <v>0</v>
      </c>
      <c r="AC4" s="772">
        <v>0</v>
      </c>
      <c r="AD4" s="772">
        <v>25657</v>
      </c>
      <c r="AE4" s="772">
        <v>0</v>
      </c>
      <c r="AF4" s="772">
        <v>0</v>
      </c>
      <c r="AG4" s="772">
        <v>32622</v>
      </c>
      <c r="AH4" s="772">
        <v>0</v>
      </c>
      <c r="AI4" s="772">
        <v>0</v>
      </c>
      <c r="AJ4" s="772">
        <v>2340</v>
      </c>
      <c r="AK4" s="772">
        <v>0</v>
      </c>
      <c r="AL4" s="772">
        <v>0</v>
      </c>
      <c r="AM4" s="772">
        <v>2091</v>
      </c>
      <c r="AN4" s="772">
        <v>263</v>
      </c>
      <c r="AO4" s="772">
        <v>254579</v>
      </c>
      <c r="AP4" s="772">
        <v>0</v>
      </c>
      <c r="AQ4" s="772">
        <v>2135</v>
      </c>
      <c r="AR4" s="772">
        <v>0</v>
      </c>
      <c r="AS4" s="772">
        <v>0</v>
      </c>
      <c r="AT4" s="772">
        <v>0</v>
      </c>
      <c r="AU4" s="772">
        <v>0</v>
      </c>
      <c r="AV4" s="772">
        <v>134583</v>
      </c>
      <c r="AW4" s="772">
        <v>4521</v>
      </c>
      <c r="AX4" s="772">
        <v>0</v>
      </c>
      <c r="AY4" s="772">
        <v>0</v>
      </c>
      <c r="AZ4" s="772">
        <v>0</v>
      </c>
      <c r="BA4" s="772">
        <v>0</v>
      </c>
      <c r="BB4" s="772">
        <v>0</v>
      </c>
      <c r="BC4" s="772">
        <v>10569</v>
      </c>
      <c r="BD4" s="772">
        <v>0</v>
      </c>
      <c r="BE4" s="772">
        <v>0</v>
      </c>
      <c r="BF4" s="772">
        <v>0</v>
      </c>
      <c r="BG4" s="772">
        <v>0</v>
      </c>
      <c r="BH4" s="772">
        <v>0</v>
      </c>
      <c r="BI4" s="772">
        <v>5431</v>
      </c>
      <c r="BJ4" s="772">
        <v>0</v>
      </c>
      <c r="BK4" s="772">
        <v>0</v>
      </c>
      <c r="BL4" s="772">
        <v>0</v>
      </c>
      <c r="BM4" s="772">
        <v>1587</v>
      </c>
      <c r="BN4" s="772">
        <v>7634</v>
      </c>
      <c r="BO4" s="772">
        <v>290</v>
      </c>
      <c r="BP4" s="772">
        <v>24274</v>
      </c>
      <c r="BQ4" s="772">
        <v>3220</v>
      </c>
      <c r="BR4" s="772">
        <v>0</v>
      </c>
      <c r="BS4" s="772">
        <v>0</v>
      </c>
      <c r="BT4" s="772">
        <v>0</v>
      </c>
      <c r="BU4" s="772">
        <v>0</v>
      </c>
      <c r="BV4" s="772">
        <v>0</v>
      </c>
      <c r="BW4" s="772">
        <v>0</v>
      </c>
      <c r="BX4" s="772">
        <v>18010</v>
      </c>
      <c r="BY4" s="772">
        <v>0</v>
      </c>
      <c r="BZ4" s="772">
        <v>90000</v>
      </c>
      <c r="CA4" s="772">
        <v>0</v>
      </c>
      <c r="CB4" s="772">
        <v>0</v>
      </c>
      <c r="CC4" s="772">
        <v>2993</v>
      </c>
      <c r="CD4" s="772">
        <v>0</v>
      </c>
      <c r="CE4" s="772">
        <v>249892</v>
      </c>
      <c r="CF4" s="646"/>
      <c r="CG4" s="646"/>
      <c r="CH4" s="646"/>
      <c r="CI4" s="646"/>
      <c r="CJ4" s="646"/>
      <c r="CK4" s="646"/>
      <c r="CL4" s="646"/>
      <c r="CM4" s="646"/>
      <c r="CN4" s="646"/>
      <c r="CO4" s="646"/>
      <c r="CP4" s="646"/>
      <c r="CQ4" s="646"/>
      <c r="CR4" s="646"/>
      <c r="CS4" s="646"/>
      <c r="CT4" s="646"/>
      <c r="CU4" s="646"/>
      <c r="CV4" s="646"/>
      <c r="CW4" s="646"/>
      <c r="CX4" s="646"/>
      <c r="CY4" s="646"/>
      <c r="CZ4" s="646"/>
      <c r="DA4" s="646"/>
      <c r="DB4" s="646"/>
      <c r="DC4" s="646"/>
      <c r="DD4" s="646"/>
      <c r="DE4" s="646"/>
      <c r="DF4" s="646"/>
      <c r="DG4" s="646"/>
      <c r="DH4" s="646"/>
      <c r="DI4" s="646"/>
      <c r="DJ4" s="646"/>
      <c r="DK4" s="646"/>
      <c r="DL4" s="646"/>
      <c r="DM4" s="646"/>
      <c r="DN4" s="646"/>
      <c r="DO4" s="646"/>
      <c r="DP4" s="646"/>
      <c r="DQ4" s="646"/>
      <c r="DR4" s="646"/>
      <c r="DS4" s="646"/>
      <c r="DT4" s="646"/>
      <c r="DU4" s="646"/>
      <c r="DV4" s="646"/>
      <c r="DW4" s="646"/>
      <c r="DX4" s="646"/>
      <c r="DY4" s="646"/>
      <c r="DZ4" s="646"/>
      <c r="EA4" s="646"/>
      <c r="EB4" s="646"/>
      <c r="EC4" s="646"/>
      <c r="ED4" s="646"/>
      <c r="EE4" s="646"/>
      <c r="EF4" s="646"/>
      <c r="EG4" s="646"/>
      <c r="EH4" s="646"/>
      <c r="EI4" s="646"/>
    </row>
    <row r="5" spans="1:139" x14ac:dyDescent="0.25">
      <c r="A5" s="767">
        <v>6</v>
      </c>
      <c r="B5" s="752">
        <v>6</v>
      </c>
      <c r="C5" s="768" t="s">
        <v>330</v>
      </c>
      <c r="D5" s="635" t="s">
        <v>365</v>
      </c>
      <c r="E5" s="769">
        <v>0</v>
      </c>
      <c r="F5" s="770">
        <v>0</v>
      </c>
      <c r="G5" s="770">
        <v>0</v>
      </c>
      <c r="H5" s="770">
        <v>0</v>
      </c>
      <c r="I5" s="770">
        <v>0</v>
      </c>
      <c r="J5" s="770">
        <v>0</v>
      </c>
      <c r="K5" s="771">
        <v>0</v>
      </c>
      <c r="L5" s="772">
        <v>0</v>
      </c>
      <c r="M5" s="772">
        <v>0</v>
      </c>
      <c r="N5" s="773">
        <v>3890173</v>
      </c>
      <c r="O5" s="773">
        <v>0</v>
      </c>
      <c r="P5" s="773">
        <v>0</v>
      </c>
      <c r="Q5" s="773">
        <v>0</v>
      </c>
      <c r="R5" s="773">
        <v>0</v>
      </c>
      <c r="S5" s="773">
        <v>0</v>
      </c>
      <c r="T5" s="773">
        <v>0</v>
      </c>
      <c r="U5" s="773">
        <v>0</v>
      </c>
      <c r="V5" s="773">
        <v>0</v>
      </c>
      <c r="W5" s="773">
        <v>0</v>
      </c>
      <c r="X5" s="773">
        <v>0</v>
      </c>
      <c r="Y5" s="773">
        <v>0</v>
      </c>
      <c r="Z5" s="773">
        <v>0</v>
      </c>
      <c r="AA5" s="773">
        <v>0</v>
      </c>
      <c r="AB5" s="772">
        <v>0</v>
      </c>
      <c r="AC5" s="772">
        <v>0</v>
      </c>
      <c r="AD5" s="772">
        <v>692952</v>
      </c>
      <c r="AE5" s="772">
        <v>0</v>
      </c>
      <c r="AF5" s="772">
        <v>0</v>
      </c>
      <c r="AG5" s="772">
        <v>872247</v>
      </c>
      <c r="AH5" s="772">
        <v>0</v>
      </c>
      <c r="AI5" s="772">
        <v>0</v>
      </c>
      <c r="AJ5" s="772">
        <v>0</v>
      </c>
      <c r="AK5" s="772">
        <v>0</v>
      </c>
      <c r="AL5" s="772">
        <v>0</v>
      </c>
      <c r="AM5" s="772">
        <v>788760</v>
      </c>
      <c r="AN5" s="772">
        <v>0</v>
      </c>
      <c r="AO5" s="772">
        <v>700</v>
      </c>
      <c r="AP5" s="772">
        <v>0</v>
      </c>
      <c r="AQ5" s="772">
        <v>0</v>
      </c>
      <c r="AR5" s="772">
        <v>0</v>
      </c>
      <c r="AS5" s="772">
        <v>0</v>
      </c>
      <c r="AT5" s="772">
        <v>0</v>
      </c>
      <c r="AU5" s="772">
        <v>0</v>
      </c>
      <c r="AV5" s="772">
        <v>3747122</v>
      </c>
      <c r="AW5" s="772">
        <v>1040581</v>
      </c>
      <c r="AX5" s="772">
        <v>0</v>
      </c>
      <c r="AY5" s="772">
        <v>0</v>
      </c>
      <c r="AZ5" s="772">
        <v>0</v>
      </c>
      <c r="BA5" s="772">
        <v>0</v>
      </c>
      <c r="BB5" s="772">
        <v>0</v>
      </c>
      <c r="BC5" s="772">
        <v>0</v>
      </c>
      <c r="BD5" s="772">
        <v>0</v>
      </c>
      <c r="BE5" s="772">
        <v>0</v>
      </c>
      <c r="BF5" s="772">
        <v>0</v>
      </c>
      <c r="BG5" s="772">
        <v>266838</v>
      </c>
      <c r="BH5" s="772">
        <v>0</v>
      </c>
      <c r="BI5" s="772">
        <v>474646</v>
      </c>
      <c r="BJ5" s="772">
        <v>0</v>
      </c>
      <c r="BK5" s="772">
        <v>0</v>
      </c>
      <c r="BL5" s="772">
        <v>0</v>
      </c>
      <c r="BM5" s="772">
        <v>0</v>
      </c>
      <c r="BN5" s="772">
        <v>0</v>
      </c>
      <c r="BO5" s="772">
        <v>0</v>
      </c>
      <c r="BP5" s="772">
        <v>1028652</v>
      </c>
      <c r="BQ5" s="772">
        <v>2538082</v>
      </c>
      <c r="BR5" s="772">
        <v>0</v>
      </c>
      <c r="BS5" s="772">
        <v>0</v>
      </c>
      <c r="BT5" s="772">
        <v>0</v>
      </c>
      <c r="BU5" s="772">
        <v>161366</v>
      </c>
      <c r="BV5" s="772">
        <v>0</v>
      </c>
      <c r="BW5" s="772">
        <v>0</v>
      </c>
      <c r="BX5" s="772">
        <v>0</v>
      </c>
      <c r="BY5" s="772">
        <v>0</v>
      </c>
      <c r="BZ5" s="772">
        <v>14560</v>
      </c>
      <c r="CA5" s="772">
        <v>0</v>
      </c>
      <c r="CB5" s="772">
        <v>7680</v>
      </c>
      <c r="CC5" s="772">
        <v>0</v>
      </c>
      <c r="CD5" s="772">
        <v>0</v>
      </c>
      <c r="CE5" s="772">
        <v>5680583</v>
      </c>
      <c r="CF5" s="646"/>
      <c r="CG5" s="646"/>
      <c r="CH5" s="646"/>
      <c r="CI5" s="646"/>
      <c r="CJ5" s="646"/>
      <c r="CK5" s="646"/>
      <c r="CL5" s="646"/>
      <c r="CM5" s="646"/>
      <c r="CN5" s="646"/>
      <c r="CO5" s="646"/>
      <c r="CP5" s="646"/>
      <c r="CQ5" s="646"/>
      <c r="CR5" s="646"/>
      <c r="CS5" s="646"/>
      <c r="CT5" s="646"/>
      <c r="CU5" s="646"/>
      <c r="CV5" s="646"/>
      <c r="CW5" s="646"/>
      <c r="CX5" s="646"/>
      <c r="CY5" s="646"/>
      <c r="CZ5" s="646"/>
      <c r="DA5" s="646"/>
      <c r="DB5" s="646"/>
      <c r="DC5" s="646"/>
      <c r="DD5" s="646"/>
      <c r="DE5" s="646"/>
      <c r="DF5" s="646"/>
      <c r="DG5" s="646"/>
      <c r="DH5" s="646"/>
      <c r="DI5" s="646"/>
      <c r="DJ5" s="646"/>
      <c r="DK5" s="646"/>
      <c r="DL5" s="646"/>
      <c r="DM5" s="646"/>
      <c r="DN5" s="646"/>
      <c r="DO5" s="646"/>
      <c r="DP5" s="646"/>
      <c r="DQ5" s="646"/>
      <c r="DR5" s="646"/>
      <c r="DS5" s="646"/>
      <c r="DT5" s="646"/>
      <c r="DU5" s="646"/>
      <c r="DV5" s="646"/>
      <c r="DW5" s="646"/>
      <c r="DX5" s="646"/>
      <c r="DY5" s="646"/>
      <c r="DZ5" s="646"/>
      <c r="EA5" s="646"/>
      <c r="EB5" s="646"/>
      <c r="EC5" s="646"/>
      <c r="ED5" s="646"/>
      <c r="EE5" s="646"/>
      <c r="EF5" s="646"/>
      <c r="EG5" s="646"/>
      <c r="EH5" s="646"/>
      <c r="EI5" s="646"/>
    </row>
    <row r="6" spans="1:139" x14ac:dyDescent="0.25">
      <c r="A6" s="767">
        <v>7</v>
      </c>
      <c r="B6" s="752">
        <v>7</v>
      </c>
      <c r="C6" s="768" t="s">
        <v>267</v>
      </c>
      <c r="D6" s="635" t="s">
        <v>366</v>
      </c>
      <c r="E6" s="769">
        <v>0</v>
      </c>
      <c r="F6" s="770">
        <v>0</v>
      </c>
      <c r="G6" s="770">
        <v>981</v>
      </c>
      <c r="H6" s="770">
        <v>0</v>
      </c>
      <c r="I6" s="770">
        <v>0</v>
      </c>
      <c r="J6" s="770">
        <v>0</v>
      </c>
      <c r="K6" s="771">
        <v>3191</v>
      </c>
      <c r="L6" s="772">
        <v>5689</v>
      </c>
      <c r="M6" s="772">
        <v>18315</v>
      </c>
      <c r="N6" s="773">
        <v>1192169</v>
      </c>
      <c r="O6" s="773">
        <v>0</v>
      </c>
      <c r="P6" s="773">
        <v>25191</v>
      </c>
      <c r="Q6" s="773">
        <v>0</v>
      </c>
      <c r="R6" s="773">
        <v>22205</v>
      </c>
      <c r="S6" s="773">
        <v>0</v>
      </c>
      <c r="T6" s="773">
        <v>6726</v>
      </c>
      <c r="U6" s="773">
        <v>0</v>
      </c>
      <c r="V6" s="773">
        <v>0</v>
      </c>
      <c r="W6" s="773">
        <v>0</v>
      </c>
      <c r="X6" s="773">
        <v>6404</v>
      </c>
      <c r="Y6" s="773">
        <v>0</v>
      </c>
      <c r="Z6" s="773">
        <v>0</v>
      </c>
      <c r="AA6" s="773">
        <v>0</v>
      </c>
      <c r="AB6" s="772">
        <v>0</v>
      </c>
      <c r="AC6" s="772">
        <v>0</v>
      </c>
      <c r="AD6" s="772">
        <v>45752</v>
      </c>
      <c r="AE6" s="772">
        <v>0</v>
      </c>
      <c r="AF6" s="772">
        <v>0</v>
      </c>
      <c r="AG6" s="772">
        <v>903034</v>
      </c>
      <c r="AH6" s="772">
        <v>7755</v>
      </c>
      <c r="AI6" s="772">
        <v>0</v>
      </c>
      <c r="AJ6" s="772">
        <v>71407</v>
      </c>
      <c r="AK6" s="772">
        <v>0</v>
      </c>
      <c r="AL6" s="772">
        <v>0</v>
      </c>
      <c r="AM6" s="772">
        <v>606124</v>
      </c>
      <c r="AN6" s="772">
        <v>0</v>
      </c>
      <c r="AO6" s="772">
        <v>0</v>
      </c>
      <c r="AP6" s="772">
        <v>0</v>
      </c>
      <c r="AQ6" s="772">
        <v>0</v>
      </c>
      <c r="AR6" s="772">
        <v>0</v>
      </c>
      <c r="AS6" s="772">
        <v>0</v>
      </c>
      <c r="AT6" s="772">
        <v>4948</v>
      </c>
      <c r="AU6" s="772">
        <v>0</v>
      </c>
      <c r="AV6" s="772">
        <v>1217719</v>
      </c>
      <c r="AW6" s="772">
        <v>101710</v>
      </c>
      <c r="AX6" s="772">
        <v>0</v>
      </c>
      <c r="AY6" s="772">
        <v>0</v>
      </c>
      <c r="AZ6" s="772">
        <v>1352</v>
      </c>
      <c r="BA6" s="772">
        <v>0</v>
      </c>
      <c r="BB6" s="772">
        <v>10209</v>
      </c>
      <c r="BC6" s="772">
        <v>0</v>
      </c>
      <c r="BD6" s="772">
        <v>11341</v>
      </c>
      <c r="BE6" s="772">
        <v>0</v>
      </c>
      <c r="BF6" s="772">
        <v>0</v>
      </c>
      <c r="BG6" s="772">
        <v>116123</v>
      </c>
      <c r="BH6" s="772">
        <v>0</v>
      </c>
      <c r="BI6" s="772">
        <v>14630</v>
      </c>
      <c r="BJ6" s="772">
        <v>0</v>
      </c>
      <c r="BK6" s="772">
        <v>0</v>
      </c>
      <c r="BL6" s="772">
        <v>0</v>
      </c>
      <c r="BM6" s="772">
        <v>0</v>
      </c>
      <c r="BN6" s="772">
        <v>461013</v>
      </c>
      <c r="BO6" s="772">
        <v>0</v>
      </c>
      <c r="BP6" s="772">
        <v>3294920</v>
      </c>
      <c r="BQ6" s="772">
        <v>30254</v>
      </c>
      <c r="BR6" s="772">
        <v>0</v>
      </c>
      <c r="BS6" s="772">
        <v>62090</v>
      </c>
      <c r="BT6" s="772">
        <v>0</v>
      </c>
      <c r="BU6" s="772">
        <v>1848</v>
      </c>
      <c r="BV6" s="772">
        <v>0</v>
      </c>
      <c r="BW6" s="772">
        <v>0</v>
      </c>
      <c r="BX6" s="772">
        <v>0</v>
      </c>
      <c r="BY6" s="772">
        <v>0</v>
      </c>
      <c r="BZ6" s="772">
        <v>91303</v>
      </c>
      <c r="CA6" s="772">
        <v>0</v>
      </c>
      <c r="CB6" s="772">
        <v>26017</v>
      </c>
      <c r="CC6" s="772">
        <v>3610</v>
      </c>
      <c r="CD6" s="772">
        <v>21382</v>
      </c>
      <c r="CE6" s="772">
        <v>261763</v>
      </c>
      <c r="CF6" s="646"/>
      <c r="CG6" s="646"/>
      <c r="CH6" s="646"/>
      <c r="CI6" s="646"/>
      <c r="CJ6" s="646"/>
      <c r="CK6" s="646"/>
      <c r="CL6" s="646"/>
      <c r="CM6" s="646"/>
      <c r="CN6" s="646"/>
      <c r="CO6" s="646"/>
      <c r="CP6" s="646"/>
      <c r="CQ6" s="646"/>
      <c r="CR6" s="646"/>
      <c r="CS6" s="646"/>
      <c r="CT6" s="646"/>
      <c r="CU6" s="646"/>
      <c r="CV6" s="646"/>
      <c r="CW6" s="646"/>
      <c r="CX6" s="646"/>
      <c r="CY6" s="646"/>
      <c r="CZ6" s="646"/>
      <c r="DA6" s="646"/>
      <c r="DB6" s="646"/>
      <c r="DC6" s="646"/>
      <c r="DD6" s="646"/>
      <c r="DE6" s="646"/>
      <c r="DF6" s="646"/>
      <c r="DG6" s="646"/>
      <c r="DH6" s="646"/>
      <c r="DI6" s="646"/>
      <c r="DJ6" s="646"/>
      <c r="DK6" s="646"/>
      <c r="DL6" s="646"/>
      <c r="DM6" s="646"/>
      <c r="DN6" s="646"/>
      <c r="DO6" s="646"/>
      <c r="DP6" s="646"/>
      <c r="DQ6" s="646"/>
      <c r="DR6" s="646"/>
      <c r="DS6" s="646"/>
      <c r="DT6" s="646"/>
      <c r="DU6" s="646"/>
      <c r="DV6" s="646"/>
      <c r="DW6" s="646"/>
      <c r="DX6" s="646"/>
      <c r="DY6" s="646"/>
      <c r="DZ6" s="646"/>
      <c r="EA6" s="646"/>
      <c r="EB6" s="646"/>
      <c r="EC6" s="646"/>
      <c r="ED6" s="646"/>
      <c r="EE6" s="646"/>
      <c r="EF6" s="646"/>
      <c r="EG6" s="646"/>
      <c r="EH6" s="646"/>
      <c r="EI6" s="646"/>
    </row>
    <row r="7" spans="1:139" x14ac:dyDescent="0.25">
      <c r="A7" s="767">
        <v>9</v>
      </c>
      <c r="B7" s="752">
        <v>9</v>
      </c>
      <c r="C7" s="768" t="s">
        <v>269</v>
      </c>
      <c r="D7" s="635" t="s">
        <v>367</v>
      </c>
      <c r="E7" s="769">
        <v>539654</v>
      </c>
      <c r="F7" s="770">
        <v>856208</v>
      </c>
      <c r="G7" s="770">
        <v>514345</v>
      </c>
      <c r="H7" s="770">
        <v>1064447</v>
      </c>
      <c r="I7" s="770">
        <v>668137</v>
      </c>
      <c r="J7" s="770">
        <v>215358</v>
      </c>
      <c r="K7" s="771">
        <v>138750</v>
      </c>
      <c r="L7" s="772">
        <v>639810</v>
      </c>
      <c r="M7" s="772">
        <v>2719014</v>
      </c>
      <c r="N7" s="773">
        <v>69168478</v>
      </c>
      <c r="O7" s="773">
        <v>2982426</v>
      </c>
      <c r="P7" s="773">
        <v>5413385</v>
      </c>
      <c r="Q7" s="773">
        <v>182458</v>
      </c>
      <c r="R7" s="773">
        <v>8427755</v>
      </c>
      <c r="S7" s="773">
        <v>118962</v>
      </c>
      <c r="T7" s="773">
        <v>490730</v>
      </c>
      <c r="U7" s="773">
        <v>551082</v>
      </c>
      <c r="V7" s="773">
        <v>1144697</v>
      </c>
      <c r="W7" s="773">
        <v>3023892</v>
      </c>
      <c r="X7" s="773">
        <v>1580611</v>
      </c>
      <c r="Y7" s="773">
        <v>664799</v>
      </c>
      <c r="Z7" s="773">
        <v>329054</v>
      </c>
      <c r="AA7" s="773">
        <v>23403682</v>
      </c>
      <c r="AB7" s="772">
        <v>7236752</v>
      </c>
      <c r="AC7" s="772">
        <v>729447</v>
      </c>
      <c r="AD7" s="772">
        <v>30594188</v>
      </c>
      <c r="AE7" s="772">
        <v>497652</v>
      </c>
      <c r="AF7" s="772">
        <v>268231</v>
      </c>
      <c r="AG7" s="772">
        <v>30808513</v>
      </c>
      <c r="AH7" s="772">
        <v>829604</v>
      </c>
      <c r="AI7" s="772">
        <v>271431</v>
      </c>
      <c r="AJ7" s="772">
        <v>3267188</v>
      </c>
      <c r="AK7" s="772">
        <v>686670</v>
      </c>
      <c r="AL7" s="772">
        <v>123716</v>
      </c>
      <c r="AM7" s="772">
        <v>12274765</v>
      </c>
      <c r="AN7" s="772">
        <v>623726</v>
      </c>
      <c r="AO7" s="772">
        <v>10168181</v>
      </c>
      <c r="AP7" s="772">
        <v>70702</v>
      </c>
      <c r="AQ7" s="772">
        <v>3380199</v>
      </c>
      <c r="AR7" s="772">
        <v>2044080</v>
      </c>
      <c r="AS7" s="772">
        <v>188366</v>
      </c>
      <c r="AT7" s="772">
        <v>922799</v>
      </c>
      <c r="AU7" s="772">
        <v>519897</v>
      </c>
      <c r="AV7" s="772">
        <v>68699870</v>
      </c>
      <c r="AW7" s="772">
        <v>22898787</v>
      </c>
      <c r="AX7" s="772">
        <v>805949</v>
      </c>
      <c r="AY7" s="772">
        <v>335012</v>
      </c>
      <c r="AZ7" s="772">
        <v>310950</v>
      </c>
      <c r="BA7" s="772">
        <v>146570</v>
      </c>
      <c r="BB7" s="772">
        <v>1009440</v>
      </c>
      <c r="BC7" s="772">
        <v>2882991</v>
      </c>
      <c r="BD7" s="772">
        <v>1131431</v>
      </c>
      <c r="BE7" s="772">
        <v>225022</v>
      </c>
      <c r="BF7" s="772">
        <v>128736</v>
      </c>
      <c r="BG7" s="772">
        <v>5931088</v>
      </c>
      <c r="BH7" s="772">
        <v>79459</v>
      </c>
      <c r="BI7" s="772">
        <v>11150837</v>
      </c>
      <c r="BJ7" s="772">
        <v>1406618</v>
      </c>
      <c r="BK7" s="772">
        <v>466864</v>
      </c>
      <c r="BL7" s="772">
        <v>488216</v>
      </c>
      <c r="BM7" s="772">
        <v>11885565</v>
      </c>
      <c r="BN7" s="772">
        <v>7543042</v>
      </c>
      <c r="BO7" s="772">
        <v>1988697</v>
      </c>
      <c r="BP7" s="772">
        <v>37778669</v>
      </c>
      <c r="BQ7" s="772">
        <v>20707711</v>
      </c>
      <c r="BR7" s="772">
        <v>270054</v>
      </c>
      <c r="BS7" s="772">
        <v>4261785</v>
      </c>
      <c r="BT7" s="772">
        <v>3140573</v>
      </c>
      <c r="BU7" s="772">
        <v>7445095</v>
      </c>
      <c r="BV7" s="772">
        <v>292357</v>
      </c>
      <c r="BW7" s="772">
        <v>1091446</v>
      </c>
      <c r="BX7" s="772">
        <v>2077335</v>
      </c>
      <c r="BY7" s="772">
        <v>1966684</v>
      </c>
      <c r="BZ7" s="772">
        <v>14881188</v>
      </c>
      <c r="CA7" s="772">
        <v>152257</v>
      </c>
      <c r="CB7" s="772">
        <v>8218315</v>
      </c>
      <c r="CC7" s="772">
        <v>492711</v>
      </c>
      <c r="CD7" s="772">
        <v>1794056</v>
      </c>
      <c r="CE7" s="772">
        <v>52159637</v>
      </c>
      <c r="CF7" s="646"/>
      <c r="CG7" s="646"/>
      <c r="CH7" s="646"/>
      <c r="CI7" s="646"/>
      <c r="CJ7" s="646"/>
      <c r="CK7" s="646"/>
      <c r="CL7" s="646"/>
      <c r="CM7" s="646"/>
      <c r="CN7" s="646"/>
      <c r="CO7" s="646"/>
      <c r="CP7" s="646"/>
      <c r="CQ7" s="646"/>
      <c r="CR7" s="646"/>
      <c r="CS7" s="646"/>
      <c r="CT7" s="646"/>
      <c r="CU7" s="646"/>
      <c r="CV7" s="646"/>
      <c r="CW7" s="646"/>
      <c r="CX7" s="646"/>
      <c r="CY7" s="646"/>
      <c r="CZ7" s="646"/>
      <c r="DA7" s="646"/>
      <c r="DB7" s="646"/>
      <c r="DC7" s="646"/>
      <c r="DD7" s="646"/>
      <c r="DE7" s="646"/>
      <c r="DF7" s="646"/>
      <c r="DG7" s="646"/>
      <c r="DH7" s="646"/>
      <c r="DI7" s="646"/>
      <c r="DJ7" s="646"/>
      <c r="DK7" s="646"/>
      <c r="DL7" s="646"/>
      <c r="DM7" s="646"/>
      <c r="DN7" s="646"/>
      <c r="DO7" s="646"/>
      <c r="DP7" s="646"/>
      <c r="DQ7" s="646"/>
      <c r="DR7" s="646"/>
      <c r="DS7" s="646"/>
      <c r="DT7" s="646"/>
      <c r="DU7" s="646"/>
      <c r="DV7" s="646"/>
      <c r="DW7" s="646"/>
      <c r="DX7" s="646"/>
      <c r="DY7" s="646"/>
      <c r="DZ7" s="646"/>
      <c r="EA7" s="646"/>
      <c r="EB7" s="646"/>
      <c r="EC7" s="646"/>
      <c r="ED7" s="646"/>
      <c r="EE7" s="646"/>
      <c r="EF7" s="646"/>
      <c r="EG7" s="646"/>
      <c r="EH7" s="646"/>
      <c r="EI7" s="646"/>
    </row>
    <row r="8" spans="1:139" x14ac:dyDescent="0.25">
      <c r="A8" s="767">
        <v>11</v>
      </c>
      <c r="B8" s="752">
        <v>11</v>
      </c>
      <c r="C8" s="768" t="s">
        <v>268</v>
      </c>
      <c r="D8" s="635" t="s">
        <v>368</v>
      </c>
      <c r="E8" s="769">
        <v>0</v>
      </c>
      <c r="F8" s="770">
        <v>55569</v>
      </c>
      <c r="G8" s="770">
        <v>0</v>
      </c>
      <c r="H8" s="770">
        <v>30760</v>
      </c>
      <c r="I8" s="770">
        <v>179289</v>
      </c>
      <c r="J8" s="770">
        <v>22664</v>
      </c>
      <c r="K8" s="771">
        <v>31118</v>
      </c>
      <c r="L8" s="772">
        <v>191417</v>
      </c>
      <c r="M8" s="772">
        <v>481883</v>
      </c>
      <c r="N8" s="773">
        <v>0</v>
      </c>
      <c r="O8" s="773">
        <v>0</v>
      </c>
      <c r="P8" s="773">
        <v>584489</v>
      </c>
      <c r="Q8" s="773">
        <v>15076</v>
      </c>
      <c r="R8" s="773">
        <v>323847</v>
      </c>
      <c r="S8" s="773">
        <v>2941</v>
      </c>
      <c r="T8" s="773">
        <v>76779</v>
      </c>
      <c r="U8" s="773">
        <v>0</v>
      </c>
      <c r="V8" s="773">
        <v>23000</v>
      </c>
      <c r="W8" s="773">
        <v>624887</v>
      </c>
      <c r="X8" s="773">
        <v>152167</v>
      </c>
      <c r="Y8" s="773">
        <v>27872</v>
      </c>
      <c r="Z8" s="773">
        <v>99162</v>
      </c>
      <c r="AA8" s="773">
        <v>2004028</v>
      </c>
      <c r="AB8" s="772">
        <v>0</v>
      </c>
      <c r="AC8" s="772">
        <v>46402</v>
      </c>
      <c r="AD8" s="772">
        <v>773055</v>
      </c>
      <c r="AE8" s="772">
        <v>4898</v>
      </c>
      <c r="AF8" s="772">
        <v>8434</v>
      </c>
      <c r="AG8" s="772">
        <v>0</v>
      </c>
      <c r="AH8" s="772">
        <v>39520</v>
      </c>
      <c r="AI8" s="772">
        <v>0</v>
      </c>
      <c r="AJ8" s="772">
        <v>205194</v>
      </c>
      <c r="AK8" s="772">
        <v>57224</v>
      </c>
      <c r="AL8" s="772">
        <v>16266</v>
      </c>
      <c r="AM8" s="772">
        <v>0</v>
      </c>
      <c r="AN8" s="772">
        <v>103551</v>
      </c>
      <c r="AO8" s="772">
        <v>0</v>
      </c>
      <c r="AP8" s="772">
        <v>0</v>
      </c>
      <c r="AQ8" s="772">
        <v>281236</v>
      </c>
      <c r="AR8" s="772">
        <v>10289</v>
      </c>
      <c r="AS8" s="772">
        <v>0</v>
      </c>
      <c r="AT8" s="772">
        <v>116186</v>
      </c>
      <c r="AU8" s="772">
        <v>149547</v>
      </c>
      <c r="AV8" s="772">
        <v>0</v>
      </c>
      <c r="AW8" s="772">
        <v>1000869</v>
      </c>
      <c r="AX8" s="772">
        <v>0</v>
      </c>
      <c r="AY8" s="772">
        <v>33246</v>
      </c>
      <c r="AZ8" s="772">
        <v>112175</v>
      </c>
      <c r="BA8" s="772">
        <v>23974</v>
      </c>
      <c r="BB8" s="772">
        <v>49248</v>
      </c>
      <c r="BC8" s="772">
        <v>10983</v>
      </c>
      <c r="BD8" s="772">
        <v>0</v>
      </c>
      <c r="BE8" s="772">
        <v>32581</v>
      </c>
      <c r="BF8" s="772">
        <v>13641</v>
      </c>
      <c r="BG8" s="772">
        <v>150982</v>
      </c>
      <c r="BH8" s="772">
        <v>32284</v>
      </c>
      <c r="BI8" s="772">
        <v>633338</v>
      </c>
      <c r="BJ8" s="772">
        <v>373139</v>
      </c>
      <c r="BK8" s="772">
        <v>71495</v>
      </c>
      <c r="BL8" s="772">
        <v>0</v>
      </c>
      <c r="BM8" s="772">
        <v>1078925</v>
      </c>
      <c r="BN8" s="772">
        <v>0</v>
      </c>
      <c r="BO8" s="772">
        <v>231854</v>
      </c>
      <c r="BP8" s="772">
        <v>0</v>
      </c>
      <c r="BQ8" s="772">
        <v>0</v>
      </c>
      <c r="BR8" s="772">
        <v>55001</v>
      </c>
      <c r="BS8" s="772">
        <v>57010</v>
      </c>
      <c r="BT8" s="772">
        <v>143272</v>
      </c>
      <c r="BU8" s="772">
        <v>59838</v>
      </c>
      <c r="BV8" s="772">
        <v>68375</v>
      </c>
      <c r="BW8" s="772">
        <v>132259</v>
      </c>
      <c r="BX8" s="772">
        <v>34512</v>
      </c>
      <c r="BY8" s="772">
        <v>163397</v>
      </c>
      <c r="BZ8" s="772">
        <v>1245176</v>
      </c>
      <c r="CA8" s="772">
        <v>13231</v>
      </c>
      <c r="CB8" s="772">
        <v>29194</v>
      </c>
      <c r="CC8" s="772">
        <v>39503</v>
      </c>
      <c r="CD8" s="772">
        <v>299738</v>
      </c>
      <c r="CE8" s="772">
        <v>3652670</v>
      </c>
      <c r="CF8" s="646"/>
      <c r="CG8" s="646"/>
      <c r="CH8" s="646"/>
      <c r="CI8" s="646"/>
      <c r="CJ8" s="646"/>
      <c r="CK8" s="646"/>
      <c r="CL8" s="646"/>
      <c r="CM8" s="646"/>
      <c r="CN8" s="646"/>
      <c r="CO8" s="646"/>
      <c r="CP8" s="646"/>
      <c r="CQ8" s="646"/>
      <c r="CR8" s="646"/>
      <c r="CS8" s="646"/>
      <c r="CT8" s="646"/>
      <c r="CU8" s="646"/>
      <c r="CV8" s="646"/>
      <c r="CW8" s="646"/>
      <c r="CX8" s="646"/>
      <c r="CY8" s="646"/>
      <c r="CZ8" s="646"/>
      <c r="DA8" s="646"/>
      <c r="DB8" s="646"/>
      <c r="DC8" s="646"/>
      <c r="DD8" s="646"/>
      <c r="DE8" s="646"/>
      <c r="DF8" s="646"/>
      <c r="DG8" s="646"/>
      <c r="DH8" s="646"/>
      <c r="DI8" s="646"/>
      <c r="DJ8" s="646"/>
      <c r="DK8" s="646"/>
      <c r="DL8" s="646"/>
      <c r="DM8" s="646"/>
      <c r="DN8" s="646"/>
      <c r="DO8" s="646"/>
      <c r="DP8" s="646"/>
      <c r="DQ8" s="646"/>
      <c r="DR8" s="646"/>
      <c r="DS8" s="646"/>
      <c r="DT8" s="646"/>
      <c r="DU8" s="646"/>
      <c r="DV8" s="646"/>
      <c r="DW8" s="646"/>
      <c r="DX8" s="646"/>
      <c r="DY8" s="646"/>
      <c r="DZ8" s="646"/>
      <c r="EA8" s="646"/>
      <c r="EB8" s="646"/>
      <c r="EC8" s="646"/>
      <c r="ED8" s="646"/>
      <c r="EE8" s="646"/>
      <c r="EF8" s="646"/>
      <c r="EG8" s="646"/>
      <c r="EH8" s="646"/>
      <c r="EI8" s="646"/>
    </row>
    <row r="9" spans="1:139" ht="30" x14ac:dyDescent="0.25">
      <c r="B9" s="752">
        <v>12</v>
      </c>
      <c r="C9" s="768" t="s">
        <v>715</v>
      </c>
      <c r="D9" s="635" t="s">
        <v>369</v>
      </c>
      <c r="E9" s="769"/>
      <c r="F9" s="770"/>
      <c r="G9" s="770"/>
      <c r="H9" s="770"/>
      <c r="I9" s="770"/>
      <c r="J9" s="770"/>
      <c r="K9" s="771"/>
      <c r="L9" s="772"/>
      <c r="M9" s="772"/>
      <c r="N9" s="773"/>
      <c r="O9" s="773"/>
      <c r="P9" s="773"/>
      <c r="Q9" s="773"/>
      <c r="R9" s="773"/>
      <c r="S9" s="773"/>
      <c r="T9" s="773"/>
      <c r="U9" s="773"/>
      <c r="V9" s="773"/>
      <c r="W9" s="773"/>
      <c r="X9" s="773"/>
      <c r="Y9" s="773"/>
      <c r="Z9" s="773"/>
      <c r="AA9" s="773"/>
      <c r="AB9" s="772"/>
      <c r="AC9" s="772"/>
      <c r="AD9" s="772"/>
      <c r="AE9" s="772"/>
      <c r="AF9" s="772"/>
      <c r="AG9" s="772"/>
      <c r="AH9" s="772"/>
      <c r="AI9" s="772"/>
      <c r="AJ9" s="772"/>
      <c r="AK9" s="772"/>
      <c r="AL9" s="772"/>
      <c r="AM9" s="772"/>
      <c r="AN9" s="772"/>
      <c r="AO9" s="772"/>
      <c r="AP9" s="772"/>
      <c r="AQ9" s="772"/>
      <c r="AR9" s="772"/>
      <c r="AS9" s="772"/>
      <c r="AT9" s="772"/>
      <c r="AU9" s="772"/>
      <c r="AV9" s="772"/>
      <c r="AW9" s="772"/>
      <c r="AX9" s="772"/>
      <c r="AY9" s="772"/>
      <c r="AZ9" s="772"/>
      <c r="BA9" s="772"/>
      <c r="BB9" s="772"/>
      <c r="BC9" s="772"/>
      <c r="BD9" s="772"/>
      <c r="BE9" s="772"/>
      <c r="BF9" s="772"/>
      <c r="BG9" s="772"/>
      <c r="BH9" s="772"/>
      <c r="BI9" s="772"/>
      <c r="BJ9" s="772"/>
      <c r="BK9" s="772"/>
      <c r="BL9" s="772"/>
      <c r="BM9" s="772"/>
      <c r="BN9" s="772"/>
      <c r="BO9" s="772"/>
      <c r="BP9" s="772"/>
      <c r="BQ9" s="772"/>
      <c r="BR9" s="772"/>
      <c r="BS9" s="772"/>
      <c r="BT9" s="772"/>
      <c r="BU9" s="772"/>
      <c r="BV9" s="772"/>
      <c r="BW9" s="772"/>
      <c r="BX9" s="772"/>
      <c r="BY9" s="772"/>
      <c r="BZ9" s="772"/>
      <c r="CA9" s="772"/>
      <c r="CB9" s="772"/>
      <c r="CC9" s="772"/>
      <c r="CD9" s="772"/>
      <c r="CE9" s="772"/>
    </row>
    <row r="10" spans="1:139" ht="30" x14ac:dyDescent="0.25">
      <c r="B10" s="752">
        <v>13</v>
      </c>
      <c r="C10" s="768" t="s">
        <v>716</v>
      </c>
      <c r="D10" s="635" t="s">
        <v>370</v>
      </c>
      <c r="E10" s="769"/>
      <c r="F10" s="770"/>
      <c r="G10" s="770"/>
      <c r="H10" s="770"/>
      <c r="I10" s="770"/>
      <c r="J10" s="770"/>
      <c r="K10" s="771"/>
      <c r="L10" s="772"/>
      <c r="M10" s="772"/>
      <c r="N10" s="773"/>
      <c r="O10" s="773"/>
      <c r="P10" s="773"/>
      <c r="Q10" s="773"/>
      <c r="R10" s="773"/>
      <c r="S10" s="773"/>
      <c r="T10" s="773"/>
      <c r="U10" s="773"/>
      <c r="V10" s="773"/>
      <c r="W10" s="773"/>
      <c r="X10" s="773"/>
      <c r="Y10" s="773"/>
      <c r="Z10" s="773"/>
      <c r="AA10" s="773"/>
      <c r="AB10" s="772"/>
      <c r="AC10" s="772"/>
      <c r="AD10" s="772"/>
      <c r="AE10" s="772"/>
      <c r="AF10" s="772"/>
      <c r="AG10" s="772"/>
      <c r="AH10" s="772"/>
      <c r="AI10" s="772"/>
      <c r="AJ10" s="772"/>
      <c r="AK10" s="772"/>
      <c r="AL10" s="772"/>
      <c r="AM10" s="772"/>
      <c r="AN10" s="772"/>
      <c r="AO10" s="772"/>
      <c r="AP10" s="772"/>
      <c r="AQ10" s="772"/>
      <c r="AR10" s="772"/>
      <c r="AS10" s="772"/>
      <c r="AT10" s="772"/>
      <c r="AU10" s="772"/>
      <c r="AV10" s="772"/>
      <c r="AW10" s="772"/>
      <c r="AX10" s="772"/>
      <c r="AY10" s="772"/>
      <c r="AZ10" s="772"/>
      <c r="BA10" s="772"/>
      <c r="BB10" s="772"/>
      <c r="BC10" s="772"/>
      <c r="BD10" s="772"/>
      <c r="BE10" s="772"/>
      <c r="BF10" s="772"/>
      <c r="BG10" s="772"/>
      <c r="BH10" s="772"/>
      <c r="BI10" s="772"/>
      <c r="BJ10" s="772"/>
      <c r="BK10" s="772"/>
      <c r="BL10" s="772"/>
      <c r="BM10" s="772"/>
      <c r="BN10" s="772"/>
      <c r="BO10" s="772"/>
      <c r="BP10" s="772"/>
      <c r="BQ10" s="772"/>
      <c r="BR10" s="772"/>
      <c r="BS10" s="772"/>
      <c r="BT10" s="772"/>
      <c r="BU10" s="772"/>
      <c r="BV10" s="772"/>
      <c r="BW10" s="772"/>
      <c r="BX10" s="772"/>
      <c r="BY10" s="772"/>
      <c r="BZ10" s="772"/>
      <c r="CA10" s="772"/>
      <c r="CB10" s="772"/>
      <c r="CC10" s="772"/>
      <c r="CD10" s="772"/>
      <c r="CE10" s="772"/>
    </row>
    <row r="11" spans="1:139" ht="30" x14ac:dyDescent="0.25">
      <c r="B11" s="752">
        <v>14</v>
      </c>
      <c r="C11" s="768" t="s">
        <v>371</v>
      </c>
      <c r="D11" s="635" t="s">
        <v>372</v>
      </c>
      <c r="E11" s="769"/>
      <c r="F11" s="770"/>
      <c r="G11" s="770"/>
      <c r="H11" s="770"/>
      <c r="I11" s="770"/>
      <c r="J11" s="770"/>
      <c r="K11" s="771"/>
      <c r="L11" s="772"/>
      <c r="M11" s="772"/>
      <c r="N11" s="773"/>
      <c r="O11" s="773"/>
      <c r="P11" s="773"/>
      <c r="Q11" s="773"/>
      <c r="R11" s="773"/>
      <c r="S11" s="773"/>
      <c r="T11" s="773"/>
      <c r="U11" s="773"/>
      <c r="V11" s="773"/>
      <c r="W11" s="773"/>
      <c r="X11" s="773"/>
      <c r="Y11" s="773"/>
      <c r="Z11" s="773"/>
      <c r="AA11" s="773"/>
      <c r="AB11" s="772"/>
      <c r="AC11" s="772"/>
      <c r="AD11" s="772"/>
      <c r="AE11" s="772"/>
      <c r="AF11" s="772"/>
      <c r="AG11" s="772"/>
      <c r="AH11" s="772"/>
      <c r="AI11" s="772"/>
      <c r="AJ11" s="772"/>
      <c r="AK11" s="772"/>
      <c r="AL11" s="772"/>
      <c r="AM11" s="772"/>
      <c r="AN11" s="772"/>
      <c r="AO11" s="772"/>
      <c r="AP11" s="772"/>
      <c r="AQ11" s="772"/>
      <c r="AR11" s="772"/>
      <c r="AS11" s="772"/>
      <c r="AT11" s="772"/>
      <c r="AU11" s="772"/>
      <c r="AV11" s="772"/>
      <c r="AW11" s="772"/>
      <c r="AX11" s="772"/>
      <c r="AY11" s="772"/>
      <c r="AZ11" s="772"/>
      <c r="BA11" s="772"/>
      <c r="BB11" s="772"/>
      <c r="BC11" s="772"/>
      <c r="BD11" s="772"/>
      <c r="BE11" s="772"/>
      <c r="BF11" s="772"/>
      <c r="BG11" s="772"/>
      <c r="BH11" s="772"/>
      <c r="BI11" s="772"/>
      <c r="BJ11" s="772"/>
      <c r="BK11" s="772"/>
      <c r="BL11" s="772"/>
      <c r="BM11" s="772"/>
      <c r="BN11" s="772"/>
      <c r="BO11" s="772"/>
      <c r="BP11" s="772"/>
      <c r="BQ11" s="772"/>
      <c r="BR11" s="772"/>
      <c r="BS11" s="772"/>
      <c r="BT11" s="772"/>
      <c r="BU11" s="772"/>
      <c r="BV11" s="772"/>
      <c r="BW11" s="772"/>
      <c r="BX11" s="772"/>
      <c r="BY11" s="772"/>
      <c r="BZ11" s="772"/>
      <c r="CA11" s="772"/>
      <c r="CB11" s="772"/>
      <c r="CC11" s="772"/>
      <c r="CD11" s="772"/>
      <c r="CE11" s="772"/>
    </row>
    <row r="12" spans="1:139" x14ac:dyDescent="0.25">
      <c r="A12" s="767">
        <v>16</v>
      </c>
      <c r="B12" s="752">
        <v>16</v>
      </c>
      <c r="C12" s="768" t="s">
        <v>271</v>
      </c>
      <c r="D12" s="635" t="s">
        <v>373</v>
      </c>
      <c r="E12" s="769">
        <v>922963</v>
      </c>
      <c r="F12" s="770">
        <v>2158459</v>
      </c>
      <c r="G12" s="770">
        <v>294046</v>
      </c>
      <c r="H12" s="770">
        <v>779738</v>
      </c>
      <c r="I12" s="770">
        <v>614982</v>
      </c>
      <c r="J12" s="770">
        <v>144096</v>
      </c>
      <c r="K12" s="771">
        <v>50610</v>
      </c>
      <c r="L12" s="772">
        <v>100657</v>
      </c>
      <c r="M12" s="772">
        <v>4287048</v>
      </c>
      <c r="N12" s="773">
        <v>158150620</v>
      </c>
      <c r="O12" s="773">
        <v>1694516</v>
      </c>
      <c r="P12" s="773">
        <v>6817509</v>
      </c>
      <c r="Q12" s="773">
        <v>171024</v>
      </c>
      <c r="R12" s="773">
        <v>8714739</v>
      </c>
      <c r="S12" s="773">
        <v>78762</v>
      </c>
      <c r="T12" s="773">
        <v>396665</v>
      </c>
      <c r="U12" s="773">
        <v>1714872</v>
      </c>
      <c r="V12" s="773">
        <v>1130346</v>
      </c>
      <c r="W12" s="773">
        <v>4382348</v>
      </c>
      <c r="X12" s="773">
        <v>1638996</v>
      </c>
      <c r="Y12" s="773">
        <v>637053</v>
      </c>
      <c r="Z12" s="773">
        <v>915060</v>
      </c>
      <c r="AA12" s="773">
        <v>28118545</v>
      </c>
      <c r="AB12" s="772">
        <v>986321</v>
      </c>
      <c r="AC12" s="772">
        <v>603899</v>
      </c>
      <c r="AD12" s="772">
        <v>31477111</v>
      </c>
      <c r="AE12" s="772">
        <v>780120</v>
      </c>
      <c r="AF12" s="772">
        <v>633729</v>
      </c>
      <c r="AG12" s="772">
        <v>62820668</v>
      </c>
      <c r="AH12" s="772">
        <v>179058</v>
      </c>
      <c r="AI12" s="772">
        <v>258386</v>
      </c>
      <c r="AJ12" s="772">
        <v>5998665</v>
      </c>
      <c r="AK12" s="772">
        <v>858253</v>
      </c>
      <c r="AL12" s="772">
        <v>71531</v>
      </c>
      <c r="AM12" s="772">
        <v>37184034</v>
      </c>
      <c r="AN12" s="772">
        <v>382476</v>
      </c>
      <c r="AO12" s="772">
        <v>12395217</v>
      </c>
      <c r="AP12" s="772">
        <v>45973</v>
      </c>
      <c r="AQ12" s="772">
        <v>3841989</v>
      </c>
      <c r="AR12" s="772">
        <v>2234110</v>
      </c>
      <c r="AS12" s="772">
        <v>67227</v>
      </c>
      <c r="AT12" s="772">
        <v>997685</v>
      </c>
      <c r="AU12" s="772">
        <v>262333</v>
      </c>
      <c r="AV12" s="772">
        <v>274298986</v>
      </c>
      <c r="AW12" s="772">
        <v>75041957</v>
      </c>
      <c r="AX12" s="772">
        <v>1581240</v>
      </c>
      <c r="AY12" s="772">
        <v>282425</v>
      </c>
      <c r="AZ12" s="772">
        <v>307357</v>
      </c>
      <c r="BA12" s="772">
        <v>192155</v>
      </c>
      <c r="BB12" s="772">
        <v>373340</v>
      </c>
      <c r="BC12" s="772">
        <v>5406116</v>
      </c>
      <c r="BD12" s="772">
        <v>277888</v>
      </c>
      <c r="BE12" s="772">
        <v>188273</v>
      </c>
      <c r="BF12" s="772">
        <v>49721</v>
      </c>
      <c r="BG12" s="772">
        <v>12098326</v>
      </c>
      <c r="BH12" s="772">
        <v>20926</v>
      </c>
      <c r="BI12" s="772">
        <v>11059208</v>
      </c>
      <c r="BJ12" s="772">
        <v>2046046</v>
      </c>
      <c r="BK12" s="772">
        <v>211062</v>
      </c>
      <c r="BL12" s="772">
        <v>94098</v>
      </c>
      <c r="BM12" s="772">
        <v>14386435</v>
      </c>
      <c r="BN12" s="772">
        <v>14437072</v>
      </c>
      <c r="BO12" s="772">
        <v>1774060</v>
      </c>
      <c r="BP12" s="772">
        <v>49293601</v>
      </c>
      <c r="BQ12" s="772">
        <v>107117904</v>
      </c>
      <c r="BR12" s="772">
        <v>299993</v>
      </c>
      <c r="BS12" s="772">
        <v>6297027</v>
      </c>
      <c r="BT12" s="772">
        <v>1028724</v>
      </c>
      <c r="BU12" s="772">
        <v>10255489</v>
      </c>
      <c r="BV12" s="772">
        <v>166678</v>
      </c>
      <c r="BW12" s="772">
        <v>261259</v>
      </c>
      <c r="BX12" s="772">
        <v>3510698</v>
      </c>
      <c r="BY12" s="772">
        <v>2738099</v>
      </c>
      <c r="BZ12" s="772">
        <v>38142209</v>
      </c>
      <c r="CA12" s="772">
        <v>469589</v>
      </c>
      <c r="CB12" s="772">
        <v>13140275</v>
      </c>
      <c r="CC12" s="772">
        <v>510128</v>
      </c>
      <c r="CD12" s="772">
        <v>3049991</v>
      </c>
      <c r="CE12" s="772">
        <v>42217618</v>
      </c>
    </row>
    <row r="13" spans="1:139" x14ac:dyDescent="0.25">
      <c r="A13" s="767">
        <v>17</v>
      </c>
      <c r="B13" s="752">
        <v>17</v>
      </c>
      <c r="C13" s="768" t="s">
        <v>274</v>
      </c>
      <c r="D13" s="635" t="s">
        <v>374</v>
      </c>
      <c r="E13" s="769">
        <v>10924</v>
      </c>
      <c r="F13" s="770">
        <v>0</v>
      </c>
      <c r="G13" s="770">
        <v>0</v>
      </c>
      <c r="H13" s="770">
        <v>0</v>
      </c>
      <c r="I13" s="770">
        <v>0</v>
      </c>
      <c r="J13" s="770">
        <v>0</v>
      </c>
      <c r="K13" s="771">
        <v>0</v>
      </c>
      <c r="L13" s="772">
        <v>0</v>
      </c>
      <c r="M13" s="772">
        <v>601752</v>
      </c>
      <c r="N13" s="773">
        <v>0</v>
      </c>
      <c r="O13" s="773">
        <v>0</v>
      </c>
      <c r="P13" s="773">
        <v>0</v>
      </c>
      <c r="Q13" s="773">
        <v>0</v>
      </c>
      <c r="R13" s="773">
        <v>8745530</v>
      </c>
      <c r="S13" s="773">
        <v>0</v>
      </c>
      <c r="T13" s="773">
        <v>0</v>
      </c>
      <c r="U13" s="773">
        <v>0</v>
      </c>
      <c r="V13" s="773">
        <v>0</v>
      </c>
      <c r="W13" s="773">
        <v>0</v>
      </c>
      <c r="X13" s="773">
        <v>0</v>
      </c>
      <c r="Y13" s="773">
        <v>0</v>
      </c>
      <c r="Z13" s="773">
        <v>8886</v>
      </c>
      <c r="AA13" s="773">
        <v>356943</v>
      </c>
      <c r="AB13" s="772">
        <v>0</v>
      </c>
      <c r="AC13" s="772">
        <v>5062</v>
      </c>
      <c r="AD13" s="772">
        <v>0</v>
      </c>
      <c r="AE13" s="772">
        <v>0</v>
      </c>
      <c r="AF13" s="772">
        <v>0</v>
      </c>
      <c r="AG13" s="772">
        <v>2042905</v>
      </c>
      <c r="AH13" s="772">
        <v>0</v>
      </c>
      <c r="AI13" s="772">
        <v>0</v>
      </c>
      <c r="AJ13" s="772">
        <v>2700</v>
      </c>
      <c r="AK13" s="772">
        <v>0</v>
      </c>
      <c r="AL13" s="772">
        <v>0</v>
      </c>
      <c r="AM13" s="772">
        <v>7342</v>
      </c>
      <c r="AN13" s="772">
        <v>0</v>
      </c>
      <c r="AO13" s="772">
        <v>600903</v>
      </c>
      <c r="AP13" s="772">
        <v>0</v>
      </c>
      <c r="AQ13" s="772">
        <v>0</v>
      </c>
      <c r="AR13" s="772">
        <v>0</v>
      </c>
      <c r="AS13" s="772">
        <v>0</v>
      </c>
      <c r="AT13" s="772">
        <v>0</v>
      </c>
      <c r="AU13" s="772">
        <v>0</v>
      </c>
      <c r="AV13" s="772">
        <v>6419000</v>
      </c>
      <c r="AW13" s="772">
        <v>6854673</v>
      </c>
      <c r="AX13" s="772">
        <v>9000</v>
      </c>
      <c r="AY13" s="772">
        <v>0</v>
      </c>
      <c r="AZ13" s="772">
        <v>0</v>
      </c>
      <c r="BA13" s="772">
        <v>0</v>
      </c>
      <c r="BB13" s="772">
        <v>0</v>
      </c>
      <c r="BC13" s="772">
        <v>0</v>
      </c>
      <c r="BD13" s="772">
        <v>0</v>
      </c>
      <c r="BE13" s="772">
        <v>0</v>
      </c>
      <c r="BF13" s="772">
        <v>0</v>
      </c>
      <c r="BG13" s="772">
        <v>560050</v>
      </c>
      <c r="BH13" s="772">
        <v>0</v>
      </c>
      <c r="BI13" s="772">
        <v>0</v>
      </c>
      <c r="BJ13" s="772">
        <v>0</v>
      </c>
      <c r="BK13" s="772">
        <v>0</v>
      </c>
      <c r="BL13" s="772">
        <v>0</v>
      </c>
      <c r="BM13" s="772">
        <v>1278524</v>
      </c>
      <c r="BN13" s="772">
        <v>0</v>
      </c>
      <c r="BO13" s="772">
        <v>84000</v>
      </c>
      <c r="BP13" s="772">
        <v>1733911</v>
      </c>
      <c r="BQ13" s="772">
        <v>2049492</v>
      </c>
      <c r="BR13" s="772">
        <v>0</v>
      </c>
      <c r="BS13" s="772">
        <v>0</v>
      </c>
      <c r="BT13" s="772">
        <v>1439987</v>
      </c>
      <c r="BU13" s="772">
        <v>104808</v>
      </c>
      <c r="BV13" s="772">
        <v>0</v>
      </c>
      <c r="BW13" s="772">
        <v>0</v>
      </c>
      <c r="BX13" s="772">
        <v>0</v>
      </c>
      <c r="BY13" s="772">
        <v>0</v>
      </c>
      <c r="BZ13" s="772">
        <v>4644115</v>
      </c>
      <c r="CA13" s="772">
        <v>139638</v>
      </c>
      <c r="CB13" s="772">
        <v>173000</v>
      </c>
      <c r="CC13" s="772">
        <v>0</v>
      </c>
      <c r="CD13" s="772">
        <v>0</v>
      </c>
      <c r="CE13" s="772">
        <v>194004</v>
      </c>
    </row>
    <row r="14" spans="1:139" x14ac:dyDescent="0.25">
      <c r="B14" s="752">
        <v>19</v>
      </c>
      <c r="C14" s="768" t="s">
        <v>717</v>
      </c>
      <c r="D14" s="635" t="s">
        <v>375</v>
      </c>
      <c r="E14" s="769"/>
      <c r="F14" s="770"/>
      <c r="G14" s="770"/>
      <c r="H14" s="770"/>
      <c r="I14" s="770"/>
      <c r="J14" s="770"/>
      <c r="K14" s="771"/>
      <c r="L14" s="772"/>
      <c r="M14" s="772"/>
      <c r="N14" s="773"/>
      <c r="O14" s="773"/>
      <c r="P14" s="773"/>
      <c r="Q14" s="773"/>
      <c r="R14" s="773"/>
      <c r="S14" s="773"/>
      <c r="T14" s="773"/>
      <c r="U14" s="773"/>
      <c r="V14" s="773"/>
      <c r="W14" s="773"/>
      <c r="X14" s="773"/>
      <c r="Y14" s="773"/>
      <c r="Z14" s="773"/>
      <c r="AA14" s="773"/>
      <c r="AB14" s="772"/>
      <c r="AC14" s="772"/>
      <c r="AD14" s="772"/>
      <c r="AE14" s="772"/>
      <c r="AF14" s="772"/>
      <c r="AG14" s="772"/>
      <c r="AH14" s="772"/>
      <c r="AI14" s="772"/>
      <c r="AJ14" s="772"/>
      <c r="AK14" s="772"/>
      <c r="AL14" s="772"/>
      <c r="AM14" s="772"/>
      <c r="AN14" s="772"/>
      <c r="AO14" s="772"/>
      <c r="AP14" s="772"/>
      <c r="AQ14" s="772"/>
      <c r="AR14" s="772"/>
      <c r="AS14" s="772"/>
      <c r="AT14" s="772"/>
      <c r="AU14" s="772"/>
      <c r="AV14" s="772"/>
      <c r="AW14" s="772"/>
      <c r="AX14" s="772"/>
      <c r="AY14" s="772"/>
      <c r="AZ14" s="772"/>
      <c r="BA14" s="772"/>
      <c r="BB14" s="772"/>
      <c r="BC14" s="772"/>
      <c r="BD14" s="772"/>
      <c r="BE14" s="772"/>
      <c r="BF14" s="772"/>
      <c r="BG14" s="772"/>
      <c r="BH14" s="772"/>
      <c r="BI14" s="772"/>
      <c r="BJ14" s="772"/>
      <c r="BK14" s="772"/>
      <c r="BL14" s="772"/>
      <c r="BM14" s="772"/>
      <c r="BN14" s="772"/>
      <c r="BO14" s="772"/>
      <c r="BP14" s="772"/>
      <c r="BQ14" s="772"/>
      <c r="BR14" s="772"/>
      <c r="BS14" s="772"/>
      <c r="BT14" s="772"/>
      <c r="BU14" s="772"/>
      <c r="BV14" s="772"/>
      <c r="BW14" s="772"/>
      <c r="BX14" s="772"/>
      <c r="BY14" s="772"/>
      <c r="BZ14" s="772"/>
      <c r="CA14" s="772"/>
      <c r="CB14" s="772"/>
      <c r="CC14" s="772"/>
      <c r="CD14" s="772"/>
      <c r="CE14" s="772"/>
    </row>
    <row r="15" spans="1:139" x14ac:dyDescent="0.25">
      <c r="A15" s="767">
        <v>20</v>
      </c>
      <c r="B15" s="752">
        <v>20</v>
      </c>
      <c r="C15" s="768" t="s">
        <v>275</v>
      </c>
      <c r="D15" s="635" t="s">
        <v>376</v>
      </c>
      <c r="E15" s="769">
        <v>0</v>
      </c>
      <c r="F15" s="770">
        <v>0</v>
      </c>
      <c r="G15" s="770">
        <v>0</v>
      </c>
      <c r="H15" s="770">
        <v>0</v>
      </c>
      <c r="I15" s="770">
        <v>0</v>
      </c>
      <c r="J15" s="770">
        <v>0</v>
      </c>
      <c r="K15" s="771">
        <v>0</v>
      </c>
      <c r="L15" s="772">
        <v>0</v>
      </c>
      <c r="M15" s="772">
        <v>0</v>
      </c>
      <c r="N15" s="773">
        <v>19677171</v>
      </c>
      <c r="O15" s="773">
        <v>165344</v>
      </c>
      <c r="P15" s="773">
        <v>223258</v>
      </c>
      <c r="Q15" s="773">
        <v>5807</v>
      </c>
      <c r="R15" s="773">
        <v>0</v>
      </c>
      <c r="S15" s="773">
        <v>0</v>
      </c>
      <c r="T15" s="773">
        <v>0</v>
      </c>
      <c r="U15" s="773">
        <v>0</v>
      </c>
      <c r="V15" s="773">
        <v>390211</v>
      </c>
      <c r="W15" s="773">
        <v>0</v>
      </c>
      <c r="X15" s="773">
        <v>0</v>
      </c>
      <c r="Y15" s="773">
        <v>0</v>
      </c>
      <c r="Z15" s="773">
        <v>0</v>
      </c>
      <c r="AA15" s="773">
        <v>5398732</v>
      </c>
      <c r="AB15" s="772">
        <v>21213</v>
      </c>
      <c r="AC15" s="772">
        <v>0</v>
      </c>
      <c r="AD15" s="772">
        <v>114000</v>
      </c>
      <c r="AE15" s="772">
        <v>0</v>
      </c>
      <c r="AF15" s="772">
        <v>0</v>
      </c>
      <c r="AG15" s="772">
        <v>6621009</v>
      </c>
      <c r="AH15" s="772">
        <v>0</v>
      </c>
      <c r="AI15" s="772">
        <v>0</v>
      </c>
      <c r="AJ15" s="772">
        <v>2268</v>
      </c>
      <c r="AK15" s="772">
        <v>0</v>
      </c>
      <c r="AL15" s="772">
        <v>0</v>
      </c>
      <c r="AM15" s="772">
        <v>250000</v>
      </c>
      <c r="AN15" s="772">
        <v>0</v>
      </c>
      <c r="AO15" s="772">
        <v>0</v>
      </c>
      <c r="AP15" s="772">
        <v>0</v>
      </c>
      <c r="AQ15" s="772">
        <v>145327</v>
      </c>
      <c r="AR15" s="772">
        <v>0</v>
      </c>
      <c r="AS15" s="772">
        <v>0</v>
      </c>
      <c r="AT15" s="772">
        <v>0</v>
      </c>
      <c r="AU15" s="772">
        <v>30104</v>
      </c>
      <c r="AV15" s="772">
        <v>40152745</v>
      </c>
      <c r="AW15" s="772">
        <v>19418526</v>
      </c>
      <c r="AX15" s="772">
        <v>0</v>
      </c>
      <c r="AY15" s="772">
        <v>23950</v>
      </c>
      <c r="AZ15" s="772">
        <v>0</v>
      </c>
      <c r="BA15" s="772">
        <v>0</v>
      </c>
      <c r="BB15" s="772">
        <v>5000</v>
      </c>
      <c r="BC15" s="772">
        <v>0</v>
      </c>
      <c r="BD15" s="772">
        <v>0</v>
      </c>
      <c r="BE15" s="772">
        <v>0</v>
      </c>
      <c r="BF15" s="772">
        <v>0</v>
      </c>
      <c r="BG15" s="772">
        <v>2190000</v>
      </c>
      <c r="BH15" s="772">
        <v>0</v>
      </c>
      <c r="BI15" s="772">
        <v>680534</v>
      </c>
      <c r="BJ15" s="772">
        <v>0</v>
      </c>
      <c r="BK15" s="772">
        <v>0</v>
      </c>
      <c r="BL15" s="772">
        <v>0</v>
      </c>
      <c r="BM15" s="772">
        <v>571533</v>
      </c>
      <c r="BN15" s="772">
        <v>731347</v>
      </c>
      <c r="BO15" s="772">
        <v>0</v>
      </c>
      <c r="BP15" s="772">
        <v>3665330</v>
      </c>
      <c r="BQ15" s="772">
        <v>9273986</v>
      </c>
      <c r="BR15" s="772">
        <v>35834</v>
      </c>
      <c r="BS15" s="772">
        <v>237922</v>
      </c>
      <c r="BT15" s="772">
        <v>0</v>
      </c>
      <c r="BU15" s="772">
        <v>240000</v>
      </c>
      <c r="BV15" s="772">
        <v>0</v>
      </c>
      <c r="BW15" s="772">
        <v>374</v>
      </c>
      <c r="BX15" s="772">
        <v>806576</v>
      </c>
      <c r="BY15" s="772">
        <v>0</v>
      </c>
      <c r="BZ15" s="772">
        <v>5486742</v>
      </c>
      <c r="CA15" s="772">
        <v>3681</v>
      </c>
      <c r="CB15" s="772">
        <v>250725</v>
      </c>
      <c r="CC15" s="772">
        <v>0</v>
      </c>
      <c r="CD15" s="772">
        <v>0</v>
      </c>
      <c r="CE15" s="772">
        <v>371979</v>
      </c>
    </row>
    <row r="16" spans="1:139" ht="30" x14ac:dyDescent="0.25">
      <c r="B16" s="752">
        <v>21</v>
      </c>
      <c r="C16" s="768" t="s">
        <v>718</v>
      </c>
      <c r="D16" s="635" t="s">
        <v>377</v>
      </c>
      <c r="E16" s="769"/>
      <c r="F16" s="770"/>
      <c r="G16" s="770"/>
      <c r="H16" s="770"/>
      <c r="I16" s="770"/>
      <c r="J16" s="770"/>
      <c r="K16" s="771"/>
      <c r="L16" s="772"/>
      <c r="M16" s="772"/>
      <c r="N16" s="773"/>
      <c r="O16" s="773"/>
      <c r="P16" s="773"/>
      <c r="Q16" s="773"/>
      <c r="R16" s="773"/>
      <c r="S16" s="773"/>
      <c r="T16" s="773"/>
      <c r="U16" s="773"/>
      <c r="V16" s="773"/>
      <c r="W16" s="773"/>
      <c r="X16" s="773"/>
      <c r="Y16" s="773"/>
      <c r="Z16" s="773"/>
      <c r="AA16" s="773"/>
      <c r="AB16" s="772"/>
      <c r="AC16" s="772"/>
      <c r="AD16" s="772"/>
      <c r="AE16" s="772"/>
      <c r="AF16" s="772"/>
      <c r="AG16" s="772"/>
      <c r="AH16" s="772"/>
      <c r="AI16" s="772"/>
      <c r="AJ16" s="772"/>
      <c r="AK16" s="772"/>
      <c r="AL16" s="772"/>
      <c r="AM16" s="772"/>
      <c r="AN16" s="772"/>
      <c r="AO16" s="772"/>
      <c r="AP16" s="772"/>
      <c r="AQ16" s="772"/>
      <c r="AR16" s="772"/>
      <c r="AS16" s="772"/>
      <c r="AT16" s="772"/>
      <c r="AU16" s="772"/>
      <c r="AV16" s="772"/>
      <c r="AW16" s="772"/>
      <c r="AX16" s="772"/>
      <c r="AY16" s="772"/>
      <c r="AZ16" s="772"/>
      <c r="BA16" s="772"/>
      <c r="BB16" s="772"/>
      <c r="BC16" s="772"/>
      <c r="BD16" s="772"/>
      <c r="BE16" s="772"/>
      <c r="BF16" s="772"/>
      <c r="BG16" s="772"/>
      <c r="BH16" s="772"/>
      <c r="BI16" s="772"/>
      <c r="BJ16" s="772"/>
      <c r="BK16" s="772"/>
      <c r="BL16" s="772"/>
      <c r="BM16" s="772"/>
      <c r="BN16" s="772"/>
      <c r="BO16" s="772"/>
      <c r="BP16" s="772"/>
      <c r="BQ16" s="772"/>
      <c r="BR16" s="772"/>
      <c r="BS16" s="772"/>
      <c r="BT16" s="772"/>
      <c r="BU16" s="772"/>
      <c r="BV16" s="772"/>
      <c r="BW16" s="772"/>
      <c r="BX16" s="772"/>
      <c r="BY16" s="772"/>
      <c r="BZ16" s="772"/>
      <c r="CA16" s="772"/>
      <c r="CB16" s="772"/>
      <c r="CC16" s="772"/>
      <c r="CD16" s="772"/>
      <c r="CE16" s="772"/>
    </row>
    <row r="17" spans="1:83" x14ac:dyDescent="0.25">
      <c r="A17" s="767">
        <v>22</v>
      </c>
      <c r="B17" s="752">
        <v>22</v>
      </c>
      <c r="C17" s="768" t="s">
        <v>277</v>
      </c>
      <c r="D17" s="635" t="s">
        <v>378</v>
      </c>
      <c r="E17" s="769">
        <v>0</v>
      </c>
      <c r="F17" s="770">
        <v>0</v>
      </c>
      <c r="G17" s="770">
        <v>0</v>
      </c>
      <c r="H17" s="770">
        <v>0</v>
      </c>
      <c r="I17" s="770">
        <v>0</v>
      </c>
      <c r="J17" s="770">
        <v>2500</v>
      </c>
      <c r="K17" s="771">
        <v>0</v>
      </c>
      <c r="L17" s="772">
        <v>0</v>
      </c>
      <c r="M17" s="772">
        <v>0</v>
      </c>
      <c r="N17" s="773">
        <v>5564030</v>
      </c>
      <c r="O17" s="773">
        <v>0</v>
      </c>
      <c r="P17" s="773">
        <v>32542</v>
      </c>
      <c r="Q17" s="773">
        <v>0</v>
      </c>
      <c r="R17" s="773">
        <v>88546</v>
      </c>
      <c r="S17" s="773">
        <v>0</v>
      </c>
      <c r="T17" s="773">
        <v>0</v>
      </c>
      <c r="U17" s="773">
        <v>0</v>
      </c>
      <c r="V17" s="773">
        <v>0</v>
      </c>
      <c r="W17" s="773">
        <v>772</v>
      </c>
      <c r="X17" s="773">
        <v>0</v>
      </c>
      <c r="Y17" s="773">
        <v>0</v>
      </c>
      <c r="Z17" s="773">
        <v>0</v>
      </c>
      <c r="AA17" s="773">
        <v>0</v>
      </c>
      <c r="AB17" s="772">
        <v>0</v>
      </c>
      <c r="AC17" s="772">
        <v>0</v>
      </c>
      <c r="AD17" s="772">
        <v>53213</v>
      </c>
      <c r="AE17" s="772">
        <v>2082</v>
      </c>
      <c r="AF17" s="772">
        <v>0</v>
      </c>
      <c r="AG17" s="772">
        <v>0</v>
      </c>
      <c r="AH17" s="772">
        <v>0</v>
      </c>
      <c r="AI17" s="772">
        <v>0</v>
      </c>
      <c r="AJ17" s="772">
        <v>0</v>
      </c>
      <c r="AK17" s="772">
        <v>0</v>
      </c>
      <c r="AL17" s="772">
        <v>282146</v>
      </c>
      <c r="AM17" s="772">
        <v>252509</v>
      </c>
      <c r="AN17" s="772">
        <v>0</v>
      </c>
      <c r="AO17" s="772">
        <v>0</v>
      </c>
      <c r="AP17" s="772">
        <v>0</v>
      </c>
      <c r="AQ17" s="772">
        <v>0</v>
      </c>
      <c r="AR17" s="772">
        <v>0</v>
      </c>
      <c r="AS17" s="772">
        <v>0</v>
      </c>
      <c r="AT17" s="772">
        <v>0</v>
      </c>
      <c r="AU17" s="772">
        <v>0</v>
      </c>
      <c r="AV17" s="772">
        <v>0</v>
      </c>
      <c r="AW17" s="772">
        <v>0</v>
      </c>
      <c r="AX17" s="772">
        <v>2391</v>
      </c>
      <c r="AY17" s="772">
        <v>0</v>
      </c>
      <c r="AZ17" s="772">
        <v>0</v>
      </c>
      <c r="BA17" s="772">
        <v>0</v>
      </c>
      <c r="BB17" s="772">
        <v>0</v>
      </c>
      <c r="BC17" s="772">
        <v>-5100</v>
      </c>
      <c r="BD17" s="772">
        <v>2412</v>
      </c>
      <c r="BE17" s="772">
        <v>0</v>
      </c>
      <c r="BF17" s="772">
        <v>0</v>
      </c>
      <c r="BG17" s="772">
        <v>18329</v>
      </c>
      <c r="BH17" s="772">
        <v>0</v>
      </c>
      <c r="BI17" s="772">
        <v>0</v>
      </c>
      <c r="BJ17" s="772">
        <v>3071</v>
      </c>
      <c r="BK17" s="772">
        <v>13150</v>
      </c>
      <c r="BL17" s="772">
        <v>0</v>
      </c>
      <c r="BM17" s="772">
        <v>0</v>
      </c>
      <c r="BN17" s="772">
        <v>51686</v>
      </c>
      <c r="BO17" s="772">
        <v>0</v>
      </c>
      <c r="BP17" s="772">
        <v>0</v>
      </c>
      <c r="BQ17" s="772">
        <v>0</v>
      </c>
      <c r="BR17" s="772">
        <v>0</v>
      </c>
      <c r="BS17" s="772">
        <v>0</v>
      </c>
      <c r="BT17" s="772">
        <v>0</v>
      </c>
      <c r="BU17" s="772">
        <v>43670</v>
      </c>
      <c r="BV17" s="772">
        <v>0</v>
      </c>
      <c r="BW17" s="772">
        <v>0</v>
      </c>
      <c r="BX17" s="772">
        <v>15832</v>
      </c>
      <c r="BY17" s="772">
        <v>0</v>
      </c>
      <c r="BZ17" s="772">
        <v>26825</v>
      </c>
      <c r="CA17" s="772">
        <v>0</v>
      </c>
      <c r="CB17" s="772">
        <v>12054</v>
      </c>
      <c r="CC17" s="772">
        <v>0</v>
      </c>
      <c r="CD17" s="772">
        <v>47468</v>
      </c>
      <c r="CE17" s="772">
        <v>0</v>
      </c>
    </row>
    <row r="18" spans="1:83" x14ac:dyDescent="0.25">
      <c r="A18" s="767">
        <v>23</v>
      </c>
      <c r="B18" s="752">
        <v>23</v>
      </c>
      <c r="C18" s="768" t="s">
        <v>280</v>
      </c>
      <c r="D18" s="635" t="s">
        <v>379</v>
      </c>
      <c r="E18" s="769">
        <v>68053</v>
      </c>
      <c r="F18" s="770">
        <v>144464</v>
      </c>
      <c r="G18" s="770">
        <v>19020</v>
      </c>
      <c r="H18" s="770">
        <v>157087</v>
      </c>
      <c r="I18" s="770">
        <v>71103</v>
      </c>
      <c r="J18" s="770">
        <v>-4264</v>
      </c>
      <c r="K18" s="771">
        <v>3502</v>
      </c>
      <c r="L18" s="772">
        <v>19801</v>
      </c>
      <c r="M18" s="772">
        <v>-124792</v>
      </c>
      <c r="N18" s="773">
        <v>4860945</v>
      </c>
      <c r="O18" s="773">
        <v>-60942</v>
      </c>
      <c r="P18" s="773">
        <v>137691</v>
      </c>
      <c r="Q18" s="773">
        <v>32876</v>
      </c>
      <c r="R18" s="773">
        <v>2197080</v>
      </c>
      <c r="S18" s="773">
        <v>-37137</v>
      </c>
      <c r="T18" s="773">
        <v>109911</v>
      </c>
      <c r="U18" s="773">
        <v>43937</v>
      </c>
      <c r="V18" s="773">
        <v>-256517</v>
      </c>
      <c r="W18" s="773">
        <v>189447</v>
      </c>
      <c r="X18" s="773">
        <v>116859</v>
      </c>
      <c r="Y18" s="773">
        <v>104749</v>
      </c>
      <c r="Z18" s="773">
        <v>-69274</v>
      </c>
      <c r="AA18" s="773">
        <v>819643</v>
      </c>
      <c r="AB18" s="772">
        <v>467383</v>
      </c>
      <c r="AC18" s="772">
        <v>122175</v>
      </c>
      <c r="AD18" s="772">
        <v>647009</v>
      </c>
      <c r="AE18" s="772">
        <v>183146</v>
      </c>
      <c r="AF18" s="772">
        <v>9235</v>
      </c>
      <c r="AG18" s="772">
        <v>3048744</v>
      </c>
      <c r="AH18" s="772">
        <v>8251</v>
      </c>
      <c r="AI18" s="772">
        <v>16336</v>
      </c>
      <c r="AJ18" s="772">
        <v>306397</v>
      </c>
      <c r="AK18" s="772">
        <v>-44600</v>
      </c>
      <c r="AL18" s="772">
        <v>1427</v>
      </c>
      <c r="AM18" s="772">
        <v>-973354</v>
      </c>
      <c r="AN18" s="772">
        <v>33361</v>
      </c>
      <c r="AO18" s="772">
        <v>849846</v>
      </c>
      <c r="AP18" s="772">
        <v>-20473</v>
      </c>
      <c r="AQ18" s="772">
        <v>328886</v>
      </c>
      <c r="AR18" s="772">
        <v>-187456</v>
      </c>
      <c r="AS18" s="772">
        <v>-17763</v>
      </c>
      <c r="AT18" s="772">
        <v>14637</v>
      </c>
      <c r="AU18" s="772">
        <v>80657</v>
      </c>
      <c r="AV18" s="772">
        <v>-898023</v>
      </c>
      <c r="AW18" s="772">
        <v>-8522297</v>
      </c>
      <c r="AX18" s="772">
        <v>15770</v>
      </c>
      <c r="AY18" s="772">
        <v>-50655</v>
      </c>
      <c r="AZ18" s="772">
        <v>7256</v>
      </c>
      <c r="BA18" s="772">
        <v>-1735</v>
      </c>
      <c r="BB18" s="772">
        <v>26832</v>
      </c>
      <c r="BC18" s="772">
        <v>60558</v>
      </c>
      <c r="BD18" s="772">
        <v>-154581</v>
      </c>
      <c r="BE18" s="772">
        <v>47218</v>
      </c>
      <c r="BF18" s="772">
        <v>3538</v>
      </c>
      <c r="BG18" s="772">
        <v>-1250630</v>
      </c>
      <c r="BH18" s="772">
        <v>-6680</v>
      </c>
      <c r="BI18" s="772">
        <v>685804</v>
      </c>
      <c r="BJ18" s="772">
        <v>-243128</v>
      </c>
      <c r="BK18" s="772">
        <v>-17335</v>
      </c>
      <c r="BL18" s="772">
        <v>-14361</v>
      </c>
      <c r="BM18" s="772">
        <v>1037539</v>
      </c>
      <c r="BN18" s="772">
        <v>-104966</v>
      </c>
      <c r="BO18" s="772">
        <v>35297</v>
      </c>
      <c r="BP18" s="772">
        <v>1696543</v>
      </c>
      <c r="BQ18" s="772">
        <v>-8789537</v>
      </c>
      <c r="BR18" s="772">
        <v>-28023</v>
      </c>
      <c r="BS18" s="772">
        <v>-182791</v>
      </c>
      <c r="BT18" s="772">
        <v>1458437</v>
      </c>
      <c r="BU18" s="772">
        <v>935463</v>
      </c>
      <c r="BV18" s="772">
        <v>21012</v>
      </c>
      <c r="BW18" s="772">
        <v>-3907</v>
      </c>
      <c r="BX18" s="772">
        <v>279249</v>
      </c>
      <c r="BY18" s="772">
        <v>270706</v>
      </c>
      <c r="BZ18" s="772">
        <v>1754179</v>
      </c>
      <c r="CA18" s="772">
        <v>-22186</v>
      </c>
      <c r="CB18" s="772">
        <v>-1063992</v>
      </c>
      <c r="CC18" s="772">
        <v>152887</v>
      </c>
      <c r="CD18" s="772">
        <v>241992</v>
      </c>
      <c r="CE18" s="772">
        <v>3951085</v>
      </c>
    </row>
    <row r="19" spans="1:83" x14ac:dyDescent="0.25">
      <c r="B19" s="752">
        <v>31</v>
      </c>
      <c r="C19" s="768" t="s">
        <v>719</v>
      </c>
      <c r="D19" s="635" t="s">
        <v>380</v>
      </c>
      <c r="E19" s="769"/>
      <c r="F19" s="770"/>
      <c r="G19" s="770"/>
      <c r="H19" s="770"/>
      <c r="I19" s="770"/>
      <c r="J19" s="770"/>
      <c r="K19" s="771"/>
      <c r="L19" s="772"/>
      <c r="M19" s="772"/>
      <c r="N19" s="773"/>
      <c r="O19" s="773"/>
      <c r="P19" s="773"/>
      <c r="Q19" s="773"/>
      <c r="R19" s="773"/>
      <c r="S19" s="773"/>
      <c r="T19" s="773"/>
      <c r="U19" s="773"/>
      <c r="V19" s="773"/>
      <c r="W19" s="773"/>
      <c r="X19" s="773"/>
      <c r="Y19" s="773"/>
      <c r="Z19" s="773"/>
      <c r="AA19" s="773"/>
      <c r="AB19" s="772"/>
      <c r="AC19" s="772"/>
      <c r="AD19" s="772"/>
      <c r="AE19" s="772"/>
      <c r="AF19" s="772"/>
      <c r="AG19" s="772"/>
      <c r="AH19" s="772"/>
      <c r="AI19" s="772"/>
      <c r="AJ19" s="772"/>
      <c r="AK19" s="772"/>
      <c r="AL19" s="772"/>
      <c r="AM19" s="772"/>
      <c r="AN19" s="772"/>
      <c r="AO19" s="772"/>
      <c r="AP19" s="772"/>
      <c r="AQ19" s="772"/>
      <c r="AR19" s="772"/>
      <c r="AS19" s="772"/>
      <c r="AT19" s="772"/>
      <c r="AU19" s="772"/>
      <c r="AV19" s="772"/>
      <c r="AW19" s="772"/>
      <c r="AX19" s="772"/>
      <c r="AY19" s="772"/>
      <c r="AZ19" s="772"/>
      <c r="BA19" s="772"/>
      <c r="BB19" s="772"/>
      <c r="BC19" s="772"/>
      <c r="BD19" s="772"/>
      <c r="BE19" s="772"/>
      <c r="BF19" s="772"/>
      <c r="BG19" s="772"/>
      <c r="BH19" s="772"/>
      <c r="BI19" s="772"/>
      <c r="BJ19" s="772"/>
      <c r="BK19" s="772"/>
      <c r="BL19" s="772"/>
      <c r="BM19" s="772"/>
      <c r="BN19" s="772"/>
      <c r="BO19" s="772"/>
      <c r="BP19" s="772"/>
      <c r="BQ19" s="772"/>
      <c r="BR19" s="772"/>
      <c r="BS19" s="772"/>
      <c r="BT19" s="772"/>
      <c r="BU19" s="772"/>
      <c r="BV19" s="772"/>
      <c r="BW19" s="772"/>
      <c r="BX19" s="772"/>
      <c r="BY19" s="772"/>
      <c r="BZ19" s="772"/>
      <c r="CA19" s="772"/>
      <c r="CB19" s="772"/>
      <c r="CC19" s="772"/>
      <c r="CD19" s="772"/>
      <c r="CE19" s="772"/>
    </row>
    <row r="20" spans="1:83" ht="30" x14ac:dyDescent="0.25">
      <c r="B20" s="752">
        <v>32</v>
      </c>
      <c r="C20" s="774" t="s">
        <v>381</v>
      </c>
      <c r="D20" s="635" t="s">
        <v>382</v>
      </c>
      <c r="E20" s="769"/>
      <c r="F20" s="770"/>
      <c r="G20" s="770"/>
      <c r="H20" s="770"/>
      <c r="I20" s="770"/>
      <c r="J20" s="770"/>
      <c r="K20" s="771"/>
      <c r="L20" s="772"/>
      <c r="M20" s="772"/>
      <c r="N20" s="773"/>
      <c r="O20" s="773"/>
      <c r="P20" s="773"/>
      <c r="Q20" s="773"/>
      <c r="R20" s="773"/>
      <c r="S20" s="773"/>
      <c r="T20" s="773"/>
      <c r="U20" s="773"/>
      <c r="V20" s="773"/>
      <c r="W20" s="773"/>
      <c r="X20" s="773"/>
      <c r="Y20" s="773"/>
      <c r="Z20" s="773"/>
      <c r="AA20" s="773"/>
      <c r="AB20" s="772"/>
      <c r="AC20" s="772"/>
      <c r="AD20" s="772"/>
      <c r="AE20" s="772"/>
      <c r="AF20" s="772"/>
      <c r="AG20" s="772"/>
      <c r="AH20" s="772"/>
      <c r="AI20" s="772"/>
      <c r="AJ20" s="772"/>
      <c r="AK20" s="772"/>
      <c r="AL20" s="772"/>
      <c r="AM20" s="772"/>
      <c r="AN20" s="772"/>
      <c r="AO20" s="772"/>
      <c r="AP20" s="772"/>
      <c r="AQ20" s="772"/>
      <c r="AR20" s="772"/>
      <c r="AS20" s="772"/>
      <c r="AT20" s="772"/>
      <c r="AU20" s="772"/>
      <c r="AV20" s="772"/>
      <c r="AW20" s="772"/>
      <c r="AX20" s="772"/>
      <c r="AY20" s="772"/>
      <c r="AZ20" s="772"/>
      <c r="BA20" s="772"/>
      <c r="BB20" s="772"/>
      <c r="BC20" s="772"/>
      <c r="BD20" s="772"/>
      <c r="BE20" s="772"/>
      <c r="BF20" s="772"/>
      <c r="BG20" s="772"/>
      <c r="BH20" s="772"/>
      <c r="BI20" s="772"/>
      <c r="BJ20" s="772"/>
      <c r="BK20" s="772"/>
      <c r="BL20" s="772"/>
      <c r="BM20" s="772"/>
      <c r="BN20" s="772"/>
      <c r="BO20" s="772"/>
      <c r="BP20" s="772"/>
      <c r="BQ20" s="772"/>
      <c r="BR20" s="772"/>
      <c r="BS20" s="772"/>
      <c r="BT20" s="772"/>
      <c r="BU20" s="772"/>
      <c r="BV20" s="772"/>
      <c r="BW20" s="772"/>
      <c r="BX20" s="772"/>
      <c r="BY20" s="772"/>
      <c r="BZ20" s="772"/>
      <c r="CA20" s="772"/>
      <c r="CB20" s="772"/>
      <c r="CC20" s="772"/>
      <c r="CD20" s="772"/>
      <c r="CE20" s="772"/>
    </row>
    <row r="21" spans="1:83" ht="30" x14ac:dyDescent="0.25">
      <c r="B21" s="752">
        <v>33</v>
      </c>
      <c r="C21" s="774" t="s">
        <v>383</v>
      </c>
      <c r="D21" s="635" t="s">
        <v>384</v>
      </c>
      <c r="E21" s="769"/>
      <c r="F21" s="770"/>
      <c r="G21" s="770"/>
      <c r="H21" s="770"/>
      <c r="I21" s="770"/>
      <c r="J21" s="770"/>
      <c r="K21" s="771"/>
      <c r="L21" s="772"/>
      <c r="M21" s="772"/>
      <c r="N21" s="773"/>
      <c r="O21" s="773"/>
      <c r="P21" s="773"/>
      <c r="Q21" s="773"/>
      <c r="R21" s="773"/>
      <c r="S21" s="773"/>
      <c r="T21" s="773"/>
      <c r="U21" s="773"/>
      <c r="V21" s="773"/>
      <c r="W21" s="773"/>
      <c r="X21" s="773"/>
      <c r="Y21" s="773"/>
      <c r="Z21" s="773"/>
      <c r="AA21" s="773"/>
      <c r="AB21" s="772"/>
      <c r="AC21" s="772"/>
      <c r="AD21" s="772"/>
      <c r="AE21" s="772"/>
      <c r="AF21" s="772"/>
      <c r="AG21" s="772"/>
      <c r="AH21" s="772"/>
      <c r="AI21" s="772"/>
      <c r="AJ21" s="772"/>
      <c r="AK21" s="772"/>
      <c r="AL21" s="772"/>
      <c r="AM21" s="772"/>
      <c r="AN21" s="772"/>
      <c r="AO21" s="772"/>
      <c r="AP21" s="772"/>
      <c r="AQ21" s="772"/>
      <c r="AR21" s="772"/>
      <c r="AS21" s="772"/>
      <c r="AT21" s="772"/>
      <c r="AU21" s="772"/>
      <c r="AV21" s="772"/>
      <c r="AW21" s="772"/>
      <c r="AX21" s="772"/>
      <c r="AY21" s="772"/>
      <c r="AZ21" s="772"/>
      <c r="BA21" s="772"/>
      <c r="BB21" s="772"/>
      <c r="BC21" s="772"/>
      <c r="BD21" s="772"/>
      <c r="BE21" s="772"/>
      <c r="BF21" s="772"/>
      <c r="BG21" s="772"/>
      <c r="BH21" s="772"/>
      <c r="BI21" s="772"/>
      <c r="BJ21" s="772"/>
      <c r="BK21" s="772"/>
      <c r="BL21" s="772"/>
      <c r="BM21" s="772"/>
      <c r="BN21" s="772"/>
      <c r="BO21" s="772"/>
      <c r="BP21" s="772"/>
      <c r="BQ21" s="772"/>
      <c r="BR21" s="772"/>
      <c r="BS21" s="772"/>
      <c r="BT21" s="772"/>
      <c r="BU21" s="772"/>
      <c r="BV21" s="772"/>
      <c r="BW21" s="772"/>
      <c r="BX21" s="772"/>
      <c r="BY21" s="772"/>
      <c r="BZ21" s="772"/>
      <c r="CA21" s="772"/>
      <c r="CB21" s="772"/>
      <c r="CC21" s="772"/>
      <c r="CD21" s="772"/>
      <c r="CE21" s="772"/>
    </row>
    <row r="22" spans="1:83" x14ac:dyDescent="0.25">
      <c r="B22" s="752">
        <v>34</v>
      </c>
      <c r="C22" s="775" t="s">
        <v>385</v>
      </c>
      <c r="D22" s="635" t="s">
        <v>386</v>
      </c>
      <c r="E22" s="769"/>
      <c r="F22" s="770"/>
      <c r="G22" s="770"/>
      <c r="H22" s="770"/>
      <c r="I22" s="770"/>
      <c r="J22" s="770"/>
      <c r="K22" s="771"/>
      <c r="L22" s="772"/>
      <c r="M22" s="772"/>
      <c r="N22" s="773"/>
      <c r="O22" s="773"/>
      <c r="P22" s="773"/>
      <c r="Q22" s="773"/>
      <c r="R22" s="773"/>
      <c r="S22" s="773"/>
      <c r="T22" s="773"/>
      <c r="U22" s="773"/>
      <c r="V22" s="773"/>
      <c r="W22" s="773"/>
      <c r="X22" s="773"/>
      <c r="Y22" s="773"/>
      <c r="Z22" s="773"/>
      <c r="AA22" s="773"/>
      <c r="AB22" s="772"/>
      <c r="AC22" s="772"/>
      <c r="AD22" s="772"/>
      <c r="AE22" s="772"/>
      <c r="AF22" s="772"/>
      <c r="AG22" s="772"/>
      <c r="AH22" s="772"/>
      <c r="AI22" s="772"/>
      <c r="AJ22" s="772"/>
      <c r="AK22" s="772"/>
      <c r="AL22" s="772"/>
      <c r="AM22" s="772"/>
      <c r="AN22" s="772"/>
      <c r="AO22" s="772"/>
      <c r="AP22" s="772"/>
      <c r="AQ22" s="772"/>
      <c r="AR22" s="772"/>
      <c r="AS22" s="772"/>
      <c r="AT22" s="772"/>
      <c r="AU22" s="772"/>
      <c r="AV22" s="772"/>
      <c r="AW22" s="772"/>
      <c r="AX22" s="772"/>
      <c r="AY22" s="772"/>
      <c r="AZ22" s="772"/>
      <c r="BA22" s="772"/>
      <c r="BB22" s="772"/>
      <c r="BC22" s="772"/>
      <c r="BD22" s="772"/>
      <c r="BE22" s="772"/>
      <c r="BF22" s="772"/>
      <c r="BG22" s="772"/>
      <c r="BH22" s="772"/>
      <c r="BI22" s="772"/>
      <c r="BJ22" s="772"/>
      <c r="BK22" s="772"/>
      <c r="BL22" s="772"/>
      <c r="BM22" s="772"/>
      <c r="BN22" s="772"/>
      <c r="BO22" s="772"/>
      <c r="BP22" s="772"/>
      <c r="BQ22" s="772"/>
      <c r="BR22" s="772"/>
      <c r="BS22" s="772"/>
      <c r="BT22" s="772"/>
      <c r="BU22" s="772"/>
      <c r="BV22" s="772"/>
      <c r="BW22" s="772"/>
      <c r="BX22" s="772"/>
      <c r="BY22" s="772"/>
      <c r="BZ22" s="772"/>
      <c r="CA22" s="772"/>
      <c r="CB22" s="772"/>
      <c r="CC22" s="772"/>
      <c r="CD22" s="772"/>
      <c r="CE22" s="772"/>
    </row>
    <row r="23" spans="1:83" x14ac:dyDescent="0.25">
      <c r="B23" s="752">
        <v>35</v>
      </c>
      <c r="C23" s="775" t="s">
        <v>720</v>
      </c>
      <c r="D23" s="635" t="s">
        <v>387</v>
      </c>
      <c r="E23" s="769"/>
      <c r="F23" s="770"/>
      <c r="G23" s="770"/>
      <c r="H23" s="770"/>
      <c r="I23" s="770"/>
      <c r="J23" s="770"/>
      <c r="K23" s="771"/>
      <c r="L23" s="772"/>
      <c r="M23" s="772"/>
      <c r="N23" s="773"/>
      <c r="O23" s="773"/>
      <c r="P23" s="773"/>
      <c r="Q23" s="773"/>
      <c r="R23" s="773"/>
      <c r="S23" s="773"/>
      <c r="T23" s="773"/>
      <c r="U23" s="773"/>
      <c r="V23" s="773"/>
      <c r="W23" s="773"/>
      <c r="X23" s="773"/>
      <c r="Y23" s="773"/>
      <c r="Z23" s="773"/>
      <c r="AA23" s="773"/>
      <c r="AB23" s="772"/>
      <c r="AC23" s="772"/>
      <c r="AD23" s="772"/>
      <c r="AE23" s="772"/>
      <c r="AF23" s="772"/>
      <c r="AG23" s="772"/>
      <c r="AH23" s="772"/>
      <c r="AI23" s="772"/>
      <c r="AJ23" s="772"/>
      <c r="AK23" s="772"/>
      <c r="AL23" s="772"/>
      <c r="AM23" s="772"/>
      <c r="AN23" s="772"/>
      <c r="AO23" s="772"/>
      <c r="AP23" s="772"/>
      <c r="AQ23" s="772"/>
      <c r="AR23" s="772"/>
      <c r="AS23" s="772"/>
      <c r="AT23" s="772"/>
      <c r="AU23" s="772"/>
      <c r="AV23" s="772"/>
      <c r="AW23" s="772"/>
      <c r="AX23" s="772"/>
      <c r="AY23" s="772"/>
      <c r="AZ23" s="772"/>
      <c r="BA23" s="772"/>
      <c r="BB23" s="772"/>
      <c r="BC23" s="772"/>
      <c r="BD23" s="772"/>
      <c r="BE23" s="772"/>
      <c r="BF23" s="772"/>
      <c r="BG23" s="772"/>
      <c r="BH23" s="772"/>
      <c r="BI23" s="772"/>
      <c r="BJ23" s="772"/>
      <c r="BK23" s="772"/>
      <c r="BL23" s="772"/>
      <c r="BM23" s="772"/>
      <c r="BN23" s="772"/>
      <c r="BO23" s="772"/>
      <c r="BP23" s="772"/>
      <c r="BQ23" s="772"/>
      <c r="BR23" s="772"/>
      <c r="BS23" s="772"/>
      <c r="BT23" s="772"/>
      <c r="BU23" s="772"/>
      <c r="BV23" s="772"/>
      <c r="BW23" s="772"/>
      <c r="BX23" s="772"/>
      <c r="BY23" s="772"/>
      <c r="BZ23" s="772"/>
      <c r="CA23" s="772"/>
      <c r="CB23" s="772"/>
      <c r="CC23" s="772"/>
      <c r="CD23" s="772"/>
      <c r="CE23" s="772"/>
    </row>
    <row r="24" spans="1:83" ht="25.5" x14ac:dyDescent="0.25">
      <c r="B24" s="752">
        <v>36</v>
      </c>
      <c r="C24" s="775" t="s">
        <v>721</v>
      </c>
      <c r="D24" s="635" t="s">
        <v>388</v>
      </c>
      <c r="E24" s="769"/>
      <c r="F24" s="770"/>
      <c r="G24" s="770"/>
      <c r="H24" s="770"/>
      <c r="I24" s="770"/>
      <c r="J24" s="770"/>
      <c r="K24" s="771"/>
      <c r="L24" s="772"/>
      <c r="M24" s="772"/>
      <c r="N24" s="773"/>
      <c r="O24" s="773"/>
      <c r="P24" s="773"/>
      <c r="Q24" s="773"/>
      <c r="R24" s="773"/>
      <c r="S24" s="773"/>
      <c r="T24" s="773"/>
      <c r="U24" s="773"/>
      <c r="V24" s="773"/>
      <c r="W24" s="773"/>
      <c r="X24" s="773"/>
      <c r="Y24" s="773"/>
      <c r="Z24" s="773"/>
      <c r="AA24" s="773"/>
      <c r="AB24" s="772"/>
      <c r="AC24" s="772"/>
      <c r="AD24" s="772"/>
      <c r="AE24" s="772"/>
      <c r="AF24" s="772"/>
      <c r="AG24" s="772"/>
      <c r="AH24" s="772"/>
      <c r="AI24" s="772"/>
      <c r="AJ24" s="772"/>
      <c r="AK24" s="772"/>
      <c r="AL24" s="772"/>
      <c r="AM24" s="772"/>
      <c r="AN24" s="772"/>
      <c r="AO24" s="772"/>
      <c r="AP24" s="772"/>
      <c r="AQ24" s="772"/>
      <c r="AR24" s="772"/>
      <c r="AS24" s="772"/>
      <c r="AT24" s="772"/>
      <c r="AU24" s="772"/>
      <c r="AV24" s="772"/>
      <c r="AW24" s="772"/>
      <c r="AX24" s="772"/>
      <c r="AY24" s="772"/>
      <c r="AZ24" s="772"/>
      <c r="BA24" s="772"/>
      <c r="BB24" s="772"/>
      <c r="BC24" s="772"/>
      <c r="BD24" s="772"/>
      <c r="BE24" s="772"/>
      <c r="BF24" s="772"/>
      <c r="BG24" s="772"/>
      <c r="BH24" s="772"/>
      <c r="BI24" s="772"/>
      <c r="BJ24" s="772"/>
      <c r="BK24" s="772"/>
      <c r="BL24" s="772"/>
      <c r="BM24" s="772"/>
      <c r="BN24" s="772"/>
      <c r="BO24" s="772"/>
      <c r="BP24" s="772"/>
      <c r="BQ24" s="772"/>
      <c r="BR24" s="772"/>
      <c r="BS24" s="772"/>
      <c r="BT24" s="772"/>
      <c r="BU24" s="772"/>
      <c r="BV24" s="772"/>
      <c r="BW24" s="772"/>
      <c r="BX24" s="772"/>
      <c r="BY24" s="772"/>
      <c r="BZ24" s="772"/>
      <c r="CA24" s="772"/>
      <c r="CB24" s="772"/>
      <c r="CC24" s="772"/>
      <c r="CD24" s="772"/>
      <c r="CE24" s="772"/>
    </row>
    <row r="25" spans="1:83" ht="25.5" x14ac:dyDescent="0.25">
      <c r="B25" s="752">
        <v>37</v>
      </c>
      <c r="C25" s="775" t="s">
        <v>389</v>
      </c>
      <c r="D25" s="635" t="s">
        <v>390</v>
      </c>
      <c r="E25" s="769"/>
      <c r="F25" s="770"/>
      <c r="G25" s="770"/>
      <c r="H25" s="770"/>
      <c r="I25" s="770"/>
      <c r="J25" s="770"/>
      <c r="K25" s="771"/>
      <c r="L25" s="772"/>
      <c r="M25" s="772"/>
      <c r="N25" s="773"/>
      <c r="O25" s="773"/>
      <c r="P25" s="773"/>
      <c r="Q25" s="773"/>
      <c r="R25" s="773"/>
      <c r="S25" s="773"/>
      <c r="T25" s="773"/>
      <c r="U25" s="773"/>
      <c r="V25" s="773"/>
      <c r="W25" s="773"/>
      <c r="X25" s="773"/>
      <c r="Y25" s="773"/>
      <c r="Z25" s="773"/>
      <c r="AA25" s="773"/>
      <c r="AB25" s="772"/>
      <c r="AC25" s="772"/>
      <c r="AD25" s="772"/>
      <c r="AE25" s="772"/>
      <c r="AF25" s="772"/>
      <c r="AG25" s="772"/>
      <c r="AH25" s="772"/>
      <c r="AI25" s="772"/>
      <c r="AJ25" s="772"/>
      <c r="AK25" s="772"/>
      <c r="AL25" s="772"/>
      <c r="AM25" s="772"/>
      <c r="AN25" s="772"/>
      <c r="AO25" s="772"/>
      <c r="AP25" s="772"/>
      <c r="AQ25" s="772"/>
      <c r="AR25" s="772"/>
      <c r="AS25" s="772"/>
      <c r="AT25" s="772"/>
      <c r="AU25" s="772"/>
      <c r="AV25" s="772"/>
      <c r="AW25" s="772"/>
      <c r="AX25" s="772"/>
      <c r="AY25" s="772"/>
      <c r="AZ25" s="772"/>
      <c r="BA25" s="772"/>
      <c r="BB25" s="772"/>
      <c r="BC25" s="772"/>
      <c r="BD25" s="772"/>
      <c r="BE25" s="772"/>
      <c r="BF25" s="772"/>
      <c r="BG25" s="772"/>
      <c r="BH25" s="772"/>
      <c r="BI25" s="772"/>
      <c r="BJ25" s="772"/>
      <c r="BK25" s="772"/>
      <c r="BL25" s="772"/>
      <c r="BM25" s="772"/>
      <c r="BN25" s="772"/>
      <c r="BO25" s="772"/>
      <c r="BP25" s="772"/>
      <c r="BQ25" s="772"/>
      <c r="BR25" s="772"/>
      <c r="BS25" s="772"/>
      <c r="BT25" s="772"/>
      <c r="BU25" s="772"/>
      <c r="BV25" s="772"/>
      <c r="BW25" s="772"/>
      <c r="BX25" s="772"/>
      <c r="BY25" s="772"/>
      <c r="BZ25" s="772"/>
      <c r="CA25" s="772"/>
      <c r="CB25" s="772"/>
      <c r="CC25" s="772"/>
      <c r="CD25" s="772"/>
      <c r="CE25" s="772"/>
    </row>
    <row r="26" spans="1:83" x14ac:dyDescent="0.25">
      <c r="B26" s="752">
        <v>38</v>
      </c>
      <c r="C26" s="775" t="s">
        <v>722</v>
      </c>
      <c r="D26" s="635" t="s">
        <v>391</v>
      </c>
      <c r="E26" s="769"/>
      <c r="F26" s="770"/>
      <c r="G26" s="770"/>
      <c r="H26" s="770"/>
      <c r="I26" s="770"/>
      <c r="J26" s="770"/>
      <c r="K26" s="771"/>
      <c r="L26" s="772"/>
      <c r="M26" s="772"/>
      <c r="N26" s="773"/>
      <c r="O26" s="773"/>
      <c r="P26" s="773"/>
      <c r="Q26" s="773"/>
      <c r="R26" s="773"/>
      <c r="S26" s="773"/>
      <c r="T26" s="773"/>
      <c r="U26" s="773"/>
      <c r="V26" s="773"/>
      <c r="W26" s="773"/>
      <c r="X26" s="773"/>
      <c r="Y26" s="773"/>
      <c r="Z26" s="773"/>
      <c r="AA26" s="773"/>
      <c r="AB26" s="772"/>
      <c r="AC26" s="772"/>
      <c r="AD26" s="772"/>
      <c r="AE26" s="772"/>
      <c r="AF26" s="772"/>
      <c r="AG26" s="772"/>
      <c r="AH26" s="772"/>
      <c r="AI26" s="772"/>
      <c r="AJ26" s="772"/>
      <c r="AK26" s="772"/>
      <c r="AL26" s="772"/>
      <c r="AM26" s="772"/>
      <c r="AN26" s="772"/>
      <c r="AO26" s="772"/>
      <c r="AP26" s="772"/>
      <c r="AQ26" s="772"/>
      <c r="AR26" s="772"/>
      <c r="AS26" s="772"/>
      <c r="AT26" s="772"/>
      <c r="AU26" s="772"/>
      <c r="AV26" s="772"/>
      <c r="AW26" s="772"/>
      <c r="AX26" s="772"/>
      <c r="AY26" s="772"/>
      <c r="AZ26" s="772"/>
      <c r="BA26" s="772"/>
      <c r="BB26" s="772"/>
      <c r="BC26" s="772"/>
      <c r="BD26" s="772"/>
      <c r="BE26" s="772"/>
      <c r="BF26" s="772"/>
      <c r="BG26" s="772"/>
      <c r="BH26" s="772"/>
      <c r="BI26" s="772"/>
      <c r="BJ26" s="772"/>
      <c r="BK26" s="772"/>
      <c r="BL26" s="772"/>
      <c r="BM26" s="772"/>
      <c r="BN26" s="772"/>
      <c r="BO26" s="772"/>
      <c r="BP26" s="772"/>
      <c r="BQ26" s="772"/>
      <c r="BR26" s="772"/>
      <c r="BS26" s="772"/>
      <c r="BT26" s="772"/>
      <c r="BU26" s="772"/>
      <c r="BV26" s="772"/>
      <c r="BW26" s="772"/>
      <c r="BX26" s="772"/>
      <c r="BY26" s="772"/>
      <c r="BZ26" s="772"/>
      <c r="CA26" s="772"/>
      <c r="CB26" s="772"/>
      <c r="CC26" s="772"/>
      <c r="CD26" s="772"/>
      <c r="CE26" s="772"/>
    </row>
    <row r="27" spans="1:83" x14ac:dyDescent="0.25">
      <c r="B27" s="752">
        <v>39</v>
      </c>
      <c r="C27" s="775" t="s">
        <v>392</v>
      </c>
      <c r="D27" s="635" t="s">
        <v>393</v>
      </c>
      <c r="E27" s="769"/>
      <c r="F27" s="770"/>
      <c r="G27" s="770"/>
      <c r="H27" s="770"/>
      <c r="I27" s="770"/>
      <c r="J27" s="770"/>
      <c r="K27" s="771"/>
      <c r="L27" s="772"/>
      <c r="M27" s="772"/>
      <c r="N27" s="773"/>
      <c r="O27" s="773"/>
      <c r="P27" s="773"/>
      <c r="Q27" s="773"/>
      <c r="R27" s="773"/>
      <c r="S27" s="773"/>
      <c r="T27" s="773"/>
      <c r="U27" s="773"/>
      <c r="V27" s="773"/>
      <c r="W27" s="773"/>
      <c r="X27" s="773"/>
      <c r="Y27" s="773"/>
      <c r="Z27" s="773"/>
      <c r="AA27" s="773"/>
      <c r="AB27" s="772"/>
      <c r="AC27" s="772"/>
      <c r="AD27" s="772"/>
      <c r="AE27" s="772"/>
      <c r="AF27" s="772"/>
      <c r="AG27" s="772"/>
      <c r="AH27" s="772"/>
      <c r="AI27" s="772"/>
      <c r="AJ27" s="772"/>
      <c r="AK27" s="772"/>
      <c r="AL27" s="772"/>
      <c r="AM27" s="772"/>
      <c r="AN27" s="772"/>
      <c r="AO27" s="772"/>
      <c r="AP27" s="772"/>
      <c r="AQ27" s="772"/>
      <c r="AR27" s="772"/>
      <c r="AS27" s="772"/>
      <c r="AT27" s="772"/>
      <c r="AU27" s="772"/>
      <c r="AV27" s="772"/>
      <c r="AW27" s="772"/>
      <c r="AX27" s="772"/>
      <c r="AY27" s="772"/>
      <c r="AZ27" s="772"/>
      <c r="BA27" s="772"/>
      <c r="BB27" s="772"/>
      <c r="BC27" s="772"/>
      <c r="BD27" s="772"/>
      <c r="BE27" s="772"/>
      <c r="BF27" s="772"/>
      <c r="BG27" s="772"/>
      <c r="BH27" s="772"/>
      <c r="BI27" s="772"/>
      <c r="BJ27" s="772"/>
      <c r="BK27" s="772"/>
      <c r="BL27" s="772"/>
      <c r="BM27" s="772"/>
      <c r="BN27" s="772"/>
      <c r="BO27" s="772"/>
      <c r="BP27" s="772"/>
      <c r="BQ27" s="772"/>
      <c r="BR27" s="772"/>
      <c r="BS27" s="772"/>
      <c r="BT27" s="772"/>
      <c r="BU27" s="772"/>
      <c r="BV27" s="772"/>
      <c r="BW27" s="772"/>
      <c r="BX27" s="772"/>
      <c r="BY27" s="772"/>
      <c r="BZ27" s="772"/>
      <c r="CA27" s="772"/>
      <c r="CB27" s="772"/>
      <c r="CC27" s="772"/>
      <c r="CD27" s="772"/>
      <c r="CE27" s="772"/>
    </row>
    <row r="28" spans="1:83" x14ac:dyDescent="0.25">
      <c r="B28" s="752">
        <v>40</v>
      </c>
      <c r="C28" s="775" t="s">
        <v>394</v>
      </c>
      <c r="D28" s="635" t="s">
        <v>395</v>
      </c>
      <c r="E28" s="769"/>
      <c r="F28" s="770"/>
      <c r="G28" s="770"/>
      <c r="H28" s="770"/>
      <c r="I28" s="770"/>
      <c r="J28" s="770"/>
      <c r="K28" s="771"/>
      <c r="L28" s="772"/>
      <c r="M28" s="772"/>
      <c r="N28" s="773"/>
      <c r="O28" s="773"/>
      <c r="P28" s="773"/>
      <c r="Q28" s="773"/>
      <c r="R28" s="773"/>
      <c r="S28" s="773"/>
      <c r="T28" s="773"/>
      <c r="U28" s="773"/>
      <c r="V28" s="773"/>
      <c r="W28" s="773"/>
      <c r="X28" s="773"/>
      <c r="Y28" s="773"/>
      <c r="Z28" s="773"/>
      <c r="AA28" s="773"/>
      <c r="AB28" s="772"/>
      <c r="AC28" s="772"/>
      <c r="AD28" s="772"/>
      <c r="AE28" s="772"/>
      <c r="AF28" s="772"/>
      <c r="AG28" s="772"/>
      <c r="AH28" s="772"/>
      <c r="AI28" s="772"/>
      <c r="AJ28" s="772"/>
      <c r="AK28" s="772"/>
      <c r="AL28" s="772"/>
      <c r="AM28" s="772"/>
      <c r="AN28" s="772"/>
      <c r="AO28" s="772"/>
      <c r="AP28" s="772"/>
      <c r="AQ28" s="772"/>
      <c r="AR28" s="772"/>
      <c r="AS28" s="772"/>
      <c r="AT28" s="772"/>
      <c r="AU28" s="772"/>
      <c r="AV28" s="772"/>
      <c r="AW28" s="772"/>
      <c r="AX28" s="772"/>
      <c r="AY28" s="772"/>
      <c r="AZ28" s="772"/>
      <c r="BA28" s="772"/>
      <c r="BB28" s="772"/>
      <c r="BC28" s="772"/>
      <c r="BD28" s="772"/>
      <c r="BE28" s="772"/>
      <c r="BF28" s="772"/>
      <c r="BG28" s="772"/>
      <c r="BH28" s="772"/>
      <c r="BI28" s="772"/>
      <c r="BJ28" s="772"/>
      <c r="BK28" s="772"/>
      <c r="BL28" s="772"/>
      <c r="BM28" s="772"/>
      <c r="BN28" s="772"/>
      <c r="BO28" s="772"/>
      <c r="BP28" s="772"/>
      <c r="BQ28" s="772"/>
      <c r="BR28" s="772"/>
      <c r="BS28" s="772"/>
      <c r="BT28" s="772"/>
      <c r="BU28" s="772"/>
      <c r="BV28" s="772"/>
      <c r="BW28" s="772"/>
      <c r="BX28" s="772"/>
      <c r="BY28" s="772"/>
      <c r="BZ28" s="772"/>
      <c r="CA28" s="772"/>
      <c r="CB28" s="772"/>
      <c r="CC28" s="772"/>
      <c r="CD28" s="772"/>
      <c r="CE28" s="772"/>
    </row>
    <row r="29" spans="1:83" x14ac:dyDescent="0.25">
      <c r="B29" s="752">
        <v>41</v>
      </c>
      <c r="C29" s="775" t="s">
        <v>396</v>
      </c>
      <c r="D29" s="635" t="s">
        <v>397</v>
      </c>
      <c r="E29" s="769"/>
      <c r="F29" s="770"/>
      <c r="G29" s="770"/>
      <c r="H29" s="770"/>
      <c r="I29" s="770"/>
      <c r="J29" s="770"/>
      <c r="K29" s="771"/>
      <c r="L29" s="772"/>
      <c r="M29" s="772"/>
      <c r="N29" s="773"/>
      <c r="O29" s="773"/>
      <c r="P29" s="773"/>
      <c r="Q29" s="773"/>
      <c r="R29" s="773"/>
      <c r="S29" s="773"/>
      <c r="T29" s="773"/>
      <c r="U29" s="773"/>
      <c r="V29" s="773"/>
      <c r="W29" s="773"/>
      <c r="X29" s="773"/>
      <c r="Y29" s="773"/>
      <c r="Z29" s="773"/>
      <c r="AA29" s="773"/>
      <c r="AB29" s="772"/>
      <c r="AC29" s="772"/>
      <c r="AD29" s="772"/>
      <c r="AE29" s="772"/>
      <c r="AF29" s="772"/>
      <c r="AG29" s="772"/>
      <c r="AH29" s="772"/>
      <c r="AI29" s="772"/>
      <c r="AJ29" s="772"/>
      <c r="AK29" s="772"/>
      <c r="AL29" s="772"/>
      <c r="AM29" s="772"/>
      <c r="AN29" s="772"/>
      <c r="AO29" s="772"/>
      <c r="AP29" s="772"/>
      <c r="AQ29" s="772"/>
      <c r="AR29" s="772"/>
      <c r="AS29" s="772"/>
      <c r="AT29" s="772"/>
      <c r="AU29" s="772"/>
      <c r="AV29" s="772"/>
      <c r="AW29" s="772"/>
      <c r="AX29" s="772"/>
      <c r="AY29" s="772"/>
      <c r="AZ29" s="772"/>
      <c r="BA29" s="772"/>
      <c r="BB29" s="772"/>
      <c r="BC29" s="772"/>
      <c r="BD29" s="772"/>
      <c r="BE29" s="772"/>
      <c r="BF29" s="772"/>
      <c r="BG29" s="772"/>
      <c r="BH29" s="772"/>
      <c r="BI29" s="772"/>
      <c r="BJ29" s="772"/>
      <c r="BK29" s="772"/>
      <c r="BL29" s="772"/>
      <c r="BM29" s="772"/>
      <c r="BN29" s="772"/>
      <c r="BO29" s="772"/>
      <c r="BP29" s="772"/>
      <c r="BQ29" s="772"/>
      <c r="BR29" s="772"/>
      <c r="BS29" s="772"/>
      <c r="BT29" s="772"/>
      <c r="BU29" s="772"/>
      <c r="BV29" s="772"/>
      <c r="BW29" s="772"/>
      <c r="BX29" s="772"/>
      <c r="BY29" s="772"/>
      <c r="BZ29" s="772"/>
      <c r="CA29" s="772"/>
      <c r="CB29" s="772"/>
      <c r="CC29" s="772"/>
      <c r="CD29" s="772"/>
      <c r="CE29" s="772"/>
    </row>
    <row r="30" spans="1:83" ht="30" x14ac:dyDescent="0.25">
      <c r="B30" s="752">
        <v>43</v>
      </c>
      <c r="C30" s="768" t="s">
        <v>398</v>
      </c>
      <c r="D30" s="635" t="s">
        <v>399</v>
      </c>
      <c r="E30" s="769"/>
      <c r="F30" s="770"/>
      <c r="G30" s="770"/>
      <c r="H30" s="770"/>
      <c r="I30" s="770"/>
      <c r="J30" s="770"/>
      <c r="K30" s="771"/>
      <c r="L30" s="772"/>
      <c r="M30" s="772"/>
      <c r="N30" s="773"/>
      <c r="O30" s="773"/>
      <c r="P30" s="773"/>
      <c r="Q30" s="773"/>
      <c r="R30" s="773"/>
      <c r="S30" s="773"/>
      <c r="T30" s="773"/>
      <c r="U30" s="773"/>
      <c r="V30" s="773"/>
      <c r="W30" s="773"/>
      <c r="X30" s="773"/>
      <c r="Y30" s="773"/>
      <c r="Z30" s="773"/>
      <c r="AA30" s="773"/>
      <c r="AB30" s="772"/>
      <c r="AC30" s="772"/>
      <c r="AD30" s="772"/>
      <c r="AE30" s="772"/>
      <c r="AF30" s="772"/>
      <c r="AG30" s="772"/>
      <c r="AH30" s="772"/>
      <c r="AI30" s="772"/>
      <c r="AJ30" s="772"/>
      <c r="AK30" s="772"/>
      <c r="AL30" s="772"/>
      <c r="AM30" s="772"/>
      <c r="AN30" s="772"/>
      <c r="AO30" s="772"/>
      <c r="AP30" s="772"/>
      <c r="AQ30" s="772"/>
      <c r="AR30" s="772"/>
      <c r="AS30" s="772"/>
      <c r="AT30" s="772"/>
      <c r="AU30" s="772"/>
      <c r="AV30" s="772"/>
      <c r="AW30" s="772"/>
      <c r="AX30" s="772"/>
      <c r="AY30" s="772"/>
      <c r="AZ30" s="772"/>
      <c r="BA30" s="772"/>
      <c r="BB30" s="772"/>
      <c r="BC30" s="772"/>
      <c r="BD30" s="772"/>
      <c r="BE30" s="772"/>
      <c r="BF30" s="772"/>
      <c r="BG30" s="772"/>
      <c r="BH30" s="772"/>
      <c r="BI30" s="772"/>
      <c r="BJ30" s="772"/>
      <c r="BK30" s="772"/>
      <c r="BL30" s="772"/>
      <c r="BM30" s="772"/>
      <c r="BN30" s="772"/>
      <c r="BO30" s="772"/>
      <c r="BP30" s="772"/>
      <c r="BQ30" s="772"/>
      <c r="BR30" s="772"/>
      <c r="BS30" s="772"/>
      <c r="BT30" s="772"/>
      <c r="BU30" s="772"/>
      <c r="BV30" s="772"/>
      <c r="BW30" s="772"/>
      <c r="BX30" s="772"/>
      <c r="BY30" s="772"/>
      <c r="BZ30" s="772"/>
      <c r="CA30" s="772"/>
      <c r="CB30" s="772"/>
      <c r="CC30" s="772"/>
      <c r="CD30" s="772"/>
      <c r="CE30" s="772"/>
    </row>
    <row r="31" spans="1:83" x14ac:dyDescent="0.25">
      <c r="A31" s="776">
        <v>44</v>
      </c>
      <c r="B31" s="752">
        <v>44</v>
      </c>
      <c r="C31" s="768" t="s">
        <v>723</v>
      </c>
      <c r="D31" s="635" t="s">
        <v>400</v>
      </c>
      <c r="E31" s="769">
        <v>361429</v>
      </c>
      <c r="F31" s="770">
        <v>763669</v>
      </c>
      <c r="G31" s="770">
        <v>0</v>
      </c>
      <c r="H31" s="770">
        <v>970294</v>
      </c>
      <c r="I31" s="770">
        <v>399824</v>
      </c>
      <c r="J31" s="770">
        <v>109598</v>
      </c>
      <c r="K31" s="771">
        <v>0</v>
      </c>
      <c r="L31" s="772">
        <v>225452</v>
      </c>
      <c r="M31" s="772">
        <v>4454337</v>
      </c>
      <c r="N31" s="773">
        <v>0</v>
      </c>
      <c r="O31" s="773">
        <v>0</v>
      </c>
      <c r="P31" s="773">
        <v>0</v>
      </c>
      <c r="Q31" s="773">
        <v>14805</v>
      </c>
      <c r="R31" s="773">
        <v>5206934</v>
      </c>
      <c r="S31" s="773">
        <v>0</v>
      </c>
      <c r="T31" s="773">
        <v>219279</v>
      </c>
      <c r="U31" s="773">
        <v>1084460</v>
      </c>
      <c r="V31" s="773">
        <v>750274</v>
      </c>
      <c r="W31" s="773">
        <v>5036481</v>
      </c>
      <c r="X31" s="773">
        <v>0</v>
      </c>
      <c r="Y31" s="773">
        <v>603319</v>
      </c>
      <c r="Z31" s="773">
        <v>270406</v>
      </c>
      <c r="AA31" s="773">
        <v>17744106</v>
      </c>
      <c r="AB31" s="772">
        <v>25106</v>
      </c>
      <c r="AC31" s="772">
        <v>432794</v>
      </c>
      <c r="AD31" s="772">
        <v>0</v>
      </c>
      <c r="AE31" s="772">
        <v>0</v>
      </c>
      <c r="AF31" s="772">
        <v>0</v>
      </c>
      <c r="AG31" s="772">
        <v>27816994</v>
      </c>
      <c r="AH31" s="772">
        <v>967</v>
      </c>
      <c r="AI31" s="772">
        <v>263668</v>
      </c>
      <c r="AJ31" s="772">
        <v>2288868</v>
      </c>
      <c r="AK31" s="772">
        <v>97162</v>
      </c>
      <c r="AL31" s="772">
        <v>88839</v>
      </c>
      <c r="AM31" s="772">
        <v>11893389</v>
      </c>
      <c r="AN31" s="772">
        <v>223071</v>
      </c>
      <c r="AO31" s="772">
        <v>11146354</v>
      </c>
      <c r="AP31" s="772">
        <v>0</v>
      </c>
      <c r="AQ31" s="772">
        <v>2894054</v>
      </c>
      <c r="AR31" s="772">
        <v>0</v>
      </c>
      <c r="AS31" s="772">
        <v>0</v>
      </c>
      <c r="AT31" s="772">
        <v>905384</v>
      </c>
      <c r="AU31" s="772">
        <v>163166</v>
      </c>
      <c r="AV31" s="772">
        <v>71138484</v>
      </c>
      <c r="AW31" s="772">
        <v>19501919</v>
      </c>
      <c r="AX31" s="772">
        <v>619051</v>
      </c>
      <c r="AY31" s="772">
        <v>150453</v>
      </c>
      <c r="AZ31" s="772">
        <v>182271</v>
      </c>
      <c r="BA31" s="772">
        <v>106366</v>
      </c>
      <c r="BB31" s="772">
        <v>435177</v>
      </c>
      <c r="BC31" s="772">
        <v>3161968</v>
      </c>
      <c r="BD31" s="772">
        <v>499563</v>
      </c>
      <c r="BE31" s="772">
        <v>0</v>
      </c>
      <c r="BF31" s="772">
        <v>139115</v>
      </c>
      <c r="BG31" s="772">
        <v>10696911</v>
      </c>
      <c r="BH31" s="772">
        <v>0</v>
      </c>
      <c r="BI31" s="772">
        <v>9907315</v>
      </c>
      <c r="BJ31" s="772">
        <v>1344531</v>
      </c>
      <c r="BK31" s="772">
        <v>0</v>
      </c>
      <c r="BL31" s="772">
        <v>0</v>
      </c>
      <c r="BM31" s="772">
        <v>27634146</v>
      </c>
      <c r="BN31" s="772">
        <v>21414322</v>
      </c>
      <c r="BO31" s="772">
        <v>797612</v>
      </c>
      <c r="BP31" s="772">
        <v>36048913</v>
      </c>
      <c r="BQ31" s="772">
        <v>49883835</v>
      </c>
      <c r="BR31" s="772">
        <v>215459</v>
      </c>
      <c r="BS31" s="772">
        <v>1509427</v>
      </c>
      <c r="BT31" s="772">
        <v>0</v>
      </c>
      <c r="BU31" s="772">
        <v>10719602</v>
      </c>
      <c r="BV31" s="772">
        <v>268262</v>
      </c>
      <c r="BW31" s="772">
        <v>0</v>
      </c>
      <c r="BX31" s="772">
        <v>5423005</v>
      </c>
      <c r="BY31" s="772">
        <v>0</v>
      </c>
      <c r="BZ31" s="772">
        <v>43892287</v>
      </c>
      <c r="CA31" s="772">
        <v>485420</v>
      </c>
      <c r="CB31" s="772">
        <v>0</v>
      </c>
      <c r="CC31" s="772">
        <v>66904</v>
      </c>
      <c r="CD31" s="772">
        <v>0</v>
      </c>
      <c r="CE31" s="772">
        <v>0</v>
      </c>
    </row>
    <row r="32" spans="1:83" x14ac:dyDescent="0.25">
      <c r="A32" s="776">
        <v>45</v>
      </c>
      <c r="B32" s="752">
        <v>45</v>
      </c>
      <c r="C32" s="768" t="s">
        <v>724</v>
      </c>
      <c r="D32" s="635" t="s">
        <v>401</v>
      </c>
      <c r="E32" s="769">
        <v>274024</v>
      </c>
      <c r="F32" s="770">
        <v>646473</v>
      </c>
      <c r="G32" s="770">
        <v>0</v>
      </c>
      <c r="H32" s="770">
        <v>29910</v>
      </c>
      <c r="I32" s="770">
        <v>50976</v>
      </c>
      <c r="J32" s="770">
        <v>20811</v>
      </c>
      <c r="K32" s="771">
        <v>0</v>
      </c>
      <c r="L32" s="772">
        <v>1405</v>
      </c>
      <c r="M32" s="772">
        <v>1354819</v>
      </c>
      <c r="N32" s="773">
        <v>0</v>
      </c>
      <c r="O32" s="773">
        <v>0</v>
      </c>
      <c r="P32" s="773">
        <v>0</v>
      </c>
      <c r="Q32" s="773">
        <v>11904</v>
      </c>
      <c r="R32" s="773">
        <v>229659</v>
      </c>
      <c r="S32" s="773">
        <v>0</v>
      </c>
      <c r="T32" s="773">
        <v>20339</v>
      </c>
      <c r="U32" s="773">
        <v>97884</v>
      </c>
      <c r="V32" s="773">
        <v>63453</v>
      </c>
      <c r="W32" s="773">
        <v>926479</v>
      </c>
      <c r="X32" s="773">
        <v>0</v>
      </c>
      <c r="Y32" s="773">
        <v>59261</v>
      </c>
      <c r="Z32" s="773">
        <v>215301</v>
      </c>
      <c r="AA32" s="773">
        <v>4457393</v>
      </c>
      <c r="AB32" s="772">
        <v>0</v>
      </c>
      <c r="AC32" s="772">
        <v>16588</v>
      </c>
      <c r="AD32" s="772">
        <v>0</v>
      </c>
      <c r="AE32" s="772">
        <v>0</v>
      </c>
      <c r="AF32" s="772">
        <v>0</v>
      </c>
      <c r="AG32" s="772">
        <v>12026228</v>
      </c>
      <c r="AH32" s="772">
        <v>0</v>
      </c>
      <c r="AI32" s="772">
        <v>18803</v>
      </c>
      <c r="AJ32" s="772">
        <v>108248</v>
      </c>
      <c r="AK32" s="772">
        <v>672</v>
      </c>
      <c r="AL32" s="772">
        <v>80086</v>
      </c>
      <c r="AM32" s="772">
        <v>4281846</v>
      </c>
      <c r="AN32" s="772">
        <v>47151</v>
      </c>
      <c r="AO32" s="772">
        <v>787519</v>
      </c>
      <c r="AP32" s="772">
        <v>0</v>
      </c>
      <c r="AQ32" s="772">
        <v>211547</v>
      </c>
      <c r="AR32" s="772">
        <v>0</v>
      </c>
      <c r="AS32" s="772">
        <v>0</v>
      </c>
      <c r="AT32" s="772">
        <v>415162</v>
      </c>
      <c r="AU32" s="772">
        <v>3292</v>
      </c>
      <c r="AV32" s="772">
        <v>27103252</v>
      </c>
      <c r="AW32" s="772">
        <v>9141462</v>
      </c>
      <c r="AX32" s="772">
        <v>117754</v>
      </c>
      <c r="AY32" s="772">
        <v>48893</v>
      </c>
      <c r="AZ32" s="772">
        <v>9916</v>
      </c>
      <c r="BA32" s="772">
        <v>932</v>
      </c>
      <c r="BB32" s="772">
        <v>94385</v>
      </c>
      <c r="BC32" s="772">
        <v>376191</v>
      </c>
      <c r="BD32" s="772">
        <v>8850</v>
      </c>
      <c r="BE32" s="772">
        <v>0</v>
      </c>
      <c r="BF32" s="772">
        <v>39340</v>
      </c>
      <c r="BG32" s="772">
        <v>1823521</v>
      </c>
      <c r="BH32" s="772">
        <v>0</v>
      </c>
      <c r="BI32" s="772">
        <v>936382</v>
      </c>
      <c r="BJ32" s="772">
        <v>30894</v>
      </c>
      <c r="BK32" s="772">
        <v>0</v>
      </c>
      <c r="BL32" s="772">
        <v>0</v>
      </c>
      <c r="BM32" s="772">
        <v>3152914</v>
      </c>
      <c r="BN32" s="772">
        <v>3214345</v>
      </c>
      <c r="BO32" s="772">
        <v>401572</v>
      </c>
      <c r="BP32" s="772">
        <v>3110990</v>
      </c>
      <c r="BQ32" s="772">
        <v>14056850</v>
      </c>
      <c r="BR32" s="772">
        <v>24978</v>
      </c>
      <c r="BS32" s="772">
        <v>173485</v>
      </c>
      <c r="BT32" s="772">
        <v>0</v>
      </c>
      <c r="BU32" s="772">
        <v>2178938</v>
      </c>
      <c r="BV32" s="772">
        <v>12324</v>
      </c>
      <c r="BW32" s="772">
        <v>0</v>
      </c>
      <c r="BX32" s="772">
        <v>733751</v>
      </c>
      <c r="BY32" s="772">
        <v>0</v>
      </c>
      <c r="BZ32" s="772">
        <v>3996263</v>
      </c>
      <c r="CA32" s="772">
        <v>35206</v>
      </c>
      <c r="CB32" s="772">
        <v>0</v>
      </c>
      <c r="CC32" s="772">
        <v>102025</v>
      </c>
      <c r="CD32" s="772">
        <v>0</v>
      </c>
      <c r="CE32" s="772">
        <v>0</v>
      </c>
    </row>
    <row r="33" spans="1:83" ht="30" x14ac:dyDescent="0.25">
      <c r="B33" s="752">
        <v>46</v>
      </c>
      <c r="C33" s="768" t="s">
        <v>725</v>
      </c>
      <c r="D33" s="635" t="s">
        <v>402</v>
      </c>
      <c r="E33" s="769"/>
      <c r="F33" s="770"/>
      <c r="G33" s="770"/>
      <c r="H33" s="770"/>
      <c r="I33" s="770"/>
      <c r="J33" s="770"/>
      <c r="K33" s="771"/>
      <c r="L33" s="772"/>
      <c r="M33" s="772"/>
      <c r="N33" s="773"/>
      <c r="O33" s="773"/>
      <c r="P33" s="773"/>
      <c r="Q33" s="773"/>
      <c r="R33" s="773"/>
      <c r="S33" s="773"/>
      <c r="T33" s="773"/>
      <c r="U33" s="773"/>
      <c r="V33" s="773"/>
      <c r="W33" s="773"/>
      <c r="X33" s="773"/>
      <c r="Y33" s="773"/>
      <c r="Z33" s="773"/>
      <c r="AA33" s="773"/>
      <c r="AB33" s="772"/>
      <c r="AC33" s="772"/>
      <c r="AD33" s="772"/>
      <c r="AE33" s="772"/>
      <c r="AF33" s="772"/>
      <c r="AG33" s="772"/>
      <c r="AH33" s="772"/>
      <c r="AI33" s="772"/>
      <c r="AJ33" s="772"/>
      <c r="AK33" s="772"/>
      <c r="AL33" s="772"/>
      <c r="AM33" s="772"/>
      <c r="AN33" s="772"/>
      <c r="AO33" s="772"/>
      <c r="AP33" s="772"/>
      <c r="AQ33" s="772"/>
      <c r="AR33" s="772"/>
      <c r="AS33" s="772"/>
      <c r="AT33" s="772"/>
      <c r="AU33" s="772"/>
      <c r="AV33" s="772"/>
      <c r="AW33" s="772"/>
      <c r="AX33" s="772"/>
      <c r="AY33" s="772"/>
      <c r="AZ33" s="772"/>
      <c r="BA33" s="772"/>
      <c r="BB33" s="772"/>
      <c r="BC33" s="772"/>
      <c r="BD33" s="772"/>
      <c r="BE33" s="772"/>
      <c r="BF33" s="772"/>
      <c r="BG33" s="772"/>
      <c r="BH33" s="772"/>
      <c r="BI33" s="772"/>
      <c r="BJ33" s="772"/>
      <c r="BK33" s="772"/>
      <c r="BL33" s="772"/>
      <c r="BM33" s="772"/>
      <c r="BN33" s="772"/>
      <c r="BO33" s="772"/>
      <c r="BP33" s="772"/>
      <c r="BQ33" s="772"/>
      <c r="BR33" s="772"/>
      <c r="BS33" s="772"/>
      <c r="BT33" s="772"/>
      <c r="BU33" s="772"/>
      <c r="BV33" s="772"/>
      <c r="BW33" s="772"/>
      <c r="BX33" s="772"/>
      <c r="BY33" s="772"/>
      <c r="BZ33" s="772"/>
      <c r="CA33" s="772"/>
      <c r="CB33" s="772"/>
      <c r="CC33" s="772"/>
      <c r="CD33" s="772"/>
      <c r="CE33" s="772"/>
    </row>
    <row r="34" spans="1:83" x14ac:dyDescent="0.25">
      <c r="A34" s="767">
        <v>47</v>
      </c>
      <c r="B34" s="752">
        <v>47</v>
      </c>
      <c r="C34" s="768" t="s">
        <v>726</v>
      </c>
      <c r="D34" s="635" t="s">
        <v>403</v>
      </c>
      <c r="E34" s="769">
        <v>0</v>
      </c>
      <c r="F34" s="770">
        <v>0</v>
      </c>
      <c r="G34" s="770">
        <v>0</v>
      </c>
      <c r="H34" s="770">
        <v>0</v>
      </c>
      <c r="I34" s="770">
        <v>0</v>
      </c>
      <c r="J34" s="770">
        <v>0</v>
      </c>
      <c r="K34" s="771">
        <v>0</v>
      </c>
      <c r="L34" s="772">
        <v>0</v>
      </c>
      <c r="M34" s="772">
        <v>2459273</v>
      </c>
      <c r="N34" s="773">
        <v>0</v>
      </c>
      <c r="O34" s="773">
        <v>0</v>
      </c>
      <c r="P34" s="773">
        <v>0</v>
      </c>
      <c r="Q34" s="773">
        <v>0</v>
      </c>
      <c r="R34" s="773">
        <v>7390976</v>
      </c>
      <c r="S34" s="773">
        <v>0</v>
      </c>
      <c r="T34" s="773">
        <v>984934</v>
      </c>
      <c r="U34" s="773">
        <v>0</v>
      </c>
      <c r="V34" s="773">
        <v>0</v>
      </c>
      <c r="W34" s="773">
        <v>0</v>
      </c>
      <c r="X34" s="773">
        <v>0</v>
      </c>
      <c r="Y34" s="773">
        <v>0</v>
      </c>
      <c r="Z34" s="773">
        <v>841426</v>
      </c>
      <c r="AA34" s="773">
        <v>0</v>
      </c>
      <c r="AB34" s="772">
        <v>0</v>
      </c>
      <c r="AC34" s="772">
        <v>0</v>
      </c>
      <c r="AD34" s="772">
        <v>0</v>
      </c>
      <c r="AE34" s="772">
        <v>0</v>
      </c>
      <c r="AF34" s="772">
        <v>0</v>
      </c>
      <c r="AG34" s="772">
        <v>27093131</v>
      </c>
      <c r="AH34" s="772">
        <v>0</v>
      </c>
      <c r="AI34" s="772">
        <v>0</v>
      </c>
      <c r="AJ34" s="772">
        <v>0</v>
      </c>
      <c r="AK34" s="772">
        <v>0</v>
      </c>
      <c r="AL34" s="772">
        <v>0</v>
      </c>
      <c r="AM34" s="772">
        <v>0</v>
      </c>
      <c r="AN34" s="772">
        <v>0</v>
      </c>
      <c r="AO34" s="772">
        <v>0</v>
      </c>
      <c r="AP34" s="772">
        <v>0</v>
      </c>
      <c r="AQ34" s="772">
        <v>4619543</v>
      </c>
      <c r="AR34" s="772">
        <v>0</v>
      </c>
      <c r="AS34" s="772">
        <v>0</v>
      </c>
      <c r="AT34" s="772">
        <v>0</v>
      </c>
      <c r="AU34" s="772">
        <v>0</v>
      </c>
      <c r="AV34" s="772">
        <v>0</v>
      </c>
      <c r="AW34" s="772">
        <v>77634452</v>
      </c>
      <c r="AX34" s="772">
        <v>0</v>
      </c>
      <c r="AY34" s="772">
        <v>0</v>
      </c>
      <c r="AZ34" s="772">
        <v>0</v>
      </c>
      <c r="BA34" s="772">
        <v>0</v>
      </c>
      <c r="BB34" s="772">
        <v>642996</v>
      </c>
      <c r="BC34" s="772">
        <v>0</v>
      </c>
      <c r="BD34" s="772">
        <v>0</v>
      </c>
      <c r="BE34" s="772">
        <v>0</v>
      </c>
      <c r="BF34" s="772">
        <v>0</v>
      </c>
      <c r="BG34" s="772">
        <v>0</v>
      </c>
      <c r="BH34" s="772">
        <v>0</v>
      </c>
      <c r="BI34" s="772">
        <v>0</v>
      </c>
      <c r="BJ34" s="772">
        <v>0</v>
      </c>
      <c r="BK34" s="772">
        <v>0</v>
      </c>
      <c r="BL34" s="772">
        <v>0</v>
      </c>
      <c r="BM34" s="772">
        <v>0</v>
      </c>
      <c r="BN34" s="772">
        <v>0</v>
      </c>
      <c r="BO34" s="772">
        <v>1223327</v>
      </c>
      <c r="BP34" s="772">
        <v>0</v>
      </c>
      <c r="BQ34" s="772">
        <v>81959468</v>
      </c>
      <c r="BR34" s="772">
        <v>0</v>
      </c>
      <c r="BS34" s="772">
        <v>6685400</v>
      </c>
      <c r="BT34" s="772">
        <v>0</v>
      </c>
      <c r="BU34" s="772">
        <v>0</v>
      </c>
      <c r="BV34" s="772">
        <v>410612</v>
      </c>
      <c r="BW34" s="772">
        <v>0</v>
      </c>
      <c r="BX34" s="772">
        <v>0</v>
      </c>
      <c r="BY34" s="772">
        <v>0</v>
      </c>
      <c r="BZ34" s="772">
        <v>0</v>
      </c>
      <c r="CA34" s="772">
        <v>745956</v>
      </c>
      <c r="CB34" s="772">
        <v>0</v>
      </c>
      <c r="CC34" s="772">
        <v>0</v>
      </c>
      <c r="CD34" s="772">
        <v>0</v>
      </c>
      <c r="CE34" s="772">
        <v>6163716</v>
      </c>
    </row>
    <row r="35" spans="1:83" x14ac:dyDescent="0.25">
      <c r="A35" s="767">
        <v>48</v>
      </c>
      <c r="B35" s="752">
        <v>48</v>
      </c>
      <c r="C35" s="768" t="s">
        <v>130</v>
      </c>
      <c r="D35" s="635" t="s">
        <v>404</v>
      </c>
      <c r="E35" s="769">
        <v>0</v>
      </c>
      <c r="F35" s="770">
        <v>0</v>
      </c>
      <c r="G35" s="770">
        <v>0</v>
      </c>
      <c r="H35" s="770">
        <v>0</v>
      </c>
      <c r="I35" s="770">
        <v>0</v>
      </c>
      <c r="J35" s="770">
        <v>0</v>
      </c>
      <c r="K35" s="771">
        <v>0</v>
      </c>
      <c r="L35" s="772">
        <v>0</v>
      </c>
      <c r="M35" s="772">
        <v>698812</v>
      </c>
      <c r="N35" s="773">
        <v>0</v>
      </c>
      <c r="O35" s="773">
        <v>0</v>
      </c>
      <c r="P35" s="773">
        <v>0</v>
      </c>
      <c r="Q35" s="773">
        <v>0</v>
      </c>
      <c r="R35" s="773">
        <v>870503</v>
      </c>
      <c r="S35" s="773">
        <v>0</v>
      </c>
      <c r="T35" s="773">
        <v>34124</v>
      </c>
      <c r="U35" s="773">
        <v>0</v>
      </c>
      <c r="V35" s="773">
        <v>0</v>
      </c>
      <c r="W35" s="773">
        <v>0</v>
      </c>
      <c r="X35" s="773">
        <v>0</v>
      </c>
      <c r="Y35" s="773">
        <v>0</v>
      </c>
      <c r="Z35" s="773">
        <v>24819</v>
      </c>
      <c r="AA35" s="773">
        <v>0</v>
      </c>
      <c r="AB35" s="772">
        <v>0</v>
      </c>
      <c r="AC35" s="772">
        <v>0</v>
      </c>
      <c r="AD35" s="772">
        <v>0</v>
      </c>
      <c r="AE35" s="772">
        <v>0</v>
      </c>
      <c r="AF35" s="772">
        <v>0</v>
      </c>
      <c r="AG35" s="772">
        <v>6903580</v>
      </c>
      <c r="AH35" s="772">
        <v>0</v>
      </c>
      <c r="AI35" s="772">
        <v>0</v>
      </c>
      <c r="AJ35" s="772">
        <v>0</v>
      </c>
      <c r="AK35" s="772">
        <v>0</v>
      </c>
      <c r="AL35" s="772">
        <v>0</v>
      </c>
      <c r="AM35" s="772">
        <v>0</v>
      </c>
      <c r="AN35" s="772">
        <v>0</v>
      </c>
      <c r="AO35" s="772">
        <v>0</v>
      </c>
      <c r="AP35" s="772">
        <v>0</v>
      </c>
      <c r="AQ35" s="772">
        <v>637641</v>
      </c>
      <c r="AR35" s="772">
        <v>0</v>
      </c>
      <c r="AS35" s="772">
        <v>0</v>
      </c>
      <c r="AT35" s="772">
        <v>0</v>
      </c>
      <c r="AU35" s="772">
        <v>0</v>
      </c>
      <c r="AV35" s="772">
        <v>0</v>
      </c>
      <c r="AW35" s="772">
        <v>17299023</v>
      </c>
      <c r="AX35" s="772">
        <v>0</v>
      </c>
      <c r="AY35" s="772">
        <v>0</v>
      </c>
      <c r="AZ35" s="772">
        <v>0</v>
      </c>
      <c r="BA35" s="772">
        <v>0</v>
      </c>
      <c r="BB35" s="772">
        <v>76785</v>
      </c>
      <c r="BC35" s="772">
        <v>0</v>
      </c>
      <c r="BD35" s="772">
        <v>0</v>
      </c>
      <c r="BE35" s="772">
        <v>0</v>
      </c>
      <c r="BF35" s="772">
        <v>0</v>
      </c>
      <c r="BG35" s="772">
        <v>0</v>
      </c>
      <c r="BH35" s="772">
        <v>0</v>
      </c>
      <c r="BI35" s="772">
        <v>0</v>
      </c>
      <c r="BJ35" s="772">
        <v>0</v>
      </c>
      <c r="BK35" s="772">
        <v>0</v>
      </c>
      <c r="BL35" s="772">
        <v>0</v>
      </c>
      <c r="BM35" s="772">
        <v>0</v>
      </c>
      <c r="BN35" s="772">
        <v>0</v>
      </c>
      <c r="BO35" s="772">
        <v>250631</v>
      </c>
      <c r="BP35" s="772">
        <v>0</v>
      </c>
      <c r="BQ35" s="772">
        <v>13124073</v>
      </c>
      <c r="BR35" s="772">
        <v>0</v>
      </c>
      <c r="BS35" s="772">
        <v>489027</v>
      </c>
      <c r="BT35" s="772">
        <v>0</v>
      </c>
      <c r="BU35" s="772">
        <v>0</v>
      </c>
      <c r="BV35" s="772">
        <v>33797</v>
      </c>
      <c r="BW35" s="772">
        <v>0</v>
      </c>
      <c r="BX35" s="772">
        <v>0</v>
      </c>
      <c r="BY35" s="772">
        <v>0</v>
      </c>
      <c r="BZ35" s="772">
        <v>0</v>
      </c>
      <c r="CA35" s="772">
        <v>73008</v>
      </c>
      <c r="CB35" s="772">
        <v>0</v>
      </c>
      <c r="CC35" s="772">
        <v>0</v>
      </c>
      <c r="CD35" s="772">
        <v>0</v>
      </c>
      <c r="CE35" s="772">
        <v>2715836</v>
      </c>
    </row>
    <row r="36" spans="1:83" x14ac:dyDescent="0.25">
      <c r="A36" s="776">
        <v>49</v>
      </c>
      <c r="B36" s="752">
        <v>49</v>
      </c>
      <c r="C36" s="768" t="s">
        <v>293</v>
      </c>
      <c r="D36" s="635" t="s">
        <v>405</v>
      </c>
      <c r="E36" s="769">
        <v>107875</v>
      </c>
      <c r="F36" s="770">
        <v>266430</v>
      </c>
      <c r="G36" s="770">
        <v>0</v>
      </c>
      <c r="H36" s="770">
        <v>377565</v>
      </c>
      <c r="I36" s="770">
        <v>200610</v>
      </c>
      <c r="J36" s="770">
        <v>24494</v>
      </c>
      <c r="K36" s="771">
        <v>0</v>
      </c>
      <c r="L36" s="772">
        <v>79228</v>
      </c>
      <c r="M36" s="772">
        <v>1125356</v>
      </c>
      <c r="N36" s="773">
        <v>0</v>
      </c>
      <c r="O36" s="773">
        <v>0</v>
      </c>
      <c r="P36" s="773">
        <v>0</v>
      </c>
      <c r="Q36" s="773">
        <v>338</v>
      </c>
      <c r="R36" s="773">
        <v>1307970</v>
      </c>
      <c r="S36" s="773">
        <v>0</v>
      </c>
      <c r="T36" s="773">
        <v>76610</v>
      </c>
      <c r="U36" s="773">
        <v>103902</v>
      </c>
      <c r="V36" s="773">
        <v>59212</v>
      </c>
      <c r="W36" s="773">
        <v>668805</v>
      </c>
      <c r="X36" s="773">
        <v>0</v>
      </c>
      <c r="Y36" s="773">
        <v>217135</v>
      </c>
      <c r="Z36" s="773">
        <v>303179</v>
      </c>
      <c r="AA36" s="773">
        <v>3069207</v>
      </c>
      <c r="AB36" s="772">
        <v>69505</v>
      </c>
      <c r="AC36" s="772">
        <v>36720</v>
      </c>
      <c r="AD36" s="772">
        <v>0</v>
      </c>
      <c r="AE36" s="772">
        <v>0</v>
      </c>
      <c r="AF36" s="772">
        <v>0</v>
      </c>
      <c r="AG36" s="772">
        <v>4870151</v>
      </c>
      <c r="AH36" s="772">
        <v>0</v>
      </c>
      <c r="AI36" s="772">
        <v>46674</v>
      </c>
      <c r="AJ36" s="772">
        <v>65509</v>
      </c>
      <c r="AK36" s="772">
        <v>71782</v>
      </c>
      <c r="AL36" s="772">
        <v>5375</v>
      </c>
      <c r="AM36" s="772">
        <v>3751076</v>
      </c>
      <c r="AN36" s="772">
        <v>180580</v>
      </c>
      <c r="AO36" s="772">
        <v>969222</v>
      </c>
      <c r="AP36" s="772">
        <v>0</v>
      </c>
      <c r="AQ36" s="772">
        <v>573361</v>
      </c>
      <c r="AR36" s="772">
        <v>0</v>
      </c>
      <c r="AS36" s="772">
        <v>0</v>
      </c>
      <c r="AT36" s="772">
        <v>87701</v>
      </c>
      <c r="AU36" s="772">
        <v>111643</v>
      </c>
      <c r="AV36" s="772">
        <v>26383815</v>
      </c>
      <c r="AW36" s="772">
        <v>10195322</v>
      </c>
      <c r="AX36" s="772">
        <v>140835</v>
      </c>
      <c r="AY36" s="772">
        <v>161650</v>
      </c>
      <c r="AZ36" s="772">
        <v>71055</v>
      </c>
      <c r="BA36" s="772">
        <v>95208</v>
      </c>
      <c r="BB36" s="772">
        <v>55942</v>
      </c>
      <c r="BC36" s="772">
        <v>646819</v>
      </c>
      <c r="BD36" s="772">
        <v>141442</v>
      </c>
      <c r="BE36" s="772">
        <v>0</v>
      </c>
      <c r="BF36" s="772">
        <v>40141</v>
      </c>
      <c r="BG36" s="772">
        <v>1165794</v>
      </c>
      <c r="BH36" s="772">
        <v>0</v>
      </c>
      <c r="BI36" s="772">
        <v>879570</v>
      </c>
      <c r="BJ36" s="772">
        <v>194875</v>
      </c>
      <c r="BK36" s="772">
        <v>0</v>
      </c>
      <c r="BL36" s="772">
        <v>0</v>
      </c>
      <c r="BM36" s="772">
        <v>1841264</v>
      </c>
      <c r="BN36" s="772">
        <v>3008936</v>
      </c>
      <c r="BO36" s="772">
        <v>732547</v>
      </c>
      <c r="BP36" s="772">
        <v>4823136</v>
      </c>
      <c r="BQ36" s="772">
        <v>12686927</v>
      </c>
      <c r="BR36" s="772">
        <v>91647</v>
      </c>
      <c r="BS36" s="772">
        <v>789421</v>
      </c>
      <c r="BT36" s="772">
        <v>294694</v>
      </c>
      <c r="BU36" s="772">
        <v>1800117</v>
      </c>
      <c r="BV36" s="772">
        <v>137083</v>
      </c>
      <c r="BW36" s="772">
        <v>0</v>
      </c>
      <c r="BX36" s="772">
        <v>519510</v>
      </c>
      <c r="BY36" s="772">
        <v>0</v>
      </c>
      <c r="BZ36" s="772">
        <v>3796485</v>
      </c>
      <c r="CA36" s="772">
        <v>86039</v>
      </c>
      <c r="CB36" s="772">
        <v>0</v>
      </c>
      <c r="CC36" s="772">
        <v>71301</v>
      </c>
      <c r="CD36" s="772">
        <v>0</v>
      </c>
      <c r="CE36" s="772">
        <v>0</v>
      </c>
    </row>
    <row r="37" spans="1:83" x14ac:dyDescent="0.25">
      <c r="A37" s="776">
        <v>50</v>
      </c>
      <c r="B37" s="752">
        <v>50</v>
      </c>
      <c r="C37" s="768" t="s">
        <v>107</v>
      </c>
      <c r="D37" s="635" t="s">
        <v>406</v>
      </c>
      <c r="E37" s="769">
        <v>3152713</v>
      </c>
      <c r="F37" s="770">
        <v>1053937</v>
      </c>
      <c r="G37" s="770">
        <v>0</v>
      </c>
      <c r="H37" s="770">
        <v>-269294</v>
      </c>
      <c r="I37" s="770">
        <v>-101595</v>
      </c>
      <c r="J37" s="770">
        <v>-31546</v>
      </c>
      <c r="K37" s="771">
        <v>0</v>
      </c>
      <c r="L37" s="772">
        <v>-83602</v>
      </c>
      <c r="M37" s="772">
        <v>1371210</v>
      </c>
      <c r="N37" s="773">
        <v>0</v>
      </c>
      <c r="O37" s="773">
        <v>0</v>
      </c>
      <c r="P37" s="773">
        <v>0</v>
      </c>
      <c r="Q37" s="773">
        <v>148439</v>
      </c>
      <c r="R37" s="773">
        <v>-3771370</v>
      </c>
      <c r="S37" s="773">
        <v>0</v>
      </c>
      <c r="T37" s="773">
        <v>-52273</v>
      </c>
      <c r="U37" s="773">
        <v>110776</v>
      </c>
      <c r="V37" s="773">
        <v>-24761</v>
      </c>
      <c r="W37" s="773">
        <v>663167</v>
      </c>
      <c r="X37" s="773">
        <v>0</v>
      </c>
      <c r="Y37" s="773">
        <v>-133115</v>
      </c>
      <c r="Z37" s="773">
        <v>469159</v>
      </c>
      <c r="AA37" s="773">
        <v>6738193</v>
      </c>
      <c r="AB37" s="772">
        <v>-74601</v>
      </c>
      <c r="AC37" s="772">
        <v>1125492</v>
      </c>
      <c r="AD37" s="772">
        <v>0</v>
      </c>
      <c r="AE37" s="772">
        <v>0</v>
      </c>
      <c r="AF37" s="772">
        <v>0</v>
      </c>
      <c r="AG37" s="772">
        <v>4913671</v>
      </c>
      <c r="AH37" s="772">
        <v>-298</v>
      </c>
      <c r="AI37" s="772">
        <v>-40657</v>
      </c>
      <c r="AJ37" s="772">
        <v>562536</v>
      </c>
      <c r="AK37" s="772">
        <v>-75298</v>
      </c>
      <c r="AL37" s="772">
        <v>1032</v>
      </c>
      <c r="AM37" s="772">
        <v>23649</v>
      </c>
      <c r="AN37" s="772">
        <v>-74962</v>
      </c>
      <c r="AO37" s="772">
        <v>589370</v>
      </c>
      <c r="AP37" s="772">
        <v>0</v>
      </c>
      <c r="AQ37" s="772">
        <v>-3822</v>
      </c>
      <c r="AR37" s="772">
        <v>0</v>
      </c>
      <c r="AS37" s="772">
        <v>0</v>
      </c>
      <c r="AT37" s="772">
        <v>408498</v>
      </c>
      <c r="AU37" s="772">
        <v>-99752</v>
      </c>
      <c r="AV37" s="772">
        <v>19771954</v>
      </c>
      <c r="AW37" s="772">
        <v>7694003</v>
      </c>
      <c r="AX37" s="772">
        <v>-50451</v>
      </c>
      <c r="AY37" s="772">
        <v>-132831</v>
      </c>
      <c r="AZ37" s="772">
        <v>-29492</v>
      </c>
      <c r="BA37" s="772">
        <v>-94292</v>
      </c>
      <c r="BB37" s="772">
        <v>-46597</v>
      </c>
      <c r="BC37" s="772">
        <v>-592226</v>
      </c>
      <c r="BD37" s="772">
        <v>-109225</v>
      </c>
      <c r="BE37" s="772">
        <v>0</v>
      </c>
      <c r="BF37" s="772">
        <v>9824</v>
      </c>
      <c r="BG37" s="772">
        <v>3714069</v>
      </c>
      <c r="BH37" s="772">
        <v>0</v>
      </c>
      <c r="BI37" s="772">
        <v>-245832</v>
      </c>
      <c r="BJ37" s="772">
        <v>-46355</v>
      </c>
      <c r="BK37" s="772">
        <v>0</v>
      </c>
      <c r="BL37" s="772">
        <v>0</v>
      </c>
      <c r="BM37" s="772">
        <v>5721539</v>
      </c>
      <c r="BN37" s="772">
        <v>1578633</v>
      </c>
      <c r="BO37" s="772">
        <v>-126700</v>
      </c>
      <c r="BP37" s="772">
        <v>3946008</v>
      </c>
      <c r="BQ37" s="772">
        <v>4333715</v>
      </c>
      <c r="BR37" s="772">
        <v>20855</v>
      </c>
      <c r="BS37" s="772">
        <v>135627</v>
      </c>
      <c r="BT37" s="772">
        <v>-3598296</v>
      </c>
      <c r="BU37" s="772">
        <v>1461202</v>
      </c>
      <c r="BV37" s="772">
        <v>-134578</v>
      </c>
      <c r="BW37" s="772">
        <v>0</v>
      </c>
      <c r="BX37" s="772">
        <v>465208</v>
      </c>
      <c r="BY37" s="772">
        <v>0</v>
      </c>
      <c r="BZ37" s="772">
        <v>12634178</v>
      </c>
      <c r="CA37" s="772">
        <v>-21839</v>
      </c>
      <c r="CB37" s="772">
        <v>0</v>
      </c>
      <c r="CC37" s="772">
        <v>-46266</v>
      </c>
      <c r="CD37" s="772">
        <v>0</v>
      </c>
      <c r="CE37" s="772">
        <v>0</v>
      </c>
    </row>
    <row r="38" spans="1:83" x14ac:dyDescent="0.25">
      <c r="A38" s="776">
        <v>51</v>
      </c>
      <c r="B38" s="752">
        <v>51</v>
      </c>
      <c r="C38" s="768" t="s">
        <v>311</v>
      </c>
      <c r="D38" s="635" t="s">
        <v>407</v>
      </c>
      <c r="E38" s="769">
        <v>-227349</v>
      </c>
      <c r="F38" s="770">
        <v>404873</v>
      </c>
      <c r="G38" s="770">
        <v>0</v>
      </c>
      <c r="H38" s="770">
        <v>124146</v>
      </c>
      <c r="I38" s="770">
        <v>148219</v>
      </c>
      <c r="J38" s="770">
        <v>-6203</v>
      </c>
      <c r="K38" s="771">
        <v>0</v>
      </c>
      <c r="L38" s="772">
        <v>-40</v>
      </c>
      <c r="M38" s="772">
        <v>1451943</v>
      </c>
      <c r="N38" s="773">
        <v>0</v>
      </c>
      <c r="O38" s="773">
        <v>0</v>
      </c>
      <c r="P38" s="773">
        <v>0</v>
      </c>
      <c r="Q38" s="773">
        <v>2931</v>
      </c>
      <c r="R38" s="773">
        <v>1027388</v>
      </c>
      <c r="S38" s="773">
        <v>0</v>
      </c>
      <c r="T38" s="773">
        <v>25818</v>
      </c>
      <c r="U38" s="773">
        <v>193793</v>
      </c>
      <c r="V38" s="773">
        <v>159156</v>
      </c>
      <c r="W38" s="773">
        <v>1502046</v>
      </c>
      <c r="X38" s="773">
        <v>0</v>
      </c>
      <c r="Y38" s="773">
        <v>101963</v>
      </c>
      <c r="Z38" s="773">
        <v>-135106</v>
      </c>
      <c r="AA38" s="773">
        <v>4822889</v>
      </c>
      <c r="AB38" s="772">
        <v>-24939</v>
      </c>
      <c r="AC38" s="772">
        <v>78965</v>
      </c>
      <c r="AD38" s="772">
        <v>0</v>
      </c>
      <c r="AE38" s="772">
        <v>0</v>
      </c>
      <c r="AF38" s="772">
        <v>0</v>
      </c>
      <c r="AG38" s="772">
        <v>7192770</v>
      </c>
      <c r="AH38" s="772">
        <v>-298</v>
      </c>
      <c r="AI38" s="772">
        <v>4067</v>
      </c>
      <c r="AJ38" s="772">
        <v>734879</v>
      </c>
      <c r="AK38" s="772">
        <v>-3279</v>
      </c>
      <c r="AL38" s="772">
        <v>3377</v>
      </c>
      <c r="AM38" s="772">
        <v>3620723</v>
      </c>
      <c r="AN38" s="772">
        <v>21037</v>
      </c>
      <c r="AO38" s="772">
        <v>2056912</v>
      </c>
      <c r="AP38" s="772">
        <v>0</v>
      </c>
      <c r="AQ38" s="772">
        <v>599322</v>
      </c>
      <c r="AR38" s="772">
        <v>0</v>
      </c>
      <c r="AS38" s="772">
        <v>0</v>
      </c>
      <c r="AT38" s="772">
        <v>462501</v>
      </c>
      <c r="AU38" s="772">
        <v>-22638</v>
      </c>
      <c r="AV38" s="772">
        <v>48449349</v>
      </c>
      <c r="AW38" s="772">
        <v>17880389</v>
      </c>
      <c r="AX38" s="772">
        <v>16992</v>
      </c>
      <c r="AY38" s="772">
        <v>39121</v>
      </c>
      <c r="AZ38" s="772">
        <v>-111558</v>
      </c>
      <c r="BA38" s="772">
        <v>-3289</v>
      </c>
      <c r="BB38" s="772">
        <v>51145</v>
      </c>
      <c r="BC38" s="772">
        <v>195977</v>
      </c>
      <c r="BD38" s="772">
        <v>43037</v>
      </c>
      <c r="BE38" s="772">
        <v>0</v>
      </c>
      <c r="BF38" s="772">
        <v>66106</v>
      </c>
      <c r="BG38" s="772">
        <v>2628881</v>
      </c>
      <c r="BH38" s="772">
        <v>0</v>
      </c>
      <c r="BI38" s="772">
        <v>869355</v>
      </c>
      <c r="BJ38" s="772">
        <v>327704</v>
      </c>
      <c r="BK38" s="772">
        <v>0</v>
      </c>
      <c r="BL38" s="772">
        <v>0</v>
      </c>
      <c r="BM38" s="772">
        <v>7125560</v>
      </c>
      <c r="BN38" s="772">
        <v>2515332</v>
      </c>
      <c r="BO38" s="772">
        <v>675570</v>
      </c>
      <c r="BP38" s="772">
        <v>9613757</v>
      </c>
      <c r="BQ38" s="772">
        <v>21824478</v>
      </c>
      <c r="BR38" s="772">
        <v>23154</v>
      </c>
      <c r="BS38" s="772">
        <v>560486</v>
      </c>
      <c r="BT38" s="772">
        <v>8459</v>
      </c>
      <c r="BU38" s="772">
        <v>4194829</v>
      </c>
      <c r="BV38" s="772">
        <v>18074</v>
      </c>
      <c r="BW38" s="772">
        <v>0</v>
      </c>
      <c r="BX38" s="772">
        <v>603370</v>
      </c>
      <c r="BY38" s="772">
        <v>0</v>
      </c>
      <c r="BZ38" s="772">
        <v>14684573</v>
      </c>
      <c r="CA38" s="772">
        <v>-70703</v>
      </c>
      <c r="CB38" s="772">
        <v>0</v>
      </c>
      <c r="CC38" s="772">
        <v>27625</v>
      </c>
      <c r="CD38" s="772">
        <v>0</v>
      </c>
      <c r="CE38" s="772">
        <v>0</v>
      </c>
    </row>
    <row r="39" spans="1:83" x14ac:dyDescent="0.25">
      <c r="A39" s="767">
        <v>52</v>
      </c>
      <c r="B39" s="752">
        <v>52</v>
      </c>
      <c r="C39" s="768" t="s">
        <v>304</v>
      </c>
      <c r="D39" s="635" t="s">
        <v>408</v>
      </c>
      <c r="E39" s="769">
        <v>0</v>
      </c>
      <c r="F39" s="770">
        <v>0</v>
      </c>
      <c r="G39" s="770">
        <v>0</v>
      </c>
      <c r="H39" s="770">
        <v>0</v>
      </c>
      <c r="I39" s="770">
        <v>0</v>
      </c>
      <c r="J39" s="770">
        <v>0</v>
      </c>
      <c r="K39" s="771">
        <v>0</v>
      </c>
      <c r="L39" s="772">
        <v>0</v>
      </c>
      <c r="M39" s="772">
        <v>262224</v>
      </c>
      <c r="N39" s="773">
        <v>0</v>
      </c>
      <c r="O39" s="773">
        <v>0</v>
      </c>
      <c r="P39" s="773">
        <v>0</v>
      </c>
      <c r="Q39" s="773">
        <v>0</v>
      </c>
      <c r="R39" s="773">
        <v>483491</v>
      </c>
      <c r="S39" s="773">
        <v>0</v>
      </c>
      <c r="T39" s="773">
        <v>25843</v>
      </c>
      <c r="U39" s="773">
        <v>0</v>
      </c>
      <c r="V39" s="773">
        <v>0</v>
      </c>
      <c r="W39" s="773">
        <v>0</v>
      </c>
      <c r="X39" s="773">
        <v>0</v>
      </c>
      <c r="Y39" s="773">
        <v>0</v>
      </c>
      <c r="Z39" s="773">
        <v>9382</v>
      </c>
      <c r="AA39" s="773">
        <v>0</v>
      </c>
      <c r="AB39" s="772">
        <v>0</v>
      </c>
      <c r="AC39" s="772">
        <v>0</v>
      </c>
      <c r="AD39" s="772">
        <v>0</v>
      </c>
      <c r="AE39" s="772">
        <v>0</v>
      </c>
      <c r="AF39" s="772">
        <v>0</v>
      </c>
      <c r="AG39" s="772">
        <v>2061294</v>
      </c>
      <c r="AH39" s="772">
        <v>0</v>
      </c>
      <c r="AI39" s="772">
        <v>0</v>
      </c>
      <c r="AJ39" s="772">
        <v>0</v>
      </c>
      <c r="AK39" s="772">
        <v>0</v>
      </c>
      <c r="AL39" s="772">
        <v>0</v>
      </c>
      <c r="AM39" s="772">
        <v>0</v>
      </c>
      <c r="AN39" s="772">
        <v>0</v>
      </c>
      <c r="AO39" s="772">
        <v>0</v>
      </c>
      <c r="AP39" s="772">
        <v>0</v>
      </c>
      <c r="AQ39" s="772">
        <v>230640</v>
      </c>
      <c r="AR39" s="772">
        <v>0</v>
      </c>
      <c r="AS39" s="772">
        <v>0</v>
      </c>
      <c r="AT39" s="772">
        <v>0</v>
      </c>
      <c r="AU39" s="772">
        <v>0</v>
      </c>
      <c r="AV39" s="772">
        <v>0</v>
      </c>
      <c r="AW39" s="772">
        <v>9022087</v>
      </c>
      <c r="AX39" s="772">
        <v>0</v>
      </c>
      <c r="AY39" s="772">
        <v>0</v>
      </c>
      <c r="AZ39" s="772">
        <v>0</v>
      </c>
      <c r="BA39" s="772">
        <v>0</v>
      </c>
      <c r="BB39" s="772">
        <v>1443</v>
      </c>
      <c r="BC39" s="772">
        <v>0</v>
      </c>
      <c r="BD39" s="772">
        <v>0</v>
      </c>
      <c r="BE39" s="772">
        <v>0</v>
      </c>
      <c r="BF39" s="772">
        <v>0</v>
      </c>
      <c r="BG39" s="772">
        <v>0</v>
      </c>
      <c r="BH39" s="772">
        <v>0</v>
      </c>
      <c r="BI39" s="772">
        <v>0</v>
      </c>
      <c r="BJ39" s="772">
        <v>0</v>
      </c>
      <c r="BK39" s="772">
        <v>0</v>
      </c>
      <c r="BL39" s="772">
        <v>0</v>
      </c>
      <c r="BM39" s="772">
        <v>0</v>
      </c>
      <c r="BN39" s="772">
        <v>0</v>
      </c>
      <c r="BO39" s="772">
        <v>68580</v>
      </c>
      <c r="BP39" s="772">
        <v>0</v>
      </c>
      <c r="BQ39" s="772">
        <v>3842270</v>
      </c>
      <c r="BR39" s="772">
        <v>0</v>
      </c>
      <c r="BS39" s="772">
        <v>119608</v>
      </c>
      <c r="BT39" s="772">
        <v>0</v>
      </c>
      <c r="BU39" s="772">
        <v>0</v>
      </c>
      <c r="BV39" s="772">
        <v>5534</v>
      </c>
      <c r="BW39" s="772">
        <v>0</v>
      </c>
      <c r="BX39" s="772">
        <v>0</v>
      </c>
      <c r="BY39" s="772">
        <v>0</v>
      </c>
      <c r="BZ39" s="772">
        <v>0</v>
      </c>
      <c r="CA39" s="772">
        <v>22071</v>
      </c>
      <c r="CB39" s="772">
        <v>0</v>
      </c>
      <c r="CC39" s="772">
        <v>0</v>
      </c>
      <c r="CD39" s="772">
        <v>0</v>
      </c>
      <c r="CE39" s="772">
        <v>994788</v>
      </c>
    </row>
    <row r="40" spans="1:83" x14ac:dyDescent="0.25">
      <c r="A40" s="767">
        <v>53</v>
      </c>
      <c r="B40" s="752">
        <v>53</v>
      </c>
      <c r="C40" s="768" t="s">
        <v>108</v>
      </c>
      <c r="D40" s="635" t="s">
        <v>409</v>
      </c>
      <c r="E40" s="769">
        <v>0</v>
      </c>
      <c r="F40" s="770">
        <v>0</v>
      </c>
      <c r="G40" s="770">
        <v>0</v>
      </c>
      <c r="H40" s="770">
        <v>0</v>
      </c>
      <c r="I40" s="770">
        <v>0</v>
      </c>
      <c r="J40" s="770">
        <v>0</v>
      </c>
      <c r="K40" s="771">
        <v>0</v>
      </c>
      <c r="L40" s="772">
        <v>0</v>
      </c>
      <c r="M40" s="772">
        <v>168481</v>
      </c>
      <c r="N40" s="773">
        <v>0</v>
      </c>
      <c r="O40" s="773">
        <v>0</v>
      </c>
      <c r="P40" s="773">
        <v>0</v>
      </c>
      <c r="Q40" s="773">
        <v>0</v>
      </c>
      <c r="R40" s="773">
        <v>-2027167</v>
      </c>
      <c r="S40" s="773">
        <v>0</v>
      </c>
      <c r="T40" s="773">
        <v>2481</v>
      </c>
      <c r="U40" s="773">
        <v>0</v>
      </c>
      <c r="V40" s="773">
        <v>0</v>
      </c>
      <c r="W40" s="773">
        <v>0</v>
      </c>
      <c r="X40" s="773">
        <v>0</v>
      </c>
      <c r="Y40" s="773">
        <v>0</v>
      </c>
      <c r="Z40" s="773">
        <v>17095</v>
      </c>
      <c r="AA40" s="773">
        <v>0</v>
      </c>
      <c r="AB40" s="772">
        <v>0</v>
      </c>
      <c r="AC40" s="772">
        <v>0</v>
      </c>
      <c r="AD40" s="772">
        <v>0</v>
      </c>
      <c r="AE40" s="772">
        <v>0</v>
      </c>
      <c r="AF40" s="772">
        <v>0</v>
      </c>
      <c r="AG40" s="772">
        <v>3693951</v>
      </c>
      <c r="AH40" s="772">
        <v>0</v>
      </c>
      <c r="AI40" s="772">
        <v>0</v>
      </c>
      <c r="AJ40" s="772">
        <v>0</v>
      </c>
      <c r="AK40" s="772">
        <v>0</v>
      </c>
      <c r="AL40" s="772">
        <v>0</v>
      </c>
      <c r="AM40" s="772">
        <v>0</v>
      </c>
      <c r="AN40" s="772">
        <v>0</v>
      </c>
      <c r="AO40" s="772">
        <v>0</v>
      </c>
      <c r="AP40" s="772">
        <v>0</v>
      </c>
      <c r="AQ40" s="772">
        <v>-85993</v>
      </c>
      <c r="AR40" s="772">
        <v>0</v>
      </c>
      <c r="AS40" s="772">
        <v>0</v>
      </c>
      <c r="AT40" s="772">
        <v>0</v>
      </c>
      <c r="AU40" s="772">
        <v>0</v>
      </c>
      <c r="AV40" s="772">
        <v>0</v>
      </c>
      <c r="AW40" s="772">
        <v>9955900</v>
      </c>
      <c r="AX40" s="772">
        <v>0</v>
      </c>
      <c r="AY40" s="772">
        <v>0</v>
      </c>
      <c r="AZ40" s="772">
        <v>0</v>
      </c>
      <c r="BA40" s="772">
        <v>0</v>
      </c>
      <c r="BB40" s="772">
        <v>-21853</v>
      </c>
      <c r="BC40" s="772">
        <v>0</v>
      </c>
      <c r="BD40" s="772">
        <v>0</v>
      </c>
      <c r="BE40" s="772">
        <v>0</v>
      </c>
      <c r="BF40" s="772">
        <v>0</v>
      </c>
      <c r="BG40" s="772">
        <v>0</v>
      </c>
      <c r="BH40" s="772">
        <v>0</v>
      </c>
      <c r="BI40" s="772">
        <v>0</v>
      </c>
      <c r="BJ40" s="772">
        <v>0</v>
      </c>
      <c r="BK40" s="772">
        <v>0</v>
      </c>
      <c r="BL40" s="772">
        <v>0</v>
      </c>
      <c r="BM40" s="772">
        <v>0</v>
      </c>
      <c r="BN40" s="772">
        <v>0</v>
      </c>
      <c r="BO40" s="772">
        <v>170329</v>
      </c>
      <c r="BP40" s="772">
        <v>0</v>
      </c>
      <c r="BQ40" s="772">
        <v>6925841</v>
      </c>
      <c r="BR40" s="772">
        <v>0</v>
      </c>
      <c r="BS40" s="772">
        <v>891050</v>
      </c>
      <c r="BT40" s="772">
        <v>0</v>
      </c>
      <c r="BU40" s="772">
        <v>0</v>
      </c>
      <c r="BV40" s="772">
        <v>56460</v>
      </c>
      <c r="BW40" s="772">
        <v>0</v>
      </c>
      <c r="BX40" s="772">
        <v>0</v>
      </c>
      <c r="BY40" s="772">
        <v>0</v>
      </c>
      <c r="BZ40" s="772">
        <v>0</v>
      </c>
      <c r="CA40" s="772">
        <v>-4249</v>
      </c>
      <c r="CB40" s="772">
        <v>0</v>
      </c>
      <c r="CC40" s="772">
        <v>0</v>
      </c>
      <c r="CD40" s="772">
        <v>0</v>
      </c>
      <c r="CE40" s="772">
        <v>596081</v>
      </c>
    </row>
    <row r="41" spans="1:83" x14ac:dyDescent="0.25">
      <c r="B41" s="752">
        <v>54</v>
      </c>
      <c r="C41" s="768" t="s">
        <v>727</v>
      </c>
      <c r="D41" s="635" t="s">
        <v>410</v>
      </c>
      <c r="E41" s="769"/>
      <c r="F41" s="770"/>
      <c r="G41" s="770"/>
      <c r="H41" s="770"/>
      <c r="I41" s="770"/>
      <c r="J41" s="770"/>
      <c r="K41" s="771"/>
      <c r="L41" s="772"/>
      <c r="M41" s="772"/>
      <c r="N41" s="773"/>
      <c r="O41" s="773"/>
      <c r="P41" s="773"/>
      <c r="Q41" s="773"/>
      <c r="R41" s="773"/>
      <c r="S41" s="773"/>
      <c r="T41" s="773"/>
      <c r="U41" s="773"/>
      <c r="V41" s="773"/>
      <c r="W41" s="773"/>
      <c r="X41" s="773"/>
      <c r="Y41" s="773"/>
      <c r="Z41" s="773"/>
      <c r="AA41" s="773"/>
      <c r="AB41" s="772"/>
      <c r="AC41" s="772"/>
      <c r="AD41" s="772"/>
      <c r="AE41" s="772"/>
      <c r="AF41" s="772"/>
      <c r="AG41" s="772"/>
      <c r="AH41" s="772"/>
      <c r="AI41" s="772"/>
      <c r="AJ41" s="772"/>
      <c r="AK41" s="772"/>
      <c r="AL41" s="772"/>
      <c r="AM41" s="772"/>
      <c r="AN41" s="772"/>
      <c r="AO41" s="772"/>
      <c r="AP41" s="772"/>
      <c r="AQ41" s="772"/>
      <c r="AR41" s="772"/>
      <c r="AS41" s="772"/>
      <c r="AT41" s="772"/>
      <c r="AU41" s="772"/>
      <c r="AV41" s="772"/>
      <c r="AW41" s="772"/>
      <c r="AX41" s="772"/>
      <c r="AY41" s="772"/>
      <c r="AZ41" s="772"/>
      <c r="BA41" s="772"/>
      <c r="BB41" s="772"/>
      <c r="BC41" s="772"/>
      <c r="BD41" s="772"/>
      <c r="BE41" s="772"/>
      <c r="BF41" s="772"/>
      <c r="BG41" s="772"/>
      <c r="BH41" s="772"/>
      <c r="BI41" s="772"/>
      <c r="BJ41" s="772"/>
      <c r="BK41" s="772"/>
      <c r="BL41" s="772"/>
      <c r="BM41" s="772"/>
      <c r="BN41" s="772"/>
      <c r="BO41" s="772"/>
      <c r="BP41" s="772"/>
      <c r="BQ41" s="772"/>
      <c r="BR41" s="772"/>
      <c r="BS41" s="772"/>
      <c r="BT41" s="772"/>
      <c r="BU41" s="772"/>
      <c r="BV41" s="772"/>
      <c r="BW41" s="772"/>
      <c r="BX41" s="772"/>
      <c r="BY41" s="772"/>
      <c r="BZ41" s="772"/>
      <c r="CA41" s="772"/>
      <c r="CB41" s="772"/>
      <c r="CC41" s="772"/>
      <c r="CD41" s="772"/>
      <c r="CE41" s="772"/>
    </row>
    <row r="42" spans="1:83" x14ac:dyDescent="0.25">
      <c r="A42" s="767">
        <v>55</v>
      </c>
      <c r="B42" s="752">
        <v>55</v>
      </c>
      <c r="C42" s="768" t="s">
        <v>314</v>
      </c>
      <c r="D42" s="635" t="s">
        <v>411</v>
      </c>
      <c r="E42" s="769">
        <v>0</v>
      </c>
      <c r="F42" s="770">
        <v>0</v>
      </c>
      <c r="G42" s="770">
        <v>0</v>
      </c>
      <c r="H42" s="770">
        <v>0</v>
      </c>
      <c r="I42" s="770">
        <v>0</v>
      </c>
      <c r="J42" s="770">
        <v>0</v>
      </c>
      <c r="K42" s="771">
        <v>0</v>
      </c>
      <c r="L42" s="772">
        <v>0</v>
      </c>
      <c r="M42" s="772">
        <v>575022</v>
      </c>
      <c r="N42" s="773">
        <v>0</v>
      </c>
      <c r="O42" s="773">
        <v>0</v>
      </c>
      <c r="P42" s="773">
        <v>0</v>
      </c>
      <c r="Q42" s="773">
        <v>0</v>
      </c>
      <c r="R42" s="773">
        <v>3553649</v>
      </c>
      <c r="S42" s="773">
        <v>0</v>
      </c>
      <c r="T42" s="773">
        <v>31172</v>
      </c>
      <c r="U42" s="773">
        <v>0</v>
      </c>
      <c r="V42" s="773">
        <v>0</v>
      </c>
      <c r="W42" s="773">
        <v>0</v>
      </c>
      <c r="X42" s="773">
        <v>0</v>
      </c>
      <c r="Y42" s="773">
        <v>0</v>
      </c>
      <c r="Z42" s="773">
        <v>99267</v>
      </c>
      <c r="AA42" s="773">
        <v>0</v>
      </c>
      <c r="AB42" s="772">
        <v>0</v>
      </c>
      <c r="AC42" s="772">
        <v>0</v>
      </c>
      <c r="AD42" s="772">
        <v>0</v>
      </c>
      <c r="AE42" s="772">
        <v>0</v>
      </c>
      <c r="AF42" s="772">
        <v>0</v>
      </c>
      <c r="AG42" s="772">
        <v>6959917</v>
      </c>
      <c r="AH42" s="772">
        <v>0</v>
      </c>
      <c r="AI42" s="772">
        <v>0</v>
      </c>
      <c r="AJ42" s="772">
        <v>0</v>
      </c>
      <c r="AK42" s="772">
        <v>0</v>
      </c>
      <c r="AL42" s="772">
        <v>0</v>
      </c>
      <c r="AM42" s="772">
        <v>0</v>
      </c>
      <c r="AN42" s="772">
        <v>0</v>
      </c>
      <c r="AO42" s="772">
        <v>0</v>
      </c>
      <c r="AP42" s="772">
        <v>0</v>
      </c>
      <c r="AQ42" s="772">
        <v>368682</v>
      </c>
      <c r="AR42" s="772">
        <v>0</v>
      </c>
      <c r="AS42" s="772">
        <v>0</v>
      </c>
      <c r="AT42" s="772">
        <v>0</v>
      </c>
      <c r="AU42" s="772">
        <v>0</v>
      </c>
      <c r="AV42" s="772">
        <v>0</v>
      </c>
      <c r="AW42" s="772">
        <v>24952053</v>
      </c>
      <c r="AX42" s="772">
        <v>0</v>
      </c>
      <c r="AY42" s="772">
        <v>0</v>
      </c>
      <c r="AZ42" s="772">
        <v>0</v>
      </c>
      <c r="BA42" s="772">
        <v>0</v>
      </c>
      <c r="BB42" s="772">
        <v>-36389</v>
      </c>
      <c r="BC42" s="772">
        <v>0</v>
      </c>
      <c r="BD42" s="772">
        <v>0</v>
      </c>
      <c r="BE42" s="772">
        <v>0</v>
      </c>
      <c r="BF42" s="772">
        <v>0</v>
      </c>
      <c r="BG42" s="772">
        <v>0</v>
      </c>
      <c r="BH42" s="772">
        <v>0</v>
      </c>
      <c r="BI42" s="772">
        <v>0</v>
      </c>
      <c r="BJ42" s="772">
        <v>0</v>
      </c>
      <c r="BK42" s="772">
        <v>0</v>
      </c>
      <c r="BL42" s="772">
        <v>0</v>
      </c>
      <c r="BM42" s="772">
        <v>0</v>
      </c>
      <c r="BN42" s="772">
        <v>0</v>
      </c>
      <c r="BO42" s="772">
        <v>311127</v>
      </c>
      <c r="BP42" s="772">
        <v>0</v>
      </c>
      <c r="BQ42" s="772">
        <v>11130570</v>
      </c>
      <c r="BR42" s="772">
        <v>0</v>
      </c>
      <c r="BS42" s="772">
        <v>1603005</v>
      </c>
      <c r="BT42" s="772">
        <v>0</v>
      </c>
      <c r="BU42" s="772">
        <v>0</v>
      </c>
      <c r="BV42" s="772">
        <v>41213</v>
      </c>
      <c r="BW42" s="772">
        <v>0</v>
      </c>
      <c r="BX42" s="772">
        <v>0</v>
      </c>
      <c r="BY42" s="772">
        <v>0</v>
      </c>
      <c r="BZ42" s="772">
        <v>0</v>
      </c>
      <c r="CA42" s="772">
        <v>83650</v>
      </c>
      <c r="CB42" s="772">
        <v>0</v>
      </c>
      <c r="CC42" s="772">
        <v>0</v>
      </c>
      <c r="CD42" s="772">
        <v>0</v>
      </c>
      <c r="CE42" s="772">
        <v>2188031</v>
      </c>
    </row>
    <row r="43" spans="1:83" x14ac:dyDescent="0.25">
      <c r="A43" s="767">
        <v>61</v>
      </c>
      <c r="B43" s="752">
        <v>61</v>
      </c>
      <c r="C43" s="768" t="s">
        <v>333</v>
      </c>
      <c r="D43" s="635" t="s">
        <v>412</v>
      </c>
      <c r="E43" s="777">
        <v>94.97</v>
      </c>
      <c r="F43" s="778">
        <v>92.96</v>
      </c>
      <c r="G43" s="778">
        <v>99.78</v>
      </c>
      <c r="H43" s="778">
        <v>98.76</v>
      </c>
      <c r="I43" s="778">
        <v>98.14</v>
      </c>
      <c r="J43" s="778">
        <v>97.41</v>
      </c>
      <c r="K43" s="779">
        <v>97.72</v>
      </c>
      <c r="L43" s="780">
        <v>95.82</v>
      </c>
      <c r="M43" s="780">
        <v>94.87</v>
      </c>
      <c r="N43" s="781">
        <v>99.27</v>
      </c>
      <c r="O43" s="781">
        <v>100</v>
      </c>
      <c r="P43" s="781">
        <v>99.52</v>
      </c>
      <c r="Q43" s="781">
        <v>96.71</v>
      </c>
      <c r="R43" s="781">
        <v>99</v>
      </c>
      <c r="S43" s="781">
        <v>92.71</v>
      </c>
      <c r="T43" s="781">
        <v>97.43</v>
      </c>
      <c r="U43" s="781">
        <v>99.95</v>
      </c>
      <c r="V43" s="781">
        <v>99.69</v>
      </c>
      <c r="W43" s="781">
        <v>95.83</v>
      </c>
      <c r="X43" s="781">
        <v>97.12</v>
      </c>
      <c r="Y43" s="781">
        <v>98.93</v>
      </c>
      <c r="Z43" s="781">
        <v>95.77</v>
      </c>
      <c r="AA43" s="781">
        <v>99.83</v>
      </c>
      <c r="AB43" s="780">
        <v>0</v>
      </c>
      <c r="AC43" s="780">
        <v>94.1</v>
      </c>
      <c r="AD43" s="780">
        <v>99.81</v>
      </c>
      <c r="AE43" s="780">
        <v>88.23</v>
      </c>
      <c r="AF43" s="780">
        <v>90.07</v>
      </c>
      <c r="AG43" s="780">
        <v>98.96</v>
      </c>
      <c r="AH43" s="780">
        <v>97.79</v>
      </c>
      <c r="AI43" s="780">
        <v>95.4</v>
      </c>
      <c r="AJ43" s="780">
        <v>98.61</v>
      </c>
      <c r="AK43" s="780">
        <v>98.98</v>
      </c>
      <c r="AL43" s="780">
        <v>98.6</v>
      </c>
      <c r="AM43" s="780">
        <v>98.34</v>
      </c>
      <c r="AN43" s="780">
        <v>98.5</v>
      </c>
      <c r="AO43" s="780">
        <v>98.87</v>
      </c>
      <c r="AP43" s="780">
        <v>0</v>
      </c>
      <c r="AQ43" s="780">
        <v>97.32</v>
      </c>
      <c r="AR43" s="780">
        <v>98.69</v>
      </c>
      <c r="AS43" s="780">
        <v>95.33</v>
      </c>
      <c r="AT43" s="780">
        <v>95.11</v>
      </c>
      <c r="AU43" s="780">
        <v>84.83</v>
      </c>
      <c r="AV43" s="780">
        <v>99.4</v>
      </c>
      <c r="AW43" s="780">
        <v>99.57</v>
      </c>
      <c r="AX43" s="780">
        <v>95.22</v>
      </c>
      <c r="AY43" s="780">
        <v>98.6</v>
      </c>
      <c r="AZ43" s="780">
        <v>98.2</v>
      </c>
      <c r="BA43" s="780">
        <v>98.85</v>
      </c>
      <c r="BB43" s="780">
        <v>88.82</v>
      </c>
      <c r="BC43" s="780">
        <v>96.67</v>
      </c>
      <c r="BD43" s="780">
        <v>98.25</v>
      </c>
      <c r="BE43" s="780">
        <v>97.6</v>
      </c>
      <c r="BF43" s="780">
        <v>97.54</v>
      </c>
      <c r="BG43" s="780">
        <v>99.64</v>
      </c>
      <c r="BH43" s="780">
        <v>82.63</v>
      </c>
      <c r="BI43" s="780">
        <v>99.68</v>
      </c>
      <c r="BJ43" s="780">
        <v>98.72</v>
      </c>
      <c r="BK43" s="780">
        <v>98.21</v>
      </c>
      <c r="BL43" s="780">
        <v>0</v>
      </c>
      <c r="BM43" s="780">
        <v>97.57</v>
      </c>
      <c r="BN43" s="780">
        <v>98.25</v>
      </c>
      <c r="BO43" s="780">
        <v>95.79</v>
      </c>
      <c r="BP43" s="780">
        <v>98.66</v>
      </c>
      <c r="BQ43" s="780">
        <v>99.08</v>
      </c>
      <c r="BR43" s="780">
        <v>97.53</v>
      </c>
      <c r="BS43" s="780">
        <v>99.39</v>
      </c>
      <c r="BT43" s="780">
        <v>99.53</v>
      </c>
      <c r="BU43" s="780">
        <v>99.13</v>
      </c>
      <c r="BV43" s="780">
        <v>93.45</v>
      </c>
      <c r="BW43" s="780">
        <v>98.29</v>
      </c>
      <c r="BX43" s="780">
        <v>99.05</v>
      </c>
      <c r="BY43" s="780">
        <v>98.79</v>
      </c>
      <c r="BZ43" s="780">
        <v>99.84</v>
      </c>
      <c r="CA43" s="780">
        <v>99.62</v>
      </c>
      <c r="CB43" s="780">
        <v>99.72</v>
      </c>
      <c r="CC43" s="780">
        <v>97.64</v>
      </c>
      <c r="CD43" s="780">
        <v>94.29</v>
      </c>
      <c r="CE43" s="780">
        <v>99.68</v>
      </c>
    </row>
    <row r="44" spans="1:83" x14ac:dyDescent="0.25">
      <c r="A44" s="776">
        <v>80</v>
      </c>
      <c r="B44" s="752">
        <v>80</v>
      </c>
      <c r="C44" s="768" t="s">
        <v>283</v>
      </c>
      <c r="D44" s="635" t="s">
        <v>413</v>
      </c>
      <c r="E44" s="769">
        <v>294134</v>
      </c>
      <c r="F44" s="770">
        <v>150541</v>
      </c>
      <c r="G44" s="770">
        <v>0</v>
      </c>
      <c r="H44" s="770">
        <v>795372</v>
      </c>
      <c r="I44" s="770">
        <v>349962</v>
      </c>
      <c r="J44" s="770">
        <v>98380</v>
      </c>
      <c r="K44" s="771">
        <v>0</v>
      </c>
      <c r="L44" s="772">
        <v>203960</v>
      </c>
      <c r="M44" s="772">
        <v>3380749</v>
      </c>
      <c r="N44" s="773">
        <v>0</v>
      </c>
      <c r="O44" s="773">
        <v>0</v>
      </c>
      <c r="P44" s="773">
        <v>0</v>
      </c>
      <c r="Q44" s="773">
        <v>5807</v>
      </c>
      <c r="R44" s="773">
        <v>4760338</v>
      </c>
      <c r="S44" s="773">
        <v>0</v>
      </c>
      <c r="T44" s="773">
        <v>187056</v>
      </c>
      <c r="U44" s="773">
        <v>897961</v>
      </c>
      <c r="V44" s="773">
        <v>725041</v>
      </c>
      <c r="W44" s="773">
        <v>4400214</v>
      </c>
      <c r="X44" s="773">
        <v>0</v>
      </c>
      <c r="Y44" s="773">
        <v>568026</v>
      </c>
      <c r="Z44" s="773">
        <v>0</v>
      </c>
      <c r="AA44" s="773">
        <v>16446980</v>
      </c>
      <c r="AB44" s="772">
        <v>11284</v>
      </c>
      <c r="AC44" s="772">
        <v>402000</v>
      </c>
      <c r="AD44" s="772">
        <v>0</v>
      </c>
      <c r="AE44" s="772">
        <v>0</v>
      </c>
      <c r="AF44" s="772">
        <v>0</v>
      </c>
      <c r="AG44" s="772">
        <v>23100030</v>
      </c>
      <c r="AH44" s="772">
        <v>581</v>
      </c>
      <c r="AI44" s="772">
        <v>240241</v>
      </c>
      <c r="AJ44" s="772">
        <v>1962828</v>
      </c>
      <c r="AK44" s="772">
        <v>92977</v>
      </c>
      <c r="AL44" s="772">
        <v>80049</v>
      </c>
      <c r="AM44" s="772">
        <v>7761039</v>
      </c>
      <c r="AN44" s="772">
        <v>213722</v>
      </c>
      <c r="AO44" s="772">
        <v>9911715</v>
      </c>
      <c r="AP44" s="772">
        <v>0</v>
      </c>
      <c r="AQ44" s="772">
        <v>2328545</v>
      </c>
      <c r="AR44" s="772">
        <v>0</v>
      </c>
      <c r="AS44" s="772">
        <v>0</v>
      </c>
      <c r="AT44" s="772">
        <v>745945</v>
      </c>
      <c r="AU44" s="772">
        <v>118119</v>
      </c>
      <c r="AV44" s="772">
        <v>48449931</v>
      </c>
      <c r="AW44" s="772">
        <v>13155343</v>
      </c>
      <c r="AX44" s="772">
        <v>425883</v>
      </c>
      <c r="AY44" s="772">
        <v>107399</v>
      </c>
      <c r="AZ44" s="772">
        <v>141366</v>
      </c>
      <c r="BA44" s="772">
        <v>82834</v>
      </c>
      <c r="BB44" s="772">
        <v>376557</v>
      </c>
      <c r="BC44" s="772">
        <v>2853888</v>
      </c>
      <c r="BD44" s="772">
        <v>476806</v>
      </c>
      <c r="BE44" s="772">
        <v>0</v>
      </c>
      <c r="BF44" s="772">
        <v>127216</v>
      </c>
      <c r="BG44" s="772">
        <v>9262370</v>
      </c>
      <c r="BH44" s="772">
        <v>0</v>
      </c>
      <c r="BI44" s="772">
        <v>8997995</v>
      </c>
      <c r="BJ44" s="772">
        <v>1242323</v>
      </c>
      <c r="BK44" s="772">
        <v>0</v>
      </c>
      <c r="BL44" s="772">
        <v>0</v>
      </c>
      <c r="BM44" s="772">
        <v>25624716</v>
      </c>
      <c r="BN44" s="772">
        <v>18208065</v>
      </c>
      <c r="BO44" s="772">
        <v>580649</v>
      </c>
      <c r="BP44" s="772">
        <v>31331840</v>
      </c>
      <c r="BQ44" s="772">
        <v>44482041</v>
      </c>
      <c r="BR44" s="772">
        <v>182483</v>
      </c>
      <c r="BS44" s="772">
        <v>984565</v>
      </c>
      <c r="BT44" s="772">
        <v>0</v>
      </c>
      <c r="BU44" s="772">
        <v>9315727</v>
      </c>
      <c r="BV44" s="772">
        <v>226979</v>
      </c>
      <c r="BW44" s="772">
        <v>0</v>
      </c>
      <c r="BX44" s="772">
        <v>4689548</v>
      </c>
      <c r="BY44" s="772">
        <v>0</v>
      </c>
      <c r="BZ44" s="772">
        <v>41506954</v>
      </c>
      <c r="CA44" s="772">
        <v>379238</v>
      </c>
      <c r="CB44" s="772">
        <v>0</v>
      </c>
      <c r="CC44" s="772">
        <v>46904</v>
      </c>
      <c r="CD44" s="772">
        <v>0</v>
      </c>
      <c r="CE44" s="772">
        <v>0</v>
      </c>
    </row>
    <row r="45" spans="1:83" x14ac:dyDescent="0.25">
      <c r="A45" s="776">
        <v>81</v>
      </c>
      <c r="B45" s="752">
        <v>81</v>
      </c>
      <c r="C45" s="768" t="s">
        <v>284</v>
      </c>
      <c r="D45" s="635" t="s">
        <v>414</v>
      </c>
      <c r="E45" s="769">
        <v>15763</v>
      </c>
      <c r="F45" s="770">
        <v>95533</v>
      </c>
      <c r="G45" s="770">
        <v>0</v>
      </c>
      <c r="H45" s="770">
        <v>85900</v>
      </c>
      <c r="I45" s="770">
        <v>49395</v>
      </c>
      <c r="J45" s="770">
        <v>11218</v>
      </c>
      <c r="K45" s="771">
        <v>0</v>
      </c>
      <c r="L45" s="772">
        <v>20113</v>
      </c>
      <c r="M45" s="772">
        <v>474910</v>
      </c>
      <c r="N45" s="773">
        <v>0</v>
      </c>
      <c r="O45" s="773">
        <v>0</v>
      </c>
      <c r="P45" s="773">
        <v>0</v>
      </c>
      <c r="Q45" s="773">
        <v>8998</v>
      </c>
      <c r="R45" s="773">
        <v>418682</v>
      </c>
      <c r="S45" s="773">
        <v>0</v>
      </c>
      <c r="T45" s="773">
        <v>28189</v>
      </c>
      <c r="U45" s="773">
        <v>128248</v>
      </c>
      <c r="V45" s="773">
        <v>24053</v>
      </c>
      <c r="W45" s="773">
        <v>525310</v>
      </c>
      <c r="X45" s="773">
        <v>0</v>
      </c>
      <c r="Y45" s="773">
        <v>35293</v>
      </c>
      <c r="Z45" s="773">
        <v>252014</v>
      </c>
      <c r="AA45" s="773">
        <v>1297126</v>
      </c>
      <c r="AB45" s="772">
        <v>11056</v>
      </c>
      <c r="AC45" s="772">
        <v>26294</v>
      </c>
      <c r="AD45" s="772">
        <v>0</v>
      </c>
      <c r="AE45" s="772">
        <v>0</v>
      </c>
      <c r="AF45" s="772">
        <v>0</v>
      </c>
      <c r="AG45" s="772">
        <v>4550978</v>
      </c>
      <c r="AH45" s="772">
        <v>0</v>
      </c>
      <c r="AI45" s="772">
        <v>23427</v>
      </c>
      <c r="AJ45" s="772">
        <v>264121</v>
      </c>
      <c r="AK45" s="772">
        <v>4185</v>
      </c>
      <c r="AL45" s="772">
        <v>8790</v>
      </c>
      <c r="AM45" s="772">
        <v>2638076</v>
      </c>
      <c r="AN45" s="772">
        <v>0</v>
      </c>
      <c r="AO45" s="772">
        <v>1234639</v>
      </c>
      <c r="AP45" s="772">
        <v>0</v>
      </c>
      <c r="AQ45" s="772">
        <v>388566</v>
      </c>
      <c r="AR45" s="772">
        <v>0</v>
      </c>
      <c r="AS45" s="772">
        <v>0</v>
      </c>
      <c r="AT45" s="772">
        <v>159439</v>
      </c>
      <c r="AU45" s="772">
        <v>33334</v>
      </c>
      <c r="AV45" s="772">
        <v>17248059</v>
      </c>
      <c r="AW45" s="772">
        <v>4813865</v>
      </c>
      <c r="AX45" s="772">
        <v>117989</v>
      </c>
      <c r="AY45" s="772">
        <v>19576</v>
      </c>
      <c r="AZ45" s="772">
        <v>25470</v>
      </c>
      <c r="BA45" s="772">
        <v>23532</v>
      </c>
      <c r="BB45" s="772">
        <v>18284</v>
      </c>
      <c r="BC45" s="772">
        <v>215816</v>
      </c>
      <c r="BD45" s="772">
        <v>21539</v>
      </c>
      <c r="BE45" s="772">
        <v>0</v>
      </c>
      <c r="BF45" s="772">
        <v>11899</v>
      </c>
      <c r="BG45" s="772">
        <v>1345395</v>
      </c>
      <c r="BH45" s="772">
        <v>0</v>
      </c>
      <c r="BI45" s="772">
        <v>883699</v>
      </c>
      <c r="BJ45" s="772">
        <v>102208</v>
      </c>
      <c r="BK45" s="772">
        <v>0</v>
      </c>
      <c r="BL45" s="772">
        <v>0</v>
      </c>
      <c r="BM45" s="772">
        <v>1534422</v>
      </c>
      <c r="BN45" s="772">
        <v>1887810</v>
      </c>
      <c r="BO45" s="772">
        <v>216963</v>
      </c>
      <c r="BP45" s="772">
        <v>3098169</v>
      </c>
      <c r="BQ45" s="772">
        <v>5342282</v>
      </c>
      <c r="BR45" s="772">
        <v>15660</v>
      </c>
      <c r="BS45" s="772">
        <v>322692</v>
      </c>
      <c r="BT45" s="772">
        <v>0</v>
      </c>
      <c r="BU45" s="772">
        <v>1403660</v>
      </c>
      <c r="BV45" s="772">
        <v>41283</v>
      </c>
      <c r="BW45" s="772">
        <v>0</v>
      </c>
      <c r="BX45" s="772">
        <v>567710</v>
      </c>
      <c r="BY45" s="772">
        <v>0</v>
      </c>
      <c r="BZ45" s="772">
        <v>2062121</v>
      </c>
      <c r="CA45" s="772">
        <v>61165</v>
      </c>
      <c r="CB45" s="772">
        <v>0</v>
      </c>
      <c r="CC45" s="772">
        <v>20000</v>
      </c>
      <c r="CD45" s="772">
        <v>0</v>
      </c>
      <c r="CE45" s="772">
        <v>0</v>
      </c>
    </row>
    <row r="46" spans="1:83" x14ac:dyDescent="0.25">
      <c r="A46" s="776">
        <v>82</v>
      </c>
      <c r="B46" s="752">
        <v>82</v>
      </c>
      <c r="C46" s="768" t="s">
        <v>646</v>
      </c>
      <c r="D46" s="635" t="s">
        <v>415</v>
      </c>
      <c r="E46" s="769">
        <v>311500</v>
      </c>
      <c r="F46" s="770">
        <v>2683500</v>
      </c>
      <c r="G46" s="770">
        <v>0</v>
      </c>
      <c r="H46" s="770">
        <v>376287</v>
      </c>
      <c r="I46" s="770">
        <v>1355000</v>
      </c>
      <c r="J46" s="770">
        <v>0</v>
      </c>
      <c r="K46" s="771">
        <v>0</v>
      </c>
      <c r="L46" s="772">
        <v>0</v>
      </c>
      <c r="M46" s="772">
        <v>11501476</v>
      </c>
      <c r="N46" s="773">
        <v>0</v>
      </c>
      <c r="O46" s="773">
        <v>0</v>
      </c>
      <c r="P46" s="773">
        <v>0</v>
      </c>
      <c r="Q46" s="773">
        <v>0</v>
      </c>
      <c r="R46" s="773">
        <v>543081</v>
      </c>
      <c r="S46" s="773">
        <v>0</v>
      </c>
      <c r="T46" s="773">
        <v>0</v>
      </c>
      <c r="U46" s="773">
        <v>663954</v>
      </c>
      <c r="V46" s="773">
        <v>212504</v>
      </c>
      <c r="W46" s="773">
        <v>7374147</v>
      </c>
      <c r="X46" s="773">
        <v>0</v>
      </c>
      <c r="Y46" s="773">
        <v>346992</v>
      </c>
      <c r="Z46" s="773">
        <v>923508</v>
      </c>
      <c r="AA46" s="773">
        <v>46085542</v>
      </c>
      <c r="AB46" s="772">
        <v>0</v>
      </c>
      <c r="AC46" s="772">
        <v>216220</v>
      </c>
      <c r="AD46" s="772">
        <v>0</v>
      </c>
      <c r="AE46" s="772">
        <v>0</v>
      </c>
      <c r="AF46" s="772">
        <v>0</v>
      </c>
      <c r="AG46" s="772">
        <v>67835339</v>
      </c>
      <c r="AH46" s="772">
        <v>0</v>
      </c>
      <c r="AI46" s="772">
        <v>0</v>
      </c>
      <c r="AJ46" s="772">
        <v>36779</v>
      </c>
      <c r="AK46" s="772">
        <v>0</v>
      </c>
      <c r="AL46" s="772">
        <v>0</v>
      </c>
      <c r="AM46" s="772">
        <v>25840257</v>
      </c>
      <c r="AN46" s="772">
        <v>2801942</v>
      </c>
      <c r="AO46" s="772">
        <v>5022266</v>
      </c>
      <c r="AP46" s="772">
        <v>0</v>
      </c>
      <c r="AQ46" s="772">
        <v>2759459</v>
      </c>
      <c r="AR46" s="772">
        <v>0</v>
      </c>
      <c r="AS46" s="772">
        <v>0</v>
      </c>
      <c r="AT46" s="772">
        <v>2088872</v>
      </c>
      <c r="AU46" s="772">
        <v>0</v>
      </c>
      <c r="AV46" s="772">
        <v>283904989</v>
      </c>
      <c r="AW46" s="772">
        <v>74595940</v>
      </c>
      <c r="AX46" s="772">
        <v>542000</v>
      </c>
      <c r="AY46" s="772">
        <v>437610</v>
      </c>
      <c r="AZ46" s="772">
        <v>0</v>
      </c>
      <c r="BA46" s="772">
        <v>0</v>
      </c>
      <c r="BB46" s="772">
        <v>1117000</v>
      </c>
      <c r="BC46" s="772">
        <v>112051</v>
      </c>
      <c r="BD46" s="772">
        <v>219004</v>
      </c>
      <c r="BE46" s="772">
        <v>0</v>
      </c>
      <c r="BF46" s="772">
        <v>0</v>
      </c>
      <c r="BG46" s="772">
        <v>14385188</v>
      </c>
      <c r="BH46" s="772">
        <v>0</v>
      </c>
      <c r="BI46" s="772">
        <v>14931354</v>
      </c>
      <c r="BJ46" s="772">
        <v>1148002</v>
      </c>
      <c r="BK46" s="772">
        <v>0</v>
      </c>
      <c r="BL46" s="772">
        <v>0</v>
      </c>
      <c r="BM46" s="772">
        <v>23352913</v>
      </c>
      <c r="BN46" s="772">
        <v>18515329</v>
      </c>
      <c r="BO46" s="772">
        <v>7772316</v>
      </c>
      <c r="BP46" s="772">
        <v>28158652</v>
      </c>
      <c r="BQ46" s="772">
        <v>159721246</v>
      </c>
      <c r="BR46" s="772">
        <v>0</v>
      </c>
      <c r="BS46" s="772">
        <v>1259996</v>
      </c>
      <c r="BT46" s="772">
        <v>0</v>
      </c>
      <c r="BU46" s="772">
        <v>28131752</v>
      </c>
      <c r="BV46" s="772">
        <v>0</v>
      </c>
      <c r="BW46" s="772">
        <v>0</v>
      </c>
      <c r="BX46" s="772">
        <v>1277623</v>
      </c>
      <c r="BY46" s="772">
        <v>0</v>
      </c>
      <c r="BZ46" s="772">
        <v>39280914</v>
      </c>
      <c r="CA46" s="772">
        <v>411730</v>
      </c>
      <c r="CB46" s="772">
        <v>0</v>
      </c>
      <c r="CC46" s="772">
        <v>134393</v>
      </c>
      <c r="CD46" s="772">
        <v>0</v>
      </c>
      <c r="CE46" s="772">
        <v>0</v>
      </c>
    </row>
    <row r="47" spans="1:83" x14ac:dyDescent="0.25">
      <c r="A47" s="776">
        <v>83</v>
      </c>
      <c r="B47" s="752">
        <v>83</v>
      </c>
      <c r="C47" s="768" t="s">
        <v>109</v>
      </c>
      <c r="D47" s="635" t="s">
        <v>416</v>
      </c>
      <c r="E47" s="769">
        <v>6764129</v>
      </c>
      <c r="F47" s="770">
        <v>7027212</v>
      </c>
      <c r="G47" s="770">
        <v>0</v>
      </c>
      <c r="H47" s="770">
        <v>7929174</v>
      </c>
      <c r="I47" s="770">
        <v>4311300</v>
      </c>
      <c r="J47" s="770">
        <v>453130</v>
      </c>
      <c r="K47" s="771">
        <v>0</v>
      </c>
      <c r="L47" s="772">
        <v>2110643</v>
      </c>
      <c r="M47" s="772">
        <v>31765986</v>
      </c>
      <c r="N47" s="773">
        <v>0</v>
      </c>
      <c r="O47" s="773">
        <v>0</v>
      </c>
      <c r="P47" s="773">
        <v>0</v>
      </c>
      <c r="Q47" s="773">
        <v>2802221</v>
      </c>
      <c r="R47" s="773">
        <v>39135755</v>
      </c>
      <c r="S47" s="773">
        <v>0</v>
      </c>
      <c r="T47" s="773">
        <v>1480038</v>
      </c>
      <c r="U47" s="773">
        <v>2980721</v>
      </c>
      <c r="V47" s="773">
        <v>1579783</v>
      </c>
      <c r="W47" s="773">
        <v>20322474</v>
      </c>
      <c r="X47" s="773">
        <v>0</v>
      </c>
      <c r="Y47" s="773">
        <v>5197529</v>
      </c>
      <c r="Z47" s="773">
        <v>8213819</v>
      </c>
      <c r="AA47" s="773">
        <v>69395267</v>
      </c>
      <c r="AB47" s="772">
        <v>1779886</v>
      </c>
      <c r="AC47" s="772">
        <v>2438539</v>
      </c>
      <c r="AD47" s="772">
        <v>0</v>
      </c>
      <c r="AE47" s="772">
        <v>0</v>
      </c>
      <c r="AF47" s="772">
        <v>0</v>
      </c>
      <c r="AG47" s="772">
        <v>193174475</v>
      </c>
      <c r="AH47" s="772">
        <v>967</v>
      </c>
      <c r="AI47" s="772">
        <v>1178764</v>
      </c>
      <c r="AJ47" s="772">
        <v>2908627</v>
      </c>
      <c r="AK47" s="772">
        <v>1693065</v>
      </c>
      <c r="AL47" s="772">
        <v>163831</v>
      </c>
      <c r="AM47" s="772">
        <v>57698435</v>
      </c>
      <c r="AN47" s="772">
        <v>4300012</v>
      </c>
      <c r="AO47" s="772">
        <v>47960358</v>
      </c>
      <c r="AP47" s="772">
        <v>0</v>
      </c>
      <c r="AQ47" s="772">
        <v>14040901</v>
      </c>
      <c r="AR47" s="772">
        <v>0</v>
      </c>
      <c r="AS47" s="772">
        <v>0</v>
      </c>
      <c r="AT47" s="772">
        <v>3743486</v>
      </c>
      <c r="AU47" s="772">
        <v>3178431</v>
      </c>
      <c r="AV47" s="772">
        <v>570003735</v>
      </c>
      <c r="AW47" s="772">
        <v>181731414</v>
      </c>
      <c r="AX47" s="772">
        <v>3485314</v>
      </c>
      <c r="AY47" s="772">
        <v>2640393</v>
      </c>
      <c r="AZ47" s="772">
        <v>1864131</v>
      </c>
      <c r="BA47" s="772">
        <v>3483741</v>
      </c>
      <c r="BB47" s="772">
        <v>1970057</v>
      </c>
      <c r="BC47" s="772">
        <v>6162305</v>
      </c>
      <c r="BD47" s="772">
        <v>3654244</v>
      </c>
      <c r="BE47" s="772">
        <v>0</v>
      </c>
      <c r="BF47" s="772">
        <v>446475</v>
      </c>
      <c r="BG47" s="772">
        <v>27043712</v>
      </c>
      <c r="BH47" s="772">
        <v>0</v>
      </c>
      <c r="BI47" s="772">
        <v>19084101</v>
      </c>
      <c r="BJ47" s="772">
        <v>4567252</v>
      </c>
      <c r="BK47" s="772">
        <v>0</v>
      </c>
      <c r="BL47" s="772">
        <v>0</v>
      </c>
      <c r="BM47" s="772">
        <v>90312836</v>
      </c>
      <c r="BN47" s="772">
        <v>73754395</v>
      </c>
      <c r="BO47" s="772">
        <v>6251376</v>
      </c>
      <c r="BP47" s="772">
        <v>124560836</v>
      </c>
      <c r="BQ47" s="772">
        <v>196585351</v>
      </c>
      <c r="BR47" s="772">
        <v>4153766</v>
      </c>
      <c r="BS47" s="772">
        <v>25325528</v>
      </c>
      <c r="BT47" s="772">
        <v>0</v>
      </c>
      <c r="BU47" s="772">
        <v>47154784</v>
      </c>
      <c r="BV47" s="772">
        <v>2935708</v>
      </c>
      <c r="BW47" s="772">
        <v>0</v>
      </c>
      <c r="BX47" s="772">
        <v>20614962</v>
      </c>
      <c r="BY47" s="772">
        <v>0</v>
      </c>
      <c r="BZ47" s="772">
        <v>114976650</v>
      </c>
      <c r="CA47" s="772">
        <v>3204060</v>
      </c>
      <c r="CB47" s="772">
        <v>0</v>
      </c>
      <c r="CC47" s="772">
        <v>774396</v>
      </c>
      <c r="CD47" s="772">
        <v>0</v>
      </c>
      <c r="CE47" s="772">
        <v>0</v>
      </c>
    </row>
    <row r="48" spans="1:83" x14ac:dyDescent="0.25">
      <c r="A48" s="776">
        <v>84</v>
      </c>
      <c r="B48" s="752">
        <v>84</v>
      </c>
      <c r="C48" s="768" t="s">
        <v>292</v>
      </c>
      <c r="D48" s="635" t="s">
        <v>417</v>
      </c>
      <c r="E48" s="769">
        <v>269008</v>
      </c>
      <c r="F48" s="770">
        <v>1116319</v>
      </c>
      <c r="G48" s="770">
        <v>0</v>
      </c>
      <c r="H48" s="770">
        <v>610674</v>
      </c>
      <c r="I48" s="770">
        <v>345015</v>
      </c>
      <c r="J48" s="770">
        <v>146921</v>
      </c>
      <c r="K48" s="771">
        <v>0</v>
      </c>
      <c r="L48" s="772">
        <v>208346</v>
      </c>
      <c r="M48" s="772">
        <v>4605512</v>
      </c>
      <c r="N48" s="773">
        <v>0</v>
      </c>
      <c r="O48" s="773">
        <v>0</v>
      </c>
      <c r="P48" s="773">
        <v>0</v>
      </c>
      <c r="Q48" s="773">
        <v>77170</v>
      </c>
      <c r="R48" s="773">
        <v>4715255</v>
      </c>
      <c r="S48" s="773">
        <v>0</v>
      </c>
      <c r="T48" s="773">
        <v>266028</v>
      </c>
      <c r="U48" s="773">
        <v>1122029</v>
      </c>
      <c r="V48" s="773">
        <v>260413</v>
      </c>
      <c r="W48" s="773">
        <v>3851470</v>
      </c>
      <c r="X48" s="773">
        <v>0</v>
      </c>
      <c r="Y48" s="773">
        <v>554440</v>
      </c>
      <c r="Z48" s="773">
        <v>979722</v>
      </c>
      <c r="AA48" s="773">
        <v>11398377</v>
      </c>
      <c r="AB48" s="772">
        <v>54071</v>
      </c>
      <c r="AC48" s="772">
        <v>295532</v>
      </c>
      <c r="AD48" s="772">
        <v>0</v>
      </c>
      <c r="AE48" s="772">
        <v>0</v>
      </c>
      <c r="AF48" s="772">
        <v>0</v>
      </c>
      <c r="AG48" s="772">
        <v>37313158</v>
      </c>
      <c r="AH48" s="772">
        <v>0</v>
      </c>
      <c r="AI48" s="772">
        <v>110040</v>
      </c>
      <c r="AJ48" s="772">
        <v>3268276</v>
      </c>
      <c r="AK48" s="772">
        <v>12672</v>
      </c>
      <c r="AL48" s="772">
        <v>88800</v>
      </c>
      <c r="AM48" s="772">
        <v>16334001</v>
      </c>
      <c r="AN48" s="772">
        <v>103960</v>
      </c>
      <c r="AO48" s="772">
        <v>7293677</v>
      </c>
      <c r="AP48" s="772">
        <v>0</v>
      </c>
      <c r="AQ48" s="772">
        <v>2100450</v>
      </c>
      <c r="AR48" s="772">
        <v>0</v>
      </c>
      <c r="AS48" s="772">
        <v>0</v>
      </c>
      <c r="AT48" s="772">
        <v>1212905</v>
      </c>
      <c r="AU48" s="772">
        <v>217547</v>
      </c>
      <c r="AV48" s="772">
        <v>117646244</v>
      </c>
      <c r="AW48" s="772">
        <v>43187932</v>
      </c>
      <c r="AX48" s="772">
        <v>1013742</v>
      </c>
      <c r="AY48" s="772">
        <v>281327</v>
      </c>
      <c r="AZ48" s="772">
        <v>381438</v>
      </c>
      <c r="BA48" s="772">
        <v>152580</v>
      </c>
      <c r="BB48" s="772">
        <v>196809</v>
      </c>
      <c r="BC48" s="772">
        <v>2595657</v>
      </c>
      <c r="BD48" s="772">
        <v>160436</v>
      </c>
      <c r="BE48" s="772">
        <v>0</v>
      </c>
      <c r="BF48" s="772">
        <v>150197</v>
      </c>
      <c r="BG48" s="772">
        <v>8836650</v>
      </c>
      <c r="BH48" s="772">
        <v>0</v>
      </c>
      <c r="BI48" s="772">
        <v>5853968</v>
      </c>
      <c r="BJ48" s="772">
        <v>1563113</v>
      </c>
      <c r="BK48" s="772">
        <v>0</v>
      </c>
      <c r="BL48" s="772">
        <v>0</v>
      </c>
      <c r="BM48" s="772">
        <v>17021495</v>
      </c>
      <c r="BN48" s="772">
        <v>15248817</v>
      </c>
      <c r="BO48" s="772">
        <v>1315510</v>
      </c>
      <c r="BP48" s="772">
        <v>26258252</v>
      </c>
      <c r="BQ48" s="772">
        <v>51897413</v>
      </c>
      <c r="BR48" s="772">
        <v>218930</v>
      </c>
      <c r="BS48" s="772">
        <v>2365884</v>
      </c>
      <c r="BT48" s="772">
        <v>302699</v>
      </c>
      <c r="BU48" s="772">
        <v>10249270</v>
      </c>
      <c r="BV48" s="772">
        <v>148615</v>
      </c>
      <c r="BW48" s="772">
        <v>0</v>
      </c>
      <c r="BX48" s="772">
        <v>2181252</v>
      </c>
      <c r="BY48" s="772">
        <v>0</v>
      </c>
      <c r="BZ48" s="772">
        <v>23522105</v>
      </c>
      <c r="CA48" s="772">
        <v>209424</v>
      </c>
      <c r="CB48" s="772">
        <v>0</v>
      </c>
      <c r="CC48" s="772">
        <v>219109</v>
      </c>
      <c r="CD48" s="772">
        <v>0</v>
      </c>
      <c r="CE48" s="772">
        <v>0</v>
      </c>
    </row>
    <row r="49" spans="1:83" x14ac:dyDescent="0.25">
      <c r="A49" s="776">
        <v>85</v>
      </c>
      <c r="B49" s="752">
        <v>85</v>
      </c>
      <c r="C49" s="768" t="s">
        <v>294</v>
      </c>
      <c r="D49" s="635" t="s">
        <v>418</v>
      </c>
      <c r="E49" s="769">
        <v>436169</v>
      </c>
      <c r="F49" s="770">
        <v>1156751</v>
      </c>
      <c r="G49" s="770">
        <v>0</v>
      </c>
      <c r="H49" s="770">
        <v>882021</v>
      </c>
      <c r="I49" s="770">
        <v>381602</v>
      </c>
      <c r="J49" s="770">
        <v>179167</v>
      </c>
      <c r="K49" s="771">
        <v>0</v>
      </c>
      <c r="L49" s="772">
        <v>292787</v>
      </c>
      <c r="M49" s="772">
        <v>4243291</v>
      </c>
      <c r="N49" s="773">
        <v>0</v>
      </c>
      <c r="O49" s="773">
        <v>0</v>
      </c>
      <c r="P49" s="773">
        <v>0</v>
      </c>
      <c r="Q49" s="773">
        <v>72065</v>
      </c>
      <c r="R49" s="773">
        <v>5035952</v>
      </c>
      <c r="S49" s="773">
        <v>0</v>
      </c>
      <c r="T49" s="773">
        <v>318408</v>
      </c>
      <c r="U49" s="773">
        <v>1021496</v>
      </c>
      <c r="V49" s="773">
        <v>162757</v>
      </c>
      <c r="W49" s="773">
        <v>3094251</v>
      </c>
      <c r="X49" s="773">
        <v>0</v>
      </c>
      <c r="Y49" s="773">
        <v>676294</v>
      </c>
      <c r="Z49" s="773">
        <v>1427207</v>
      </c>
      <c r="AA49" s="773">
        <v>10053842</v>
      </c>
      <c r="AB49" s="772">
        <v>149885</v>
      </c>
      <c r="AC49" s="772">
        <v>263521</v>
      </c>
      <c r="AD49" s="772">
        <v>0</v>
      </c>
      <c r="AE49" s="772">
        <v>0</v>
      </c>
      <c r="AF49" s="772">
        <v>0</v>
      </c>
      <c r="AG49" s="772">
        <v>32471706</v>
      </c>
      <c r="AH49" s="772">
        <v>298</v>
      </c>
      <c r="AI49" s="772">
        <v>157488</v>
      </c>
      <c r="AJ49" s="772">
        <v>2705538</v>
      </c>
      <c r="AK49" s="772">
        <v>87970</v>
      </c>
      <c r="AL49" s="772">
        <v>87768</v>
      </c>
      <c r="AM49" s="772">
        <v>16524987</v>
      </c>
      <c r="AN49" s="772">
        <v>252734</v>
      </c>
      <c r="AO49" s="772">
        <v>5813631</v>
      </c>
      <c r="AP49" s="772">
        <v>0</v>
      </c>
      <c r="AQ49" s="772">
        <v>2101816</v>
      </c>
      <c r="AR49" s="772">
        <v>0</v>
      </c>
      <c r="AS49" s="772">
        <v>0</v>
      </c>
      <c r="AT49" s="772">
        <v>817116</v>
      </c>
      <c r="AU49" s="772">
        <v>348331</v>
      </c>
      <c r="AV49" s="772">
        <v>92591626</v>
      </c>
      <c r="AW49" s="772">
        <v>35851076</v>
      </c>
      <c r="AX49" s="772">
        <v>1135650</v>
      </c>
      <c r="AY49" s="772">
        <v>422586</v>
      </c>
      <c r="AZ49" s="772">
        <v>497745</v>
      </c>
      <c r="BA49" s="772">
        <v>246875</v>
      </c>
      <c r="BB49" s="772">
        <v>217950</v>
      </c>
      <c r="BC49" s="772">
        <v>3245303</v>
      </c>
      <c r="BD49" s="772">
        <v>261869</v>
      </c>
      <c r="BE49" s="772">
        <v>0</v>
      </c>
      <c r="BF49" s="772">
        <v>123537</v>
      </c>
      <c r="BG49" s="772">
        <v>7020138</v>
      </c>
      <c r="BH49" s="772">
        <v>0</v>
      </c>
      <c r="BI49" s="772">
        <v>5724785</v>
      </c>
      <c r="BJ49" s="772">
        <v>1595721</v>
      </c>
      <c r="BK49" s="772">
        <v>0</v>
      </c>
      <c r="BL49" s="772">
        <v>0</v>
      </c>
      <c r="BM49" s="772">
        <v>11331538</v>
      </c>
      <c r="BN49" s="772">
        <v>14559437</v>
      </c>
      <c r="BO49" s="772">
        <v>1358935</v>
      </c>
      <c r="BP49" s="772">
        <v>20495852</v>
      </c>
      <c r="BQ49" s="772">
        <v>42045566</v>
      </c>
      <c r="BR49" s="772">
        <v>296965</v>
      </c>
      <c r="BS49" s="772">
        <v>2688625</v>
      </c>
      <c r="BT49" s="772">
        <v>355253</v>
      </c>
      <c r="BU49" s="772">
        <v>7798542</v>
      </c>
      <c r="BV49" s="772">
        <v>283193</v>
      </c>
      <c r="BW49" s="772">
        <v>0</v>
      </c>
      <c r="BX49" s="772">
        <v>2095621</v>
      </c>
      <c r="BY49" s="772">
        <v>0</v>
      </c>
      <c r="BZ49" s="772">
        <v>12770124</v>
      </c>
      <c r="CA49" s="772">
        <v>376428</v>
      </c>
      <c r="CB49" s="772">
        <v>0</v>
      </c>
      <c r="CC49" s="772">
        <v>258576</v>
      </c>
      <c r="CD49" s="772">
        <v>0</v>
      </c>
      <c r="CE49" s="772">
        <v>0</v>
      </c>
    </row>
    <row r="50" spans="1:83" x14ac:dyDescent="0.25">
      <c r="A50" s="776">
        <v>88</v>
      </c>
      <c r="B50" s="752">
        <v>88</v>
      </c>
      <c r="C50" s="768" t="s">
        <v>291</v>
      </c>
      <c r="D50" s="635" t="s">
        <v>419</v>
      </c>
      <c r="E50" s="769">
        <v>248754</v>
      </c>
      <c r="F50" s="770">
        <v>1116319</v>
      </c>
      <c r="G50" s="770">
        <v>0</v>
      </c>
      <c r="H50" s="770">
        <v>608567</v>
      </c>
      <c r="I50" s="770">
        <v>333825</v>
      </c>
      <c r="J50" s="770">
        <v>134215</v>
      </c>
      <c r="K50" s="771">
        <v>0</v>
      </c>
      <c r="L50" s="772">
        <v>206866</v>
      </c>
      <c r="M50" s="772">
        <v>4011988</v>
      </c>
      <c r="N50" s="773">
        <v>0</v>
      </c>
      <c r="O50" s="773">
        <v>0</v>
      </c>
      <c r="P50" s="773">
        <v>0</v>
      </c>
      <c r="Q50" s="773">
        <v>77170</v>
      </c>
      <c r="R50" s="773">
        <v>4585579</v>
      </c>
      <c r="S50" s="773">
        <v>0</v>
      </c>
      <c r="T50" s="773">
        <v>265128</v>
      </c>
      <c r="U50" s="773">
        <v>1027383</v>
      </c>
      <c r="V50" s="773">
        <v>225763</v>
      </c>
      <c r="W50" s="773">
        <v>3851470</v>
      </c>
      <c r="X50" s="773">
        <v>0</v>
      </c>
      <c r="Y50" s="773">
        <v>543861</v>
      </c>
      <c r="Z50" s="773">
        <v>979722</v>
      </c>
      <c r="AA50" s="773">
        <v>10962166</v>
      </c>
      <c r="AB50" s="772">
        <v>54071</v>
      </c>
      <c r="AC50" s="772">
        <v>282423</v>
      </c>
      <c r="AD50" s="772">
        <v>0</v>
      </c>
      <c r="AE50" s="772">
        <v>0</v>
      </c>
      <c r="AF50" s="772">
        <v>0</v>
      </c>
      <c r="AG50" s="772">
        <v>35550904</v>
      </c>
      <c r="AH50" s="772">
        <v>0</v>
      </c>
      <c r="AI50" s="772">
        <v>109856</v>
      </c>
      <c r="AJ50" s="772">
        <v>2997673</v>
      </c>
      <c r="AK50" s="772">
        <v>12672</v>
      </c>
      <c r="AL50" s="772">
        <v>88800</v>
      </c>
      <c r="AM50" s="772">
        <v>16172129</v>
      </c>
      <c r="AN50" s="772">
        <v>103636</v>
      </c>
      <c r="AO50" s="772">
        <v>6475246</v>
      </c>
      <c r="AP50" s="772">
        <v>0</v>
      </c>
      <c r="AQ50" s="772">
        <v>2023084</v>
      </c>
      <c r="AR50" s="772">
        <v>0</v>
      </c>
      <c r="AS50" s="772">
        <v>0</v>
      </c>
      <c r="AT50" s="772">
        <v>1006450</v>
      </c>
      <c r="AU50" s="772">
        <v>216647</v>
      </c>
      <c r="AV50" s="772">
        <v>114964118</v>
      </c>
      <c r="AW50" s="772">
        <v>42951971</v>
      </c>
      <c r="AX50" s="772">
        <v>954799</v>
      </c>
      <c r="AY50" s="772">
        <v>280022</v>
      </c>
      <c r="AZ50" s="772">
        <v>353258</v>
      </c>
      <c r="BA50" s="772">
        <v>152580</v>
      </c>
      <c r="BB50" s="772">
        <v>196809</v>
      </c>
      <c r="BC50" s="772">
        <v>2310113</v>
      </c>
      <c r="BD50" s="772">
        <v>158790</v>
      </c>
      <c r="BE50" s="772">
        <v>0</v>
      </c>
      <c r="BF50" s="772">
        <v>137527</v>
      </c>
      <c r="BG50" s="772">
        <v>7050566</v>
      </c>
      <c r="BH50" s="772">
        <v>0</v>
      </c>
      <c r="BI50" s="772">
        <v>5709498</v>
      </c>
      <c r="BJ50" s="772">
        <v>1522254</v>
      </c>
      <c r="BK50" s="772">
        <v>0</v>
      </c>
      <c r="BL50" s="772">
        <v>0</v>
      </c>
      <c r="BM50" s="772">
        <v>16883927</v>
      </c>
      <c r="BN50" s="772">
        <v>14434522</v>
      </c>
      <c r="BO50" s="772">
        <v>1233164</v>
      </c>
      <c r="BP50" s="772">
        <v>25571572</v>
      </c>
      <c r="BQ50" s="772">
        <v>51385505</v>
      </c>
      <c r="BR50" s="772">
        <v>218930</v>
      </c>
      <c r="BS50" s="772">
        <v>2338311</v>
      </c>
      <c r="BT50" s="772">
        <v>297999</v>
      </c>
      <c r="BU50" s="772">
        <v>8487053</v>
      </c>
      <c r="BV50" s="772">
        <v>147444</v>
      </c>
      <c r="BW50" s="772">
        <v>0</v>
      </c>
      <c r="BX50" s="772">
        <v>1880214</v>
      </c>
      <c r="BY50" s="772">
        <v>0</v>
      </c>
      <c r="BZ50" s="772">
        <v>11898769</v>
      </c>
      <c r="CA50" s="772">
        <v>199718</v>
      </c>
      <c r="CB50" s="772">
        <v>0</v>
      </c>
      <c r="CC50" s="772">
        <v>216624</v>
      </c>
      <c r="CD50" s="772">
        <v>0</v>
      </c>
      <c r="CE50" s="772">
        <v>0</v>
      </c>
    </row>
    <row r="51" spans="1:83" x14ac:dyDescent="0.25">
      <c r="A51" s="776">
        <v>89</v>
      </c>
      <c r="B51" s="752">
        <v>89</v>
      </c>
      <c r="C51" s="768" t="s">
        <v>295</v>
      </c>
      <c r="D51" s="635" t="s">
        <v>420</v>
      </c>
      <c r="E51" s="769">
        <v>16100</v>
      </c>
      <c r="F51" s="770">
        <v>115650</v>
      </c>
      <c r="G51" s="770">
        <v>0</v>
      </c>
      <c r="H51" s="770">
        <v>0</v>
      </c>
      <c r="I51" s="770">
        <v>65582</v>
      </c>
      <c r="J51" s="770">
        <v>0</v>
      </c>
      <c r="K51" s="771">
        <v>0</v>
      </c>
      <c r="L51" s="772">
        <v>0</v>
      </c>
      <c r="M51" s="772">
        <v>374881</v>
      </c>
      <c r="N51" s="773">
        <v>0</v>
      </c>
      <c r="O51" s="773">
        <v>0</v>
      </c>
      <c r="P51" s="773">
        <v>0</v>
      </c>
      <c r="Q51" s="773">
        <v>0</v>
      </c>
      <c r="R51" s="773">
        <v>3746</v>
      </c>
      <c r="S51" s="773">
        <v>0</v>
      </c>
      <c r="T51" s="773">
        <v>100</v>
      </c>
      <c r="U51" s="773">
        <v>28318</v>
      </c>
      <c r="V51" s="773">
        <v>5973</v>
      </c>
      <c r="W51" s="773">
        <v>199726</v>
      </c>
      <c r="X51" s="773">
        <v>0</v>
      </c>
      <c r="Y51" s="773">
        <v>11261</v>
      </c>
      <c r="Z51" s="773">
        <v>32724</v>
      </c>
      <c r="AA51" s="773">
        <v>1422023</v>
      </c>
      <c r="AB51" s="772">
        <v>0</v>
      </c>
      <c r="AC51" s="772">
        <v>0</v>
      </c>
      <c r="AD51" s="772">
        <v>0</v>
      </c>
      <c r="AE51" s="772">
        <v>0</v>
      </c>
      <c r="AF51" s="772">
        <v>0</v>
      </c>
      <c r="AG51" s="772">
        <v>1110741</v>
      </c>
      <c r="AH51" s="772">
        <v>0</v>
      </c>
      <c r="AI51" s="772">
        <v>0</v>
      </c>
      <c r="AJ51" s="772">
        <v>421</v>
      </c>
      <c r="AK51" s="772">
        <v>0</v>
      </c>
      <c r="AL51" s="772">
        <v>0</v>
      </c>
      <c r="AM51" s="772">
        <v>750158</v>
      </c>
      <c r="AN51" s="772">
        <v>78378</v>
      </c>
      <c r="AO51" s="772">
        <v>133481</v>
      </c>
      <c r="AP51" s="772">
        <v>0</v>
      </c>
      <c r="AQ51" s="772">
        <v>59317</v>
      </c>
      <c r="AR51" s="772">
        <v>0</v>
      </c>
      <c r="AS51" s="772">
        <v>0</v>
      </c>
      <c r="AT51" s="772">
        <v>0</v>
      </c>
      <c r="AU51" s="772">
        <v>59</v>
      </c>
      <c r="AV51" s="772">
        <v>7333983</v>
      </c>
      <c r="AW51" s="772">
        <v>2383585</v>
      </c>
      <c r="AX51" s="772">
        <v>18563</v>
      </c>
      <c r="AY51" s="772">
        <v>16358</v>
      </c>
      <c r="AZ51" s="772">
        <v>847</v>
      </c>
      <c r="BA51" s="772">
        <v>0</v>
      </c>
      <c r="BB51" s="772">
        <v>25506</v>
      </c>
      <c r="BC51" s="772">
        <v>7805</v>
      </c>
      <c r="BD51" s="772">
        <v>9713</v>
      </c>
      <c r="BE51" s="772">
        <v>0</v>
      </c>
      <c r="BF51" s="772">
        <v>18103</v>
      </c>
      <c r="BG51" s="772">
        <v>273411</v>
      </c>
      <c r="BH51" s="772">
        <v>0</v>
      </c>
      <c r="BI51" s="772">
        <v>429168</v>
      </c>
      <c r="BJ51" s="772">
        <v>20266</v>
      </c>
      <c r="BK51" s="772">
        <v>0</v>
      </c>
      <c r="BL51" s="772">
        <v>0</v>
      </c>
      <c r="BM51" s="772">
        <v>157739</v>
      </c>
      <c r="BN51" s="772">
        <v>450132</v>
      </c>
      <c r="BO51" s="772">
        <v>232432</v>
      </c>
      <c r="BP51" s="772">
        <v>656820</v>
      </c>
      <c r="BQ51" s="772">
        <v>6748978</v>
      </c>
      <c r="BR51" s="772">
        <v>0</v>
      </c>
      <c r="BS51" s="772">
        <v>0</v>
      </c>
      <c r="BT51" s="772">
        <v>0</v>
      </c>
      <c r="BU51" s="772">
        <v>489537</v>
      </c>
      <c r="BV51" s="772">
        <v>0</v>
      </c>
      <c r="BW51" s="772">
        <v>0</v>
      </c>
      <c r="BX51" s="772">
        <v>44317</v>
      </c>
      <c r="BY51" s="772">
        <v>0</v>
      </c>
      <c r="BZ51" s="772">
        <v>1159804</v>
      </c>
      <c r="CA51" s="772">
        <v>18216</v>
      </c>
      <c r="CB51" s="772">
        <v>0</v>
      </c>
      <c r="CC51" s="772">
        <v>6798</v>
      </c>
      <c r="CD51" s="772">
        <v>0</v>
      </c>
      <c r="CE51" s="772">
        <v>0</v>
      </c>
    </row>
    <row r="52" spans="1:83" x14ac:dyDescent="0.25">
      <c r="A52" s="767">
        <v>90</v>
      </c>
      <c r="B52" s="752">
        <v>90</v>
      </c>
      <c r="C52" s="768" t="s">
        <v>288</v>
      </c>
      <c r="D52" s="635" t="s">
        <v>421</v>
      </c>
      <c r="E52" s="769">
        <v>0</v>
      </c>
      <c r="F52" s="770">
        <v>0</v>
      </c>
      <c r="G52" s="770">
        <v>0</v>
      </c>
      <c r="H52" s="770">
        <v>0</v>
      </c>
      <c r="I52" s="770">
        <v>0</v>
      </c>
      <c r="J52" s="770">
        <v>0</v>
      </c>
      <c r="K52" s="771">
        <v>0</v>
      </c>
      <c r="L52" s="772">
        <v>0</v>
      </c>
      <c r="M52" s="772">
        <v>932352</v>
      </c>
      <c r="N52" s="773">
        <v>0</v>
      </c>
      <c r="O52" s="773">
        <v>0</v>
      </c>
      <c r="P52" s="773">
        <v>0</v>
      </c>
      <c r="Q52" s="773">
        <v>0</v>
      </c>
      <c r="R52" s="773">
        <v>5203299</v>
      </c>
      <c r="S52" s="773">
        <v>0</v>
      </c>
      <c r="T52" s="773">
        <v>901463</v>
      </c>
      <c r="U52" s="773">
        <v>0</v>
      </c>
      <c r="V52" s="773">
        <v>0</v>
      </c>
      <c r="W52" s="773">
        <v>0</v>
      </c>
      <c r="X52" s="773">
        <v>0</v>
      </c>
      <c r="Y52" s="773">
        <v>0</v>
      </c>
      <c r="Z52" s="773">
        <v>270106</v>
      </c>
      <c r="AA52" s="773">
        <v>0</v>
      </c>
      <c r="AB52" s="772">
        <v>0</v>
      </c>
      <c r="AC52" s="772">
        <v>0</v>
      </c>
      <c r="AD52" s="772">
        <v>0</v>
      </c>
      <c r="AE52" s="772">
        <v>0</v>
      </c>
      <c r="AF52" s="772">
        <v>0</v>
      </c>
      <c r="AG52" s="772">
        <v>15638039</v>
      </c>
      <c r="AH52" s="772">
        <v>0</v>
      </c>
      <c r="AI52" s="772">
        <v>0</v>
      </c>
      <c r="AJ52" s="772">
        <v>0</v>
      </c>
      <c r="AK52" s="772">
        <v>0</v>
      </c>
      <c r="AL52" s="772">
        <v>0</v>
      </c>
      <c r="AM52" s="772">
        <v>0</v>
      </c>
      <c r="AN52" s="772">
        <v>0</v>
      </c>
      <c r="AO52" s="772">
        <v>0</v>
      </c>
      <c r="AP52" s="772">
        <v>0</v>
      </c>
      <c r="AQ52" s="772">
        <v>3202783</v>
      </c>
      <c r="AR52" s="772">
        <v>0</v>
      </c>
      <c r="AS52" s="772">
        <v>0</v>
      </c>
      <c r="AT52" s="772">
        <v>0</v>
      </c>
      <c r="AU52" s="772">
        <v>0</v>
      </c>
      <c r="AV52" s="772">
        <v>0</v>
      </c>
      <c r="AW52" s="772">
        <v>49643000</v>
      </c>
      <c r="AX52" s="772">
        <v>0</v>
      </c>
      <c r="AY52" s="772">
        <v>0</v>
      </c>
      <c r="AZ52" s="772">
        <v>0</v>
      </c>
      <c r="BA52" s="772">
        <v>0</v>
      </c>
      <c r="BB52" s="772">
        <v>592120</v>
      </c>
      <c r="BC52" s="772">
        <v>0</v>
      </c>
      <c r="BD52" s="772">
        <v>0</v>
      </c>
      <c r="BE52" s="772">
        <v>0</v>
      </c>
      <c r="BF52" s="772">
        <v>0</v>
      </c>
      <c r="BG52" s="772">
        <v>0</v>
      </c>
      <c r="BH52" s="772">
        <v>0</v>
      </c>
      <c r="BI52" s="772">
        <v>0</v>
      </c>
      <c r="BJ52" s="772">
        <v>0</v>
      </c>
      <c r="BK52" s="772">
        <v>0</v>
      </c>
      <c r="BL52" s="772">
        <v>0</v>
      </c>
      <c r="BM52" s="772">
        <v>0</v>
      </c>
      <c r="BN52" s="772">
        <v>0</v>
      </c>
      <c r="BO52" s="772">
        <v>704787</v>
      </c>
      <c r="BP52" s="772">
        <v>0</v>
      </c>
      <c r="BQ52" s="772">
        <v>59732724</v>
      </c>
      <c r="BR52" s="772">
        <v>0</v>
      </c>
      <c r="BS52" s="772">
        <v>5597731</v>
      </c>
      <c r="BT52" s="772">
        <v>0</v>
      </c>
      <c r="BU52" s="772">
        <v>0</v>
      </c>
      <c r="BV52" s="772">
        <v>374013</v>
      </c>
      <c r="BW52" s="772">
        <v>0</v>
      </c>
      <c r="BX52" s="772">
        <v>0</v>
      </c>
      <c r="BY52" s="772">
        <v>0</v>
      </c>
      <c r="BZ52" s="772">
        <v>0</v>
      </c>
      <c r="CA52" s="772">
        <v>377855</v>
      </c>
      <c r="CB52" s="772">
        <v>0</v>
      </c>
      <c r="CC52" s="772">
        <v>0</v>
      </c>
      <c r="CD52" s="772">
        <v>0</v>
      </c>
      <c r="CE52" s="772">
        <v>3464068</v>
      </c>
    </row>
    <row r="53" spans="1:83" x14ac:dyDescent="0.25">
      <c r="A53" s="767">
        <v>91</v>
      </c>
      <c r="B53" s="752">
        <v>91</v>
      </c>
      <c r="C53" s="768" t="s">
        <v>289</v>
      </c>
      <c r="D53" s="635" t="s">
        <v>422</v>
      </c>
      <c r="E53" s="769">
        <v>0</v>
      </c>
      <c r="F53" s="770">
        <v>0</v>
      </c>
      <c r="G53" s="770">
        <v>0</v>
      </c>
      <c r="H53" s="770">
        <v>0</v>
      </c>
      <c r="I53" s="770">
        <v>0</v>
      </c>
      <c r="J53" s="770">
        <v>0</v>
      </c>
      <c r="K53" s="771">
        <v>0</v>
      </c>
      <c r="L53" s="772">
        <v>0</v>
      </c>
      <c r="M53" s="772">
        <v>1033728</v>
      </c>
      <c r="N53" s="773">
        <v>0</v>
      </c>
      <c r="O53" s="773">
        <v>0</v>
      </c>
      <c r="P53" s="773">
        <v>0</v>
      </c>
      <c r="Q53" s="773">
        <v>0</v>
      </c>
      <c r="R53" s="773">
        <v>2186329</v>
      </c>
      <c r="S53" s="773">
        <v>0</v>
      </c>
      <c r="T53" s="773">
        <v>70654</v>
      </c>
      <c r="U53" s="773">
        <v>0</v>
      </c>
      <c r="V53" s="773">
        <v>0</v>
      </c>
      <c r="W53" s="773">
        <v>0</v>
      </c>
      <c r="X53" s="773">
        <v>0</v>
      </c>
      <c r="Y53" s="773">
        <v>0</v>
      </c>
      <c r="Z53" s="773">
        <v>331007</v>
      </c>
      <c r="AA53" s="773">
        <v>0</v>
      </c>
      <c r="AB53" s="772">
        <v>0</v>
      </c>
      <c r="AC53" s="772">
        <v>0</v>
      </c>
      <c r="AD53" s="772">
        <v>0</v>
      </c>
      <c r="AE53" s="772">
        <v>0</v>
      </c>
      <c r="AF53" s="772">
        <v>0</v>
      </c>
      <c r="AG53" s="772">
        <v>10308835</v>
      </c>
      <c r="AH53" s="772">
        <v>0</v>
      </c>
      <c r="AI53" s="772">
        <v>0</v>
      </c>
      <c r="AJ53" s="772">
        <v>0</v>
      </c>
      <c r="AK53" s="772">
        <v>0</v>
      </c>
      <c r="AL53" s="772">
        <v>0</v>
      </c>
      <c r="AM53" s="772">
        <v>0</v>
      </c>
      <c r="AN53" s="772">
        <v>0</v>
      </c>
      <c r="AO53" s="772">
        <v>0</v>
      </c>
      <c r="AP53" s="772">
        <v>0</v>
      </c>
      <c r="AQ53" s="772">
        <v>905838</v>
      </c>
      <c r="AR53" s="772">
        <v>0</v>
      </c>
      <c r="AS53" s="772">
        <v>0</v>
      </c>
      <c r="AT53" s="772">
        <v>0</v>
      </c>
      <c r="AU53" s="772">
        <v>0</v>
      </c>
      <c r="AV53" s="772">
        <v>0</v>
      </c>
      <c r="AW53" s="772">
        <v>20758825</v>
      </c>
      <c r="AX53" s="772">
        <v>0</v>
      </c>
      <c r="AY53" s="772">
        <v>0</v>
      </c>
      <c r="AZ53" s="772">
        <v>0</v>
      </c>
      <c r="BA53" s="772">
        <v>0</v>
      </c>
      <c r="BB53" s="772">
        <v>45814</v>
      </c>
      <c r="BC53" s="772">
        <v>0</v>
      </c>
      <c r="BD53" s="772">
        <v>0</v>
      </c>
      <c r="BE53" s="772">
        <v>0</v>
      </c>
      <c r="BF53" s="772">
        <v>0</v>
      </c>
      <c r="BG53" s="772">
        <v>0</v>
      </c>
      <c r="BH53" s="772">
        <v>0</v>
      </c>
      <c r="BI53" s="772">
        <v>0</v>
      </c>
      <c r="BJ53" s="772">
        <v>0</v>
      </c>
      <c r="BK53" s="772">
        <v>0</v>
      </c>
      <c r="BL53" s="772">
        <v>0</v>
      </c>
      <c r="BM53" s="772">
        <v>0</v>
      </c>
      <c r="BN53" s="772">
        <v>0</v>
      </c>
      <c r="BO53" s="772">
        <v>402904</v>
      </c>
      <c r="BP53" s="772">
        <v>0</v>
      </c>
      <c r="BQ53" s="772">
        <v>15630825</v>
      </c>
      <c r="BR53" s="772">
        <v>0</v>
      </c>
      <c r="BS53" s="772">
        <v>706944</v>
      </c>
      <c r="BT53" s="772">
        <v>0</v>
      </c>
      <c r="BU53" s="772">
        <v>0</v>
      </c>
      <c r="BV53" s="772">
        <v>36599</v>
      </c>
      <c r="BW53" s="772">
        <v>0</v>
      </c>
      <c r="BX53" s="772">
        <v>0</v>
      </c>
      <c r="BY53" s="772">
        <v>0</v>
      </c>
      <c r="BZ53" s="772">
        <v>0</v>
      </c>
      <c r="CA53" s="772">
        <v>112864</v>
      </c>
      <c r="CB53" s="772">
        <v>0</v>
      </c>
      <c r="CC53" s="772">
        <v>0</v>
      </c>
      <c r="CD53" s="772">
        <v>0</v>
      </c>
      <c r="CE53" s="772">
        <v>2455528</v>
      </c>
    </row>
    <row r="54" spans="1:83" x14ac:dyDescent="0.25">
      <c r="B54" s="752">
        <v>92</v>
      </c>
      <c r="C54" s="768" t="s">
        <v>728</v>
      </c>
      <c r="D54" s="635" t="s">
        <v>423</v>
      </c>
      <c r="E54" s="769"/>
      <c r="F54" s="770"/>
      <c r="G54" s="770"/>
      <c r="H54" s="770"/>
      <c r="I54" s="770"/>
      <c r="J54" s="770"/>
      <c r="K54" s="771"/>
      <c r="L54" s="772"/>
      <c r="M54" s="772"/>
      <c r="N54" s="773"/>
      <c r="O54" s="773"/>
      <c r="P54" s="773"/>
      <c r="Q54" s="773"/>
      <c r="R54" s="773"/>
      <c r="S54" s="773"/>
      <c r="T54" s="773"/>
      <c r="U54" s="773"/>
      <c r="V54" s="773"/>
      <c r="W54" s="773"/>
      <c r="X54" s="773"/>
      <c r="Y54" s="773"/>
      <c r="Z54" s="773"/>
      <c r="AA54" s="773"/>
      <c r="AB54" s="772"/>
      <c r="AC54" s="772"/>
      <c r="AD54" s="772"/>
      <c r="AE54" s="772"/>
      <c r="AF54" s="772"/>
      <c r="AG54" s="772"/>
      <c r="AH54" s="772"/>
      <c r="AI54" s="772"/>
      <c r="AJ54" s="772"/>
      <c r="AK54" s="772"/>
      <c r="AL54" s="772"/>
      <c r="AM54" s="772"/>
      <c r="AN54" s="772"/>
      <c r="AO54" s="772"/>
      <c r="AP54" s="772"/>
      <c r="AQ54" s="772"/>
      <c r="AR54" s="772"/>
      <c r="AS54" s="772"/>
      <c r="AT54" s="772"/>
      <c r="AU54" s="772"/>
      <c r="AV54" s="772"/>
      <c r="AW54" s="772"/>
      <c r="AX54" s="772"/>
      <c r="AY54" s="772"/>
      <c r="AZ54" s="772"/>
      <c r="BA54" s="772"/>
      <c r="BB54" s="772"/>
      <c r="BC54" s="772"/>
      <c r="BD54" s="772"/>
      <c r="BE54" s="772"/>
      <c r="BF54" s="772"/>
      <c r="BG54" s="772"/>
      <c r="BH54" s="772"/>
      <c r="BI54" s="772"/>
      <c r="BJ54" s="772"/>
      <c r="BK54" s="772"/>
      <c r="BL54" s="772"/>
      <c r="BM54" s="772"/>
      <c r="BN54" s="772"/>
      <c r="BO54" s="772"/>
      <c r="BP54" s="772"/>
      <c r="BQ54" s="772"/>
      <c r="BR54" s="772"/>
      <c r="BS54" s="772"/>
      <c r="BT54" s="772"/>
      <c r="BU54" s="772"/>
      <c r="BV54" s="772"/>
      <c r="BW54" s="772"/>
      <c r="BX54" s="772"/>
      <c r="BY54" s="772"/>
      <c r="BZ54" s="772"/>
      <c r="CA54" s="772"/>
      <c r="CB54" s="772"/>
      <c r="CC54" s="772"/>
      <c r="CD54" s="772"/>
      <c r="CE54" s="772"/>
    </row>
    <row r="55" spans="1:83" x14ac:dyDescent="0.25">
      <c r="A55" s="767">
        <v>93</v>
      </c>
      <c r="B55" s="752">
        <v>93</v>
      </c>
      <c r="C55" s="768" t="s">
        <v>302</v>
      </c>
      <c r="D55" s="635" t="s">
        <v>424</v>
      </c>
      <c r="E55" s="769">
        <v>0</v>
      </c>
      <c r="F55" s="770">
        <v>0</v>
      </c>
      <c r="G55" s="770">
        <v>0</v>
      </c>
      <c r="H55" s="770">
        <v>0</v>
      </c>
      <c r="I55" s="770">
        <v>0</v>
      </c>
      <c r="J55" s="770">
        <v>0</v>
      </c>
      <c r="K55" s="771">
        <v>0</v>
      </c>
      <c r="L55" s="772">
        <v>0</v>
      </c>
      <c r="M55" s="772">
        <v>6505936</v>
      </c>
      <c r="N55" s="773">
        <v>0</v>
      </c>
      <c r="O55" s="773">
        <v>0</v>
      </c>
      <c r="P55" s="773">
        <v>0</v>
      </c>
      <c r="Q55" s="773">
        <v>0</v>
      </c>
      <c r="R55" s="773">
        <v>12314612</v>
      </c>
      <c r="S55" s="773">
        <v>0</v>
      </c>
      <c r="T55" s="773">
        <v>647470</v>
      </c>
      <c r="U55" s="773">
        <v>0</v>
      </c>
      <c r="V55" s="773">
        <v>0</v>
      </c>
      <c r="W55" s="773">
        <v>0</v>
      </c>
      <c r="X55" s="773">
        <v>0</v>
      </c>
      <c r="Y55" s="773">
        <v>0</v>
      </c>
      <c r="Z55" s="773">
        <v>1632560</v>
      </c>
      <c r="AA55" s="773">
        <v>0</v>
      </c>
      <c r="AB55" s="772">
        <v>0</v>
      </c>
      <c r="AC55" s="772">
        <v>0</v>
      </c>
      <c r="AD55" s="772">
        <v>0</v>
      </c>
      <c r="AE55" s="772">
        <v>0</v>
      </c>
      <c r="AF55" s="772">
        <v>0</v>
      </c>
      <c r="AG55" s="772">
        <v>79255929</v>
      </c>
      <c r="AH55" s="772">
        <v>0</v>
      </c>
      <c r="AI55" s="772">
        <v>0</v>
      </c>
      <c r="AJ55" s="772">
        <v>0</v>
      </c>
      <c r="AK55" s="772">
        <v>0</v>
      </c>
      <c r="AL55" s="772">
        <v>0</v>
      </c>
      <c r="AM55" s="772">
        <v>0</v>
      </c>
      <c r="AN55" s="772">
        <v>0</v>
      </c>
      <c r="AO55" s="772">
        <v>0</v>
      </c>
      <c r="AP55" s="772">
        <v>0</v>
      </c>
      <c r="AQ55" s="772">
        <v>6834123</v>
      </c>
      <c r="AR55" s="772">
        <v>0</v>
      </c>
      <c r="AS55" s="772">
        <v>0</v>
      </c>
      <c r="AT55" s="772">
        <v>0</v>
      </c>
      <c r="AU55" s="772">
        <v>0</v>
      </c>
      <c r="AV55" s="772">
        <v>0</v>
      </c>
      <c r="AW55" s="772">
        <v>175926246</v>
      </c>
      <c r="AX55" s="772">
        <v>0</v>
      </c>
      <c r="AY55" s="772">
        <v>0</v>
      </c>
      <c r="AZ55" s="772">
        <v>0</v>
      </c>
      <c r="BA55" s="772">
        <v>0</v>
      </c>
      <c r="BB55" s="772">
        <v>431249</v>
      </c>
      <c r="BC55" s="772">
        <v>0</v>
      </c>
      <c r="BD55" s="772">
        <v>0</v>
      </c>
      <c r="BE55" s="772">
        <v>0</v>
      </c>
      <c r="BF55" s="772">
        <v>0</v>
      </c>
      <c r="BG55" s="772">
        <v>0</v>
      </c>
      <c r="BH55" s="772">
        <v>0</v>
      </c>
      <c r="BI55" s="772">
        <v>0</v>
      </c>
      <c r="BJ55" s="772">
        <v>0</v>
      </c>
      <c r="BK55" s="772">
        <v>0</v>
      </c>
      <c r="BL55" s="772">
        <v>0</v>
      </c>
      <c r="BM55" s="772">
        <v>0</v>
      </c>
      <c r="BN55" s="772">
        <v>0</v>
      </c>
      <c r="BO55" s="772">
        <v>3123614</v>
      </c>
      <c r="BP55" s="772">
        <v>0</v>
      </c>
      <c r="BQ55" s="772">
        <v>130159503</v>
      </c>
      <c r="BR55" s="772">
        <v>0</v>
      </c>
      <c r="BS55" s="772">
        <v>6108198</v>
      </c>
      <c r="BT55" s="772">
        <v>0</v>
      </c>
      <c r="BU55" s="772">
        <v>0</v>
      </c>
      <c r="BV55" s="772">
        <v>483862</v>
      </c>
      <c r="BW55" s="772">
        <v>0</v>
      </c>
      <c r="BX55" s="772">
        <v>0</v>
      </c>
      <c r="BY55" s="772">
        <v>0</v>
      </c>
      <c r="BZ55" s="772">
        <v>0</v>
      </c>
      <c r="CA55" s="772">
        <v>882546</v>
      </c>
      <c r="CB55" s="772">
        <v>0</v>
      </c>
      <c r="CC55" s="772">
        <v>0</v>
      </c>
      <c r="CD55" s="772">
        <v>0</v>
      </c>
      <c r="CE55" s="772">
        <v>19569272</v>
      </c>
    </row>
    <row r="56" spans="1:83" x14ac:dyDescent="0.25">
      <c r="A56" s="767">
        <v>94</v>
      </c>
      <c r="B56" s="752">
        <v>94</v>
      </c>
      <c r="C56" s="768" t="s">
        <v>305</v>
      </c>
      <c r="D56" s="635" t="s">
        <v>425</v>
      </c>
      <c r="E56" s="769">
        <v>0</v>
      </c>
      <c r="F56" s="770">
        <v>0</v>
      </c>
      <c r="G56" s="770">
        <v>0</v>
      </c>
      <c r="H56" s="770">
        <v>0</v>
      </c>
      <c r="I56" s="770">
        <v>0</v>
      </c>
      <c r="J56" s="770">
        <v>0</v>
      </c>
      <c r="K56" s="771">
        <v>0</v>
      </c>
      <c r="L56" s="772">
        <v>0</v>
      </c>
      <c r="M56" s="772">
        <v>6009173</v>
      </c>
      <c r="N56" s="773">
        <v>0</v>
      </c>
      <c r="O56" s="773">
        <v>0</v>
      </c>
      <c r="P56" s="773">
        <v>0</v>
      </c>
      <c r="Q56" s="773">
        <v>0</v>
      </c>
      <c r="R56" s="773">
        <v>9118857</v>
      </c>
      <c r="S56" s="773">
        <v>0</v>
      </c>
      <c r="T56" s="773">
        <v>645285</v>
      </c>
      <c r="U56" s="773">
        <v>0</v>
      </c>
      <c r="V56" s="773">
        <v>0</v>
      </c>
      <c r="W56" s="773">
        <v>0</v>
      </c>
      <c r="X56" s="773">
        <v>0</v>
      </c>
      <c r="Y56" s="773">
        <v>0</v>
      </c>
      <c r="Z56" s="773">
        <v>1608152</v>
      </c>
      <c r="AA56" s="773">
        <v>0</v>
      </c>
      <c r="AB56" s="772">
        <v>0</v>
      </c>
      <c r="AC56" s="772">
        <v>0</v>
      </c>
      <c r="AD56" s="772">
        <v>0</v>
      </c>
      <c r="AE56" s="772">
        <v>0</v>
      </c>
      <c r="AF56" s="772">
        <v>0</v>
      </c>
      <c r="AG56" s="772">
        <v>73617034</v>
      </c>
      <c r="AH56" s="772">
        <v>0</v>
      </c>
      <c r="AI56" s="772">
        <v>0</v>
      </c>
      <c r="AJ56" s="772">
        <v>0</v>
      </c>
      <c r="AK56" s="772">
        <v>0</v>
      </c>
      <c r="AL56" s="772">
        <v>0</v>
      </c>
      <c r="AM56" s="772">
        <v>0</v>
      </c>
      <c r="AN56" s="772">
        <v>0</v>
      </c>
      <c r="AO56" s="772">
        <v>0</v>
      </c>
      <c r="AP56" s="772">
        <v>0</v>
      </c>
      <c r="AQ56" s="772">
        <v>6928967</v>
      </c>
      <c r="AR56" s="772">
        <v>0</v>
      </c>
      <c r="AS56" s="772">
        <v>0</v>
      </c>
      <c r="AT56" s="772">
        <v>0</v>
      </c>
      <c r="AU56" s="772">
        <v>0</v>
      </c>
      <c r="AV56" s="772">
        <v>0</v>
      </c>
      <c r="AW56" s="772">
        <v>162098306</v>
      </c>
      <c r="AX56" s="772">
        <v>0</v>
      </c>
      <c r="AY56" s="772">
        <v>0</v>
      </c>
      <c r="AZ56" s="772">
        <v>0</v>
      </c>
      <c r="BA56" s="772">
        <v>0</v>
      </c>
      <c r="BB56" s="772">
        <v>470456</v>
      </c>
      <c r="BC56" s="772">
        <v>0</v>
      </c>
      <c r="BD56" s="772">
        <v>0</v>
      </c>
      <c r="BE56" s="772">
        <v>0</v>
      </c>
      <c r="BF56" s="772">
        <v>0</v>
      </c>
      <c r="BG56" s="772">
        <v>0</v>
      </c>
      <c r="BH56" s="772">
        <v>0</v>
      </c>
      <c r="BI56" s="772">
        <v>0</v>
      </c>
      <c r="BJ56" s="772">
        <v>0</v>
      </c>
      <c r="BK56" s="772">
        <v>0</v>
      </c>
      <c r="BL56" s="772">
        <v>0</v>
      </c>
      <c r="BM56" s="772">
        <v>0</v>
      </c>
      <c r="BN56" s="772">
        <v>0</v>
      </c>
      <c r="BO56" s="772">
        <v>2875053</v>
      </c>
      <c r="BP56" s="772">
        <v>0</v>
      </c>
      <c r="BQ56" s="772">
        <v>122081804</v>
      </c>
      <c r="BR56" s="772">
        <v>0</v>
      </c>
      <c r="BS56" s="772">
        <v>4464224</v>
      </c>
      <c r="BT56" s="772">
        <v>0</v>
      </c>
      <c r="BU56" s="772">
        <v>0</v>
      </c>
      <c r="BV56" s="772">
        <v>437902</v>
      </c>
      <c r="BW56" s="772">
        <v>0</v>
      </c>
      <c r="BX56" s="772">
        <v>0</v>
      </c>
      <c r="BY56" s="772">
        <v>0</v>
      </c>
      <c r="BZ56" s="772">
        <v>0</v>
      </c>
      <c r="CA56" s="772">
        <v>824922</v>
      </c>
      <c r="CB56" s="772">
        <v>0</v>
      </c>
      <c r="CC56" s="772">
        <v>0</v>
      </c>
      <c r="CD56" s="772">
        <v>0</v>
      </c>
      <c r="CE56" s="772">
        <v>18979160</v>
      </c>
    </row>
    <row r="57" spans="1:83" x14ac:dyDescent="0.25">
      <c r="A57" s="767">
        <v>97</v>
      </c>
      <c r="B57" s="752">
        <v>97</v>
      </c>
      <c r="C57" s="768" t="s">
        <v>301</v>
      </c>
      <c r="D57" s="635" t="s">
        <v>426</v>
      </c>
      <c r="E57" s="769">
        <v>0</v>
      </c>
      <c r="F57" s="770">
        <v>0</v>
      </c>
      <c r="G57" s="770">
        <v>0</v>
      </c>
      <c r="H57" s="770">
        <v>0</v>
      </c>
      <c r="I57" s="770">
        <v>0</v>
      </c>
      <c r="J57" s="770">
        <v>0</v>
      </c>
      <c r="K57" s="771">
        <v>0</v>
      </c>
      <c r="L57" s="772">
        <v>0</v>
      </c>
      <c r="M57" s="772">
        <v>6432846</v>
      </c>
      <c r="N57" s="773">
        <v>0</v>
      </c>
      <c r="O57" s="773">
        <v>0</v>
      </c>
      <c r="P57" s="773">
        <v>0</v>
      </c>
      <c r="Q57" s="773">
        <v>0</v>
      </c>
      <c r="R57" s="773">
        <v>12030967</v>
      </c>
      <c r="S57" s="773">
        <v>0</v>
      </c>
      <c r="T57" s="773">
        <v>613817</v>
      </c>
      <c r="U57" s="773">
        <v>0</v>
      </c>
      <c r="V57" s="773">
        <v>0</v>
      </c>
      <c r="W57" s="773">
        <v>0</v>
      </c>
      <c r="X57" s="773">
        <v>0</v>
      </c>
      <c r="Y57" s="773">
        <v>0</v>
      </c>
      <c r="Z57" s="773">
        <v>1582262</v>
      </c>
      <c r="AA57" s="773">
        <v>0</v>
      </c>
      <c r="AB57" s="772">
        <v>0</v>
      </c>
      <c r="AC57" s="772">
        <v>0</v>
      </c>
      <c r="AD57" s="772">
        <v>0</v>
      </c>
      <c r="AE57" s="772">
        <v>0</v>
      </c>
      <c r="AF57" s="772">
        <v>0</v>
      </c>
      <c r="AG57" s="772">
        <v>76763250</v>
      </c>
      <c r="AH57" s="772">
        <v>0</v>
      </c>
      <c r="AI57" s="772">
        <v>0</v>
      </c>
      <c r="AJ57" s="772">
        <v>0</v>
      </c>
      <c r="AK57" s="772">
        <v>0</v>
      </c>
      <c r="AL57" s="772">
        <v>0</v>
      </c>
      <c r="AM57" s="772">
        <v>0</v>
      </c>
      <c r="AN57" s="772">
        <v>0</v>
      </c>
      <c r="AO57" s="772">
        <v>0</v>
      </c>
      <c r="AP57" s="772">
        <v>0</v>
      </c>
      <c r="AQ57" s="772">
        <v>6672258</v>
      </c>
      <c r="AR57" s="772">
        <v>0</v>
      </c>
      <c r="AS57" s="772">
        <v>0</v>
      </c>
      <c r="AT57" s="772">
        <v>0</v>
      </c>
      <c r="AU57" s="772">
        <v>0</v>
      </c>
      <c r="AV57" s="772">
        <v>0</v>
      </c>
      <c r="AW57" s="772">
        <v>175344783</v>
      </c>
      <c r="AX57" s="772">
        <v>0</v>
      </c>
      <c r="AY57" s="772">
        <v>0</v>
      </c>
      <c r="AZ57" s="772">
        <v>0</v>
      </c>
      <c r="BA57" s="772">
        <v>0</v>
      </c>
      <c r="BB57" s="772">
        <v>431249</v>
      </c>
      <c r="BC57" s="772">
        <v>0</v>
      </c>
      <c r="BD57" s="772">
        <v>0</v>
      </c>
      <c r="BE57" s="772">
        <v>0</v>
      </c>
      <c r="BF57" s="772">
        <v>0</v>
      </c>
      <c r="BG57" s="772">
        <v>0</v>
      </c>
      <c r="BH57" s="772">
        <v>0</v>
      </c>
      <c r="BI57" s="772">
        <v>0</v>
      </c>
      <c r="BJ57" s="772">
        <v>0</v>
      </c>
      <c r="BK57" s="772">
        <v>0</v>
      </c>
      <c r="BL57" s="772">
        <v>0</v>
      </c>
      <c r="BM57" s="772">
        <v>0</v>
      </c>
      <c r="BN57" s="772">
        <v>0</v>
      </c>
      <c r="BO57" s="772">
        <v>3112746</v>
      </c>
      <c r="BP57" s="772">
        <v>0</v>
      </c>
      <c r="BQ57" s="772">
        <v>129904253</v>
      </c>
      <c r="BR57" s="772">
        <v>0</v>
      </c>
      <c r="BS57" s="772">
        <v>5609098</v>
      </c>
      <c r="BT57" s="772">
        <v>0</v>
      </c>
      <c r="BU57" s="772">
        <v>0</v>
      </c>
      <c r="BV57" s="772">
        <v>482975</v>
      </c>
      <c r="BW57" s="772">
        <v>0</v>
      </c>
      <c r="BX57" s="772">
        <v>0</v>
      </c>
      <c r="BY57" s="772">
        <v>0</v>
      </c>
      <c r="BZ57" s="772">
        <v>0</v>
      </c>
      <c r="CA57" s="772">
        <v>868909</v>
      </c>
      <c r="CB57" s="772">
        <v>0</v>
      </c>
      <c r="CC57" s="772">
        <v>0</v>
      </c>
      <c r="CD57" s="772">
        <v>0</v>
      </c>
      <c r="CE57" s="772">
        <v>18924083</v>
      </c>
    </row>
    <row r="58" spans="1:83" x14ac:dyDescent="0.25">
      <c r="A58" s="767">
        <v>98</v>
      </c>
      <c r="B58" s="752">
        <v>98</v>
      </c>
      <c r="C58" s="768" t="s">
        <v>306</v>
      </c>
      <c r="D58" s="635" t="s">
        <v>427</v>
      </c>
      <c r="E58" s="769">
        <v>0</v>
      </c>
      <c r="F58" s="770">
        <v>0</v>
      </c>
      <c r="G58" s="770">
        <v>0</v>
      </c>
      <c r="H58" s="770">
        <v>0</v>
      </c>
      <c r="I58" s="770">
        <v>0</v>
      </c>
      <c r="J58" s="770">
        <v>0</v>
      </c>
      <c r="K58" s="771">
        <v>0</v>
      </c>
      <c r="L58" s="772">
        <v>0</v>
      </c>
      <c r="M58" s="772">
        <v>40549</v>
      </c>
      <c r="N58" s="773">
        <v>0</v>
      </c>
      <c r="O58" s="773">
        <v>0</v>
      </c>
      <c r="P58" s="773">
        <v>0</v>
      </c>
      <c r="Q58" s="773">
        <v>0</v>
      </c>
      <c r="R58" s="773">
        <v>1007</v>
      </c>
      <c r="S58" s="773">
        <v>0</v>
      </c>
      <c r="T58" s="773">
        <v>0</v>
      </c>
      <c r="U58" s="773">
        <v>0</v>
      </c>
      <c r="V58" s="773">
        <v>0</v>
      </c>
      <c r="W58" s="773">
        <v>0</v>
      </c>
      <c r="X58" s="773">
        <v>0</v>
      </c>
      <c r="Y58" s="773">
        <v>0</v>
      </c>
      <c r="Z58" s="773">
        <v>435</v>
      </c>
      <c r="AA58" s="773">
        <v>0</v>
      </c>
      <c r="AB58" s="772">
        <v>0</v>
      </c>
      <c r="AC58" s="772">
        <v>0</v>
      </c>
      <c r="AD58" s="772">
        <v>0</v>
      </c>
      <c r="AE58" s="772">
        <v>0</v>
      </c>
      <c r="AF58" s="772">
        <v>0</v>
      </c>
      <c r="AG58" s="772">
        <v>16869</v>
      </c>
      <c r="AH58" s="772">
        <v>0</v>
      </c>
      <c r="AI58" s="772">
        <v>0</v>
      </c>
      <c r="AJ58" s="772">
        <v>0</v>
      </c>
      <c r="AK58" s="772">
        <v>0</v>
      </c>
      <c r="AL58" s="772">
        <v>0</v>
      </c>
      <c r="AM58" s="772">
        <v>0</v>
      </c>
      <c r="AN58" s="772">
        <v>0</v>
      </c>
      <c r="AO58" s="772">
        <v>0</v>
      </c>
      <c r="AP58" s="772">
        <v>0</v>
      </c>
      <c r="AQ58" s="772">
        <v>0</v>
      </c>
      <c r="AR58" s="772">
        <v>0</v>
      </c>
      <c r="AS58" s="772">
        <v>0</v>
      </c>
      <c r="AT58" s="772">
        <v>0</v>
      </c>
      <c r="AU58" s="772">
        <v>0</v>
      </c>
      <c r="AV58" s="772">
        <v>0</v>
      </c>
      <c r="AW58" s="772">
        <v>1267261</v>
      </c>
      <c r="AX58" s="772">
        <v>0</v>
      </c>
      <c r="AY58" s="772">
        <v>0</v>
      </c>
      <c r="AZ58" s="772">
        <v>0</v>
      </c>
      <c r="BA58" s="772">
        <v>0</v>
      </c>
      <c r="BB58" s="772">
        <v>0</v>
      </c>
      <c r="BC58" s="772">
        <v>0</v>
      </c>
      <c r="BD58" s="772">
        <v>0</v>
      </c>
      <c r="BE58" s="772">
        <v>0</v>
      </c>
      <c r="BF58" s="772">
        <v>0</v>
      </c>
      <c r="BG58" s="772">
        <v>0</v>
      </c>
      <c r="BH58" s="772">
        <v>0</v>
      </c>
      <c r="BI58" s="772">
        <v>0</v>
      </c>
      <c r="BJ58" s="772">
        <v>0</v>
      </c>
      <c r="BK58" s="772">
        <v>0</v>
      </c>
      <c r="BL58" s="772">
        <v>0</v>
      </c>
      <c r="BM58" s="772">
        <v>0</v>
      </c>
      <c r="BN58" s="772">
        <v>0</v>
      </c>
      <c r="BO58" s="772">
        <v>10093</v>
      </c>
      <c r="BP58" s="772">
        <v>0</v>
      </c>
      <c r="BQ58" s="772">
        <v>0</v>
      </c>
      <c r="BR58" s="772">
        <v>0</v>
      </c>
      <c r="BS58" s="772">
        <v>0</v>
      </c>
      <c r="BT58" s="772">
        <v>0</v>
      </c>
      <c r="BU58" s="772">
        <v>0</v>
      </c>
      <c r="BV58" s="772">
        <v>0</v>
      </c>
      <c r="BW58" s="772">
        <v>0</v>
      </c>
      <c r="BX58" s="772">
        <v>0</v>
      </c>
      <c r="BY58" s="772">
        <v>0</v>
      </c>
      <c r="BZ58" s="772">
        <v>0</v>
      </c>
      <c r="CA58" s="772">
        <v>0</v>
      </c>
      <c r="CB58" s="772">
        <v>0</v>
      </c>
      <c r="CC58" s="772">
        <v>0</v>
      </c>
      <c r="CD58" s="772">
        <v>0</v>
      </c>
      <c r="CE58" s="772">
        <v>0</v>
      </c>
    </row>
    <row r="59" spans="1:83" x14ac:dyDescent="0.25">
      <c r="A59" s="767">
        <v>99</v>
      </c>
      <c r="B59" s="752">
        <v>99</v>
      </c>
      <c r="C59" s="768" t="s">
        <v>303</v>
      </c>
      <c r="D59" s="635" t="s">
        <v>428</v>
      </c>
      <c r="E59" s="769">
        <v>0</v>
      </c>
      <c r="F59" s="770">
        <v>0</v>
      </c>
      <c r="G59" s="770">
        <v>0</v>
      </c>
      <c r="H59" s="770">
        <v>0</v>
      </c>
      <c r="I59" s="770">
        <v>0</v>
      </c>
      <c r="J59" s="770">
        <v>0</v>
      </c>
      <c r="K59" s="771">
        <v>0</v>
      </c>
      <c r="L59" s="772">
        <v>0</v>
      </c>
      <c r="M59" s="772">
        <v>4259628</v>
      </c>
      <c r="N59" s="773">
        <v>0</v>
      </c>
      <c r="O59" s="773">
        <v>0</v>
      </c>
      <c r="P59" s="773">
        <v>0</v>
      </c>
      <c r="Q59" s="773">
        <v>0</v>
      </c>
      <c r="R59" s="773">
        <v>6393845</v>
      </c>
      <c r="S59" s="773">
        <v>0</v>
      </c>
      <c r="T59" s="773">
        <v>298831</v>
      </c>
      <c r="U59" s="773">
        <v>0</v>
      </c>
      <c r="V59" s="773">
        <v>0</v>
      </c>
      <c r="W59" s="773">
        <v>0</v>
      </c>
      <c r="X59" s="773">
        <v>0</v>
      </c>
      <c r="Y59" s="773">
        <v>0</v>
      </c>
      <c r="Z59" s="773">
        <v>1140605</v>
      </c>
      <c r="AA59" s="773">
        <v>0</v>
      </c>
      <c r="AB59" s="772">
        <v>0</v>
      </c>
      <c r="AC59" s="772">
        <v>0</v>
      </c>
      <c r="AD59" s="772">
        <v>0</v>
      </c>
      <c r="AE59" s="772">
        <v>0</v>
      </c>
      <c r="AF59" s="772">
        <v>0</v>
      </c>
      <c r="AG59" s="772">
        <v>60891356</v>
      </c>
      <c r="AH59" s="772">
        <v>0</v>
      </c>
      <c r="AI59" s="772">
        <v>0</v>
      </c>
      <c r="AJ59" s="772">
        <v>0</v>
      </c>
      <c r="AK59" s="772">
        <v>0</v>
      </c>
      <c r="AL59" s="772">
        <v>0</v>
      </c>
      <c r="AM59" s="772">
        <v>0</v>
      </c>
      <c r="AN59" s="772">
        <v>0</v>
      </c>
      <c r="AO59" s="772">
        <v>0</v>
      </c>
      <c r="AP59" s="772">
        <v>0</v>
      </c>
      <c r="AQ59" s="772">
        <v>4743775</v>
      </c>
      <c r="AR59" s="772">
        <v>0</v>
      </c>
      <c r="AS59" s="772">
        <v>0</v>
      </c>
      <c r="AT59" s="772">
        <v>0</v>
      </c>
      <c r="AU59" s="772">
        <v>0</v>
      </c>
      <c r="AV59" s="772">
        <v>0</v>
      </c>
      <c r="AW59" s="772">
        <v>127069600</v>
      </c>
      <c r="AX59" s="772">
        <v>0</v>
      </c>
      <c r="AY59" s="772">
        <v>0</v>
      </c>
      <c r="AZ59" s="772">
        <v>0</v>
      </c>
      <c r="BA59" s="772">
        <v>0</v>
      </c>
      <c r="BB59" s="772">
        <v>290241</v>
      </c>
      <c r="BC59" s="772">
        <v>0</v>
      </c>
      <c r="BD59" s="772">
        <v>0</v>
      </c>
      <c r="BE59" s="772">
        <v>0</v>
      </c>
      <c r="BF59" s="772">
        <v>0</v>
      </c>
      <c r="BG59" s="772">
        <v>0</v>
      </c>
      <c r="BH59" s="772">
        <v>0</v>
      </c>
      <c r="BI59" s="772">
        <v>0</v>
      </c>
      <c r="BJ59" s="772">
        <v>0</v>
      </c>
      <c r="BK59" s="772">
        <v>0</v>
      </c>
      <c r="BL59" s="772">
        <v>0</v>
      </c>
      <c r="BM59" s="772">
        <v>0</v>
      </c>
      <c r="BN59" s="772">
        <v>0</v>
      </c>
      <c r="BO59" s="772">
        <v>2237633</v>
      </c>
      <c r="BP59" s="772">
        <v>0</v>
      </c>
      <c r="BQ59" s="772">
        <v>97839072</v>
      </c>
      <c r="BR59" s="772">
        <v>0</v>
      </c>
      <c r="BS59" s="772">
        <v>4344616</v>
      </c>
      <c r="BT59" s="772">
        <v>0</v>
      </c>
      <c r="BU59" s="772">
        <v>0</v>
      </c>
      <c r="BV59" s="772">
        <v>293120</v>
      </c>
      <c r="BW59" s="772">
        <v>0</v>
      </c>
      <c r="BX59" s="772">
        <v>0</v>
      </c>
      <c r="BY59" s="772">
        <v>0</v>
      </c>
      <c r="BZ59" s="772">
        <v>0</v>
      </c>
      <c r="CA59" s="772">
        <v>591444</v>
      </c>
      <c r="CB59" s="772">
        <v>0</v>
      </c>
      <c r="CC59" s="772">
        <v>0</v>
      </c>
      <c r="CD59" s="772">
        <v>0</v>
      </c>
      <c r="CE59" s="772">
        <v>15663169</v>
      </c>
    </row>
    <row r="60" spans="1:83" x14ac:dyDescent="0.25">
      <c r="A60" s="767">
        <v>100</v>
      </c>
      <c r="B60" s="752">
        <v>100</v>
      </c>
      <c r="C60" s="768" t="s">
        <v>316</v>
      </c>
      <c r="D60" s="635" t="s">
        <v>429</v>
      </c>
      <c r="E60" s="769">
        <v>0</v>
      </c>
      <c r="F60" s="770">
        <v>0</v>
      </c>
      <c r="G60" s="770">
        <v>0</v>
      </c>
      <c r="H60" s="770">
        <v>0</v>
      </c>
      <c r="I60" s="770">
        <v>0</v>
      </c>
      <c r="J60" s="770">
        <v>0</v>
      </c>
      <c r="K60" s="771">
        <v>0</v>
      </c>
      <c r="L60" s="772">
        <v>0</v>
      </c>
      <c r="M60" s="772">
        <v>218600</v>
      </c>
      <c r="N60" s="773">
        <v>0</v>
      </c>
      <c r="O60" s="773">
        <v>0</v>
      </c>
      <c r="P60" s="773">
        <v>0</v>
      </c>
      <c r="Q60" s="773">
        <v>0</v>
      </c>
      <c r="R60" s="773">
        <v>33941</v>
      </c>
      <c r="S60" s="773">
        <v>0</v>
      </c>
      <c r="T60" s="773">
        <v>0</v>
      </c>
      <c r="U60" s="773">
        <v>0</v>
      </c>
      <c r="V60" s="773">
        <v>0</v>
      </c>
      <c r="W60" s="773">
        <v>0</v>
      </c>
      <c r="X60" s="773">
        <v>0</v>
      </c>
      <c r="Y60" s="773">
        <v>0</v>
      </c>
      <c r="Z60" s="773">
        <v>2250</v>
      </c>
      <c r="AA60" s="773">
        <v>0</v>
      </c>
      <c r="AB60" s="772">
        <v>0</v>
      </c>
      <c r="AC60" s="772">
        <v>0</v>
      </c>
      <c r="AD60" s="772">
        <v>0</v>
      </c>
      <c r="AE60" s="772">
        <v>0</v>
      </c>
      <c r="AF60" s="772">
        <v>0</v>
      </c>
      <c r="AG60" s="772">
        <v>0</v>
      </c>
      <c r="AH60" s="772">
        <v>0</v>
      </c>
      <c r="AI60" s="772">
        <v>0</v>
      </c>
      <c r="AJ60" s="772">
        <v>0</v>
      </c>
      <c r="AK60" s="772">
        <v>0</v>
      </c>
      <c r="AL60" s="772">
        <v>0</v>
      </c>
      <c r="AM60" s="772">
        <v>0</v>
      </c>
      <c r="AN60" s="772">
        <v>0</v>
      </c>
      <c r="AO60" s="772">
        <v>0</v>
      </c>
      <c r="AP60" s="772">
        <v>0</v>
      </c>
      <c r="AQ60" s="772">
        <v>0</v>
      </c>
      <c r="AR60" s="772">
        <v>0</v>
      </c>
      <c r="AS60" s="772">
        <v>0</v>
      </c>
      <c r="AT60" s="772">
        <v>0</v>
      </c>
      <c r="AU60" s="772">
        <v>0</v>
      </c>
      <c r="AV60" s="772">
        <v>0</v>
      </c>
      <c r="AW60" s="772">
        <v>1738006</v>
      </c>
      <c r="AX60" s="772">
        <v>0</v>
      </c>
      <c r="AY60" s="772">
        <v>0</v>
      </c>
      <c r="AZ60" s="772">
        <v>0</v>
      </c>
      <c r="BA60" s="772">
        <v>0</v>
      </c>
      <c r="BB60" s="772">
        <v>0</v>
      </c>
      <c r="BC60" s="772">
        <v>0</v>
      </c>
      <c r="BD60" s="772">
        <v>0</v>
      </c>
      <c r="BE60" s="772">
        <v>0</v>
      </c>
      <c r="BF60" s="772">
        <v>0</v>
      </c>
      <c r="BG60" s="772">
        <v>0</v>
      </c>
      <c r="BH60" s="772">
        <v>0</v>
      </c>
      <c r="BI60" s="772">
        <v>0</v>
      </c>
      <c r="BJ60" s="772">
        <v>0</v>
      </c>
      <c r="BK60" s="772">
        <v>0</v>
      </c>
      <c r="BL60" s="772">
        <v>0</v>
      </c>
      <c r="BM60" s="772">
        <v>0</v>
      </c>
      <c r="BN60" s="772">
        <v>0</v>
      </c>
      <c r="BO60" s="772">
        <v>9307</v>
      </c>
      <c r="BP60" s="772">
        <v>0</v>
      </c>
      <c r="BQ60" s="772">
        <v>0</v>
      </c>
      <c r="BR60" s="772">
        <v>0</v>
      </c>
      <c r="BS60" s="772">
        <v>185067</v>
      </c>
      <c r="BT60" s="772">
        <v>0</v>
      </c>
      <c r="BU60" s="772">
        <v>0</v>
      </c>
      <c r="BV60" s="772">
        <v>0</v>
      </c>
      <c r="BW60" s="772">
        <v>0</v>
      </c>
      <c r="BX60" s="772">
        <v>0</v>
      </c>
      <c r="BY60" s="772">
        <v>0</v>
      </c>
      <c r="BZ60" s="772">
        <v>0</v>
      </c>
      <c r="CA60" s="772">
        <v>0</v>
      </c>
      <c r="CB60" s="772">
        <v>0</v>
      </c>
      <c r="CC60" s="772">
        <v>0</v>
      </c>
      <c r="CD60" s="772">
        <v>0</v>
      </c>
      <c r="CE60" s="772">
        <v>0</v>
      </c>
    </row>
    <row r="61" spans="1:83" x14ac:dyDescent="0.25">
      <c r="A61" s="767">
        <v>101</v>
      </c>
      <c r="B61" s="752">
        <v>101</v>
      </c>
      <c r="C61" s="768" t="s">
        <v>315</v>
      </c>
      <c r="D61" s="635" t="s">
        <v>430</v>
      </c>
      <c r="E61" s="769">
        <v>0</v>
      </c>
      <c r="F61" s="770">
        <v>0</v>
      </c>
      <c r="G61" s="770">
        <v>0</v>
      </c>
      <c r="H61" s="770">
        <v>0</v>
      </c>
      <c r="I61" s="770">
        <v>0</v>
      </c>
      <c r="J61" s="770">
        <v>0</v>
      </c>
      <c r="K61" s="771">
        <v>0</v>
      </c>
      <c r="L61" s="772">
        <v>0</v>
      </c>
      <c r="M61" s="772">
        <v>166442</v>
      </c>
      <c r="N61" s="773">
        <v>0</v>
      </c>
      <c r="O61" s="773">
        <v>0</v>
      </c>
      <c r="P61" s="773">
        <v>0</v>
      </c>
      <c r="Q61" s="773">
        <v>0</v>
      </c>
      <c r="R61" s="773">
        <v>48000</v>
      </c>
      <c r="S61" s="773">
        <v>0</v>
      </c>
      <c r="T61" s="773">
        <v>0</v>
      </c>
      <c r="U61" s="773">
        <v>0</v>
      </c>
      <c r="V61" s="773">
        <v>0</v>
      </c>
      <c r="W61" s="773">
        <v>0</v>
      </c>
      <c r="X61" s="773">
        <v>0</v>
      </c>
      <c r="Y61" s="773">
        <v>0</v>
      </c>
      <c r="Z61" s="773">
        <v>17609</v>
      </c>
      <c r="AA61" s="773">
        <v>0</v>
      </c>
      <c r="AB61" s="772">
        <v>0</v>
      </c>
      <c r="AC61" s="772">
        <v>0</v>
      </c>
      <c r="AD61" s="772">
        <v>0</v>
      </c>
      <c r="AE61" s="772">
        <v>0</v>
      </c>
      <c r="AF61" s="772">
        <v>0</v>
      </c>
      <c r="AG61" s="772">
        <v>2830179</v>
      </c>
      <c r="AH61" s="772">
        <v>0</v>
      </c>
      <c r="AI61" s="772">
        <v>0</v>
      </c>
      <c r="AJ61" s="772">
        <v>0</v>
      </c>
      <c r="AK61" s="772">
        <v>0</v>
      </c>
      <c r="AL61" s="772">
        <v>0</v>
      </c>
      <c r="AM61" s="772">
        <v>0</v>
      </c>
      <c r="AN61" s="772">
        <v>0</v>
      </c>
      <c r="AO61" s="772">
        <v>0</v>
      </c>
      <c r="AP61" s="772">
        <v>0</v>
      </c>
      <c r="AQ61" s="772">
        <v>234581</v>
      </c>
      <c r="AR61" s="772">
        <v>0</v>
      </c>
      <c r="AS61" s="772">
        <v>0</v>
      </c>
      <c r="AT61" s="772">
        <v>0</v>
      </c>
      <c r="AU61" s="772">
        <v>0</v>
      </c>
      <c r="AV61" s="772">
        <v>0</v>
      </c>
      <c r="AW61" s="772">
        <v>11382995</v>
      </c>
      <c r="AX61" s="772">
        <v>0</v>
      </c>
      <c r="AY61" s="772">
        <v>0</v>
      </c>
      <c r="AZ61" s="772">
        <v>0</v>
      </c>
      <c r="BA61" s="772">
        <v>0</v>
      </c>
      <c r="BB61" s="772">
        <v>0</v>
      </c>
      <c r="BC61" s="772">
        <v>0</v>
      </c>
      <c r="BD61" s="772">
        <v>0</v>
      </c>
      <c r="BE61" s="772">
        <v>0</v>
      </c>
      <c r="BF61" s="772">
        <v>0</v>
      </c>
      <c r="BG61" s="772">
        <v>0</v>
      </c>
      <c r="BH61" s="772">
        <v>0</v>
      </c>
      <c r="BI61" s="772">
        <v>0</v>
      </c>
      <c r="BJ61" s="772">
        <v>0</v>
      </c>
      <c r="BK61" s="772">
        <v>0</v>
      </c>
      <c r="BL61" s="772">
        <v>0</v>
      </c>
      <c r="BM61" s="772">
        <v>0</v>
      </c>
      <c r="BN61" s="772">
        <v>0</v>
      </c>
      <c r="BO61" s="772">
        <v>0</v>
      </c>
      <c r="BP61" s="772">
        <v>0</v>
      </c>
      <c r="BQ61" s="772">
        <v>2902232</v>
      </c>
      <c r="BR61" s="772">
        <v>0</v>
      </c>
      <c r="BS61" s="772">
        <v>34832</v>
      </c>
      <c r="BT61" s="772">
        <v>0</v>
      </c>
      <c r="BU61" s="772">
        <v>0</v>
      </c>
      <c r="BV61" s="772">
        <v>49000</v>
      </c>
      <c r="BW61" s="772">
        <v>0</v>
      </c>
      <c r="BX61" s="772">
        <v>0</v>
      </c>
      <c r="BY61" s="772">
        <v>0</v>
      </c>
      <c r="BZ61" s="772">
        <v>0</v>
      </c>
      <c r="CA61" s="772">
        <v>10559</v>
      </c>
      <c r="CB61" s="772">
        <v>0</v>
      </c>
      <c r="CC61" s="772">
        <v>0</v>
      </c>
      <c r="CD61" s="772">
        <v>0</v>
      </c>
      <c r="CE61" s="772">
        <v>3365168</v>
      </c>
    </row>
    <row r="62" spans="1:83" x14ac:dyDescent="0.25">
      <c r="A62" s="767">
        <v>102</v>
      </c>
      <c r="B62" s="752">
        <v>102</v>
      </c>
      <c r="C62" s="768" t="s">
        <v>334</v>
      </c>
      <c r="D62" s="635" t="s">
        <v>431</v>
      </c>
      <c r="E62" s="777">
        <v>94.39</v>
      </c>
      <c r="F62" s="778">
        <v>91.96</v>
      </c>
      <c r="G62" s="778">
        <v>99.75</v>
      </c>
      <c r="H62" s="778">
        <v>98.64</v>
      </c>
      <c r="I62" s="778">
        <v>97.91</v>
      </c>
      <c r="J62" s="778">
        <v>97.1</v>
      </c>
      <c r="K62" s="779">
        <v>97.47</v>
      </c>
      <c r="L62" s="780">
        <v>95.26</v>
      </c>
      <c r="M62" s="780">
        <v>94.3</v>
      </c>
      <c r="N62" s="781">
        <v>99.26</v>
      </c>
      <c r="O62" s="781">
        <v>100</v>
      </c>
      <c r="P62" s="781">
        <v>99.51</v>
      </c>
      <c r="Q62" s="781">
        <v>96.16</v>
      </c>
      <c r="R62" s="781">
        <v>98.96</v>
      </c>
      <c r="S62" s="781">
        <v>92.05</v>
      </c>
      <c r="T62" s="781">
        <v>97.17</v>
      </c>
      <c r="U62" s="781">
        <v>99.94</v>
      </c>
      <c r="V62" s="781">
        <v>99.66</v>
      </c>
      <c r="W62" s="781">
        <v>95.55</v>
      </c>
      <c r="X62" s="781">
        <v>96.78</v>
      </c>
      <c r="Y62" s="781">
        <v>98.8</v>
      </c>
      <c r="Z62" s="781">
        <v>95.09</v>
      </c>
      <c r="AA62" s="781">
        <v>99.81</v>
      </c>
      <c r="AB62" s="780">
        <v>0</v>
      </c>
      <c r="AC62" s="780">
        <v>93.33</v>
      </c>
      <c r="AD62" s="780">
        <v>99.79</v>
      </c>
      <c r="AE62" s="780">
        <v>85.74</v>
      </c>
      <c r="AF62" s="780">
        <v>88.48</v>
      </c>
      <c r="AG62" s="780">
        <v>98.92</v>
      </c>
      <c r="AH62" s="780">
        <v>97.7</v>
      </c>
      <c r="AI62" s="780">
        <v>94.76</v>
      </c>
      <c r="AJ62" s="780">
        <v>98.44</v>
      </c>
      <c r="AK62" s="780">
        <v>98.81</v>
      </c>
      <c r="AL62" s="780">
        <v>98.34</v>
      </c>
      <c r="AM62" s="780">
        <v>98.17</v>
      </c>
      <c r="AN62" s="780">
        <v>98.35</v>
      </c>
      <c r="AO62" s="780">
        <v>98.75</v>
      </c>
      <c r="AP62" s="780">
        <v>0</v>
      </c>
      <c r="AQ62" s="780">
        <v>97.07</v>
      </c>
      <c r="AR62" s="780">
        <v>98.5</v>
      </c>
      <c r="AS62" s="780">
        <v>94.86</v>
      </c>
      <c r="AT62" s="780">
        <v>93.87</v>
      </c>
      <c r="AU62" s="780">
        <v>82.08</v>
      </c>
      <c r="AV62" s="780">
        <v>99.33</v>
      </c>
      <c r="AW62" s="780">
        <v>99.5</v>
      </c>
      <c r="AX62" s="780">
        <v>94.33</v>
      </c>
      <c r="AY62" s="780">
        <v>98.35</v>
      </c>
      <c r="AZ62" s="780">
        <v>97.93</v>
      </c>
      <c r="BA62" s="780">
        <v>98.65</v>
      </c>
      <c r="BB62" s="780">
        <v>86.5</v>
      </c>
      <c r="BC62" s="780">
        <v>96.15</v>
      </c>
      <c r="BD62" s="780">
        <v>98.03</v>
      </c>
      <c r="BE62" s="780">
        <v>97.27</v>
      </c>
      <c r="BF62" s="780">
        <v>97.22</v>
      </c>
      <c r="BG62" s="780">
        <v>99.6</v>
      </c>
      <c r="BH62" s="780">
        <v>80.64</v>
      </c>
      <c r="BI62" s="780">
        <v>99.65</v>
      </c>
      <c r="BJ62" s="780">
        <v>98.57</v>
      </c>
      <c r="BK62" s="780">
        <v>98.12</v>
      </c>
      <c r="BL62" s="780">
        <v>0</v>
      </c>
      <c r="BM62" s="780">
        <v>97.32</v>
      </c>
      <c r="BN62" s="780">
        <v>98.13</v>
      </c>
      <c r="BO62" s="780">
        <v>95.33</v>
      </c>
      <c r="BP62" s="780">
        <v>98.54</v>
      </c>
      <c r="BQ62" s="780">
        <v>98.99</v>
      </c>
      <c r="BR62" s="780">
        <v>97.19</v>
      </c>
      <c r="BS62" s="780">
        <v>99.39</v>
      </c>
      <c r="BT62" s="780">
        <v>99.49</v>
      </c>
      <c r="BU62" s="780">
        <v>99.04</v>
      </c>
      <c r="BV62" s="780">
        <v>91.82</v>
      </c>
      <c r="BW62" s="780">
        <v>97.93</v>
      </c>
      <c r="BX62" s="780">
        <v>99.04</v>
      </c>
      <c r="BY62" s="780">
        <v>98.69</v>
      </c>
      <c r="BZ62" s="780">
        <v>99.89</v>
      </c>
      <c r="CA62" s="780">
        <v>99.56</v>
      </c>
      <c r="CB62" s="780">
        <v>99.69</v>
      </c>
      <c r="CC62" s="780">
        <v>97.3</v>
      </c>
      <c r="CD62" s="780">
        <v>93.65</v>
      </c>
      <c r="CE62" s="780">
        <v>99.64</v>
      </c>
    </row>
    <row r="63" spans="1:83" x14ac:dyDescent="0.25">
      <c r="A63" s="767">
        <v>103</v>
      </c>
      <c r="B63" s="752">
        <v>103</v>
      </c>
      <c r="C63" s="768" t="s">
        <v>335</v>
      </c>
      <c r="D63" s="635" t="s">
        <v>432</v>
      </c>
      <c r="E63" s="777">
        <v>100</v>
      </c>
      <c r="F63" s="778">
        <v>100</v>
      </c>
      <c r="G63" s="778">
        <v>100</v>
      </c>
      <c r="H63" s="778">
        <v>100</v>
      </c>
      <c r="I63" s="778">
        <v>99.91</v>
      </c>
      <c r="J63" s="778">
        <v>99.61</v>
      </c>
      <c r="K63" s="779">
        <v>100</v>
      </c>
      <c r="L63" s="780">
        <v>100</v>
      </c>
      <c r="M63" s="780">
        <v>100</v>
      </c>
      <c r="N63" s="781">
        <v>99.37</v>
      </c>
      <c r="O63" s="781">
        <v>100</v>
      </c>
      <c r="P63" s="781">
        <v>99.75</v>
      </c>
      <c r="Q63" s="781">
        <v>100</v>
      </c>
      <c r="R63" s="781">
        <v>100</v>
      </c>
      <c r="S63" s="781">
        <v>100</v>
      </c>
      <c r="T63" s="781">
        <v>100</v>
      </c>
      <c r="U63" s="781">
        <v>100</v>
      </c>
      <c r="V63" s="781">
        <v>100</v>
      </c>
      <c r="W63" s="781">
        <v>100</v>
      </c>
      <c r="X63" s="781">
        <v>99.82</v>
      </c>
      <c r="Y63" s="781">
        <v>99.88</v>
      </c>
      <c r="Z63" s="781">
        <v>100</v>
      </c>
      <c r="AA63" s="781">
        <v>100</v>
      </c>
      <c r="AB63" s="780">
        <v>0</v>
      </c>
      <c r="AC63" s="780">
        <v>100</v>
      </c>
      <c r="AD63" s="780">
        <v>100</v>
      </c>
      <c r="AE63" s="780">
        <v>100</v>
      </c>
      <c r="AF63" s="780">
        <v>100</v>
      </c>
      <c r="AG63" s="780">
        <v>99.48</v>
      </c>
      <c r="AH63" s="780">
        <v>98.55</v>
      </c>
      <c r="AI63" s="780">
        <v>100</v>
      </c>
      <c r="AJ63" s="780">
        <v>100</v>
      </c>
      <c r="AK63" s="780">
        <v>100</v>
      </c>
      <c r="AL63" s="780">
        <v>100</v>
      </c>
      <c r="AM63" s="780">
        <v>100</v>
      </c>
      <c r="AN63" s="780">
        <v>100</v>
      </c>
      <c r="AO63" s="780">
        <v>99.93</v>
      </c>
      <c r="AP63" s="780">
        <v>0</v>
      </c>
      <c r="AQ63" s="780">
        <v>99.85</v>
      </c>
      <c r="AR63" s="780">
        <v>100</v>
      </c>
      <c r="AS63" s="780">
        <v>100</v>
      </c>
      <c r="AT63" s="780">
        <v>100</v>
      </c>
      <c r="AU63" s="780">
        <v>100</v>
      </c>
      <c r="AV63" s="780">
        <v>99.98</v>
      </c>
      <c r="AW63" s="780">
        <v>100</v>
      </c>
      <c r="AX63" s="780">
        <v>100</v>
      </c>
      <c r="AY63" s="780">
        <v>100</v>
      </c>
      <c r="AZ63" s="780">
        <v>100</v>
      </c>
      <c r="BA63" s="780">
        <v>100</v>
      </c>
      <c r="BB63" s="780">
        <v>100</v>
      </c>
      <c r="BC63" s="780">
        <v>100</v>
      </c>
      <c r="BD63" s="780">
        <v>100</v>
      </c>
      <c r="BE63" s="780">
        <v>100</v>
      </c>
      <c r="BF63" s="780">
        <v>100</v>
      </c>
      <c r="BG63" s="780">
        <v>100</v>
      </c>
      <c r="BH63" s="780">
        <v>100</v>
      </c>
      <c r="BI63" s="780">
        <v>100</v>
      </c>
      <c r="BJ63" s="780">
        <v>99.94</v>
      </c>
      <c r="BK63" s="780">
        <v>100</v>
      </c>
      <c r="BL63" s="780">
        <v>0</v>
      </c>
      <c r="BM63" s="780">
        <v>100</v>
      </c>
      <c r="BN63" s="780">
        <v>99.7</v>
      </c>
      <c r="BO63" s="780">
        <v>100</v>
      </c>
      <c r="BP63" s="780">
        <v>99.99</v>
      </c>
      <c r="BQ63" s="780">
        <v>99.8</v>
      </c>
      <c r="BR63" s="780">
        <v>100</v>
      </c>
      <c r="BS63" s="780">
        <v>100</v>
      </c>
      <c r="BT63" s="780">
        <v>100</v>
      </c>
      <c r="BU63" s="780">
        <v>100</v>
      </c>
      <c r="BV63" s="780">
        <v>100</v>
      </c>
      <c r="BW63" s="780">
        <v>100</v>
      </c>
      <c r="BX63" s="780">
        <v>100</v>
      </c>
      <c r="BY63" s="780">
        <v>100</v>
      </c>
      <c r="BZ63" s="780">
        <v>99.42</v>
      </c>
      <c r="CA63" s="780">
        <v>100</v>
      </c>
      <c r="CB63" s="780">
        <v>100</v>
      </c>
      <c r="CC63" s="780">
        <v>100</v>
      </c>
      <c r="CD63" s="780">
        <v>100</v>
      </c>
      <c r="CE63" s="780">
        <v>100</v>
      </c>
    </row>
    <row r="64" spans="1:83" x14ac:dyDescent="0.25">
      <c r="B64" s="752">
        <v>104</v>
      </c>
      <c r="C64" s="775" t="s">
        <v>433</v>
      </c>
      <c r="D64" s="635" t="s">
        <v>434</v>
      </c>
      <c r="E64" s="769"/>
      <c r="F64" s="770"/>
      <c r="G64" s="770"/>
      <c r="H64" s="770"/>
      <c r="I64" s="770"/>
      <c r="J64" s="770"/>
      <c r="K64" s="771"/>
      <c r="L64" s="772"/>
      <c r="M64" s="772"/>
      <c r="N64" s="773"/>
      <c r="O64" s="773"/>
      <c r="P64" s="773"/>
      <c r="Q64" s="773"/>
      <c r="R64" s="773"/>
      <c r="S64" s="773"/>
      <c r="T64" s="773"/>
      <c r="U64" s="773"/>
      <c r="V64" s="773"/>
      <c r="W64" s="773"/>
      <c r="X64" s="773"/>
      <c r="Y64" s="773"/>
      <c r="Z64" s="773"/>
      <c r="AA64" s="773"/>
      <c r="AB64" s="772"/>
      <c r="AC64" s="772"/>
      <c r="AD64" s="772"/>
      <c r="AE64" s="772"/>
      <c r="AF64" s="772"/>
      <c r="AG64" s="772"/>
      <c r="AH64" s="772"/>
      <c r="AI64" s="772"/>
      <c r="AJ64" s="772"/>
      <c r="AK64" s="772"/>
      <c r="AL64" s="772"/>
      <c r="AM64" s="772"/>
      <c r="AN64" s="772"/>
      <c r="AO64" s="772"/>
      <c r="AP64" s="772"/>
      <c r="AQ64" s="772"/>
      <c r="AR64" s="772"/>
      <c r="AS64" s="772"/>
      <c r="AT64" s="772"/>
      <c r="AU64" s="772"/>
      <c r="AV64" s="772"/>
      <c r="AW64" s="772"/>
      <c r="AX64" s="772"/>
      <c r="AY64" s="772"/>
      <c r="AZ64" s="772"/>
      <c r="BA64" s="772"/>
      <c r="BB64" s="772"/>
      <c r="BC64" s="772"/>
      <c r="BD64" s="772"/>
      <c r="BE64" s="772"/>
      <c r="BF64" s="772"/>
      <c r="BG64" s="772"/>
      <c r="BH64" s="772"/>
      <c r="BI64" s="772"/>
      <c r="BJ64" s="772"/>
      <c r="BK64" s="772"/>
      <c r="BL64" s="772"/>
      <c r="BM64" s="772"/>
      <c r="BN64" s="772"/>
      <c r="BO64" s="772"/>
      <c r="BP64" s="772"/>
      <c r="BQ64" s="772"/>
      <c r="BR64" s="772"/>
      <c r="BS64" s="772"/>
      <c r="BT64" s="772"/>
      <c r="BU64" s="772"/>
      <c r="BV64" s="772"/>
      <c r="BW64" s="772"/>
      <c r="BX64" s="772"/>
      <c r="BY64" s="772"/>
      <c r="BZ64" s="772"/>
      <c r="CA64" s="772"/>
      <c r="CB64" s="772"/>
      <c r="CC64" s="772"/>
      <c r="CD64" s="772"/>
      <c r="CE64" s="772"/>
    </row>
    <row r="65" spans="1:83" x14ac:dyDescent="0.25">
      <c r="B65" s="752">
        <v>107</v>
      </c>
      <c r="C65" s="775" t="s">
        <v>729</v>
      </c>
      <c r="D65" s="635" t="s">
        <v>435</v>
      </c>
      <c r="E65" s="769"/>
      <c r="F65" s="770"/>
      <c r="G65" s="770"/>
      <c r="H65" s="770"/>
      <c r="I65" s="770"/>
      <c r="J65" s="770"/>
      <c r="K65" s="771"/>
      <c r="L65" s="772"/>
      <c r="M65" s="772"/>
      <c r="N65" s="773"/>
      <c r="O65" s="773"/>
      <c r="P65" s="773"/>
      <c r="Q65" s="773"/>
      <c r="R65" s="773"/>
      <c r="S65" s="773"/>
      <c r="T65" s="773"/>
      <c r="U65" s="773"/>
      <c r="V65" s="773"/>
      <c r="W65" s="773"/>
      <c r="X65" s="773"/>
      <c r="Y65" s="773"/>
      <c r="Z65" s="773"/>
      <c r="AA65" s="773"/>
      <c r="AB65" s="772"/>
      <c r="AC65" s="772"/>
      <c r="AD65" s="772"/>
      <c r="AE65" s="772"/>
      <c r="AF65" s="772"/>
      <c r="AG65" s="772"/>
      <c r="AH65" s="772"/>
      <c r="AI65" s="772"/>
      <c r="AJ65" s="772"/>
      <c r="AK65" s="772"/>
      <c r="AL65" s="772"/>
      <c r="AM65" s="772"/>
      <c r="AN65" s="772"/>
      <c r="AO65" s="772"/>
      <c r="AP65" s="772"/>
      <c r="AQ65" s="772"/>
      <c r="AR65" s="772"/>
      <c r="AS65" s="772"/>
      <c r="AT65" s="772"/>
      <c r="AU65" s="772"/>
      <c r="AV65" s="772"/>
      <c r="AW65" s="772"/>
      <c r="AX65" s="772"/>
      <c r="AY65" s="772"/>
      <c r="AZ65" s="772"/>
      <c r="BA65" s="772"/>
      <c r="BB65" s="772"/>
      <c r="BC65" s="772"/>
      <c r="BD65" s="772"/>
      <c r="BE65" s="772"/>
      <c r="BF65" s="772"/>
      <c r="BG65" s="772"/>
      <c r="BH65" s="772"/>
      <c r="BI65" s="772"/>
      <c r="BJ65" s="772"/>
      <c r="BK65" s="772"/>
      <c r="BL65" s="772"/>
      <c r="BM65" s="772"/>
      <c r="BN65" s="772"/>
      <c r="BO65" s="772"/>
      <c r="BP65" s="772"/>
      <c r="BQ65" s="772"/>
      <c r="BR65" s="772"/>
      <c r="BS65" s="772"/>
      <c r="BT65" s="772"/>
      <c r="BU65" s="772"/>
      <c r="BV65" s="772"/>
      <c r="BW65" s="772"/>
      <c r="BX65" s="772"/>
      <c r="BY65" s="772"/>
      <c r="BZ65" s="772"/>
      <c r="CA65" s="772"/>
      <c r="CB65" s="772"/>
      <c r="CC65" s="772"/>
      <c r="CD65" s="772"/>
      <c r="CE65" s="772"/>
    </row>
    <row r="66" spans="1:83" ht="25.5" x14ac:dyDescent="0.25">
      <c r="B66" s="752">
        <v>108</v>
      </c>
      <c r="C66" s="775" t="s">
        <v>730</v>
      </c>
      <c r="D66" s="635" t="s">
        <v>436</v>
      </c>
      <c r="E66" s="769"/>
      <c r="F66" s="770"/>
      <c r="G66" s="770"/>
      <c r="H66" s="770"/>
      <c r="I66" s="770"/>
      <c r="J66" s="770"/>
      <c r="K66" s="771"/>
      <c r="L66" s="772"/>
      <c r="M66" s="772"/>
      <c r="N66" s="773"/>
      <c r="O66" s="773"/>
      <c r="P66" s="773"/>
      <c r="Q66" s="773"/>
      <c r="R66" s="773"/>
      <c r="S66" s="773"/>
      <c r="T66" s="773"/>
      <c r="U66" s="773"/>
      <c r="V66" s="773"/>
      <c r="W66" s="773"/>
      <c r="X66" s="773"/>
      <c r="Y66" s="773"/>
      <c r="Z66" s="773"/>
      <c r="AA66" s="773"/>
      <c r="AB66" s="772"/>
      <c r="AC66" s="772"/>
      <c r="AD66" s="772"/>
      <c r="AE66" s="772"/>
      <c r="AF66" s="772"/>
      <c r="AG66" s="772"/>
      <c r="AH66" s="772"/>
      <c r="AI66" s="772"/>
      <c r="AJ66" s="772"/>
      <c r="AK66" s="772"/>
      <c r="AL66" s="772"/>
      <c r="AM66" s="772"/>
      <c r="AN66" s="772"/>
      <c r="AO66" s="772"/>
      <c r="AP66" s="772"/>
      <c r="AQ66" s="772"/>
      <c r="AR66" s="772"/>
      <c r="AS66" s="772"/>
      <c r="AT66" s="772"/>
      <c r="AU66" s="772"/>
      <c r="AV66" s="772"/>
      <c r="AW66" s="772"/>
      <c r="AX66" s="772"/>
      <c r="AY66" s="772"/>
      <c r="AZ66" s="772"/>
      <c r="BA66" s="772"/>
      <c r="BB66" s="772"/>
      <c r="BC66" s="772"/>
      <c r="BD66" s="772"/>
      <c r="BE66" s="772"/>
      <c r="BF66" s="772"/>
      <c r="BG66" s="772"/>
      <c r="BH66" s="772"/>
      <c r="BI66" s="772"/>
      <c r="BJ66" s="772"/>
      <c r="BK66" s="772"/>
      <c r="BL66" s="772"/>
      <c r="BM66" s="772"/>
      <c r="BN66" s="772"/>
      <c r="BO66" s="772"/>
      <c r="BP66" s="772"/>
      <c r="BQ66" s="772"/>
      <c r="BR66" s="772"/>
      <c r="BS66" s="772"/>
      <c r="BT66" s="772"/>
      <c r="BU66" s="772"/>
      <c r="BV66" s="772"/>
      <c r="BW66" s="772"/>
      <c r="BX66" s="772"/>
      <c r="BY66" s="772"/>
      <c r="BZ66" s="772"/>
      <c r="CA66" s="772"/>
      <c r="CB66" s="772"/>
      <c r="CC66" s="772"/>
      <c r="CD66" s="772"/>
      <c r="CE66" s="772"/>
    </row>
    <row r="67" spans="1:83" x14ac:dyDescent="0.25">
      <c r="B67" s="752">
        <v>147</v>
      </c>
      <c r="C67" s="775" t="s">
        <v>437</v>
      </c>
      <c r="D67" s="635" t="s">
        <v>438</v>
      </c>
      <c r="E67" s="769"/>
      <c r="F67" s="770"/>
      <c r="G67" s="770"/>
      <c r="H67" s="770"/>
      <c r="I67" s="770"/>
      <c r="J67" s="770"/>
      <c r="K67" s="771"/>
      <c r="L67" s="772"/>
      <c r="M67" s="772"/>
      <c r="N67" s="773"/>
      <c r="O67" s="773"/>
      <c r="P67" s="773"/>
      <c r="Q67" s="773"/>
      <c r="R67" s="773"/>
      <c r="S67" s="773"/>
      <c r="T67" s="773"/>
      <c r="U67" s="773"/>
      <c r="V67" s="773"/>
      <c r="W67" s="773"/>
      <c r="X67" s="773"/>
      <c r="Y67" s="773"/>
      <c r="Z67" s="773"/>
      <c r="AA67" s="773"/>
      <c r="AB67" s="772"/>
      <c r="AC67" s="772"/>
      <c r="AD67" s="772"/>
      <c r="AE67" s="772"/>
      <c r="AF67" s="772"/>
      <c r="AG67" s="772"/>
      <c r="AH67" s="772"/>
      <c r="AI67" s="772"/>
      <c r="AJ67" s="772"/>
      <c r="AK67" s="772"/>
      <c r="AL67" s="772"/>
      <c r="AM67" s="772"/>
      <c r="AN67" s="772"/>
      <c r="AO67" s="772"/>
      <c r="AP67" s="772"/>
      <c r="AQ67" s="772"/>
      <c r="AR67" s="772"/>
      <c r="AS67" s="772"/>
      <c r="AT67" s="772"/>
      <c r="AU67" s="772"/>
      <c r="AV67" s="772"/>
      <c r="AW67" s="772"/>
      <c r="AX67" s="772"/>
      <c r="AY67" s="772"/>
      <c r="AZ67" s="772"/>
      <c r="BA67" s="772"/>
      <c r="BB67" s="772"/>
      <c r="BC67" s="772"/>
      <c r="BD67" s="772"/>
      <c r="BE67" s="772"/>
      <c r="BF67" s="772"/>
      <c r="BG67" s="772"/>
      <c r="BH67" s="772"/>
      <c r="BI67" s="772"/>
      <c r="BJ67" s="772"/>
      <c r="BK67" s="772"/>
      <c r="BL67" s="772"/>
      <c r="BM67" s="772"/>
      <c r="BN67" s="772"/>
      <c r="BO67" s="772"/>
      <c r="BP67" s="772"/>
      <c r="BQ67" s="772"/>
      <c r="BR67" s="772"/>
      <c r="BS67" s="772"/>
      <c r="BT67" s="772"/>
      <c r="BU67" s="772"/>
      <c r="BV67" s="772"/>
      <c r="BW67" s="772"/>
      <c r="BX67" s="772"/>
      <c r="BY67" s="772"/>
      <c r="BZ67" s="772"/>
      <c r="CA67" s="772"/>
      <c r="CB67" s="772"/>
      <c r="CC67" s="772"/>
      <c r="CD67" s="772"/>
      <c r="CE67" s="772"/>
    </row>
    <row r="68" spans="1:83" x14ac:dyDescent="0.25">
      <c r="B68" s="752">
        <v>148</v>
      </c>
      <c r="C68" s="775" t="s">
        <v>439</v>
      </c>
      <c r="D68" s="635" t="s">
        <v>440</v>
      </c>
      <c r="E68" s="769"/>
      <c r="F68" s="770"/>
      <c r="G68" s="770"/>
      <c r="H68" s="770"/>
      <c r="I68" s="770"/>
      <c r="J68" s="770"/>
      <c r="K68" s="771"/>
      <c r="L68" s="772"/>
      <c r="M68" s="772"/>
      <c r="N68" s="773"/>
      <c r="O68" s="773"/>
      <c r="P68" s="773"/>
      <c r="Q68" s="773"/>
      <c r="R68" s="773"/>
      <c r="S68" s="773"/>
      <c r="T68" s="773"/>
      <c r="U68" s="773"/>
      <c r="V68" s="773"/>
      <c r="W68" s="773"/>
      <c r="X68" s="773"/>
      <c r="Y68" s="773"/>
      <c r="Z68" s="773"/>
      <c r="AA68" s="773"/>
      <c r="AB68" s="772"/>
      <c r="AC68" s="772"/>
      <c r="AD68" s="772"/>
      <c r="AE68" s="772"/>
      <c r="AF68" s="772"/>
      <c r="AG68" s="772"/>
      <c r="AH68" s="772"/>
      <c r="AI68" s="772"/>
      <c r="AJ68" s="772"/>
      <c r="AK68" s="772"/>
      <c r="AL68" s="772"/>
      <c r="AM68" s="772"/>
      <c r="AN68" s="772"/>
      <c r="AO68" s="772"/>
      <c r="AP68" s="772"/>
      <c r="AQ68" s="772"/>
      <c r="AR68" s="772"/>
      <c r="AS68" s="772"/>
      <c r="AT68" s="772"/>
      <c r="AU68" s="772"/>
      <c r="AV68" s="772"/>
      <c r="AW68" s="772"/>
      <c r="AX68" s="772"/>
      <c r="AY68" s="772"/>
      <c r="AZ68" s="772"/>
      <c r="BA68" s="772"/>
      <c r="BB68" s="772"/>
      <c r="BC68" s="772"/>
      <c r="BD68" s="772"/>
      <c r="BE68" s="772"/>
      <c r="BF68" s="772"/>
      <c r="BG68" s="772"/>
      <c r="BH68" s="772"/>
      <c r="BI68" s="772"/>
      <c r="BJ68" s="772"/>
      <c r="BK68" s="772"/>
      <c r="BL68" s="772"/>
      <c r="BM68" s="772"/>
      <c r="BN68" s="772"/>
      <c r="BO68" s="772"/>
      <c r="BP68" s="772"/>
      <c r="BQ68" s="772"/>
      <c r="BR68" s="772"/>
      <c r="BS68" s="772"/>
      <c r="BT68" s="772"/>
      <c r="BU68" s="772"/>
      <c r="BV68" s="772"/>
      <c r="BW68" s="772"/>
      <c r="BX68" s="772"/>
      <c r="BY68" s="772"/>
      <c r="BZ68" s="772"/>
      <c r="CA68" s="772"/>
      <c r="CB68" s="772"/>
      <c r="CC68" s="772"/>
      <c r="CD68" s="772"/>
      <c r="CE68" s="772"/>
    </row>
    <row r="69" spans="1:83" x14ac:dyDescent="0.25">
      <c r="B69" s="752">
        <v>149</v>
      </c>
      <c r="C69" s="775" t="s">
        <v>441</v>
      </c>
      <c r="D69" s="635" t="s">
        <v>442</v>
      </c>
      <c r="E69" s="769"/>
      <c r="F69" s="770"/>
      <c r="G69" s="770"/>
      <c r="H69" s="770"/>
      <c r="I69" s="770"/>
      <c r="J69" s="770"/>
      <c r="K69" s="771"/>
      <c r="L69" s="772"/>
      <c r="M69" s="772"/>
      <c r="N69" s="773"/>
      <c r="O69" s="773"/>
      <c r="P69" s="773"/>
      <c r="Q69" s="773"/>
      <c r="R69" s="773"/>
      <c r="S69" s="773"/>
      <c r="T69" s="773"/>
      <c r="U69" s="773"/>
      <c r="V69" s="773"/>
      <c r="W69" s="773"/>
      <c r="X69" s="773"/>
      <c r="Y69" s="773"/>
      <c r="Z69" s="773"/>
      <c r="AA69" s="773"/>
      <c r="AB69" s="772"/>
      <c r="AC69" s="772"/>
      <c r="AD69" s="772"/>
      <c r="AE69" s="772"/>
      <c r="AF69" s="772"/>
      <c r="AG69" s="772"/>
      <c r="AH69" s="772"/>
      <c r="AI69" s="772"/>
      <c r="AJ69" s="772"/>
      <c r="AK69" s="772"/>
      <c r="AL69" s="772"/>
      <c r="AM69" s="772"/>
      <c r="AN69" s="772"/>
      <c r="AO69" s="772"/>
      <c r="AP69" s="772"/>
      <c r="AQ69" s="772"/>
      <c r="AR69" s="772"/>
      <c r="AS69" s="772"/>
      <c r="AT69" s="772"/>
      <c r="AU69" s="772"/>
      <c r="AV69" s="772"/>
      <c r="AW69" s="772"/>
      <c r="AX69" s="772"/>
      <c r="AY69" s="772"/>
      <c r="AZ69" s="772"/>
      <c r="BA69" s="772"/>
      <c r="BB69" s="772"/>
      <c r="BC69" s="772"/>
      <c r="BD69" s="772"/>
      <c r="BE69" s="772"/>
      <c r="BF69" s="772"/>
      <c r="BG69" s="772"/>
      <c r="BH69" s="772"/>
      <c r="BI69" s="772"/>
      <c r="BJ69" s="772"/>
      <c r="BK69" s="772"/>
      <c r="BL69" s="772"/>
      <c r="BM69" s="772"/>
      <c r="BN69" s="772"/>
      <c r="BO69" s="772"/>
      <c r="BP69" s="772"/>
      <c r="BQ69" s="772"/>
      <c r="BR69" s="772"/>
      <c r="BS69" s="772"/>
      <c r="BT69" s="772"/>
      <c r="BU69" s="772"/>
      <c r="BV69" s="772"/>
      <c r="BW69" s="772"/>
      <c r="BX69" s="772"/>
      <c r="BY69" s="772"/>
      <c r="BZ69" s="772"/>
      <c r="CA69" s="772"/>
      <c r="CB69" s="772"/>
      <c r="CC69" s="772"/>
      <c r="CD69" s="772"/>
      <c r="CE69" s="772"/>
    </row>
    <row r="70" spans="1:83" ht="25.5" x14ac:dyDescent="0.25">
      <c r="B70" s="752">
        <v>150</v>
      </c>
      <c r="C70" s="775" t="s">
        <v>443</v>
      </c>
      <c r="D70" s="635" t="s">
        <v>444</v>
      </c>
      <c r="E70" s="769"/>
      <c r="F70" s="770"/>
      <c r="G70" s="770"/>
      <c r="H70" s="770"/>
      <c r="I70" s="770"/>
      <c r="J70" s="770"/>
      <c r="K70" s="771"/>
      <c r="L70" s="772"/>
      <c r="M70" s="772"/>
      <c r="N70" s="773"/>
      <c r="O70" s="773"/>
      <c r="P70" s="773"/>
      <c r="Q70" s="773"/>
      <c r="R70" s="773"/>
      <c r="S70" s="773"/>
      <c r="T70" s="773"/>
      <c r="U70" s="773"/>
      <c r="V70" s="773"/>
      <c r="W70" s="773"/>
      <c r="X70" s="773"/>
      <c r="Y70" s="773"/>
      <c r="Z70" s="773"/>
      <c r="AA70" s="773"/>
      <c r="AB70" s="772"/>
      <c r="AC70" s="772"/>
      <c r="AD70" s="772"/>
      <c r="AE70" s="772"/>
      <c r="AF70" s="772"/>
      <c r="AG70" s="772"/>
      <c r="AH70" s="772"/>
      <c r="AI70" s="772"/>
      <c r="AJ70" s="772"/>
      <c r="AK70" s="772"/>
      <c r="AL70" s="772"/>
      <c r="AM70" s="772"/>
      <c r="AN70" s="772"/>
      <c r="AO70" s="772"/>
      <c r="AP70" s="772"/>
      <c r="AQ70" s="772"/>
      <c r="AR70" s="772"/>
      <c r="AS70" s="772"/>
      <c r="AT70" s="772"/>
      <c r="AU70" s="772"/>
      <c r="AV70" s="772"/>
      <c r="AW70" s="772"/>
      <c r="AX70" s="772"/>
      <c r="AY70" s="772"/>
      <c r="AZ70" s="772"/>
      <c r="BA70" s="772"/>
      <c r="BB70" s="772"/>
      <c r="BC70" s="772"/>
      <c r="BD70" s="772"/>
      <c r="BE70" s="772"/>
      <c r="BF70" s="772"/>
      <c r="BG70" s="772"/>
      <c r="BH70" s="772"/>
      <c r="BI70" s="772"/>
      <c r="BJ70" s="772"/>
      <c r="BK70" s="772"/>
      <c r="BL70" s="772"/>
      <c r="BM70" s="772"/>
      <c r="BN70" s="772"/>
      <c r="BO70" s="772"/>
      <c r="BP70" s="772"/>
      <c r="BQ70" s="772"/>
      <c r="BR70" s="772"/>
      <c r="BS70" s="772"/>
      <c r="BT70" s="772"/>
      <c r="BU70" s="772"/>
      <c r="BV70" s="772"/>
      <c r="BW70" s="772"/>
      <c r="BX70" s="772"/>
      <c r="BY70" s="772"/>
      <c r="BZ70" s="772"/>
      <c r="CA70" s="772"/>
      <c r="CB70" s="772"/>
      <c r="CC70" s="772"/>
      <c r="CD70" s="772"/>
      <c r="CE70" s="772"/>
    </row>
    <row r="71" spans="1:83" x14ac:dyDescent="0.25">
      <c r="A71" s="767">
        <v>171</v>
      </c>
      <c r="B71" s="752">
        <v>171</v>
      </c>
      <c r="C71" s="768" t="s">
        <v>282</v>
      </c>
      <c r="D71" s="635" t="s">
        <v>445</v>
      </c>
      <c r="E71" s="769">
        <v>5882</v>
      </c>
      <c r="F71" s="770">
        <v>0</v>
      </c>
      <c r="G71" s="770">
        <v>0</v>
      </c>
      <c r="H71" s="770">
        <v>0</v>
      </c>
      <c r="I71" s="770">
        <v>39549</v>
      </c>
      <c r="J71" s="770">
        <v>0</v>
      </c>
      <c r="K71" s="771">
        <v>0</v>
      </c>
      <c r="L71" s="772">
        <v>0</v>
      </c>
      <c r="M71" s="772">
        <v>88469</v>
      </c>
      <c r="N71" s="773">
        <v>9192262</v>
      </c>
      <c r="O71" s="773">
        <v>0</v>
      </c>
      <c r="P71" s="773">
        <v>577147</v>
      </c>
      <c r="Q71" s="773">
        <v>0</v>
      </c>
      <c r="R71" s="773">
        <v>245047</v>
      </c>
      <c r="S71" s="773">
        <v>0</v>
      </c>
      <c r="T71" s="773">
        <v>14778</v>
      </c>
      <c r="U71" s="773">
        <v>71643</v>
      </c>
      <c r="V71" s="773">
        <v>152981</v>
      </c>
      <c r="W71" s="773">
        <v>269437</v>
      </c>
      <c r="X71" s="773">
        <v>38086</v>
      </c>
      <c r="Y71" s="773">
        <v>0</v>
      </c>
      <c r="Z71" s="773">
        <v>62760</v>
      </c>
      <c r="AA71" s="773">
        <v>1587091</v>
      </c>
      <c r="AB71" s="772">
        <v>0</v>
      </c>
      <c r="AC71" s="772">
        <v>0</v>
      </c>
      <c r="AD71" s="772">
        <v>3748006</v>
      </c>
      <c r="AE71" s="772">
        <v>75314</v>
      </c>
      <c r="AF71" s="772">
        <v>23640</v>
      </c>
      <c r="AG71" s="772">
        <v>4770456</v>
      </c>
      <c r="AH71" s="772">
        <v>0</v>
      </c>
      <c r="AI71" s="772">
        <v>0</v>
      </c>
      <c r="AJ71" s="772">
        <v>148042</v>
      </c>
      <c r="AK71" s="772">
        <v>0</v>
      </c>
      <c r="AL71" s="772">
        <v>0</v>
      </c>
      <c r="AM71" s="772">
        <v>5096808</v>
      </c>
      <c r="AN71" s="772">
        <v>0</v>
      </c>
      <c r="AO71" s="772">
        <v>0</v>
      </c>
      <c r="AP71" s="772">
        <v>0</v>
      </c>
      <c r="AQ71" s="772">
        <v>89292</v>
      </c>
      <c r="AR71" s="772">
        <v>57685</v>
      </c>
      <c r="AS71" s="772">
        <v>0</v>
      </c>
      <c r="AT71" s="772">
        <v>14211</v>
      </c>
      <c r="AU71" s="772">
        <v>0</v>
      </c>
      <c r="AV71" s="772">
        <v>22795832</v>
      </c>
      <c r="AW71" s="772">
        <v>5660383</v>
      </c>
      <c r="AX71" s="772">
        <v>153520</v>
      </c>
      <c r="AY71" s="772">
        <v>0</v>
      </c>
      <c r="AZ71" s="772">
        <v>0</v>
      </c>
      <c r="BA71" s="772">
        <v>2075</v>
      </c>
      <c r="BB71" s="772">
        <v>0</v>
      </c>
      <c r="BC71" s="772">
        <v>152689</v>
      </c>
      <c r="BD71" s="772">
        <v>0</v>
      </c>
      <c r="BE71" s="772">
        <v>34559</v>
      </c>
      <c r="BF71" s="772">
        <v>0</v>
      </c>
      <c r="BG71" s="772">
        <v>751010</v>
      </c>
      <c r="BH71" s="772">
        <v>0</v>
      </c>
      <c r="BI71" s="772">
        <v>342247</v>
      </c>
      <c r="BJ71" s="772">
        <v>87019</v>
      </c>
      <c r="BK71" s="772">
        <v>13150</v>
      </c>
      <c r="BL71" s="772">
        <v>0</v>
      </c>
      <c r="BM71" s="772">
        <v>472166</v>
      </c>
      <c r="BN71" s="772">
        <v>1098419</v>
      </c>
      <c r="BO71" s="772">
        <v>0</v>
      </c>
      <c r="BP71" s="772">
        <v>896548</v>
      </c>
      <c r="BQ71" s="772">
        <v>8670500</v>
      </c>
      <c r="BR71" s="772">
        <v>58228</v>
      </c>
      <c r="BS71" s="772">
        <v>68114</v>
      </c>
      <c r="BT71" s="772">
        <v>48905</v>
      </c>
      <c r="BU71" s="772">
        <v>1401119</v>
      </c>
      <c r="BV71" s="772">
        <v>3148</v>
      </c>
      <c r="BW71" s="772">
        <v>0</v>
      </c>
      <c r="BX71" s="772">
        <v>1834220</v>
      </c>
      <c r="BY71" s="772">
        <v>109409</v>
      </c>
      <c r="BZ71" s="772">
        <v>4643919</v>
      </c>
      <c r="CA71" s="772">
        <v>17688</v>
      </c>
      <c r="CB71" s="772">
        <v>1091467</v>
      </c>
      <c r="CC71" s="772">
        <v>8155</v>
      </c>
      <c r="CD71" s="772">
        <v>57710</v>
      </c>
      <c r="CE71" s="772">
        <v>5006951</v>
      </c>
    </row>
    <row r="72" spans="1:83" x14ac:dyDescent="0.25">
      <c r="A72" s="767">
        <v>191</v>
      </c>
      <c r="B72" s="752">
        <v>191</v>
      </c>
      <c r="C72" s="768" t="s">
        <v>298</v>
      </c>
      <c r="D72" s="635" t="s">
        <v>446</v>
      </c>
      <c r="E72" s="769">
        <v>3346629</v>
      </c>
      <c r="F72" s="770">
        <v>1197653</v>
      </c>
      <c r="G72" s="770">
        <v>0</v>
      </c>
      <c r="H72" s="770">
        <v>0</v>
      </c>
      <c r="I72" s="770">
        <v>0</v>
      </c>
      <c r="J72" s="770">
        <v>0</v>
      </c>
      <c r="K72" s="771">
        <v>0</v>
      </c>
      <c r="L72" s="772">
        <v>0</v>
      </c>
      <c r="M72" s="772">
        <v>1527527</v>
      </c>
      <c r="N72" s="773">
        <v>0</v>
      </c>
      <c r="O72" s="773">
        <v>0</v>
      </c>
      <c r="P72" s="773">
        <v>0</v>
      </c>
      <c r="Q72" s="773">
        <v>137527</v>
      </c>
      <c r="R72" s="773">
        <v>0</v>
      </c>
      <c r="S72" s="773">
        <v>0</v>
      </c>
      <c r="T72" s="773">
        <v>0</v>
      </c>
      <c r="U72" s="773">
        <v>16000</v>
      </c>
      <c r="V72" s="773">
        <v>0</v>
      </c>
      <c r="W72" s="773">
        <v>0</v>
      </c>
      <c r="X72" s="773">
        <v>0</v>
      </c>
      <c r="Y72" s="773">
        <v>0</v>
      </c>
      <c r="Z72" s="773">
        <v>948499</v>
      </c>
      <c r="AA72" s="773">
        <v>3198192</v>
      </c>
      <c r="AB72" s="772">
        <v>0</v>
      </c>
      <c r="AC72" s="772">
        <v>1093481</v>
      </c>
      <c r="AD72" s="772">
        <v>0</v>
      </c>
      <c r="AE72" s="772">
        <v>0</v>
      </c>
      <c r="AF72" s="772">
        <v>0</v>
      </c>
      <c r="AG72" s="772">
        <v>682340</v>
      </c>
      <c r="AH72" s="772">
        <v>0</v>
      </c>
      <c r="AI72" s="772">
        <v>0</v>
      </c>
      <c r="AJ72" s="772">
        <v>0</v>
      </c>
      <c r="AK72" s="772">
        <v>0</v>
      </c>
      <c r="AL72" s="772">
        <v>0</v>
      </c>
      <c r="AM72" s="772">
        <v>0</v>
      </c>
      <c r="AN72" s="772">
        <v>26190</v>
      </c>
      <c r="AO72" s="772">
        <v>0</v>
      </c>
      <c r="AP72" s="772">
        <v>0</v>
      </c>
      <c r="AQ72" s="772">
        <v>0</v>
      </c>
      <c r="AR72" s="772">
        <v>0</v>
      </c>
      <c r="AS72" s="772">
        <v>0</v>
      </c>
      <c r="AT72" s="772">
        <v>0</v>
      </c>
      <c r="AU72" s="772">
        <v>0</v>
      </c>
      <c r="AV72" s="772">
        <v>3068630</v>
      </c>
      <c r="AW72" s="772">
        <v>1213999</v>
      </c>
      <c r="AX72" s="772">
        <v>0</v>
      </c>
      <c r="AY72" s="772">
        <v>0</v>
      </c>
      <c r="AZ72" s="772">
        <v>0</v>
      </c>
      <c r="BA72" s="772">
        <v>0</v>
      </c>
      <c r="BB72" s="772">
        <v>0</v>
      </c>
      <c r="BC72" s="772">
        <v>0</v>
      </c>
      <c r="BD72" s="772">
        <v>0</v>
      </c>
      <c r="BE72" s="772">
        <v>0</v>
      </c>
      <c r="BF72" s="772">
        <v>0</v>
      </c>
      <c r="BG72" s="772">
        <v>1616190</v>
      </c>
      <c r="BH72" s="772">
        <v>0</v>
      </c>
      <c r="BI72" s="772">
        <v>0</v>
      </c>
      <c r="BJ72" s="772">
        <v>0</v>
      </c>
      <c r="BK72" s="772">
        <v>0</v>
      </c>
      <c r="BL72" s="772">
        <v>0</v>
      </c>
      <c r="BM72" s="772">
        <v>817769</v>
      </c>
      <c r="BN72" s="772">
        <v>1480313</v>
      </c>
      <c r="BO72" s="772">
        <v>127419</v>
      </c>
      <c r="BP72" s="772">
        <v>755556</v>
      </c>
      <c r="BQ72" s="772">
        <v>244023</v>
      </c>
      <c r="BR72" s="772">
        <v>0</v>
      </c>
      <c r="BS72" s="772">
        <v>0</v>
      </c>
      <c r="BT72" s="772">
        <v>0</v>
      </c>
      <c r="BU72" s="772">
        <v>363598</v>
      </c>
      <c r="BV72" s="772">
        <v>0</v>
      </c>
      <c r="BW72" s="772">
        <v>0</v>
      </c>
      <c r="BX72" s="772">
        <v>0</v>
      </c>
      <c r="BY72" s="772">
        <v>0</v>
      </c>
      <c r="BZ72" s="772">
        <v>2572952</v>
      </c>
      <c r="CA72" s="772">
        <v>196305</v>
      </c>
      <c r="CB72" s="772">
        <v>0</v>
      </c>
      <c r="CC72" s="772">
        <v>0</v>
      </c>
      <c r="CD72" s="772">
        <v>0</v>
      </c>
      <c r="CE72" s="772">
        <v>0</v>
      </c>
    </row>
    <row r="73" spans="1:83" x14ac:dyDescent="0.25">
      <c r="A73" s="767">
        <v>192</v>
      </c>
      <c r="B73" s="752">
        <v>192</v>
      </c>
      <c r="C73" s="768" t="s">
        <v>309</v>
      </c>
      <c r="D73" s="635" t="s">
        <v>447</v>
      </c>
      <c r="E73" s="769">
        <v>0</v>
      </c>
      <c r="F73" s="770">
        <v>0</v>
      </c>
      <c r="G73" s="770">
        <v>0</v>
      </c>
      <c r="H73" s="770">
        <v>0</v>
      </c>
      <c r="I73" s="770">
        <v>0</v>
      </c>
      <c r="J73" s="770">
        <v>0</v>
      </c>
      <c r="K73" s="771">
        <v>0</v>
      </c>
      <c r="L73" s="772">
        <v>0</v>
      </c>
      <c r="M73" s="772">
        <v>0</v>
      </c>
      <c r="N73" s="773">
        <v>0</v>
      </c>
      <c r="O73" s="773">
        <v>0</v>
      </c>
      <c r="P73" s="773">
        <v>0</v>
      </c>
      <c r="Q73" s="773">
        <v>0</v>
      </c>
      <c r="R73" s="773">
        <v>0</v>
      </c>
      <c r="S73" s="773">
        <v>0</v>
      </c>
      <c r="T73" s="773">
        <v>0</v>
      </c>
      <c r="U73" s="773">
        <v>0</v>
      </c>
      <c r="V73" s="773">
        <v>0</v>
      </c>
      <c r="W73" s="773">
        <v>0</v>
      </c>
      <c r="X73" s="773">
        <v>0</v>
      </c>
      <c r="Y73" s="773">
        <v>0</v>
      </c>
      <c r="Z73" s="773">
        <v>0</v>
      </c>
      <c r="AA73" s="773">
        <v>0</v>
      </c>
      <c r="AB73" s="772">
        <v>0</v>
      </c>
      <c r="AC73" s="772">
        <v>0</v>
      </c>
      <c r="AD73" s="772">
        <v>0</v>
      </c>
      <c r="AE73" s="772">
        <v>0</v>
      </c>
      <c r="AF73" s="772">
        <v>0</v>
      </c>
      <c r="AG73" s="772">
        <v>0</v>
      </c>
      <c r="AH73" s="772">
        <v>0</v>
      </c>
      <c r="AI73" s="772">
        <v>0</v>
      </c>
      <c r="AJ73" s="772">
        <v>0</v>
      </c>
      <c r="AK73" s="772">
        <v>0</v>
      </c>
      <c r="AL73" s="772">
        <v>0</v>
      </c>
      <c r="AM73" s="772">
        <v>0</v>
      </c>
      <c r="AN73" s="772">
        <v>0</v>
      </c>
      <c r="AO73" s="772">
        <v>0</v>
      </c>
      <c r="AP73" s="772">
        <v>0</v>
      </c>
      <c r="AQ73" s="772">
        <v>0</v>
      </c>
      <c r="AR73" s="772">
        <v>0</v>
      </c>
      <c r="AS73" s="772">
        <v>0</v>
      </c>
      <c r="AT73" s="772">
        <v>0</v>
      </c>
      <c r="AU73" s="772">
        <v>0</v>
      </c>
      <c r="AV73" s="772">
        <v>0</v>
      </c>
      <c r="AW73" s="772">
        <v>0</v>
      </c>
      <c r="AX73" s="772">
        <v>0</v>
      </c>
      <c r="AY73" s="772">
        <v>0</v>
      </c>
      <c r="AZ73" s="772">
        <v>0</v>
      </c>
      <c r="BA73" s="772">
        <v>0</v>
      </c>
      <c r="BB73" s="772">
        <v>0</v>
      </c>
      <c r="BC73" s="772">
        <v>0</v>
      </c>
      <c r="BD73" s="772">
        <v>0</v>
      </c>
      <c r="BE73" s="772">
        <v>0</v>
      </c>
      <c r="BF73" s="772">
        <v>0</v>
      </c>
      <c r="BG73" s="772">
        <v>0</v>
      </c>
      <c r="BH73" s="772">
        <v>0</v>
      </c>
      <c r="BI73" s="772">
        <v>0</v>
      </c>
      <c r="BJ73" s="772">
        <v>0</v>
      </c>
      <c r="BK73" s="772">
        <v>0</v>
      </c>
      <c r="BL73" s="772">
        <v>0</v>
      </c>
      <c r="BM73" s="772">
        <v>0</v>
      </c>
      <c r="BN73" s="772">
        <v>0</v>
      </c>
      <c r="BO73" s="772">
        <v>0</v>
      </c>
      <c r="BP73" s="772">
        <v>0</v>
      </c>
      <c r="BQ73" s="772">
        <v>0</v>
      </c>
      <c r="BR73" s="772">
        <v>0</v>
      </c>
      <c r="BS73" s="772">
        <v>0</v>
      </c>
      <c r="BT73" s="772">
        <v>0</v>
      </c>
      <c r="BU73" s="772">
        <v>0</v>
      </c>
      <c r="BV73" s="772">
        <v>0</v>
      </c>
      <c r="BW73" s="772">
        <v>0</v>
      </c>
      <c r="BX73" s="772">
        <v>0</v>
      </c>
      <c r="BY73" s="772">
        <v>0</v>
      </c>
      <c r="BZ73" s="772">
        <v>0</v>
      </c>
      <c r="CA73" s="772">
        <v>0</v>
      </c>
      <c r="CB73" s="772">
        <v>0</v>
      </c>
      <c r="CC73" s="772">
        <v>0</v>
      </c>
      <c r="CD73" s="772">
        <v>0</v>
      </c>
      <c r="CE73" s="772">
        <v>0</v>
      </c>
    </row>
    <row r="74" spans="1:83" ht="30" x14ac:dyDescent="0.25">
      <c r="B74" s="752">
        <v>193</v>
      </c>
      <c r="C74" s="774" t="s">
        <v>448</v>
      </c>
      <c r="D74" s="635" t="s">
        <v>449</v>
      </c>
      <c r="E74" s="769"/>
      <c r="F74" s="770"/>
      <c r="G74" s="770"/>
      <c r="H74" s="770"/>
      <c r="I74" s="770"/>
      <c r="J74" s="770"/>
      <c r="K74" s="771"/>
      <c r="L74" s="772"/>
      <c r="M74" s="772"/>
      <c r="N74" s="773"/>
      <c r="O74" s="773"/>
      <c r="P74" s="773"/>
      <c r="Q74" s="773"/>
      <c r="R74" s="773"/>
      <c r="S74" s="773"/>
      <c r="T74" s="773"/>
      <c r="U74" s="773"/>
      <c r="V74" s="773"/>
      <c r="W74" s="773"/>
      <c r="X74" s="773"/>
      <c r="Y74" s="773"/>
      <c r="Z74" s="773"/>
      <c r="AA74" s="773"/>
      <c r="AB74" s="772"/>
      <c r="AC74" s="772"/>
      <c r="AD74" s="772"/>
      <c r="AE74" s="772"/>
      <c r="AF74" s="772"/>
      <c r="AG74" s="772"/>
      <c r="AH74" s="772"/>
      <c r="AI74" s="772"/>
      <c r="AJ74" s="772"/>
      <c r="AK74" s="772"/>
      <c r="AL74" s="772"/>
      <c r="AM74" s="772"/>
      <c r="AN74" s="772"/>
      <c r="AO74" s="772"/>
      <c r="AP74" s="772"/>
      <c r="AQ74" s="772"/>
      <c r="AR74" s="772"/>
      <c r="AS74" s="772"/>
      <c r="AT74" s="772"/>
      <c r="AU74" s="772"/>
      <c r="AV74" s="772"/>
      <c r="AW74" s="772"/>
      <c r="AX74" s="772"/>
      <c r="AY74" s="772"/>
      <c r="AZ74" s="772"/>
      <c r="BA74" s="772"/>
      <c r="BB74" s="772"/>
      <c r="BC74" s="772"/>
      <c r="BD74" s="772"/>
      <c r="BE74" s="772"/>
      <c r="BF74" s="772"/>
      <c r="BG74" s="772"/>
      <c r="BH74" s="772"/>
      <c r="BI74" s="772"/>
      <c r="BJ74" s="772"/>
      <c r="BK74" s="772"/>
      <c r="BL74" s="772"/>
      <c r="BM74" s="772"/>
      <c r="BN74" s="772"/>
      <c r="BO74" s="772"/>
      <c r="BP74" s="772"/>
      <c r="BQ74" s="772"/>
      <c r="BR74" s="772"/>
      <c r="BS74" s="772"/>
      <c r="BT74" s="772"/>
      <c r="BU74" s="772"/>
      <c r="BV74" s="772"/>
      <c r="BW74" s="772"/>
      <c r="BX74" s="772"/>
      <c r="BY74" s="772"/>
      <c r="BZ74" s="772"/>
      <c r="CA74" s="772"/>
      <c r="CB74" s="772"/>
      <c r="CC74" s="772"/>
      <c r="CD74" s="772"/>
      <c r="CE74" s="772"/>
    </row>
    <row r="75" spans="1:83" x14ac:dyDescent="0.25">
      <c r="B75" s="752">
        <v>194</v>
      </c>
      <c r="C75" s="775" t="s">
        <v>450</v>
      </c>
      <c r="D75" s="635" t="s">
        <v>451</v>
      </c>
      <c r="E75" s="769"/>
      <c r="F75" s="770"/>
      <c r="G75" s="770"/>
      <c r="H75" s="770"/>
      <c r="I75" s="770"/>
      <c r="J75" s="770"/>
      <c r="K75" s="771"/>
      <c r="L75" s="772"/>
      <c r="M75" s="772"/>
      <c r="N75" s="773"/>
      <c r="O75" s="773"/>
      <c r="P75" s="773"/>
      <c r="Q75" s="773"/>
      <c r="R75" s="773"/>
      <c r="S75" s="773"/>
      <c r="T75" s="773"/>
      <c r="U75" s="773"/>
      <c r="V75" s="773"/>
      <c r="W75" s="773"/>
      <c r="X75" s="773"/>
      <c r="Y75" s="773"/>
      <c r="Z75" s="773"/>
      <c r="AA75" s="773"/>
      <c r="AB75" s="772"/>
      <c r="AC75" s="772"/>
      <c r="AD75" s="772"/>
      <c r="AE75" s="772"/>
      <c r="AF75" s="772"/>
      <c r="AG75" s="772"/>
      <c r="AH75" s="772"/>
      <c r="AI75" s="772"/>
      <c r="AJ75" s="772"/>
      <c r="AK75" s="772"/>
      <c r="AL75" s="772"/>
      <c r="AM75" s="772"/>
      <c r="AN75" s="772"/>
      <c r="AO75" s="772"/>
      <c r="AP75" s="772"/>
      <c r="AQ75" s="772"/>
      <c r="AR75" s="772"/>
      <c r="AS75" s="772"/>
      <c r="AT75" s="772"/>
      <c r="AU75" s="772"/>
      <c r="AV75" s="772"/>
      <c r="AW75" s="772"/>
      <c r="AX75" s="772"/>
      <c r="AY75" s="772"/>
      <c r="AZ75" s="772"/>
      <c r="BA75" s="772"/>
      <c r="BB75" s="772"/>
      <c r="BC75" s="772"/>
      <c r="BD75" s="772"/>
      <c r="BE75" s="772"/>
      <c r="BF75" s="772"/>
      <c r="BG75" s="772"/>
      <c r="BH75" s="772"/>
      <c r="BI75" s="772"/>
      <c r="BJ75" s="772"/>
      <c r="BK75" s="772"/>
      <c r="BL75" s="772"/>
      <c r="BM75" s="772"/>
      <c r="BN75" s="772"/>
      <c r="BO75" s="772"/>
      <c r="BP75" s="772"/>
      <c r="BQ75" s="772"/>
      <c r="BR75" s="772"/>
      <c r="BS75" s="772"/>
      <c r="BT75" s="772"/>
      <c r="BU75" s="772"/>
      <c r="BV75" s="772"/>
      <c r="BW75" s="772"/>
      <c r="BX75" s="772"/>
      <c r="BY75" s="772"/>
      <c r="BZ75" s="772"/>
      <c r="CA75" s="772"/>
      <c r="CB75" s="772"/>
      <c r="CC75" s="772"/>
      <c r="CD75" s="772"/>
      <c r="CE75" s="772"/>
    </row>
    <row r="76" spans="1:83" ht="30" x14ac:dyDescent="0.25">
      <c r="B76" s="752">
        <v>231</v>
      </c>
      <c r="C76" s="768" t="s">
        <v>452</v>
      </c>
      <c r="D76" s="635" t="s">
        <v>453</v>
      </c>
      <c r="E76" s="769"/>
      <c r="F76" s="770"/>
      <c r="G76" s="770"/>
      <c r="H76" s="770"/>
      <c r="I76" s="770"/>
      <c r="J76" s="770"/>
      <c r="K76" s="771"/>
      <c r="L76" s="772"/>
      <c r="M76" s="772"/>
      <c r="N76" s="773"/>
      <c r="O76" s="773"/>
      <c r="P76" s="773"/>
      <c r="Q76" s="773"/>
      <c r="R76" s="773"/>
      <c r="S76" s="773"/>
      <c r="T76" s="773"/>
      <c r="U76" s="773"/>
      <c r="V76" s="773"/>
      <c r="W76" s="773"/>
      <c r="X76" s="773"/>
      <c r="Y76" s="773"/>
      <c r="Z76" s="773"/>
      <c r="AA76" s="773"/>
      <c r="AB76" s="772"/>
      <c r="AC76" s="772"/>
      <c r="AD76" s="772"/>
      <c r="AE76" s="772"/>
      <c r="AF76" s="772"/>
      <c r="AG76" s="772"/>
      <c r="AH76" s="772"/>
      <c r="AI76" s="772"/>
      <c r="AJ76" s="772"/>
      <c r="AK76" s="772"/>
      <c r="AL76" s="772"/>
      <c r="AM76" s="772"/>
      <c r="AN76" s="772"/>
      <c r="AO76" s="772"/>
      <c r="AP76" s="772"/>
      <c r="AQ76" s="772"/>
      <c r="AR76" s="772"/>
      <c r="AS76" s="772"/>
      <c r="AT76" s="772"/>
      <c r="AU76" s="772"/>
      <c r="AV76" s="772"/>
      <c r="AW76" s="772"/>
      <c r="AX76" s="772"/>
      <c r="AY76" s="772"/>
      <c r="AZ76" s="772"/>
      <c r="BA76" s="772"/>
      <c r="BB76" s="772"/>
      <c r="BC76" s="772"/>
      <c r="BD76" s="772"/>
      <c r="BE76" s="772"/>
      <c r="BF76" s="772"/>
      <c r="BG76" s="772"/>
      <c r="BH76" s="772"/>
      <c r="BI76" s="772"/>
      <c r="BJ76" s="772"/>
      <c r="BK76" s="772"/>
      <c r="BL76" s="772"/>
      <c r="BM76" s="772"/>
      <c r="BN76" s="772"/>
      <c r="BO76" s="772"/>
      <c r="BP76" s="772"/>
      <c r="BQ76" s="772"/>
      <c r="BR76" s="772"/>
      <c r="BS76" s="772"/>
      <c r="BT76" s="772"/>
      <c r="BU76" s="772"/>
      <c r="BV76" s="772"/>
      <c r="BW76" s="772"/>
      <c r="BX76" s="772"/>
      <c r="BY76" s="772"/>
      <c r="BZ76" s="772"/>
      <c r="CA76" s="772"/>
      <c r="CB76" s="772"/>
      <c r="CC76" s="772"/>
      <c r="CD76" s="772"/>
      <c r="CE76" s="772"/>
    </row>
    <row r="77" spans="1:83" ht="30" x14ac:dyDescent="0.25">
      <c r="B77" s="752">
        <v>251</v>
      </c>
      <c r="C77" s="768" t="s">
        <v>454</v>
      </c>
      <c r="D77" s="635" t="s">
        <v>455</v>
      </c>
      <c r="E77" s="769"/>
      <c r="F77" s="770"/>
      <c r="G77" s="770"/>
      <c r="H77" s="770"/>
      <c r="I77" s="770"/>
      <c r="J77" s="770"/>
      <c r="K77" s="771"/>
      <c r="L77" s="772"/>
      <c r="M77" s="772"/>
      <c r="N77" s="773"/>
      <c r="O77" s="773"/>
      <c r="P77" s="773"/>
      <c r="Q77" s="773"/>
      <c r="R77" s="773"/>
      <c r="S77" s="773"/>
      <c r="T77" s="773"/>
      <c r="U77" s="773"/>
      <c r="V77" s="773"/>
      <c r="W77" s="773"/>
      <c r="X77" s="773"/>
      <c r="Y77" s="773"/>
      <c r="Z77" s="773"/>
      <c r="AA77" s="773"/>
      <c r="AB77" s="772"/>
      <c r="AC77" s="772"/>
      <c r="AD77" s="772"/>
      <c r="AE77" s="772"/>
      <c r="AF77" s="772"/>
      <c r="AG77" s="772"/>
      <c r="AH77" s="772"/>
      <c r="AI77" s="772"/>
      <c r="AJ77" s="772"/>
      <c r="AK77" s="772"/>
      <c r="AL77" s="772"/>
      <c r="AM77" s="772"/>
      <c r="AN77" s="772"/>
      <c r="AO77" s="772"/>
      <c r="AP77" s="772"/>
      <c r="AQ77" s="772"/>
      <c r="AR77" s="772"/>
      <c r="AS77" s="772"/>
      <c r="AT77" s="772"/>
      <c r="AU77" s="772"/>
      <c r="AV77" s="772"/>
      <c r="AW77" s="772"/>
      <c r="AX77" s="772"/>
      <c r="AY77" s="772"/>
      <c r="AZ77" s="772"/>
      <c r="BA77" s="772"/>
      <c r="BB77" s="772"/>
      <c r="BC77" s="772"/>
      <c r="BD77" s="772"/>
      <c r="BE77" s="772"/>
      <c r="BF77" s="772"/>
      <c r="BG77" s="772"/>
      <c r="BH77" s="772"/>
      <c r="BI77" s="772"/>
      <c r="BJ77" s="772"/>
      <c r="BK77" s="772"/>
      <c r="BL77" s="772"/>
      <c r="BM77" s="772"/>
      <c r="BN77" s="772"/>
      <c r="BO77" s="772"/>
      <c r="BP77" s="772"/>
      <c r="BQ77" s="772"/>
      <c r="BR77" s="772"/>
      <c r="BS77" s="772"/>
      <c r="BT77" s="772"/>
      <c r="BU77" s="772"/>
      <c r="BV77" s="772"/>
      <c r="BW77" s="772"/>
      <c r="BX77" s="772"/>
      <c r="BY77" s="772"/>
      <c r="BZ77" s="772"/>
      <c r="CA77" s="772"/>
      <c r="CB77" s="772"/>
      <c r="CC77" s="772"/>
      <c r="CD77" s="772"/>
      <c r="CE77" s="772"/>
    </row>
    <row r="78" spans="1:83" x14ac:dyDescent="0.25">
      <c r="A78" s="767">
        <v>252</v>
      </c>
      <c r="B78" s="752">
        <v>252</v>
      </c>
      <c r="C78" s="768" t="s">
        <v>110</v>
      </c>
      <c r="D78" s="635" t="s">
        <v>456</v>
      </c>
      <c r="E78" s="769">
        <v>484671</v>
      </c>
      <c r="F78" s="770">
        <v>764133</v>
      </c>
      <c r="G78" s="770">
        <v>1440721</v>
      </c>
      <c r="H78" s="770">
        <v>562065</v>
      </c>
      <c r="I78" s="770">
        <v>324924</v>
      </c>
      <c r="J78" s="770">
        <v>162762</v>
      </c>
      <c r="K78" s="771">
        <v>75069</v>
      </c>
      <c r="L78" s="772">
        <v>69415</v>
      </c>
      <c r="M78" s="772">
        <v>6108089</v>
      </c>
      <c r="N78" s="773">
        <v>335025076</v>
      </c>
      <c r="O78" s="773">
        <v>3938996</v>
      </c>
      <c r="P78" s="773">
        <v>8970162</v>
      </c>
      <c r="Q78" s="773">
        <v>780723</v>
      </c>
      <c r="R78" s="773">
        <v>18350313</v>
      </c>
      <c r="S78" s="773">
        <v>212158</v>
      </c>
      <c r="T78" s="773">
        <v>30701</v>
      </c>
      <c r="U78" s="773">
        <v>429954</v>
      </c>
      <c r="V78" s="773">
        <v>1909929</v>
      </c>
      <c r="W78" s="773">
        <v>5463107</v>
      </c>
      <c r="X78" s="773">
        <v>563979</v>
      </c>
      <c r="Y78" s="773">
        <v>641752</v>
      </c>
      <c r="Z78" s="773">
        <v>379365</v>
      </c>
      <c r="AA78" s="773">
        <v>81601215</v>
      </c>
      <c r="AB78" s="772">
        <v>771046</v>
      </c>
      <c r="AC78" s="772">
        <v>116017</v>
      </c>
      <c r="AD78" s="772">
        <v>60841862</v>
      </c>
      <c r="AE78" s="772">
        <v>259372</v>
      </c>
      <c r="AF78" s="772">
        <v>445142</v>
      </c>
      <c r="AG78" s="772">
        <v>124777914</v>
      </c>
      <c r="AH78" s="772">
        <v>197980</v>
      </c>
      <c r="AI78" s="772">
        <v>241061</v>
      </c>
      <c r="AJ78" s="772">
        <v>3255854</v>
      </c>
      <c r="AK78" s="772">
        <v>759071</v>
      </c>
      <c r="AL78" s="772">
        <v>741576</v>
      </c>
      <c r="AM78" s="772">
        <v>44279692</v>
      </c>
      <c r="AN78" s="772">
        <v>664546</v>
      </c>
      <c r="AO78" s="772">
        <v>18997375</v>
      </c>
      <c r="AP78" s="772">
        <v>0</v>
      </c>
      <c r="AQ78" s="772">
        <v>5413147</v>
      </c>
      <c r="AR78" s="772">
        <v>2377234</v>
      </c>
      <c r="AS78" s="772">
        <v>320145</v>
      </c>
      <c r="AT78" s="772">
        <v>1862050</v>
      </c>
      <c r="AU78" s="772">
        <v>203794</v>
      </c>
      <c r="AV78" s="772">
        <v>225021972</v>
      </c>
      <c r="AW78" s="772">
        <v>159150868</v>
      </c>
      <c r="AX78" s="772">
        <v>724984</v>
      </c>
      <c r="AY78" s="772">
        <v>320096</v>
      </c>
      <c r="AZ78" s="772">
        <v>231650</v>
      </c>
      <c r="BA78" s="772">
        <v>87707</v>
      </c>
      <c r="BB78" s="772">
        <v>346662</v>
      </c>
      <c r="BC78" s="772">
        <v>10178926</v>
      </c>
      <c r="BD78" s="772">
        <v>731186</v>
      </c>
      <c r="BE78" s="772">
        <v>231014</v>
      </c>
      <c r="BF78" s="772">
        <v>25475</v>
      </c>
      <c r="BG78" s="772">
        <v>15493660</v>
      </c>
      <c r="BH78" s="772">
        <v>22345</v>
      </c>
      <c r="BI78" s="772">
        <v>6300569</v>
      </c>
      <c r="BJ78" s="772">
        <v>1711377</v>
      </c>
      <c r="BK78" s="772">
        <v>687310</v>
      </c>
      <c r="BL78" s="772">
        <v>233185</v>
      </c>
      <c r="BM78" s="772">
        <v>17133373</v>
      </c>
      <c r="BN78" s="772">
        <v>19926250</v>
      </c>
      <c r="BO78" s="772">
        <v>1039289</v>
      </c>
      <c r="BP78" s="772">
        <v>55745847</v>
      </c>
      <c r="BQ78" s="772">
        <v>150224537</v>
      </c>
      <c r="BR78" s="772">
        <v>719229</v>
      </c>
      <c r="BS78" s="772">
        <v>12580769</v>
      </c>
      <c r="BT78" s="772">
        <v>2896821</v>
      </c>
      <c r="BU78" s="772">
        <v>18580077</v>
      </c>
      <c r="BV78" s="772">
        <v>1334194</v>
      </c>
      <c r="BW78" s="772">
        <v>328842</v>
      </c>
      <c r="BX78" s="772">
        <v>5372189</v>
      </c>
      <c r="BY78" s="772">
        <v>797732</v>
      </c>
      <c r="BZ78" s="772">
        <v>98782429</v>
      </c>
      <c r="CA78" s="772">
        <v>1173739</v>
      </c>
      <c r="CB78" s="772">
        <v>18038638</v>
      </c>
      <c r="CC78" s="772">
        <v>296708</v>
      </c>
      <c r="CD78" s="772">
        <v>3425162</v>
      </c>
      <c r="CE78" s="772">
        <v>67636966</v>
      </c>
    </row>
    <row r="79" spans="1:83" x14ac:dyDescent="0.25">
      <c r="A79" s="767">
        <v>253</v>
      </c>
      <c r="B79" s="752">
        <v>253</v>
      </c>
      <c r="C79" s="768" t="s">
        <v>111</v>
      </c>
      <c r="D79" s="635" t="s">
        <v>457</v>
      </c>
      <c r="E79" s="769">
        <v>203994</v>
      </c>
      <c r="F79" s="770">
        <v>294786</v>
      </c>
      <c r="G79" s="770">
        <v>39811</v>
      </c>
      <c r="H79" s="770">
        <v>107359</v>
      </c>
      <c r="I79" s="770">
        <v>248717</v>
      </c>
      <c r="J79" s="770">
        <v>31357</v>
      </c>
      <c r="K79" s="771">
        <v>37633</v>
      </c>
      <c r="L79" s="772">
        <v>201005</v>
      </c>
      <c r="M79" s="772">
        <v>1015672</v>
      </c>
      <c r="N79" s="773">
        <v>43761893</v>
      </c>
      <c r="O79" s="773">
        <v>174713</v>
      </c>
      <c r="P79" s="773">
        <v>1459095</v>
      </c>
      <c r="Q79" s="773">
        <v>45673</v>
      </c>
      <c r="R79" s="773">
        <v>1318377</v>
      </c>
      <c r="S79" s="773">
        <v>7691</v>
      </c>
      <c r="T79" s="773">
        <v>91308</v>
      </c>
      <c r="U79" s="773">
        <v>226317</v>
      </c>
      <c r="V79" s="773">
        <v>100304</v>
      </c>
      <c r="W79" s="773">
        <v>1019792</v>
      </c>
      <c r="X79" s="773">
        <v>330919</v>
      </c>
      <c r="Y79" s="773">
        <v>265904</v>
      </c>
      <c r="Z79" s="773">
        <v>221103</v>
      </c>
      <c r="AA79" s="773">
        <v>6439655</v>
      </c>
      <c r="AB79" s="772">
        <v>3201346</v>
      </c>
      <c r="AC79" s="772">
        <v>117240</v>
      </c>
      <c r="AD79" s="772">
        <v>4172519</v>
      </c>
      <c r="AE79" s="772">
        <v>115820</v>
      </c>
      <c r="AF79" s="772">
        <v>69353</v>
      </c>
      <c r="AG79" s="772">
        <v>15387538</v>
      </c>
      <c r="AH79" s="772">
        <v>270424</v>
      </c>
      <c r="AI79" s="772">
        <v>22969</v>
      </c>
      <c r="AJ79" s="772">
        <v>878569</v>
      </c>
      <c r="AK79" s="772">
        <v>142783</v>
      </c>
      <c r="AL79" s="772">
        <v>95260</v>
      </c>
      <c r="AM79" s="772">
        <v>4076657</v>
      </c>
      <c r="AN79" s="772">
        <v>119899</v>
      </c>
      <c r="AO79" s="772">
        <v>4560695</v>
      </c>
      <c r="AP79" s="772">
        <v>1440</v>
      </c>
      <c r="AQ79" s="772">
        <v>540958</v>
      </c>
      <c r="AR79" s="772">
        <v>329313</v>
      </c>
      <c r="AS79" s="772">
        <v>7130</v>
      </c>
      <c r="AT79" s="772">
        <v>545305</v>
      </c>
      <c r="AU79" s="772">
        <v>179431</v>
      </c>
      <c r="AV79" s="772">
        <v>94809416</v>
      </c>
      <c r="AW79" s="772">
        <v>17840521</v>
      </c>
      <c r="AX79" s="772">
        <v>235562</v>
      </c>
      <c r="AY79" s="772">
        <v>121279</v>
      </c>
      <c r="AZ79" s="772">
        <v>185258</v>
      </c>
      <c r="BA79" s="772">
        <v>43105</v>
      </c>
      <c r="BB79" s="772">
        <v>176669</v>
      </c>
      <c r="BC79" s="772">
        <v>543510</v>
      </c>
      <c r="BD79" s="772">
        <v>33980</v>
      </c>
      <c r="BE79" s="772">
        <v>50383</v>
      </c>
      <c r="BF79" s="772">
        <v>23091</v>
      </c>
      <c r="BG79" s="772">
        <v>1101496</v>
      </c>
      <c r="BH79" s="772">
        <v>33469</v>
      </c>
      <c r="BI79" s="772">
        <v>2801196</v>
      </c>
      <c r="BJ79" s="772">
        <v>5843382</v>
      </c>
      <c r="BK79" s="772">
        <v>90585</v>
      </c>
      <c r="BL79" s="772">
        <v>22842</v>
      </c>
      <c r="BM79" s="772">
        <v>2967084</v>
      </c>
      <c r="BN79" s="772">
        <v>4538469</v>
      </c>
      <c r="BO79" s="772">
        <v>512947</v>
      </c>
      <c r="BP79" s="772">
        <v>9204898</v>
      </c>
      <c r="BQ79" s="772">
        <v>64909325</v>
      </c>
      <c r="BR79" s="772">
        <v>72925</v>
      </c>
      <c r="BS79" s="772">
        <v>1053040</v>
      </c>
      <c r="BT79" s="772">
        <v>283373</v>
      </c>
      <c r="BU79" s="772">
        <v>3089866</v>
      </c>
      <c r="BV79" s="772">
        <v>81180</v>
      </c>
      <c r="BW79" s="772">
        <v>246609</v>
      </c>
      <c r="BX79" s="772">
        <v>256810</v>
      </c>
      <c r="BY79" s="772">
        <v>352078</v>
      </c>
      <c r="BZ79" s="772">
        <v>13274189</v>
      </c>
      <c r="CA79" s="772">
        <v>112092</v>
      </c>
      <c r="CB79" s="772">
        <v>1732104</v>
      </c>
      <c r="CC79" s="772">
        <v>234397</v>
      </c>
      <c r="CD79" s="772">
        <v>551552</v>
      </c>
      <c r="CE79" s="772">
        <v>24582196</v>
      </c>
    </row>
    <row r="80" spans="1:83" x14ac:dyDescent="0.25">
      <c r="A80" s="767">
        <v>254</v>
      </c>
      <c r="B80" s="752">
        <v>254</v>
      </c>
      <c r="C80" s="768" t="s">
        <v>112</v>
      </c>
      <c r="D80" s="635" t="s">
        <v>458</v>
      </c>
      <c r="E80" s="769">
        <v>376067</v>
      </c>
      <c r="F80" s="770">
        <v>-1349586</v>
      </c>
      <c r="G80" s="770">
        <v>477892</v>
      </c>
      <c r="H80" s="770">
        <v>719175</v>
      </c>
      <c r="I80" s="770">
        <v>411181</v>
      </c>
      <c r="J80" s="770">
        <v>190778</v>
      </c>
      <c r="K80" s="771">
        <v>101569</v>
      </c>
      <c r="L80" s="772">
        <v>439716</v>
      </c>
      <c r="M80" s="772">
        <v>-132015</v>
      </c>
      <c r="N80" s="773">
        <v>2162493</v>
      </c>
      <c r="O80" s="773">
        <v>3158416</v>
      </c>
      <c r="P80" s="773">
        <v>3369069</v>
      </c>
      <c r="Q80" s="773">
        <v>138876</v>
      </c>
      <c r="R80" s="773">
        <v>-5070760</v>
      </c>
      <c r="S80" s="773">
        <v>117329</v>
      </c>
      <c r="T80" s="773">
        <v>440358</v>
      </c>
      <c r="U80" s="773">
        <v>214855</v>
      </c>
      <c r="V80" s="773">
        <v>732556</v>
      </c>
      <c r="W80" s="773">
        <v>-44170</v>
      </c>
      <c r="X80" s="773">
        <v>1083975</v>
      </c>
      <c r="Y80" s="773">
        <v>560782</v>
      </c>
      <c r="Z80" s="773">
        <v>-600095</v>
      </c>
      <c r="AA80" s="773">
        <v>12165649</v>
      </c>
      <c r="AB80" s="772">
        <v>4035406</v>
      </c>
      <c r="AC80" s="772">
        <v>624268</v>
      </c>
      <c r="AD80" s="772">
        <v>6371951</v>
      </c>
      <c r="AE80" s="772">
        <v>442395</v>
      </c>
      <c r="AF80" s="772">
        <v>115463</v>
      </c>
      <c r="AG80" s="772">
        <v>-45695235</v>
      </c>
      <c r="AH80" s="772">
        <v>560964</v>
      </c>
      <c r="AI80" s="772">
        <v>257814</v>
      </c>
      <c r="AJ80" s="772">
        <v>1474893</v>
      </c>
      <c r="AK80" s="772">
        <v>493504</v>
      </c>
      <c r="AL80" s="772">
        <v>28486</v>
      </c>
      <c r="AM80" s="772">
        <v>-3112439</v>
      </c>
      <c r="AN80" s="772">
        <v>505803</v>
      </c>
      <c r="AO80" s="772">
        <v>-3291170</v>
      </c>
      <c r="AP80" s="772">
        <v>69262</v>
      </c>
      <c r="AQ80" s="772">
        <v>2175966</v>
      </c>
      <c r="AR80" s="772">
        <v>1606729</v>
      </c>
      <c r="AS80" s="772">
        <v>185657</v>
      </c>
      <c r="AT80" s="772">
        <v>446948</v>
      </c>
      <c r="AU80" s="772">
        <v>377014</v>
      </c>
      <c r="AV80" s="772">
        <v>-70689014</v>
      </c>
      <c r="AW80" s="772">
        <v>-3243823</v>
      </c>
      <c r="AX80" s="772">
        <v>564869</v>
      </c>
      <c r="AY80" s="772">
        <v>240822</v>
      </c>
      <c r="AZ80" s="772">
        <v>125859</v>
      </c>
      <c r="BA80" s="772">
        <v>105830</v>
      </c>
      <c r="BB80" s="772">
        <v>851920</v>
      </c>
      <c r="BC80" s="772">
        <v>-4251610</v>
      </c>
      <c r="BD80" s="772">
        <v>1109447</v>
      </c>
      <c r="BE80" s="772">
        <v>176643</v>
      </c>
      <c r="BF80" s="772">
        <v>107750</v>
      </c>
      <c r="BG80" s="772">
        <v>6698507</v>
      </c>
      <c r="BH80" s="772">
        <v>49013</v>
      </c>
      <c r="BI80" s="772">
        <v>5882610</v>
      </c>
      <c r="BJ80" s="772">
        <v>-633319</v>
      </c>
      <c r="BK80" s="772">
        <v>366778</v>
      </c>
      <c r="BL80" s="772">
        <v>465374</v>
      </c>
      <c r="BM80" s="772">
        <v>-2761093</v>
      </c>
      <c r="BN80" s="772">
        <v>1397633</v>
      </c>
      <c r="BO80" s="772">
        <v>1312183</v>
      </c>
      <c r="BP80" s="772">
        <v>5976821</v>
      </c>
      <c r="BQ80" s="772">
        <v>-24814851</v>
      </c>
      <c r="BR80" s="772">
        <v>210099</v>
      </c>
      <c r="BS80" s="772">
        <v>3308229</v>
      </c>
      <c r="BT80" s="772">
        <v>2845454</v>
      </c>
      <c r="BU80" s="772">
        <v>1466288</v>
      </c>
      <c r="BV80" s="772">
        <v>253760</v>
      </c>
      <c r="BW80" s="772">
        <v>951632</v>
      </c>
      <c r="BX80" s="772">
        <v>-385153</v>
      </c>
      <c r="BY80" s="772">
        <v>1204125</v>
      </c>
      <c r="BZ80" s="772">
        <v>7158567</v>
      </c>
      <c r="CA80" s="772">
        <v>43828</v>
      </c>
      <c r="CB80" s="772">
        <v>-2283712</v>
      </c>
      <c r="CC80" s="772">
        <v>282904</v>
      </c>
      <c r="CD80" s="772">
        <v>918463</v>
      </c>
      <c r="CE80" s="772">
        <v>24067263</v>
      </c>
    </row>
    <row r="81" spans="1:83" x14ac:dyDescent="0.25">
      <c r="A81" s="767">
        <v>255</v>
      </c>
      <c r="B81" s="752">
        <v>255</v>
      </c>
      <c r="C81" s="768" t="s">
        <v>262</v>
      </c>
      <c r="D81" s="635" t="s">
        <v>459</v>
      </c>
      <c r="E81" s="769">
        <v>59901</v>
      </c>
      <c r="F81" s="770">
        <v>93512</v>
      </c>
      <c r="G81" s="770">
        <v>-57928</v>
      </c>
      <c r="H81" s="770">
        <v>175207</v>
      </c>
      <c r="I81" s="770">
        <v>65806</v>
      </c>
      <c r="J81" s="770">
        <v>-18846</v>
      </c>
      <c r="K81" s="771">
        <v>197</v>
      </c>
      <c r="L81" s="772">
        <v>14566</v>
      </c>
      <c r="M81" s="772">
        <v>-8573</v>
      </c>
      <c r="N81" s="773">
        <v>3120721</v>
      </c>
      <c r="O81" s="773">
        <v>115949</v>
      </c>
      <c r="P81" s="773">
        <v>682114</v>
      </c>
      <c r="Q81" s="773">
        <v>677381</v>
      </c>
      <c r="R81" s="773">
        <v>4745676</v>
      </c>
      <c r="S81" s="773">
        <v>-775</v>
      </c>
      <c r="T81" s="773">
        <v>103911</v>
      </c>
      <c r="U81" s="773">
        <v>-62092</v>
      </c>
      <c r="V81" s="773">
        <v>355062</v>
      </c>
      <c r="W81" s="773">
        <v>259388</v>
      </c>
      <c r="X81" s="773">
        <v>121595</v>
      </c>
      <c r="Y81" s="773">
        <v>88914</v>
      </c>
      <c r="Z81" s="773">
        <v>-183631</v>
      </c>
      <c r="AA81" s="773">
        <v>5241249</v>
      </c>
      <c r="AB81" s="772">
        <v>433920</v>
      </c>
      <c r="AC81" s="772">
        <v>121516</v>
      </c>
      <c r="AD81" s="772">
        <v>-1312223</v>
      </c>
      <c r="AE81" s="772">
        <v>155729</v>
      </c>
      <c r="AF81" s="772">
        <v>24748</v>
      </c>
      <c r="AG81" s="772">
        <v>1862921</v>
      </c>
      <c r="AH81" s="772">
        <v>44692</v>
      </c>
      <c r="AI81" s="772">
        <v>-12692</v>
      </c>
      <c r="AJ81" s="772">
        <v>395425</v>
      </c>
      <c r="AK81" s="772">
        <v>-80380</v>
      </c>
      <c r="AL81" s="772">
        <v>272165</v>
      </c>
      <c r="AM81" s="772">
        <v>-2180239</v>
      </c>
      <c r="AN81" s="772">
        <v>212276</v>
      </c>
      <c r="AO81" s="772">
        <v>1592725</v>
      </c>
      <c r="AP81" s="772">
        <v>-20473</v>
      </c>
      <c r="AQ81" s="772">
        <v>568568</v>
      </c>
      <c r="AR81" s="772">
        <v>-125820</v>
      </c>
      <c r="AS81" s="772">
        <v>16030</v>
      </c>
      <c r="AT81" s="772">
        <v>27064</v>
      </c>
      <c r="AU81" s="772">
        <v>62736</v>
      </c>
      <c r="AV81" s="772">
        <v>6430470</v>
      </c>
      <c r="AW81" s="772">
        <v>7917258</v>
      </c>
      <c r="AX81" s="772">
        <v>-37634</v>
      </c>
      <c r="AY81" s="772">
        <v>-15087</v>
      </c>
      <c r="AZ81" s="772">
        <v>-7605</v>
      </c>
      <c r="BA81" s="772">
        <v>-5625</v>
      </c>
      <c r="BB81" s="772">
        <v>29592</v>
      </c>
      <c r="BC81" s="772">
        <v>-1252887</v>
      </c>
      <c r="BD81" s="772">
        <v>5683</v>
      </c>
      <c r="BE81" s="772">
        <v>42518</v>
      </c>
      <c r="BF81" s="772">
        <v>3011</v>
      </c>
      <c r="BG81" s="772">
        <v>3495257</v>
      </c>
      <c r="BH81" s="772">
        <v>-6780</v>
      </c>
      <c r="BI81" s="772">
        <v>1262164</v>
      </c>
      <c r="BJ81" s="772">
        <v>4884603</v>
      </c>
      <c r="BK81" s="772">
        <v>-16045</v>
      </c>
      <c r="BL81" s="772">
        <v>-29741</v>
      </c>
      <c r="BM81" s="772">
        <v>503394</v>
      </c>
      <c r="BN81" s="772">
        <v>90684</v>
      </c>
      <c r="BO81" s="772">
        <v>-69349</v>
      </c>
      <c r="BP81" s="772">
        <v>6807536</v>
      </c>
      <c r="BQ81" s="772">
        <v>-3272683</v>
      </c>
      <c r="BR81" s="772">
        <v>24432</v>
      </c>
      <c r="BS81" s="772">
        <v>682631</v>
      </c>
      <c r="BT81" s="772">
        <v>1450621</v>
      </c>
      <c r="BU81" s="772">
        <v>3123389</v>
      </c>
      <c r="BV81" s="772">
        <v>-31298</v>
      </c>
      <c r="BW81" s="772">
        <v>-22634</v>
      </c>
      <c r="BX81" s="772">
        <v>2458097</v>
      </c>
      <c r="BY81" s="772">
        <v>262164</v>
      </c>
      <c r="BZ81" s="772">
        <v>9847929</v>
      </c>
      <c r="CA81" s="772">
        <v>139974</v>
      </c>
      <c r="CB81" s="772">
        <v>-17507400</v>
      </c>
      <c r="CC81" s="772">
        <v>77727</v>
      </c>
      <c r="CD81" s="772">
        <v>300757</v>
      </c>
      <c r="CE81" s="772">
        <v>4787621</v>
      </c>
    </row>
    <row r="82" spans="1:83" x14ac:dyDescent="0.25">
      <c r="B82" s="752">
        <v>274</v>
      </c>
      <c r="C82" s="774" t="s">
        <v>460</v>
      </c>
      <c r="D82" s="635" t="s">
        <v>461</v>
      </c>
      <c r="E82" s="769"/>
      <c r="F82" s="770"/>
      <c r="G82" s="770"/>
      <c r="H82" s="770"/>
      <c r="I82" s="770"/>
      <c r="J82" s="770"/>
      <c r="K82" s="771"/>
      <c r="L82" s="772"/>
      <c r="M82" s="772"/>
      <c r="N82" s="773"/>
      <c r="O82" s="773"/>
      <c r="P82" s="773"/>
      <c r="Q82" s="773"/>
      <c r="R82" s="773"/>
      <c r="S82" s="773"/>
      <c r="T82" s="773"/>
      <c r="U82" s="773"/>
      <c r="V82" s="773"/>
      <c r="W82" s="773"/>
      <c r="X82" s="773"/>
      <c r="Y82" s="773"/>
      <c r="Z82" s="773"/>
      <c r="AA82" s="773"/>
      <c r="AB82" s="772"/>
      <c r="AC82" s="772"/>
      <c r="AD82" s="772"/>
      <c r="AE82" s="772"/>
      <c r="AF82" s="772"/>
      <c r="AG82" s="772"/>
      <c r="AH82" s="772"/>
      <c r="AI82" s="772"/>
      <c r="AJ82" s="772"/>
      <c r="AK82" s="772"/>
      <c r="AL82" s="772"/>
      <c r="AM82" s="772"/>
      <c r="AN82" s="772"/>
      <c r="AO82" s="772"/>
      <c r="AP82" s="772"/>
      <c r="AQ82" s="772"/>
      <c r="AR82" s="772"/>
      <c r="AS82" s="772"/>
      <c r="AT82" s="772"/>
      <c r="AU82" s="772"/>
      <c r="AV82" s="772"/>
      <c r="AW82" s="772"/>
      <c r="AX82" s="772"/>
      <c r="AY82" s="772"/>
      <c r="AZ82" s="772"/>
      <c r="BA82" s="772"/>
      <c r="BB82" s="772"/>
      <c r="BC82" s="772"/>
      <c r="BD82" s="772"/>
      <c r="BE82" s="772"/>
      <c r="BF82" s="772"/>
      <c r="BG82" s="772"/>
      <c r="BH82" s="772"/>
      <c r="BI82" s="772"/>
      <c r="BJ82" s="772"/>
      <c r="BK82" s="772"/>
      <c r="BL82" s="772"/>
      <c r="BM82" s="772"/>
      <c r="BN82" s="772"/>
      <c r="BO82" s="772"/>
      <c r="BP82" s="772"/>
      <c r="BQ82" s="772"/>
      <c r="BR82" s="772"/>
      <c r="BS82" s="772"/>
      <c r="BT82" s="772"/>
      <c r="BU82" s="772"/>
      <c r="BV82" s="772"/>
      <c r="BW82" s="772"/>
      <c r="BX82" s="772"/>
      <c r="BY82" s="772"/>
      <c r="BZ82" s="772"/>
      <c r="CA82" s="772"/>
      <c r="CB82" s="772"/>
      <c r="CC82" s="772"/>
      <c r="CD82" s="772"/>
      <c r="CE82" s="772"/>
    </row>
    <row r="83" spans="1:83" x14ac:dyDescent="0.25">
      <c r="B83" s="752">
        <v>294</v>
      </c>
      <c r="C83" s="775" t="s">
        <v>1178</v>
      </c>
      <c r="D83" s="635" t="s">
        <v>462</v>
      </c>
      <c r="E83" s="769"/>
      <c r="F83" s="770"/>
      <c r="G83" s="770"/>
      <c r="H83" s="770"/>
      <c r="I83" s="770"/>
      <c r="J83" s="770"/>
      <c r="K83" s="771"/>
      <c r="L83" s="772"/>
      <c r="M83" s="772"/>
      <c r="N83" s="773"/>
      <c r="O83" s="773"/>
      <c r="P83" s="773"/>
      <c r="Q83" s="773"/>
      <c r="R83" s="773"/>
      <c r="S83" s="773"/>
      <c r="T83" s="773"/>
      <c r="U83" s="773"/>
      <c r="V83" s="773"/>
      <c r="W83" s="773"/>
      <c r="X83" s="773"/>
      <c r="Y83" s="773"/>
      <c r="Z83" s="773"/>
      <c r="AA83" s="773"/>
      <c r="AB83" s="772"/>
      <c r="AC83" s="772"/>
      <c r="AD83" s="772"/>
      <c r="AE83" s="772"/>
      <c r="AF83" s="772"/>
      <c r="AG83" s="772"/>
      <c r="AH83" s="772"/>
      <c r="AI83" s="772"/>
      <c r="AJ83" s="772"/>
      <c r="AK83" s="772"/>
      <c r="AL83" s="772"/>
      <c r="AM83" s="772"/>
      <c r="AN83" s="772"/>
      <c r="AO83" s="772"/>
      <c r="AP83" s="772"/>
      <c r="AQ83" s="772"/>
      <c r="AR83" s="772"/>
      <c r="AS83" s="772"/>
      <c r="AT83" s="772"/>
      <c r="AU83" s="772"/>
      <c r="AV83" s="772"/>
      <c r="AW83" s="772"/>
      <c r="AX83" s="772"/>
      <c r="AY83" s="772"/>
      <c r="AZ83" s="772"/>
      <c r="BA83" s="772"/>
      <c r="BB83" s="772"/>
      <c r="BC83" s="772"/>
      <c r="BD83" s="772"/>
      <c r="BE83" s="772"/>
      <c r="BF83" s="772"/>
      <c r="BG83" s="772"/>
      <c r="BH83" s="772"/>
      <c r="BI83" s="772"/>
      <c r="BJ83" s="772"/>
      <c r="BK83" s="772"/>
      <c r="BL83" s="772"/>
      <c r="BM83" s="772"/>
      <c r="BN83" s="772"/>
      <c r="BO83" s="772"/>
      <c r="BP83" s="772"/>
      <c r="BQ83" s="772"/>
      <c r="BR83" s="772"/>
      <c r="BS83" s="772"/>
      <c r="BT83" s="772"/>
      <c r="BU83" s="772"/>
      <c r="BV83" s="772"/>
      <c r="BW83" s="772"/>
      <c r="BX83" s="772"/>
      <c r="BY83" s="772"/>
      <c r="BZ83" s="772"/>
      <c r="CA83" s="772"/>
      <c r="CB83" s="772"/>
      <c r="CC83" s="772"/>
      <c r="CD83" s="772"/>
      <c r="CE83" s="772"/>
    </row>
    <row r="84" spans="1:83" ht="25.5" x14ac:dyDescent="0.25">
      <c r="B84" s="752">
        <v>314</v>
      </c>
      <c r="C84" s="775" t="s">
        <v>463</v>
      </c>
      <c r="D84" s="635" t="s">
        <v>464</v>
      </c>
      <c r="E84" s="769"/>
      <c r="F84" s="770"/>
      <c r="G84" s="770"/>
      <c r="H84" s="770"/>
      <c r="I84" s="770"/>
      <c r="J84" s="770"/>
      <c r="K84" s="771"/>
      <c r="L84" s="772"/>
      <c r="M84" s="772"/>
      <c r="N84" s="773"/>
      <c r="O84" s="773"/>
      <c r="P84" s="773"/>
      <c r="Q84" s="773"/>
      <c r="R84" s="773"/>
      <c r="S84" s="773"/>
      <c r="T84" s="773"/>
      <c r="U84" s="773"/>
      <c r="V84" s="773"/>
      <c r="W84" s="773"/>
      <c r="X84" s="773"/>
      <c r="Y84" s="773"/>
      <c r="Z84" s="773"/>
      <c r="AA84" s="773"/>
      <c r="AB84" s="772"/>
      <c r="AC84" s="772"/>
      <c r="AD84" s="772"/>
      <c r="AE84" s="772"/>
      <c r="AF84" s="772"/>
      <c r="AG84" s="772"/>
      <c r="AH84" s="772"/>
      <c r="AI84" s="772"/>
      <c r="AJ84" s="772"/>
      <c r="AK84" s="772"/>
      <c r="AL84" s="772"/>
      <c r="AM84" s="772"/>
      <c r="AN84" s="772"/>
      <c r="AO84" s="772"/>
      <c r="AP84" s="772"/>
      <c r="AQ84" s="772"/>
      <c r="AR84" s="772"/>
      <c r="AS84" s="772"/>
      <c r="AT84" s="772"/>
      <c r="AU84" s="772"/>
      <c r="AV84" s="772"/>
      <c r="AW84" s="772"/>
      <c r="AX84" s="772"/>
      <c r="AY84" s="772"/>
      <c r="AZ84" s="772"/>
      <c r="BA84" s="772"/>
      <c r="BB84" s="772"/>
      <c r="BC84" s="772"/>
      <c r="BD84" s="772"/>
      <c r="BE84" s="772"/>
      <c r="BF84" s="772"/>
      <c r="BG84" s="772"/>
      <c r="BH84" s="772"/>
      <c r="BI84" s="772"/>
      <c r="BJ84" s="772"/>
      <c r="BK84" s="772"/>
      <c r="BL84" s="772"/>
      <c r="BM84" s="772"/>
      <c r="BN84" s="772"/>
      <c r="BO84" s="772"/>
      <c r="BP84" s="772"/>
      <c r="BQ84" s="772"/>
      <c r="BR84" s="772"/>
      <c r="BS84" s="772"/>
      <c r="BT84" s="772"/>
      <c r="BU84" s="772"/>
      <c r="BV84" s="772"/>
      <c r="BW84" s="772"/>
      <c r="BX84" s="772"/>
      <c r="BY84" s="772"/>
      <c r="BZ84" s="772"/>
      <c r="CA84" s="772"/>
      <c r="CB84" s="772"/>
      <c r="CC84" s="772"/>
      <c r="CD84" s="772"/>
      <c r="CE84" s="772"/>
    </row>
    <row r="85" spans="1:83" ht="25.5" x14ac:dyDescent="0.25">
      <c r="B85" s="752">
        <v>315</v>
      </c>
      <c r="C85" s="775" t="s">
        <v>465</v>
      </c>
      <c r="D85" s="635" t="s">
        <v>466</v>
      </c>
      <c r="E85" s="769"/>
      <c r="F85" s="770"/>
      <c r="G85" s="770"/>
      <c r="H85" s="770"/>
      <c r="I85" s="770"/>
      <c r="J85" s="770"/>
      <c r="K85" s="771"/>
      <c r="L85" s="772"/>
      <c r="M85" s="772"/>
      <c r="N85" s="773"/>
      <c r="O85" s="773"/>
      <c r="P85" s="773"/>
      <c r="Q85" s="773"/>
      <c r="R85" s="773"/>
      <c r="S85" s="773"/>
      <c r="T85" s="773"/>
      <c r="U85" s="773"/>
      <c r="V85" s="773"/>
      <c r="W85" s="773"/>
      <c r="X85" s="773"/>
      <c r="Y85" s="773"/>
      <c r="Z85" s="773"/>
      <c r="AA85" s="773"/>
      <c r="AB85" s="772"/>
      <c r="AC85" s="772"/>
      <c r="AD85" s="772"/>
      <c r="AE85" s="772"/>
      <c r="AF85" s="772"/>
      <c r="AG85" s="772"/>
      <c r="AH85" s="772"/>
      <c r="AI85" s="772"/>
      <c r="AJ85" s="772"/>
      <c r="AK85" s="772"/>
      <c r="AL85" s="772"/>
      <c r="AM85" s="772"/>
      <c r="AN85" s="772"/>
      <c r="AO85" s="772"/>
      <c r="AP85" s="772"/>
      <c r="AQ85" s="772"/>
      <c r="AR85" s="772"/>
      <c r="AS85" s="772"/>
      <c r="AT85" s="772"/>
      <c r="AU85" s="772"/>
      <c r="AV85" s="772"/>
      <c r="AW85" s="772"/>
      <c r="AX85" s="772"/>
      <c r="AY85" s="772"/>
      <c r="AZ85" s="772"/>
      <c r="BA85" s="772"/>
      <c r="BB85" s="772"/>
      <c r="BC85" s="772"/>
      <c r="BD85" s="772"/>
      <c r="BE85" s="772"/>
      <c r="BF85" s="772"/>
      <c r="BG85" s="772"/>
      <c r="BH85" s="772"/>
      <c r="BI85" s="772"/>
      <c r="BJ85" s="772"/>
      <c r="BK85" s="772"/>
      <c r="BL85" s="772"/>
      <c r="BM85" s="772"/>
      <c r="BN85" s="772"/>
      <c r="BO85" s="772"/>
      <c r="BP85" s="772"/>
      <c r="BQ85" s="772"/>
      <c r="BR85" s="772"/>
      <c r="BS85" s="772"/>
      <c r="BT85" s="772"/>
      <c r="BU85" s="772"/>
      <c r="BV85" s="772"/>
      <c r="BW85" s="772"/>
      <c r="BX85" s="772"/>
      <c r="BY85" s="772"/>
      <c r="BZ85" s="772"/>
      <c r="CA85" s="772"/>
      <c r="CB85" s="772"/>
      <c r="CC85" s="772"/>
      <c r="CD85" s="772"/>
      <c r="CE85" s="772"/>
    </row>
    <row r="86" spans="1:83" x14ac:dyDescent="0.25">
      <c r="B86" s="752">
        <v>316</v>
      </c>
      <c r="C86" s="775" t="s">
        <v>467</v>
      </c>
      <c r="D86" s="635" t="s">
        <v>468</v>
      </c>
      <c r="E86" s="769"/>
      <c r="F86" s="770"/>
      <c r="G86" s="770"/>
      <c r="H86" s="770"/>
      <c r="I86" s="770"/>
      <c r="J86" s="770"/>
      <c r="K86" s="771"/>
      <c r="L86" s="772"/>
      <c r="M86" s="772"/>
      <c r="N86" s="773"/>
      <c r="O86" s="773"/>
      <c r="P86" s="773"/>
      <c r="Q86" s="773"/>
      <c r="R86" s="773"/>
      <c r="S86" s="773"/>
      <c r="T86" s="773"/>
      <c r="U86" s="773"/>
      <c r="V86" s="773"/>
      <c r="W86" s="773"/>
      <c r="X86" s="773"/>
      <c r="Y86" s="773"/>
      <c r="Z86" s="773"/>
      <c r="AA86" s="773"/>
      <c r="AB86" s="772"/>
      <c r="AC86" s="772"/>
      <c r="AD86" s="772"/>
      <c r="AE86" s="772"/>
      <c r="AF86" s="772"/>
      <c r="AG86" s="772"/>
      <c r="AH86" s="772"/>
      <c r="AI86" s="772"/>
      <c r="AJ86" s="772"/>
      <c r="AK86" s="772"/>
      <c r="AL86" s="772"/>
      <c r="AM86" s="772"/>
      <c r="AN86" s="772"/>
      <c r="AO86" s="772"/>
      <c r="AP86" s="772"/>
      <c r="AQ86" s="772"/>
      <c r="AR86" s="772"/>
      <c r="AS86" s="772"/>
      <c r="AT86" s="772"/>
      <c r="AU86" s="772"/>
      <c r="AV86" s="772"/>
      <c r="AW86" s="772"/>
      <c r="AX86" s="772"/>
      <c r="AY86" s="772"/>
      <c r="AZ86" s="772"/>
      <c r="BA86" s="772"/>
      <c r="BB86" s="772"/>
      <c r="BC86" s="772"/>
      <c r="BD86" s="772"/>
      <c r="BE86" s="772"/>
      <c r="BF86" s="772"/>
      <c r="BG86" s="772"/>
      <c r="BH86" s="772"/>
      <c r="BI86" s="772"/>
      <c r="BJ86" s="772"/>
      <c r="BK86" s="772"/>
      <c r="BL86" s="772"/>
      <c r="BM86" s="772"/>
      <c r="BN86" s="772"/>
      <c r="BO86" s="772"/>
      <c r="BP86" s="772"/>
      <c r="BQ86" s="772"/>
      <c r="BR86" s="772"/>
      <c r="BS86" s="772"/>
      <c r="BT86" s="772"/>
      <c r="BU86" s="772"/>
      <c r="BV86" s="772"/>
      <c r="BW86" s="772"/>
      <c r="BX86" s="772"/>
      <c r="BY86" s="772"/>
      <c r="BZ86" s="772"/>
      <c r="CA86" s="772"/>
      <c r="CB86" s="772"/>
      <c r="CC86" s="772"/>
      <c r="CD86" s="772"/>
      <c r="CE86" s="772"/>
    </row>
    <row r="87" spans="1:83" x14ac:dyDescent="0.25">
      <c r="A87" s="767">
        <v>320</v>
      </c>
      <c r="B87" s="752">
        <v>320</v>
      </c>
      <c r="C87" s="768" t="s">
        <v>323</v>
      </c>
      <c r="D87" s="635" t="s">
        <v>469</v>
      </c>
      <c r="E87" s="769"/>
      <c r="F87" s="770"/>
      <c r="G87" s="770"/>
      <c r="H87" s="770"/>
      <c r="I87" s="770"/>
      <c r="J87" s="770"/>
      <c r="K87" s="771"/>
      <c r="L87" s="772"/>
      <c r="M87" s="772"/>
      <c r="N87" s="773"/>
      <c r="O87" s="773"/>
      <c r="P87" s="773"/>
      <c r="Q87" s="773"/>
      <c r="R87" s="773"/>
      <c r="S87" s="773"/>
      <c r="T87" s="773"/>
      <c r="U87" s="773"/>
      <c r="V87" s="773"/>
      <c r="W87" s="773"/>
      <c r="X87" s="773"/>
      <c r="Y87" s="773"/>
      <c r="Z87" s="773"/>
      <c r="AA87" s="773"/>
      <c r="AB87" s="772"/>
      <c r="AC87" s="772"/>
      <c r="AD87" s="772"/>
      <c r="AE87" s="772"/>
      <c r="AF87" s="772"/>
      <c r="AG87" s="772"/>
      <c r="AH87" s="772"/>
      <c r="AI87" s="772"/>
      <c r="AJ87" s="772"/>
      <c r="AK87" s="772"/>
      <c r="AL87" s="772"/>
      <c r="AM87" s="772"/>
      <c r="AN87" s="772"/>
      <c r="AO87" s="772"/>
      <c r="AP87" s="772"/>
      <c r="AQ87" s="772"/>
      <c r="AR87" s="772"/>
      <c r="AS87" s="772"/>
      <c r="AT87" s="772"/>
      <c r="AU87" s="772"/>
      <c r="AV87" s="772"/>
      <c r="AW87" s="772"/>
      <c r="AX87" s="772"/>
      <c r="AY87" s="772"/>
      <c r="AZ87" s="772"/>
      <c r="BA87" s="772"/>
      <c r="BB87" s="772"/>
      <c r="BC87" s="772"/>
      <c r="BD87" s="772"/>
      <c r="BE87" s="772"/>
      <c r="BF87" s="772"/>
      <c r="BG87" s="772"/>
      <c r="BH87" s="772"/>
      <c r="BI87" s="772"/>
      <c r="BJ87" s="772"/>
      <c r="BK87" s="772"/>
      <c r="BL87" s="772"/>
      <c r="BM87" s="772"/>
      <c r="BN87" s="772"/>
      <c r="BO87" s="772"/>
      <c r="BP87" s="772"/>
      <c r="BQ87" s="772"/>
      <c r="BR87" s="772"/>
      <c r="BS87" s="772"/>
      <c r="BT87" s="772"/>
      <c r="BU87" s="772"/>
      <c r="BV87" s="772"/>
      <c r="BW87" s="772"/>
      <c r="BX87" s="772"/>
      <c r="BY87" s="772"/>
      <c r="BZ87" s="772"/>
      <c r="CA87" s="772"/>
      <c r="CB87" s="772"/>
      <c r="CC87" s="772"/>
      <c r="CD87" s="772"/>
      <c r="CE87" s="772"/>
    </row>
    <row r="88" spans="1:83" x14ac:dyDescent="0.25">
      <c r="A88" s="767">
        <v>321</v>
      </c>
      <c r="B88" s="752">
        <v>321</v>
      </c>
      <c r="C88" s="768" t="s">
        <v>1179</v>
      </c>
      <c r="D88" s="635" t="s">
        <v>470</v>
      </c>
      <c r="E88" s="769"/>
      <c r="F88" s="770"/>
      <c r="G88" s="770"/>
      <c r="H88" s="770"/>
      <c r="I88" s="770"/>
      <c r="J88" s="770"/>
      <c r="K88" s="771"/>
      <c r="L88" s="772"/>
      <c r="M88" s="772"/>
      <c r="N88" s="773"/>
      <c r="O88" s="773"/>
      <c r="P88" s="773"/>
      <c r="Q88" s="773"/>
      <c r="R88" s="773"/>
      <c r="S88" s="773"/>
      <c r="T88" s="773"/>
      <c r="U88" s="773"/>
      <c r="V88" s="773"/>
      <c r="W88" s="773"/>
      <c r="X88" s="773"/>
      <c r="Y88" s="773"/>
      <c r="Z88" s="773"/>
      <c r="AA88" s="773"/>
      <c r="AB88" s="772"/>
      <c r="AC88" s="772"/>
      <c r="AD88" s="772"/>
      <c r="AE88" s="772"/>
      <c r="AF88" s="772"/>
      <c r="AG88" s="772"/>
      <c r="AH88" s="772"/>
      <c r="AI88" s="772"/>
      <c r="AJ88" s="772"/>
      <c r="AK88" s="772"/>
      <c r="AL88" s="772"/>
      <c r="AM88" s="772"/>
      <c r="AN88" s="772"/>
      <c r="AO88" s="772"/>
      <c r="AP88" s="772"/>
      <c r="AQ88" s="772"/>
      <c r="AR88" s="772"/>
      <c r="AS88" s="772"/>
      <c r="AT88" s="772"/>
      <c r="AU88" s="772"/>
      <c r="AV88" s="772"/>
      <c r="AW88" s="772"/>
      <c r="AX88" s="772"/>
      <c r="AY88" s="772"/>
      <c r="AZ88" s="772"/>
      <c r="BA88" s="772"/>
      <c r="BB88" s="772"/>
      <c r="BC88" s="772"/>
      <c r="BD88" s="772"/>
      <c r="BE88" s="772"/>
      <c r="BF88" s="772"/>
      <c r="BG88" s="772"/>
      <c r="BH88" s="772"/>
      <c r="BI88" s="772"/>
      <c r="BJ88" s="772"/>
      <c r="BK88" s="772"/>
      <c r="BL88" s="772"/>
      <c r="BM88" s="772"/>
      <c r="BN88" s="772"/>
      <c r="BO88" s="772"/>
      <c r="BP88" s="772"/>
      <c r="BQ88" s="772"/>
      <c r="BR88" s="772"/>
      <c r="BS88" s="772"/>
      <c r="BT88" s="772"/>
      <c r="BU88" s="772"/>
      <c r="BV88" s="772"/>
      <c r="BW88" s="772"/>
      <c r="BX88" s="772"/>
      <c r="BY88" s="772"/>
      <c r="BZ88" s="772"/>
      <c r="CA88" s="772"/>
      <c r="CB88" s="772"/>
      <c r="CC88" s="772"/>
      <c r="CD88" s="772"/>
      <c r="CE88" s="772"/>
    </row>
    <row r="89" spans="1:83" x14ac:dyDescent="0.25">
      <c r="A89" s="767">
        <v>322</v>
      </c>
      <c r="B89" s="752">
        <v>322</v>
      </c>
      <c r="C89" s="768" t="s">
        <v>325</v>
      </c>
      <c r="D89" s="635" t="s">
        <v>471</v>
      </c>
      <c r="E89" s="769"/>
      <c r="F89" s="770"/>
      <c r="G89" s="770"/>
      <c r="H89" s="770"/>
      <c r="I89" s="770"/>
      <c r="J89" s="770"/>
      <c r="K89" s="771"/>
      <c r="L89" s="772"/>
      <c r="M89" s="772"/>
      <c r="N89" s="773"/>
      <c r="O89" s="773"/>
      <c r="P89" s="773"/>
      <c r="Q89" s="773"/>
      <c r="R89" s="773"/>
      <c r="S89" s="773"/>
      <c r="T89" s="773"/>
      <c r="U89" s="773"/>
      <c r="V89" s="773"/>
      <c r="W89" s="773"/>
      <c r="X89" s="773"/>
      <c r="Y89" s="773"/>
      <c r="Z89" s="773"/>
      <c r="AA89" s="773"/>
      <c r="AB89" s="772"/>
      <c r="AC89" s="772"/>
      <c r="AD89" s="772"/>
      <c r="AE89" s="772"/>
      <c r="AF89" s="772"/>
      <c r="AG89" s="772"/>
      <c r="AH89" s="772"/>
      <c r="AI89" s="772"/>
      <c r="AJ89" s="772"/>
      <c r="AK89" s="772"/>
      <c r="AL89" s="772"/>
      <c r="AM89" s="772"/>
      <c r="AN89" s="772"/>
      <c r="AO89" s="772"/>
      <c r="AP89" s="772"/>
      <c r="AQ89" s="772"/>
      <c r="AR89" s="772"/>
      <c r="AS89" s="772"/>
      <c r="AT89" s="772"/>
      <c r="AU89" s="772"/>
      <c r="AV89" s="772"/>
      <c r="AW89" s="772"/>
      <c r="AX89" s="772"/>
      <c r="AY89" s="772"/>
      <c r="AZ89" s="772"/>
      <c r="BA89" s="772"/>
      <c r="BB89" s="772"/>
      <c r="BC89" s="772"/>
      <c r="BD89" s="772"/>
      <c r="BE89" s="772"/>
      <c r="BF89" s="772"/>
      <c r="BG89" s="772"/>
      <c r="BH89" s="772"/>
      <c r="BI89" s="772"/>
      <c r="BJ89" s="772"/>
      <c r="BK89" s="772"/>
      <c r="BL89" s="772"/>
      <c r="BM89" s="772"/>
      <c r="BN89" s="772"/>
      <c r="BO89" s="772"/>
      <c r="BP89" s="772"/>
      <c r="BQ89" s="772"/>
      <c r="BR89" s="772"/>
      <c r="BS89" s="772"/>
      <c r="BT89" s="772"/>
      <c r="BU89" s="772"/>
      <c r="BV89" s="772"/>
      <c r="BW89" s="772"/>
      <c r="BX89" s="772"/>
      <c r="BY89" s="772"/>
      <c r="BZ89" s="772"/>
      <c r="CA89" s="772"/>
      <c r="CB89" s="772"/>
      <c r="CC89" s="772"/>
      <c r="CD89" s="772"/>
      <c r="CE89" s="772"/>
    </row>
    <row r="90" spans="1:83" x14ac:dyDescent="0.25">
      <c r="A90" s="767">
        <v>323</v>
      </c>
      <c r="B90" s="752">
        <v>323</v>
      </c>
      <c r="C90" s="768" t="s">
        <v>324</v>
      </c>
      <c r="D90" s="635" t="s">
        <v>472</v>
      </c>
      <c r="E90" s="769"/>
      <c r="F90" s="770"/>
      <c r="G90" s="770"/>
      <c r="H90" s="770"/>
      <c r="I90" s="770"/>
      <c r="J90" s="770"/>
      <c r="K90" s="771"/>
      <c r="L90" s="772"/>
      <c r="M90" s="772"/>
      <c r="N90" s="773"/>
      <c r="O90" s="773"/>
      <c r="P90" s="773"/>
      <c r="Q90" s="773"/>
      <c r="R90" s="773"/>
      <c r="S90" s="773"/>
      <c r="T90" s="773"/>
      <c r="U90" s="773"/>
      <c r="V90" s="773"/>
      <c r="W90" s="773"/>
      <c r="X90" s="773"/>
      <c r="Y90" s="773"/>
      <c r="Z90" s="773"/>
      <c r="AA90" s="773"/>
      <c r="AB90" s="772"/>
      <c r="AC90" s="772"/>
      <c r="AD90" s="772"/>
      <c r="AE90" s="772"/>
      <c r="AF90" s="772"/>
      <c r="AG90" s="772"/>
      <c r="AH90" s="772"/>
      <c r="AI90" s="772"/>
      <c r="AJ90" s="772"/>
      <c r="AK90" s="772"/>
      <c r="AL90" s="772"/>
      <c r="AM90" s="772"/>
      <c r="AN90" s="772"/>
      <c r="AO90" s="772"/>
      <c r="AP90" s="772"/>
      <c r="AQ90" s="772"/>
      <c r="AR90" s="772"/>
      <c r="AS90" s="772"/>
      <c r="AT90" s="772"/>
      <c r="AU90" s="772"/>
      <c r="AV90" s="772"/>
      <c r="AW90" s="772"/>
      <c r="AX90" s="772"/>
      <c r="AY90" s="772"/>
      <c r="AZ90" s="772"/>
      <c r="BA90" s="772"/>
      <c r="BB90" s="772"/>
      <c r="BC90" s="772"/>
      <c r="BD90" s="772"/>
      <c r="BE90" s="772"/>
      <c r="BF90" s="772"/>
      <c r="BG90" s="772"/>
      <c r="BH90" s="772"/>
      <c r="BI90" s="772"/>
      <c r="BJ90" s="772"/>
      <c r="BK90" s="772"/>
      <c r="BL90" s="772"/>
      <c r="BM90" s="772"/>
      <c r="BN90" s="772"/>
      <c r="BO90" s="772"/>
      <c r="BP90" s="772"/>
      <c r="BQ90" s="772"/>
      <c r="BR90" s="772"/>
      <c r="BS90" s="772"/>
      <c r="BT90" s="772"/>
      <c r="BU90" s="772"/>
      <c r="BV90" s="772"/>
      <c r="BW90" s="772"/>
      <c r="BX90" s="772"/>
      <c r="BY90" s="772"/>
      <c r="BZ90" s="772"/>
      <c r="CA90" s="772"/>
      <c r="CB90" s="772"/>
      <c r="CC90" s="772"/>
      <c r="CD90" s="772"/>
      <c r="CE90" s="772"/>
    </row>
    <row r="91" spans="1:83" x14ac:dyDescent="0.25">
      <c r="A91" s="767">
        <v>324</v>
      </c>
      <c r="B91" s="752">
        <v>324</v>
      </c>
      <c r="C91" s="768" t="s">
        <v>322</v>
      </c>
      <c r="D91" s="635" t="s">
        <v>473</v>
      </c>
      <c r="E91" s="769"/>
      <c r="F91" s="770"/>
      <c r="G91" s="770"/>
      <c r="H91" s="770"/>
      <c r="I91" s="770"/>
      <c r="J91" s="770"/>
      <c r="K91" s="771"/>
      <c r="L91" s="772"/>
      <c r="M91" s="772"/>
      <c r="N91" s="773"/>
      <c r="O91" s="773"/>
      <c r="P91" s="773"/>
      <c r="Q91" s="773"/>
      <c r="R91" s="773"/>
      <c r="S91" s="773"/>
      <c r="T91" s="773"/>
      <c r="U91" s="773"/>
      <c r="V91" s="773"/>
      <c r="W91" s="773"/>
      <c r="X91" s="773"/>
      <c r="Y91" s="773"/>
      <c r="Z91" s="773"/>
      <c r="AA91" s="773"/>
      <c r="AB91" s="772"/>
      <c r="AC91" s="772"/>
      <c r="AD91" s="772"/>
      <c r="AE91" s="772"/>
      <c r="AF91" s="772"/>
      <c r="AG91" s="772"/>
      <c r="AH91" s="772"/>
      <c r="AI91" s="772"/>
      <c r="AJ91" s="772"/>
      <c r="AK91" s="772"/>
      <c r="AL91" s="772"/>
      <c r="AM91" s="772"/>
      <c r="AN91" s="772"/>
      <c r="AO91" s="772"/>
      <c r="AP91" s="772"/>
      <c r="AQ91" s="772"/>
      <c r="AR91" s="772"/>
      <c r="AS91" s="772"/>
      <c r="AT91" s="772"/>
      <c r="AU91" s="772"/>
      <c r="AV91" s="772"/>
      <c r="AW91" s="772"/>
      <c r="AX91" s="772"/>
      <c r="AY91" s="772"/>
      <c r="AZ91" s="772"/>
      <c r="BA91" s="772"/>
      <c r="BB91" s="772"/>
      <c r="BC91" s="772"/>
      <c r="BD91" s="772"/>
      <c r="BE91" s="772"/>
      <c r="BF91" s="772"/>
      <c r="BG91" s="772"/>
      <c r="BH91" s="772"/>
      <c r="BI91" s="772"/>
      <c r="BJ91" s="772"/>
      <c r="BK91" s="772"/>
      <c r="BL91" s="772"/>
      <c r="BM91" s="772"/>
      <c r="BN91" s="772"/>
      <c r="BO91" s="772"/>
      <c r="BP91" s="772"/>
      <c r="BQ91" s="772"/>
      <c r="BR91" s="772"/>
      <c r="BS91" s="772"/>
      <c r="BT91" s="772"/>
      <c r="BU91" s="772"/>
      <c r="BV91" s="772"/>
      <c r="BW91" s="772"/>
      <c r="BX91" s="772"/>
      <c r="BY91" s="772"/>
      <c r="BZ91" s="772"/>
      <c r="CA91" s="772"/>
      <c r="CB91" s="772"/>
      <c r="CC91" s="772"/>
      <c r="CD91" s="772"/>
      <c r="CE91" s="772"/>
    </row>
    <row r="92" spans="1:83" x14ac:dyDescent="0.25">
      <c r="A92" s="767">
        <v>325</v>
      </c>
      <c r="B92" s="752">
        <v>325</v>
      </c>
      <c r="C92" s="768" t="s">
        <v>326</v>
      </c>
      <c r="D92" s="635" t="s">
        <v>474</v>
      </c>
      <c r="E92" s="777"/>
      <c r="F92" s="778"/>
      <c r="G92" s="778"/>
      <c r="H92" s="778"/>
      <c r="I92" s="778"/>
      <c r="J92" s="778"/>
      <c r="K92" s="779"/>
      <c r="L92" s="780"/>
      <c r="M92" s="780"/>
      <c r="N92" s="781"/>
      <c r="O92" s="781"/>
      <c r="P92" s="781"/>
      <c r="Q92" s="781"/>
      <c r="R92" s="781"/>
      <c r="S92" s="781"/>
      <c r="T92" s="781"/>
      <c r="U92" s="781"/>
      <c r="V92" s="781"/>
      <c r="W92" s="781"/>
      <c r="X92" s="781"/>
      <c r="Y92" s="781"/>
      <c r="Z92" s="781"/>
      <c r="AA92" s="781"/>
      <c r="AB92" s="780"/>
      <c r="AC92" s="780"/>
      <c r="AD92" s="780"/>
      <c r="AE92" s="780"/>
      <c r="AF92" s="780"/>
      <c r="AG92" s="780"/>
      <c r="AH92" s="780"/>
      <c r="AI92" s="780"/>
      <c r="AJ92" s="780"/>
      <c r="AK92" s="780"/>
      <c r="AL92" s="780"/>
      <c r="AM92" s="780"/>
      <c r="AN92" s="780"/>
      <c r="AO92" s="780"/>
      <c r="AP92" s="780"/>
      <c r="AQ92" s="780"/>
      <c r="AR92" s="780"/>
      <c r="AS92" s="780"/>
      <c r="AT92" s="780"/>
      <c r="AU92" s="780"/>
      <c r="AV92" s="780"/>
      <c r="AW92" s="780"/>
      <c r="AX92" s="780"/>
      <c r="AY92" s="780"/>
      <c r="AZ92" s="780"/>
      <c r="BA92" s="780"/>
      <c r="BB92" s="780"/>
      <c r="BC92" s="780"/>
      <c r="BD92" s="780"/>
      <c r="BE92" s="780"/>
      <c r="BF92" s="780"/>
      <c r="BG92" s="780"/>
      <c r="BH92" s="780"/>
      <c r="BI92" s="780"/>
      <c r="BJ92" s="780"/>
      <c r="BK92" s="780"/>
      <c r="BL92" s="780"/>
      <c r="BM92" s="780"/>
      <c r="BN92" s="780"/>
      <c r="BO92" s="780"/>
      <c r="BP92" s="780"/>
      <c r="BQ92" s="780"/>
      <c r="BR92" s="780"/>
      <c r="BS92" s="780"/>
      <c r="BT92" s="780"/>
      <c r="BU92" s="780"/>
      <c r="BV92" s="780"/>
      <c r="BW92" s="780"/>
      <c r="BX92" s="780"/>
      <c r="BY92" s="780"/>
      <c r="BZ92" s="780"/>
      <c r="CA92" s="780"/>
      <c r="CB92" s="780"/>
      <c r="CC92" s="780"/>
      <c r="CD92" s="780"/>
      <c r="CE92" s="780"/>
    </row>
    <row r="93" spans="1:83" x14ac:dyDescent="0.25">
      <c r="B93" s="752">
        <v>326</v>
      </c>
      <c r="C93" s="768" t="s">
        <v>809</v>
      </c>
      <c r="D93" s="635" t="s">
        <v>475</v>
      </c>
      <c r="E93" s="769"/>
      <c r="F93" s="770"/>
      <c r="G93" s="770"/>
      <c r="H93" s="770"/>
      <c r="I93" s="770"/>
      <c r="J93" s="770"/>
      <c r="K93" s="771"/>
      <c r="L93" s="772"/>
      <c r="M93" s="772"/>
      <c r="N93" s="773"/>
      <c r="O93" s="773"/>
      <c r="P93" s="773"/>
      <c r="Q93" s="773"/>
      <c r="R93" s="773"/>
      <c r="S93" s="773"/>
      <c r="T93" s="773"/>
      <c r="U93" s="773"/>
      <c r="V93" s="773"/>
      <c r="W93" s="773"/>
      <c r="X93" s="773"/>
      <c r="Y93" s="773"/>
      <c r="Z93" s="773"/>
      <c r="AA93" s="773"/>
      <c r="AB93" s="772"/>
      <c r="AC93" s="772"/>
      <c r="AD93" s="772"/>
      <c r="AE93" s="772"/>
      <c r="AF93" s="772"/>
      <c r="AG93" s="772"/>
      <c r="AH93" s="772"/>
      <c r="AI93" s="772"/>
      <c r="AJ93" s="772"/>
      <c r="AK93" s="772"/>
      <c r="AL93" s="772"/>
      <c r="AM93" s="772"/>
      <c r="AN93" s="772"/>
      <c r="AO93" s="772"/>
      <c r="AP93" s="772"/>
      <c r="AQ93" s="772"/>
      <c r="AR93" s="772"/>
      <c r="AS93" s="772"/>
      <c r="AT93" s="772"/>
      <c r="AU93" s="772"/>
      <c r="AV93" s="772"/>
      <c r="AW93" s="772"/>
      <c r="AX93" s="772"/>
      <c r="AY93" s="772"/>
      <c r="AZ93" s="772"/>
      <c r="BA93" s="772"/>
      <c r="BB93" s="772"/>
      <c r="BC93" s="772"/>
      <c r="BD93" s="772"/>
      <c r="BE93" s="772"/>
      <c r="BF93" s="772"/>
      <c r="BG93" s="772"/>
      <c r="BH93" s="772"/>
      <c r="BI93" s="772"/>
      <c r="BJ93" s="772"/>
      <c r="BK93" s="772"/>
      <c r="BL93" s="772"/>
      <c r="BM93" s="772"/>
      <c r="BN93" s="772"/>
      <c r="BO93" s="772"/>
      <c r="BP93" s="772"/>
      <c r="BQ93" s="772"/>
      <c r="BR93" s="772"/>
      <c r="BS93" s="772"/>
      <c r="BT93" s="772"/>
      <c r="BU93" s="772"/>
      <c r="BV93" s="772"/>
      <c r="BW93" s="772"/>
      <c r="BX93" s="772"/>
      <c r="BY93" s="772"/>
      <c r="BZ93" s="772"/>
      <c r="CA93" s="772"/>
      <c r="CB93" s="772"/>
      <c r="CC93" s="772"/>
      <c r="CD93" s="772"/>
      <c r="CE93" s="772"/>
    </row>
    <row r="94" spans="1:83" x14ac:dyDescent="0.25">
      <c r="A94" s="767">
        <v>327</v>
      </c>
      <c r="B94" s="752">
        <v>327</v>
      </c>
      <c r="C94" s="768" t="s">
        <v>731</v>
      </c>
      <c r="D94" s="635" t="s">
        <v>476</v>
      </c>
      <c r="E94" s="769">
        <v>10626</v>
      </c>
      <c r="F94" s="770">
        <v>7091</v>
      </c>
      <c r="G94" s="770">
        <v>0</v>
      </c>
      <c r="H94" s="770">
        <v>377313</v>
      </c>
      <c r="I94" s="770">
        <v>7337</v>
      </c>
      <c r="J94" s="770">
        <v>0</v>
      </c>
      <c r="K94" s="771">
        <v>0</v>
      </c>
      <c r="L94" s="772">
        <v>5700</v>
      </c>
      <c r="M94" s="772">
        <v>189134</v>
      </c>
      <c r="N94" s="773">
        <v>0</v>
      </c>
      <c r="O94" s="773">
        <v>0</v>
      </c>
      <c r="P94" s="773">
        <v>0</v>
      </c>
      <c r="Q94" s="773">
        <v>0</v>
      </c>
      <c r="R94" s="773">
        <v>177882</v>
      </c>
      <c r="S94" s="773">
        <v>0</v>
      </c>
      <c r="T94" s="773">
        <v>0</v>
      </c>
      <c r="U94" s="773">
        <v>48416</v>
      </c>
      <c r="V94" s="773">
        <v>191498</v>
      </c>
      <c r="W94" s="773">
        <v>1025550</v>
      </c>
      <c r="X94" s="773">
        <v>0</v>
      </c>
      <c r="Y94" s="773">
        <v>3000</v>
      </c>
      <c r="Z94" s="773">
        <v>215800</v>
      </c>
      <c r="AA94" s="773">
        <v>456870</v>
      </c>
      <c r="AB94" s="772">
        <v>0</v>
      </c>
      <c r="AC94" s="772">
        <v>51113</v>
      </c>
      <c r="AD94" s="772">
        <v>0</v>
      </c>
      <c r="AE94" s="772">
        <v>0</v>
      </c>
      <c r="AF94" s="772">
        <v>0</v>
      </c>
      <c r="AG94" s="772">
        <v>12277593</v>
      </c>
      <c r="AH94" s="772">
        <v>0</v>
      </c>
      <c r="AI94" s="772">
        <v>12410</v>
      </c>
      <c r="AJ94" s="772">
        <v>18591</v>
      </c>
      <c r="AK94" s="772">
        <v>0</v>
      </c>
      <c r="AL94" s="772">
        <v>0</v>
      </c>
      <c r="AM94" s="772">
        <v>1443282</v>
      </c>
      <c r="AN94" s="772">
        <v>0</v>
      </c>
      <c r="AO94" s="772">
        <v>1281547</v>
      </c>
      <c r="AP94" s="772">
        <v>0</v>
      </c>
      <c r="AQ94" s="772">
        <v>165740</v>
      </c>
      <c r="AR94" s="772">
        <v>0</v>
      </c>
      <c r="AS94" s="772">
        <v>0</v>
      </c>
      <c r="AT94" s="772">
        <v>20097</v>
      </c>
      <c r="AU94" s="772">
        <v>36050</v>
      </c>
      <c r="AV94" s="772">
        <v>42646780</v>
      </c>
      <c r="AW94" s="772">
        <v>3780635</v>
      </c>
      <c r="AX94" s="772">
        <v>0</v>
      </c>
      <c r="AY94" s="772">
        <v>11826</v>
      </c>
      <c r="AZ94" s="772">
        <v>328737</v>
      </c>
      <c r="BA94" s="772">
        <v>11712</v>
      </c>
      <c r="BB94" s="772">
        <v>7940</v>
      </c>
      <c r="BC94" s="772">
        <v>243585</v>
      </c>
      <c r="BD94" s="772">
        <v>130000</v>
      </c>
      <c r="BE94" s="772">
        <v>0</v>
      </c>
      <c r="BF94" s="772">
        <v>3281</v>
      </c>
      <c r="BG94" s="772">
        <v>858549</v>
      </c>
      <c r="BH94" s="772">
        <v>0</v>
      </c>
      <c r="BI94" s="772">
        <v>306658</v>
      </c>
      <c r="BJ94" s="772">
        <v>1040</v>
      </c>
      <c r="BK94" s="772">
        <v>0</v>
      </c>
      <c r="BL94" s="772">
        <v>0</v>
      </c>
      <c r="BM94" s="772">
        <v>5352310</v>
      </c>
      <c r="BN94" s="772">
        <v>2529663</v>
      </c>
      <c r="BO94" s="772">
        <v>409893</v>
      </c>
      <c r="BP94" s="772">
        <v>1384534</v>
      </c>
      <c r="BQ94" s="772">
        <v>7593819</v>
      </c>
      <c r="BR94" s="772">
        <v>50</v>
      </c>
      <c r="BS94" s="772">
        <v>399040</v>
      </c>
      <c r="BT94" s="772">
        <v>0</v>
      </c>
      <c r="BU94" s="772">
        <v>6132444</v>
      </c>
      <c r="BV94" s="772">
        <v>40050</v>
      </c>
      <c r="BW94" s="772">
        <v>0</v>
      </c>
      <c r="BX94" s="772">
        <v>140296</v>
      </c>
      <c r="BY94" s="772">
        <v>0</v>
      </c>
      <c r="BZ94" s="772">
        <v>153725</v>
      </c>
      <c r="CA94" s="772">
        <v>0</v>
      </c>
      <c r="CB94" s="772">
        <v>0</v>
      </c>
      <c r="CC94" s="772">
        <v>4000</v>
      </c>
      <c r="CD94" s="772">
        <v>0</v>
      </c>
      <c r="CE94" s="772">
        <v>0</v>
      </c>
    </row>
    <row r="95" spans="1:83" x14ac:dyDescent="0.25">
      <c r="A95" s="767">
        <v>328</v>
      </c>
      <c r="B95" s="752">
        <v>328</v>
      </c>
      <c r="C95" s="768" t="s">
        <v>643</v>
      </c>
      <c r="D95" s="635" t="s">
        <v>477</v>
      </c>
      <c r="E95" s="769">
        <v>523688</v>
      </c>
      <c r="F95" s="770">
        <v>1380726</v>
      </c>
      <c r="G95" s="770">
        <v>0</v>
      </c>
      <c r="H95" s="770">
        <v>0</v>
      </c>
      <c r="I95" s="770">
        <v>0</v>
      </c>
      <c r="J95" s="770">
        <v>0</v>
      </c>
      <c r="K95" s="771">
        <v>0</v>
      </c>
      <c r="L95" s="772">
        <v>96308</v>
      </c>
      <c r="M95" s="772">
        <v>1958462</v>
      </c>
      <c r="N95" s="773">
        <v>0</v>
      </c>
      <c r="O95" s="773">
        <v>0</v>
      </c>
      <c r="P95" s="773">
        <v>0</v>
      </c>
      <c r="Q95" s="773">
        <v>0</v>
      </c>
      <c r="R95" s="773">
        <v>0</v>
      </c>
      <c r="S95" s="773">
        <v>0</v>
      </c>
      <c r="T95" s="773">
        <v>0</v>
      </c>
      <c r="U95" s="773">
        <v>0</v>
      </c>
      <c r="V95" s="773">
        <v>0</v>
      </c>
      <c r="W95" s="773">
        <v>865428</v>
      </c>
      <c r="X95" s="773">
        <v>0</v>
      </c>
      <c r="Y95" s="773">
        <v>0</v>
      </c>
      <c r="Z95" s="773">
        <v>881624</v>
      </c>
      <c r="AA95" s="773">
        <v>33853774</v>
      </c>
      <c r="AB95" s="772">
        <v>0</v>
      </c>
      <c r="AC95" s="772">
        <v>0</v>
      </c>
      <c r="AD95" s="772">
        <v>0</v>
      </c>
      <c r="AE95" s="772">
        <v>0</v>
      </c>
      <c r="AF95" s="772">
        <v>0</v>
      </c>
      <c r="AG95" s="772">
        <v>66382102</v>
      </c>
      <c r="AH95" s="772">
        <v>0</v>
      </c>
      <c r="AI95" s="772">
        <v>0</v>
      </c>
      <c r="AJ95" s="772">
        <v>197293</v>
      </c>
      <c r="AK95" s="772">
        <v>0</v>
      </c>
      <c r="AL95" s="772">
        <v>20700</v>
      </c>
      <c r="AM95" s="772">
        <v>4698789</v>
      </c>
      <c r="AN95" s="772">
        <v>35411</v>
      </c>
      <c r="AO95" s="772">
        <v>591570</v>
      </c>
      <c r="AP95" s="772">
        <v>0</v>
      </c>
      <c r="AQ95" s="772">
        <v>0</v>
      </c>
      <c r="AR95" s="772">
        <v>0</v>
      </c>
      <c r="AS95" s="772">
        <v>0</v>
      </c>
      <c r="AT95" s="772">
        <v>2527446</v>
      </c>
      <c r="AU95" s="772">
        <v>0</v>
      </c>
      <c r="AV95" s="772">
        <v>98545376</v>
      </c>
      <c r="AW95" s="772">
        <v>11797226</v>
      </c>
      <c r="AX95" s="772">
        <v>0</v>
      </c>
      <c r="AY95" s="772">
        <v>0</v>
      </c>
      <c r="AZ95" s="772">
        <v>0</v>
      </c>
      <c r="BA95" s="772">
        <v>0</v>
      </c>
      <c r="BB95" s="772">
        <v>0</v>
      </c>
      <c r="BC95" s="772">
        <v>0</v>
      </c>
      <c r="BD95" s="772">
        <v>0</v>
      </c>
      <c r="BE95" s="772">
        <v>0</v>
      </c>
      <c r="BF95" s="772">
        <v>0</v>
      </c>
      <c r="BG95" s="772">
        <v>6211178</v>
      </c>
      <c r="BH95" s="772">
        <v>0</v>
      </c>
      <c r="BI95" s="772">
        <v>358911</v>
      </c>
      <c r="BJ95" s="772">
        <v>33486</v>
      </c>
      <c r="BK95" s="772">
        <v>0</v>
      </c>
      <c r="BL95" s="772">
        <v>0</v>
      </c>
      <c r="BM95" s="772">
        <v>24096349</v>
      </c>
      <c r="BN95" s="772">
        <v>3055983</v>
      </c>
      <c r="BO95" s="772">
        <v>0</v>
      </c>
      <c r="BP95" s="772">
        <v>10773093</v>
      </c>
      <c r="BQ95" s="772">
        <v>65638671</v>
      </c>
      <c r="BR95" s="772">
        <v>98890</v>
      </c>
      <c r="BS95" s="772">
        <v>70428</v>
      </c>
      <c r="BT95" s="772">
        <v>0</v>
      </c>
      <c r="BU95" s="772">
        <v>3565187</v>
      </c>
      <c r="BV95" s="772">
        <v>0</v>
      </c>
      <c r="BW95" s="772">
        <v>1115318</v>
      </c>
      <c r="BX95" s="772">
        <v>0</v>
      </c>
      <c r="BY95" s="772">
        <v>0</v>
      </c>
      <c r="BZ95" s="772">
        <v>852383</v>
      </c>
      <c r="CA95" s="772">
        <v>626139</v>
      </c>
      <c r="CB95" s="772">
        <v>0</v>
      </c>
      <c r="CC95" s="772">
        <v>0</v>
      </c>
      <c r="CD95" s="772">
        <v>0</v>
      </c>
      <c r="CE95" s="772">
        <v>0</v>
      </c>
    </row>
    <row r="96" spans="1:83" ht="30" x14ac:dyDescent="0.25">
      <c r="B96" s="752">
        <v>330</v>
      </c>
      <c r="C96" s="768" t="s">
        <v>732</v>
      </c>
      <c r="D96" s="635" t="s">
        <v>478</v>
      </c>
      <c r="E96" s="769"/>
      <c r="F96" s="770"/>
      <c r="G96" s="770"/>
      <c r="H96" s="770"/>
      <c r="I96" s="770"/>
      <c r="J96" s="770"/>
      <c r="K96" s="771"/>
      <c r="L96" s="772"/>
      <c r="M96" s="772"/>
      <c r="N96" s="773"/>
      <c r="O96" s="773"/>
      <c r="P96" s="773"/>
      <c r="Q96" s="773"/>
      <c r="R96" s="773"/>
      <c r="S96" s="773"/>
      <c r="T96" s="773"/>
      <c r="U96" s="773"/>
      <c r="V96" s="773"/>
      <c r="W96" s="773"/>
      <c r="X96" s="773"/>
      <c r="Y96" s="773"/>
      <c r="Z96" s="773"/>
      <c r="AA96" s="773"/>
      <c r="AB96" s="772"/>
      <c r="AC96" s="772"/>
      <c r="AD96" s="772"/>
      <c r="AE96" s="772"/>
      <c r="AF96" s="772"/>
      <c r="AG96" s="772"/>
      <c r="AH96" s="772"/>
      <c r="AI96" s="772"/>
      <c r="AJ96" s="772"/>
      <c r="AK96" s="772"/>
      <c r="AL96" s="772"/>
      <c r="AM96" s="772"/>
      <c r="AN96" s="772"/>
      <c r="AO96" s="772"/>
      <c r="AP96" s="772"/>
      <c r="AQ96" s="772"/>
      <c r="AR96" s="772"/>
      <c r="AS96" s="772"/>
      <c r="AT96" s="772"/>
      <c r="AU96" s="772"/>
      <c r="AV96" s="772"/>
      <c r="AW96" s="772"/>
      <c r="AX96" s="772"/>
      <c r="AY96" s="772"/>
      <c r="AZ96" s="772"/>
      <c r="BA96" s="772"/>
      <c r="BB96" s="772"/>
      <c r="BC96" s="772"/>
      <c r="BD96" s="772"/>
      <c r="BE96" s="772"/>
      <c r="BF96" s="772"/>
      <c r="BG96" s="772"/>
      <c r="BH96" s="772"/>
      <c r="BI96" s="772"/>
      <c r="BJ96" s="772"/>
      <c r="BK96" s="772"/>
      <c r="BL96" s="772"/>
      <c r="BM96" s="772"/>
      <c r="BN96" s="772"/>
      <c r="BO96" s="772"/>
      <c r="BP96" s="772"/>
      <c r="BQ96" s="772"/>
      <c r="BR96" s="772"/>
      <c r="BS96" s="772"/>
      <c r="BT96" s="772"/>
      <c r="BU96" s="772"/>
      <c r="BV96" s="772"/>
      <c r="BW96" s="772"/>
      <c r="BX96" s="772"/>
      <c r="BY96" s="772"/>
      <c r="BZ96" s="772"/>
      <c r="CA96" s="772"/>
      <c r="CB96" s="772"/>
      <c r="CC96" s="772"/>
      <c r="CD96" s="772"/>
      <c r="CE96" s="772"/>
    </row>
    <row r="97" spans="1:83" x14ac:dyDescent="0.25">
      <c r="A97" s="767">
        <v>331</v>
      </c>
      <c r="B97" s="752">
        <v>331</v>
      </c>
      <c r="C97" s="768" t="s">
        <v>312</v>
      </c>
      <c r="D97" s="635" t="s">
        <v>479</v>
      </c>
      <c r="E97" s="769">
        <v>10500</v>
      </c>
      <c r="F97" s="770">
        <v>67000</v>
      </c>
      <c r="G97" s="770">
        <v>0</v>
      </c>
      <c r="H97" s="770">
        <v>25086</v>
      </c>
      <c r="I97" s="770">
        <v>28000</v>
      </c>
      <c r="J97" s="770">
        <v>0</v>
      </c>
      <c r="K97" s="771">
        <v>0</v>
      </c>
      <c r="L97" s="772">
        <v>0</v>
      </c>
      <c r="M97" s="772">
        <v>511383</v>
      </c>
      <c r="N97" s="773">
        <v>0</v>
      </c>
      <c r="O97" s="773">
        <v>0</v>
      </c>
      <c r="P97" s="773">
        <v>0</v>
      </c>
      <c r="Q97" s="773">
        <v>0</v>
      </c>
      <c r="R97" s="773">
        <v>105687</v>
      </c>
      <c r="S97" s="773">
        <v>0</v>
      </c>
      <c r="T97" s="773">
        <v>2000</v>
      </c>
      <c r="U97" s="773">
        <v>46914</v>
      </c>
      <c r="V97" s="773">
        <v>31952</v>
      </c>
      <c r="W97" s="773">
        <v>658314</v>
      </c>
      <c r="X97" s="773">
        <v>0</v>
      </c>
      <c r="Y97" s="773">
        <v>10266</v>
      </c>
      <c r="Z97" s="773">
        <v>66025</v>
      </c>
      <c r="AA97" s="773">
        <v>1752941</v>
      </c>
      <c r="AB97" s="772">
        <v>0</v>
      </c>
      <c r="AC97" s="772">
        <v>12718</v>
      </c>
      <c r="AD97" s="772">
        <v>0</v>
      </c>
      <c r="AE97" s="772">
        <v>0</v>
      </c>
      <c r="AF97" s="772">
        <v>0</v>
      </c>
      <c r="AG97" s="772">
        <v>4439249</v>
      </c>
      <c r="AH97" s="772">
        <v>0</v>
      </c>
      <c r="AI97" s="772">
        <v>0</v>
      </c>
      <c r="AJ97" s="772">
        <v>16767</v>
      </c>
      <c r="AK97" s="772">
        <v>0</v>
      </c>
      <c r="AL97" s="772">
        <v>0</v>
      </c>
      <c r="AM97" s="772">
        <v>845901</v>
      </c>
      <c r="AN97" s="772">
        <v>47623</v>
      </c>
      <c r="AO97" s="772">
        <v>524800</v>
      </c>
      <c r="AP97" s="772">
        <v>0</v>
      </c>
      <c r="AQ97" s="772">
        <v>152418</v>
      </c>
      <c r="AR97" s="772">
        <v>0</v>
      </c>
      <c r="AS97" s="772">
        <v>0</v>
      </c>
      <c r="AT97" s="772">
        <v>141067</v>
      </c>
      <c r="AU97" s="772">
        <v>2000</v>
      </c>
      <c r="AV97" s="772">
        <v>14295000</v>
      </c>
      <c r="AW97" s="772">
        <v>7379100</v>
      </c>
      <c r="AX97" s="772">
        <v>8000</v>
      </c>
      <c r="AY97" s="772">
        <v>16358</v>
      </c>
      <c r="AZ97" s="772">
        <v>32984</v>
      </c>
      <c r="BA97" s="772">
        <v>0</v>
      </c>
      <c r="BB97" s="772">
        <v>18000</v>
      </c>
      <c r="BC97" s="772">
        <v>107447</v>
      </c>
      <c r="BD97" s="772">
        <v>3000</v>
      </c>
      <c r="BE97" s="772">
        <v>0</v>
      </c>
      <c r="BF97" s="772">
        <v>16557</v>
      </c>
      <c r="BG97" s="772">
        <v>1252705</v>
      </c>
      <c r="BH97" s="772">
        <v>0</v>
      </c>
      <c r="BI97" s="772">
        <v>377164</v>
      </c>
      <c r="BJ97" s="772">
        <v>35263</v>
      </c>
      <c r="BK97" s="772">
        <v>0</v>
      </c>
      <c r="BL97" s="772">
        <v>0</v>
      </c>
      <c r="BM97" s="772">
        <v>2458466</v>
      </c>
      <c r="BN97" s="772">
        <v>2511325</v>
      </c>
      <c r="BO97" s="772">
        <v>379585</v>
      </c>
      <c r="BP97" s="772">
        <v>2580835</v>
      </c>
      <c r="BQ97" s="772">
        <v>9820488</v>
      </c>
      <c r="BR97" s="772">
        <v>0</v>
      </c>
      <c r="BS97" s="772">
        <v>93349</v>
      </c>
      <c r="BT97" s="772">
        <v>0</v>
      </c>
      <c r="BU97" s="772">
        <v>3349500</v>
      </c>
      <c r="BV97" s="772">
        <v>0</v>
      </c>
      <c r="BW97" s="772">
        <v>0</v>
      </c>
      <c r="BX97" s="772">
        <v>616276</v>
      </c>
      <c r="BY97" s="772">
        <v>0</v>
      </c>
      <c r="BZ97" s="772">
        <v>2759157</v>
      </c>
      <c r="CA97" s="772">
        <v>8611</v>
      </c>
      <c r="CB97" s="772">
        <v>0</v>
      </c>
      <c r="CC97" s="772">
        <v>16956</v>
      </c>
      <c r="CD97" s="772">
        <v>0</v>
      </c>
      <c r="CE97" s="772">
        <v>0</v>
      </c>
    </row>
    <row r="98" spans="1:83" x14ac:dyDescent="0.25">
      <c r="A98" s="767">
        <v>332</v>
      </c>
      <c r="B98" s="752">
        <v>332</v>
      </c>
      <c r="C98" s="768" t="s">
        <v>313</v>
      </c>
      <c r="D98" s="635" t="s">
        <v>480</v>
      </c>
      <c r="E98" s="769">
        <v>3135322</v>
      </c>
      <c r="F98" s="770">
        <v>1290858</v>
      </c>
      <c r="G98" s="770">
        <v>0</v>
      </c>
      <c r="H98" s="770">
        <v>17776</v>
      </c>
      <c r="I98" s="770">
        <v>0</v>
      </c>
      <c r="J98" s="770">
        <v>0</v>
      </c>
      <c r="K98" s="771">
        <v>0</v>
      </c>
      <c r="L98" s="772">
        <v>96308</v>
      </c>
      <c r="M98" s="772">
        <v>1282356</v>
      </c>
      <c r="N98" s="773">
        <v>0</v>
      </c>
      <c r="O98" s="773">
        <v>0</v>
      </c>
      <c r="P98" s="773">
        <v>0</v>
      </c>
      <c r="Q98" s="773">
        <v>240353</v>
      </c>
      <c r="R98" s="773">
        <v>27396</v>
      </c>
      <c r="S98" s="773">
        <v>0</v>
      </c>
      <c r="T98" s="773">
        <v>0</v>
      </c>
      <c r="U98" s="773">
        <v>20576</v>
      </c>
      <c r="V98" s="773">
        <v>33725</v>
      </c>
      <c r="W98" s="773">
        <v>803383</v>
      </c>
      <c r="X98" s="773">
        <v>0</v>
      </c>
      <c r="Y98" s="773">
        <v>56618</v>
      </c>
      <c r="Z98" s="773">
        <v>881623</v>
      </c>
      <c r="AA98" s="773">
        <v>7702879</v>
      </c>
      <c r="AB98" s="772">
        <v>0</v>
      </c>
      <c r="AC98" s="772">
        <v>1116492</v>
      </c>
      <c r="AD98" s="772">
        <v>0</v>
      </c>
      <c r="AE98" s="772">
        <v>0</v>
      </c>
      <c r="AF98" s="772">
        <v>0</v>
      </c>
      <c r="AG98" s="772">
        <v>25461979</v>
      </c>
      <c r="AH98" s="772">
        <v>0</v>
      </c>
      <c r="AI98" s="772">
        <v>0</v>
      </c>
      <c r="AJ98" s="772">
        <v>180059</v>
      </c>
      <c r="AK98" s="772">
        <v>0</v>
      </c>
      <c r="AL98" s="772">
        <v>0</v>
      </c>
      <c r="AM98" s="772">
        <v>4515908</v>
      </c>
      <c r="AN98" s="772">
        <v>23670</v>
      </c>
      <c r="AO98" s="772">
        <v>1064479</v>
      </c>
      <c r="AP98" s="772">
        <v>0</v>
      </c>
      <c r="AQ98" s="772">
        <v>892746</v>
      </c>
      <c r="AR98" s="772">
        <v>0</v>
      </c>
      <c r="AS98" s="772">
        <v>0</v>
      </c>
      <c r="AT98" s="772">
        <v>190340</v>
      </c>
      <c r="AU98" s="772">
        <v>5658</v>
      </c>
      <c r="AV98" s="772">
        <v>53075953</v>
      </c>
      <c r="AW98" s="772">
        <v>8082008</v>
      </c>
      <c r="AX98" s="772">
        <v>0</v>
      </c>
      <c r="AY98" s="772">
        <v>9985</v>
      </c>
      <c r="AZ98" s="772">
        <v>16888</v>
      </c>
      <c r="BA98" s="772">
        <v>4576</v>
      </c>
      <c r="BB98" s="772">
        <v>0</v>
      </c>
      <c r="BC98" s="772">
        <v>241076</v>
      </c>
      <c r="BD98" s="772">
        <v>0</v>
      </c>
      <c r="BE98" s="772">
        <v>0</v>
      </c>
      <c r="BF98" s="772">
        <v>0</v>
      </c>
      <c r="BG98" s="772">
        <v>6329383</v>
      </c>
      <c r="BH98" s="772">
        <v>0</v>
      </c>
      <c r="BI98" s="772">
        <v>3213413</v>
      </c>
      <c r="BJ98" s="772">
        <v>88751</v>
      </c>
      <c r="BK98" s="772">
        <v>0</v>
      </c>
      <c r="BL98" s="772">
        <v>0</v>
      </c>
      <c r="BM98" s="772">
        <v>4103340</v>
      </c>
      <c r="BN98" s="772">
        <v>3054796</v>
      </c>
      <c r="BO98" s="772">
        <v>36532</v>
      </c>
      <c r="BP98" s="772">
        <v>9138152</v>
      </c>
      <c r="BQ98" s="772">
        <v>10744560</v>
      </c>
      <c r="BR98" s="772">
        <v>81808</v>
      </c>
      <c r="BS98" s="772">
        <v>1091791</v>
      </c>
      <c r="BT98" s="772">
        <v>0</v>
      </c>
      <c r="BU98" s="772">
        <v>1946686</v>
      </c>
      <c r="BV98" s="772">
        <v>0</v>
      </c>
      <c r="BW98" s="772">
        <v>0</v>
      </c>
      <c r="BX98" s="772">
        <v>69414</v>
      </c>
      <c r="BY98" s="772">
        <v>0</v>
      </c>
      <c r="BZ98" s="772">
        <v>1091690</v>
      </c>
      <c r="CA98" s="772">
        <v>2498</v>
      </c>
      <c r="CB98" s="772">
        <v>0</v>
      </c>
      <c r="CC98" s="772">
        <v>8411</v>
      </c>
      <c r="CD98" s="772">
        <v>0</v>
      </c>
      <c r="CE98" s="772">
        <v>0</v>
      </c>
    </row>
    <row r="99" spans="1:83" x14ac:dyDescent="0.25">
      <c r="A99" s="767">
        <v>333</v>
      </c>
      <c r="B99" s="752">
        <v>333</v>
      </c>
      <c r="C99" s="768" t="s">
        <v>249</v>
      </c>
      <c r="D99" s="635" t="s">
        <v>481</v>
      </c>
      <c r="E99" s="769">
        <v>551544</v>
      </c>
      <c r="F99" s="770">
        <v>666728</v>
      </c>
      <c r="G99" s="770">
        <v>491067</v>
      </c>
      <c r="H99" s="770">
        <v>998782</v>
      </c>
      <c r="I99" s="770">
        <v>544093</v>
      </c>
      <c r="J99" s="770">
        <v>191914</v>
      </c>
      <c r="K99" s="771">
        <v>98393</v>
      </c>
      <c r="L99" s="772">
        <v>433537</v>
      </c>
      <c r="M99" s="772">
        <v>2558556</v>
      </c>
      <c r="N99" s="773">
        <v>88049278</v>
      </c>
      <c r="O99" s="773">
        <v>3249317</v>
      </c>
      <c r="P99" s="773">
        <v>4112158</v>
      </c>
      <c r="Q99" s="773">
        <v>141695</v>
      </c>
      <c r="R99" s="773">
        <v>8119719</v>
      </c>
      <c r="S99" s="773">
        <v>111271</v>
      </c>
      <c r="T99" s="773">
        <v>399910</v>
      </c>
      <c r="U99" s="773">
        <v>389350</v>
      </c>
      <c r="V99" s="773">
        <v>1060667</v>
      </c>
      <c r="W99" s="773">
        <v>2151030</v>
      </c>
      <c r="X99" s="773">
        <v>1265732</v>
      </c>
      <c r="Y99" s="773">
        <v>679253</v>
      </c>
      <c r="Z99" s="773">
        <v>323441</v>
      </c>
      <c r="AA99" s="773">
        <v>20717742</v>
      </c>
      <c r="AB99" s="772">
        <v>4038212</v>
      </c>
      <c r="AC99" s="772">
        <v>627680</v>
      </c>
      <c r="AD99" s="772">
        <v>30556024</v>
      </c>
      <c r="AE99" s="772">
        <v>396788</v>
      </c>
      <c r="AF99" s="772">
        <v>204218</v>
      </c>
      <c r="AG99" s="772">
        <v>26593087</v>
      </c>
      <c r="AH99" s="772">
        <v>776215</v>
      </c>
      <c r="AI99" s="772">
        <v>251285</v>
      </c>
      <c r="AJ99" s="772">
        <v>2717326</v>
      </c>
      <c r="AK99" s="772">
        <v>556594</v>
      </c>
      <c r="AL99" s="772">
        <v>31500</v>
      </c>
      <c r="AM99" s="772">
        <v>10634229</v>
      </c>
      <c r="AN99" s="772">
        <v>504090</v>
      </c>
      <c r="AO99" s="772">
        <v>11738289</v>
      </c>
      <c r="AP99" s="772">
        <v>70662</v>
      </c>
      <c r="AQ99" s="772">
        <v>2955566</v>
      </c>
      <c r="AR99" s="772">
        <v>1770042</v>
      </c>
      <c r="AS99" s="772">
        <v>182280</v>
      </c>
      <c r="AT99" s="772">
        <v>508709</v>
      </c>
      <c r="AU99" s="772">
        <v>360497</v>
      </c>
      <c r="AV99" s="772">
        <v>140894648</v>
      </c>
      <c r="AW99" s="772">
        <v>40597586</v>
      </c>
      <c r="AX99" s="772">
        <v>705876</v>
      </c>
      <c r="AY99" s="772">
        <v>261421</v>
      </c>
      <c r="AZ99" s="772">
        <v>150166</v>
      </c>
      <c r="BA99" s="772">
        <v>103519</v>
      </c>
      <c r="BB99" s="772">
        <v>864040</v>
      </c>
      <c r="BC99" s="772">
        <v>2503346</v>
      </c>
      <c r="BD99" s="772">
        <v>1092686</v>
      </c>
      <c r="BE99" s="772">
        <v>177458</v>
      </c>
      <c r="BF99" s="772">
        <v>107787</v>
      </c>
      <c r="BG99" s="772">
        <v>7861245</v>
      </c>
      <c r="BH99" s="772">
        <v>45990</v>
      </c>
      <c r="BI99" s="772">
        <v>11399445</v>
      </c>
      <c r="BJ99" s="772">
        <v>614775</v>
      </c>
      <c r="BK99" s="772">
        <v>385064</v>
      </c>
      <c r="BL99" s="772">
        <v>466177</v>
      </c>
      <c r="BM99" s="772">
        <v>10636923</v>
      </c>
      <c r="BN99" s="772">
        <v>5202670</v>
      </c>
      <c r="BO99" s="772">
        <v>1414239</v>
      </c>
      <c r="BP99" s="772">
        <v>36638833</v>
      </c>
      <c r="BQ99" s="772">
        <v>51311425</v>
      </c>
      <c r="BR99" s="772">
        <v>204280</v>
      </c>
      <c r="BS99" s="772">
        <v>4720122</v>
      </c>
      <c r="BT99" s="772">
        <v>2696016</v>
      </c>
      <c r="BU99" s="772">
        <v>5940645</v>
      </c>
      <c r="BV99" s="772">
        <v>214661</v>
      </c>
      <c r="BW99" s="772">
        <v>1041731</v>
      </c>
      <c r="BX99" s="772">
        <v>8949498</v>
      </c>
      <c r="BY99" s="772">
        <v>1699028</v>
      </c>
      <c r="BZ99" s="772">
        <v>21983257</v>
      </c>
      <c r="CA99" s="772">
        <v>252390</v>
      </c>
      <c r="CB99" s="772">
        <v>8144787</v>
      </c>
      <c r="CC99" s="772">
        <v>274307</v>
      </c>
      <c r="CD99" s="772">
        <v>1410846</v>
      </c>
      <c r="CE99" s="772">
        <v>41747917</v>
      </c>
    </row>
    <row r="100" spans="1:83" x14ac:dyDescent="0.25">
      <c r="A100" s="767">
        <v>334</v>
      </c>
      <c r="B100" s="752">
        <v>334</v>
      </c>
      <c r="C100" s="768" t="s">
        <v>341</v>
      </c>
      <c r="D100" s="635" t="s">
        <v>482</v>
      </c>
      <c r="E100" s="769">
        <v>912262</v>
      </c>
      <c r="F100" s="770">
        <v>4043118</v>
      </c>
      <c r="G100" s="770">
        <v>1347413</v>
      </c>
      <c r="H100" s="770">
        <v>995667</v>
      </c>
      <c r="I100" s="770">
        <v>1296230</v>
      </c>
      <c r="J100" s="770">
        <v>465374</v>
      </c>
      <c r="K100" s="771">
        <v>146143</v>
      </c>
      <c r="L100" s="772">
        <v>105289</v>
      </c>
      <c r="M100" s="772">
        <v>9874229</v>
      </c>
      <c r="N100" s="773">
        <v>672666829</v>
      </c>
      <c r="O100" s="773">
        <v>3522136</v>
      </c>
      <c r="P100" s="773">
        <v>14262417</v>
      </c>
      <c r="Q100" s="773">
        <v>76699</v>
      </c>
      <c r="R100" s="773">
        <v>20610108</v>
      </c>
      <c r="S100" s="773">
        <v>269105</v>
      </c>
      <c r="T100" s="773">
        <v>553383</v>
      </c>
      <c r="U100" s="773">
        <v>2827838</v>
      </c>
      <c r="V100" s="773">
        <v>1177036</v>
      </c>
      <c r="W100" s="773">
        <v>9741388</v>
      </c>
      <c r="X100" s="773">
        <v>2005959</v>
      </c>
      <c r="Y100" s="773">
        <v>792285</v>
      </c>
      <c r="Z100" s="773">
        <v>2034456</v>
      </c>
      <c r="AA100" s="773">
        <v>89653565</v>
      </c>
      <c r="AB100" s="772">
        <v>642340</v>
      </c>
      <c r="AC100" s="772">
        <v>668542</v>
      </c>
      <c r="AD100" s="772">
        <v>134159922</v>
      </c>
      <c r="AE100" s="772">
        <v>2025072</v>
      </c>
      <c r="AF100" s="772">
        <v>1114301</v>
      </c>
      <c r="AG100" s="772">
        <v>424196902</v>
      </c>
      <c r="AH100" s="772">
        <v>528354</v>
      </c>
      <c r="AI100" s="772">
        <v>364477</v>
      </c>
      <c r="AJ100" s="772">
        <v>7564246</v>
      </c>
      <c r="AK100" s="772">
        <v>1768463</v>
      </c>
      <c r="AL100" s="772">
        <v>671242</v>
      </c>
      <c r="AM100" s="772">
        <v>121025064</v>
      </c>
      <c r="AN100" s="772">
        <v>882914</v>
      </c>
      <c r="AO100" s="772">
        <v>27297726</v>
      </c>
      <c r="AP100" s="772">
        <v>0</v>
      </c>
      <c r="AQ100" s="772">
        <v>6879274</v>
      </c>
      <c r="AR100" s="772">
        <v>4341686</v>
      </c>
      <c r="AS100" s="772">
        <v>300791</v>
      </c>
      <c r="AT100" s="772">
        <v>3105459</v>
      </c>
      <c r="AU100" s="772">
        <v>510519</v>
      </c>
      <c r="AV100" s="772">
        <v>744352894</v>
      </c>
      <c r="AW100" s="772">
        <v>225918187</v>
      </c>
      <c r="AX100" s="772">
        <v>8404448</v>
      </c>
      <c r="AY100" s="772">
        <v>582104</v>
      </c>
      <c r="AZ100" s="772">
        <v>544813</v>
      </c>
      <c r="BA100" s="772">
        <v>177479</v>
      </c>
      <c r="BB100" s="772">
        <v>565369</v>
      </c>
      <c r="BC100" s="772">
        <v>21997865</v>
      </c>
      <c r="BD100" s="772">
        <v>701750</v>
      </c>
      <c r="BE100" s="772">
        <v>433421</v>
      </c>
      <c r="BF100" s="772">
        <v>54824</v>
      </c>
      <c r="BG100" s="772">
        <v>23107693</v>
      </c>
      <c r="BH100" s="772">
        <v>63857</v>
      </c>
      <c r="BI100" s="772">
        <v>19501607</v>
      </c>
      <c r="BJ100" s="772">
        <v>5201345</v>
      </c>
      <c r="BK100" s="772">
        <v>1247055</v>
      </c>
      <c r="BL100" s="772">
        <v>274596</v>
      </c>
      <c r="BM100" s="772">
        <v>40679796</v>
      </c>
      <c r="BN100" s="772">
        <v>42504870</v>
      </c>
      <c r="BO100" s="772">
        <v>4189784</v>
      </c>
      <c r="BP100" s="772">
        <v>132195370</v>
      </c>
      <c r="BQ100" s="772">
        <v>715446935</v>
      </c>
      <c r="BR100" s="772">
        <v>1438324</v>
      </c>
      <c r="BS100" s="772">
        <v>21827244</v>
      </c>
      <c r="BT100" s="772">
        <v>4045500</v>
      </c>
      <c r="BU100" s="772">
        <v>22036415</v>
      </c>
      <c r="BV100" s="772">
        <v>2095132</v>
      </c>
      <c r="BW100" s="772">
        <v>876705</v>
      </c>
      <c r="BX100" s="772">
        <v>7087843</v>
      </c>
      <c r="BY100" s="772">
        <v>2250919</v>
      </c>
      <c r="BZ100" s="772">
        <v>129468077</v>
      </c>
      <c r="CA100" s="772">
        <v>1918233</v>
      </c>
      <c r="CB100" s="772">
        <v>36324300</v>
      </c>
      <c r="CC100" s="772">
        <v>1109860</v>
      </c>
      <c r="CD100" s="772">
        <v>5970750</v>
      </c>
      <c r="CE100" s="772">
        <v>127048786</v>
      </c>
    </row>
    <row r="101" spans="1:83" ht="30" x14ac:dyDescent="0.25">
      <c r="A101" s="767">
        <v>335</v>
      </c>
      <c r="B101" s="752">
        <v>335</v>
      </c>
      <c r="C101" s="768" t="s">
        <v>124</v>
      </c>
      <c r="D101" s="635" t="s">
        <v>483</v>
      </c>
      <c r="E101" s="769">
        <v>0</v>
      </c>
      <c r="F101" s="770">
        <v>0</v>
      </c>
      <c r="G101" s="770">
        <v>0</v>
      </c>
      <c r="H101" s="770">
        <v>0</v>
      </c>
      <c r="I101" s="770">
        <v>2300</v>
      </c>
      <c r="J101" s="770">
        <v>0</v>
      </c>
      <c r="K101" s="771">
        <v>0</v>
      </c>
      <c r="L101" s="772">
        <v>0</v>
      </c>
      <c r="M101" s="772">
        <v>0</v>
      </c>
      <c r="N101" s="773">
        <v>1317199</v>
      </c>
      <c r="O101" s="773">
        <v>0</v>
      </c>
      <c r="P101" s="773">
        <v>0</v>
      </c>
      <c r="Q101" s="773">
        <v>12675</v>
      </c>
      <c r="R101" s="773">
        <v>0</v>
      </c>
      <c r="S101" s="773">
        <v>0</v>
      </c>
      <c r="T101" s="773">
        <v>0</v>
      </c>
      <c r="U101" s="773">
        <v>0</v>
      </c>
      <c r="V101" s="773">
        <v>0</v>
      </c>
      <c r="W101" s="773">
        <v>0</v>
      </c>
      <c r="X101" s="773">
        <v>0</v>
      </c>
      <c r="Y101" s="773">
        <v>0</v>
      </c>
      <c r="Z101" s="773">
        <v>0</v>
      </c>
      <c r="AA101" s="773">
        <v>0</v>
      </c>
      <c r="AB101" s="772">
        <v>0</v>
      </c>
      <c r="AC101" s="772">
        <v>0</v>
      </c>
      <c r="AD101" s="772">
        <v>0</v>
      </c>
      <c r="AE101" s="772">
        <v>0</v>
      </c>
      <c r="AF101" s="772">
        <v>0</v>
      </c>
      <c r="AG101" s="772">
        <v>0</v>
      </c>
      <c r="AH101" s="772">
        <v>0</v>
      </c>
      <c r="AI101" s="772">
        <v>0</v>
      </c>
      <c r="AJ101" s="772">
        <v>0</v>
      </c>
      <c r="AK101" s="772">
        <v>0</v>
      </c>
      <c r="AL101" s="772">
        <v>0</v>
      </c>
      <c r="AM101" s="772">
        <v>0</v>
      </c>
      <c r="AN101" s="772">
        <v>0</v>
      </c>
      <c r="AO101" s="772">
        <v>0</v>
      </c>
      <c r="AP101" s="772">
        <v>0</v>
      </c>
      <c r="AQ101" s="772">
        <v>0</v>
      </c>
      <c r="AR101" s="772">
        <v>0</v>
      </c>
      <c r="AS101" s="772">
        <v>0</v>
      </c>
      <c r="AT101" s="772">
        <v>0</v>
      </c>
      <c r="AU101" s="772">
        <v>0</v>
      </c>
      <c r="AV101" s="772">
        <v>2802144</v>
      </c>
      <c r="AW101" s="772">
        <v>0</v>
      </c>
      <c r="AX101" s="772">
        <v>0</v>
      </c>
      <c r="AY101" s="772">
        <v>0</v>
      </c>
      <c r="AZ101" s="772">
        <v>0</v>
      </c>
      <c r="BA101" s="772">
        <v>0</v>
      </c>
      <c r="BB101" s="772">
        <v>0</v>
      </c>
      <c r="BC101" s="772">
        <v>0</v>
      </c>
      <c r="BD101" s="772">
        <v>0</v>
      </c>
      <c r="BE101" s="772">
        <v>0</v>
      </c>
      <c r="BF101" s="772">
        <v>0</v>
      </c>
      <c r="BG101" s="772">
        <v>12740</v>
      </c>
      <c r="BH101" s="772">
        <v>0</v>
      </c>
      <c r="BI101" s="772">
        <v>1117757</v>
      </c>
      <c r="BJ101" s="772">
        <v>0</v>
      </c>
      <c r="BK101" s="772">
        <v>145478</v>
      </c>
      <c r="BL101" s="772">
        <v>0</v>
      </c>
      <c r="BM101" s="772">
        <v>0</v>
      </c>
      <c r="BN101" s="772">
        <v>2400</v>
      </c>
      <c r="BO101" s="772">
        <v>0</v>
      </c>
      <c r="BP101" s="772">
        <v>0</v>
      </c>
      <c r="BQ101" s="772">
        <v>0</v>
      </c>
      <c r="BR101" s="772">
        <v>0</v>
      </c>
      <c r="BS101" s="772">
        <v>0</v>
      </c>
      <c r="BT101" s="772">
        <v>0</v>
      </c>
      <c r="BU101" s="772">
        <v>40006</v>
      </c>
      <c r="BV101" s="772">
        <v>0</v>
      </c>
      <c r="BW101" s="772">
        <v>0</v>
      </c>
      <c r="BX101" s="772">
        <v>0</v>
      </c>
      <c r="BY101" s="772">
        <v>0</v>
      </c>
      <c r="BZ101" s="772">
        <v>0</v>
      </c>
      <c r="CA101" s="772">
        <v>0</v>
      </c>
      <c r="CB101" s="772">
        <v>0</v>
      </c>
      <c r="CC101" s="772">
        <v>0</v>
      </c>
      <c r="CD101" s="772">
        <v>10575</v>
      </c>
      <c r="CE101" s="772">
        <v>0</v>
      </c>
    </row>
    <row r="102" spans="1:83" x14ac:dyDescent="0.25">
      <c r="A102" s="767">
        <v>336</v>
      </c>
      <c r="B102" s="752">
        <v>336</v>
      </c>
      <c r="C102" s="768" t="s">
        <v>733</v>
      </c>
      <c r="D102" s="635" t="s">
        <v>484</v>
      </c>
      <c r="E102" s="769">
        <v>6902</v>
      </c>
      <c r="F102" s="770">
        <v>71541</v>
      </c>
      <c r="G102" s="770">
        <v>17197</v>
      </c>
      <c r="H102" s="770">
        <v>41694</v>
      </c>
      <c r="I102" s="770">
        <v>166740</v>
      </c>
      <c r="J102" s="770">
        <v>7913</v>
      </c>
      <c r="K102" s="771">
        <v>467</v>
      </c>
      <c r="L102" s="772">
        <v>421</v>
      </c>
      <c r="M102" s="772">
        <v>382786</v>
      </c>
      <c r="N102" s="773">
        <v>22415015</v>
      </c>
      <c r="O102" s="773">
        <v>47455</v>
      </c>
      <c r="P102" s="773">
        <v>348868</v>
      </c>
      <c r="Q102" s="773">
        <v>17585</v>
      </c>
      <c r="R102" s="773">
        <v>1237589</v>
      </c>
      <c r="S102" s="773">
        <v>0</v>
      </c>
      <c r="T102" s="773">
        <v>15449</v>
      </c>
      <c r="U102" s="773">
        <v>134352</v>
      </c>
      <c r="V102" s="773">
        <v>145003</v>
      </c>
      <c r="W102" s="773">
        <v>390843</v>
      </c>
      <c r="X102" s="773">
        <v>101310</v>
      </c>
      <c r="Y102" s="773">
        <v>10217</v>
      </c>
      <c r="Z102" s="773">
        <v>214320</v>
      </c>
      <c r="AA102" s="773">
        <v>3676077</v>
      </c>
      <c r="AB102" s="772">
        <v>2806</v>
      </c>
      <c r="AC102" s="772">
        <v>19593</v>
      </c>
      <c r="AD102" s="772">
        <v>3962742</v>
      </c>
      <c r="AE102" s="772">
        <v>63006</v>
      </c>
      <c r="AF102" s="772">
        <v>15785</v>
      </c>
      <c r="AG102" s="772">
        <v>11689596</v>
      </c>
      <c r="AH102" s="772">
        <v>13785</v>
      </c>
      <c r="AI102" s="772">
        <v>2823</v>
      </c>
      <c r="AJ102" s="772">
        <v>336259</v>
      </c>
      <c r="AK102" s="772">
        <v>12708</v>
      </c>
      <c r="AL102" s="772">
        <v>3244</v>
      </c>
      <c r="AM102" s="772">
        <v>7021993</v>
      </c>
      <c r="AN102" s="772">
        <v>0</v>
      </c>
      <c r="AO102" s="772">
        <v>627192</v>
      </c>
      <c r="AP102" s="772">
        <v>1400</v>
      </c>
      <c r="AQ102" s="772">
        <v>190889</v>
      </c>
      <c r="AR102" s="772">
        <v>105277</v>
      </c>
      <c r="AS102" s="772">
        <v>1044</v>
      </c>
      <c r="AT102" s="772">
        <v>77915</v>
      </c>
      <c r="AU102" s="772">
        <v>20030</v>
      </c>
      <c r="AV102" s="772">
        <v>125046108</v>
      </c>
      <c r="AW102" s="772">
        <v>10638250</v>
      </c>
      <c r="AX102" s="772">
        <v>126612</v>
      </c>
      <c r="AY102" s="772">
        <v>4385</v>
      </c>
      <c r="AZ102" s="772">
        <v>34986</v>
      </c>
      <c r="BA102" s="772">
        <v>2129</v>
      </c>
      <c r="BB102" s="772">
        <v>36416</v>
      </c>
      <c r="BC102" s="772">
        <v>286612</v>
      </c>
      <c r="BD102" s="772">
        <v>6576</v>
      </c>
      <c r="BE102" s="772">
        <v>2819</v>
      </c>
      <c r="BF102" s="772">
        <v>2142</v>
      </c>
      <c r="BG102" s="772">
        <v>1033811</v>
      </c>
      <c r="BH102" s="772">
        <v>0</v>
      </c>
      <c r="BI102" s="772">
        <v>1704477</v>
      </c>
      <c r="BJ102" s="772">
        <v>134917</v>
      </c>
      <c r="BK102" s="772">
        <v>165365</v>
      </c>
      <c r="BL102" s="772">
        <v>803</v>
      </c>
      <c r="BM102" s="772">
        <v>1184164</v>
      </c>
      <c r="BN102" s="772">
        <v>1469983</v>
      </c>
      <c r="BO102" s="772">
        <v>160865</v>
      </c>
      <c r="BP102" s="772">
        <v>4042946</v>
      </c>
      <c r="BQ102" s="772">
        <v>21179378</v>
      </c>
      <c r="BR102" s="772">
        <v>7152</v>
      </c>
      <c r="BS102" s="772">
        <v>269633</v>
      </c>
      <c r="BT102" s="772">
        <v>75288</v>
      </c>
      <c r="BU102" s="772">
        <v>1961109</v>
      </c>
      <c r="BV102" s="772">
        <v>5271</v>
      </c>
      <c r="BW102" s="772">
        <v>28041</v>
      </c>
      <c r="BX102" s="772">
        <v>1599591</v>
      </c>
      <c r="BY102" s="772">
        <v>171393</v>
      </c>
      <c r="BZ102" s="772">
        <v>6099220</v>
      </c>
      <c r="CA102" s="772">
        <v>46486</v>
      </c>
      <c r="CB102" s="772">
        <v>1671404</v>
      </c>
      <c r="CC102" s="772">
        <v>24995</v>
      </c>
      <c r="CD102" s="772">
        <v>202711</v>
      </c>
      <c r="CE102" s="772">
        <v>7566004</v>
      </c>
    </row>
    <row r="103" spans="1:83" x14ac:dyDescent="0.25">
      <c r="A103" s="767">
        <v>337</v>
      </c>
      <c r="B103" s="752">
        <v>337</v>
      </c>
      <c r="C103" s="768" t="s">
        <v>319</v>
      </c>
      <c r="D103" s="635" t="s">
        <v>485</v>
      </c>
      <c r="E103" s="769">
        <v>26743</v>
      </c>
      <c r="F103" s="770">
        <v>133882</v>
      </c>
      <c r="G103" s="770">
        <v>0</v>
      </c>
      <c r="H103" s="770">
        <v>0</v>
      </c>
      <c r="I103" s="770">
        <v>143400</v>
      </c>
      <c r="J103" s="770">
        <v>0</v>
      </c>
      <c r="K103" s="771">
        <v>0</v>
      </c>
      <c r="L103" s="772">
        <v>0</v>
      </c>
      <c r="M103" s="772">
        <v>185548</v>
      </c>
      <c r="N103" s="773">
        <v>76221431</v>
      </c>
      <c r="O103" s="773">
        <v>0</v>
      </c>
      <c r="P103" s="773">
        <v>7166958</v>
      </c>
      <c r="Q103" s="773">
        <v>0</v>
      </c>
      <c r="R103" s="773">
        <v>826411</v>
      </c>
      <c r="S103" s="773">
        <v>0</v>
      </c>
      <c r="T103" s="773">
        <v>186929</v>
      </c>
      <c r="U103" s="773">
        <v>994109</v>
      </c>
      <c r="V103" s="773">
        <v>823041</v>
      </c>
      <c r="W103" s="773">
        <v>1022826</v>
      </c>
      <c r="X103" s="773">
        <v>163471</v>
      </c>
      <c r="Y103" s="773">
        <v>0</v>
      </c>
      <c r="Z103" s="773">
        <v>249281</v>
      </c>
      <c r="AA103" s="773">
        <v>12877622</v>
      </c>
      <c r="AB103" s="772">
        <v>0</v>
      </c>
      <c r="AC103" s="772">
        <v>8724</v>
      </c>
      <c r="AD103" s="772">
        <v>36144824</v>
      </c>
      <c r="AE103" s="772">
        <v>982574</v>
      </c>
      <c r="AF103" s="772">
        <v>144570</v>
      </c>
      <c r="AG103" s="772">
        <v>44355004</v>
      </c>
      <c r="AH103" s="772">
        <v>0</v>
      </c>
      <c r="AI103" s="772">
        <v>0</v>
      </c>
      <c r="AJ103" s="772">
        <v>1633573</v>
      </c>
      <c r="AK103" s="772">
        <v>0</v>
      </c>
      <c r="AL103" s="772">
        <v>0</v>
      </c>
      <c r="AM103" s="772">
        <v>31560739</v>
      </c>
      <c r="AN103" s="772">
        <v>0</v>
      </c>
      <c r="AO103" s="772">
        <v>0</v>
      </c>
      <c r="AP103" s="772">
        <v>0</v>
      </c>
      <c r="AQ103" s="772">
        <v>241235</v>
      </c>
      <c r="AR103" s="772">
        <v>250000</v>
      </c>
      <c r="AS103" s="772">
        <v>0</v>
      </c>
      <c r="AT103" s="772">
        <v>415893</v>
      </c>
      <c r="AU103" s="772">
        <v>0</v>
      </c>
      <c r="AV103" s="772">
        <v>278214439</v>
      </c>
      <c r="AW103" s="772">
        <v>37083638</v>
      </c>
      <c r="AX103" s="772">
        <v>1359799</v>
      </c>
      <c r="AY103" s="772">
        <v>0</v>
      </c>
      <c r="AZ103" s="772">
        <v>0</v>
      </c>
      <c r="BA103" s="772">
        <v>18675</v>
      </c>
      <c r="BB103" s="772">
        <v>0</v>
      </c>
      <c r="BC103" s="772">
        <v>235782</v>
      </c>
      <c r="BD103" s="772">
        <v>0</v>
      </c>
      <c r="BE103" s="772">
        <v>0</v>
      </c>
      <c r="BF103" s="772">
        <v>335628</v>
      </c>
      <c r="BG103" s="772">
        <v>8922604</v>
      </c>
      <c r="BH103" s="772">
        <v>0</v>
      </c>
      <c r="BI103" s="772">
        <v>6341428</v>
      </c>
      <c r="BJ103" s="772">
        <v>215541</v>
      </c>
      <c r="BK103" s="772">
        <v>11000</v>
      </c>
      <c r="BL103" s="772">
        <v>0</v>
      </c>
      <c r="BM103" s="772">
        <v>1487961</v>
      </c>
      <c r="BN103" s="772">
        <v>6615299</v>
      </c>
      <c r="BO103" s="772">
        <v>781467</v>
      </c>
      <c r="BP103" s="772">
        <v>2681921</v>
      </c>
      <c r="BQ103" s="772">
        <v>96864625</v>
      </c>
      <c r="BR103" s="772">
        <v>250000</v>
      </c>
      <c r="BS103" s="772">
        <v>183246</v>
      </c>
      <c r="BT103" s="772">
        <v>175600</v>
      </c>
      <c r="BU103" s="772">
        <v>5829231</v>
      </c>
      <c r="BV103" s="772">
        <v>32138</v>
      </c>
      <c r="BW103" s="772">
        <v>0</v>
      </c>
      <c r="BX103" s="772">
        <v>13202156</v>
      </c>
      <c r="BY103" s="772">
        <v>494344</v>
      </c>
      <c r="BZ103" s="772">
        <v>40021846</v>
      </c>
      <c r="CA103" s="772">
        <v>49544</v>
      </c>
      <c r="CB103" s="772">
        <v>6842981</v>
      </c>
      <c r="CC103" s="772">
        <v>293076</v>
      </c>
      <c r="CD103" s="772">
        <v>13738</v>
      </c>
      <c r="CE103" s="772">
        <v>38510983</v>
      </c>
    </row>
    <row r="104" spans="1:83" x14ac:dyDescent="0.25">
      <c r="A104" s="767">
        <v>338</v>
      </c>
      <c r="B104" s="752">
        <v>338</v>
      </c>
      <c r="C104" s="768" t="s">
        <v>123</v>
      </c>
      <c r="D104" s="635" t="s">
        <v>486</v>
      </c>
      <c r="E104" s="769">
        <v>346368</v>
      </c>
      <c r="F104" s="770">
        <v>2537108</v>
      </c>
      <c r="G104" s="770">
        <v>17514</v>
      </c>
      <c r="H104" s="770">
        <v>306676</v>
      </c>
      <c r="I104" s="770">
        <v>304851</v>
      </c>
      <c r="J104" s="770">
        <v>10311</v>
      </c>
      <c r="K104" s="771">
        <v>467</v>
      </c>
      <c r="L104" s="772">
        <v>421</v>
      </c>
      <c r="M104" s="772">
        <v>3744448</v>
      </c>
      <c r="N104" s="773">
        <v>183531169</v>
      </c>
      <c r="O104" s="773">
        <v>99086</v>
      </c>
      <c r="P104" s="773">
        <v>8166209</v>
      </c>
      <c r="Q104" s="773">
        <v>17585</v>
      </c>
      <c r="R104" s="773">
        <v>15847512</v>
      </c>
      <c r="S104" s="773">
        <v>0</v>
      </c>
      <c r="T104" s="773">
        <v>195537</v>
      </c>
      <c r="U104" s="773">
        <v>1280263</v>
      </c>
      <c r="V104" s="773">
        <v>962484</v>
      </c>
      <c r="W104" s="773">
        <v>3722688</v>
      </c>
      <c r="X104" s="773">
        <v>540764</v>
      </c>
      <c r="Y104" s="773">
        <v>19177</v>
      </c>
      <c r="Z104" s="773">
        <v>1213525</v>
      </c>
      <c r="AA104" s="773">
        <v>23739269</v>
      </c>
      <c r="AB104" s="772">
        <v>2806</v>
      </c>
      <c r="AC104" s="772">
        <v>45603</v>
      </c>
      <c r="AD104" s="772">
        <v>62938978</v>
      </c>
      <c r="AE104" s="772">
        <v>1102438</v>
      </c>
      <c r="AF104" s="772">
        <v>418011</v>
      </c>
      <c r="AG104" s="772">
        <v>127509726</v>
      </c>
      <c r="AH104" s="772">
        <v>13785</v>
      </c>
      <c r="AI104" s="772">
        <v>4639</v>
      </c>
      <c r="AJ104" s="772">
        <v>3477756</v>
      </c>
      <c r="AK104" s="772">
        <v>123740</v>
      </c>
      <c r="AL104" s="772">
        <v>3244</v>
      </c>
      <c r="AM104" s="772">
        <v>50438914</v>
      </c>
      <c r="AN104" s="772">
        <v>263</v>
      </c>
      <c r="AO104" s="772">
        <v>14149436</v>
      </c>
      <c r="AP104" s="772">
        <v>1400</v>
      </c>
      <c r="AQ104" s="772">
        <v>1295283</v>
      </c>
      <c r="AR104" s="772">
        <v>559031</v>
      </c>
      <c r="AS104" s="772">
        <v>1044</v>
      </c>
      <c r="AT104" s="772">
        <v>506779</v>
      </c>
      <c r="AU104" s="772">
        <v>20030</v>
      </c>
      <c r="AV104" s="772">
        <v>506981744</v>
      </c>
      <c r="AW104" s="772">
        <v>114257079</v>
      </c>
      <c r="AX104" s="772">
        <v>1598688</v>
      </c>
      <c r="AY104" s="772">
        <v>14926</v>
      </c>
      <c r="AZ104" s="772">
        <v>53013</v>
      </c>
      <c r="BA104" s="772">
        <v>18729</v>
      </c>
      <c r="BB104" s="772">
        <v>54032</v>
      </c>
      <c r="BC104" s="772">
        <v>7812123</v>
      </c>
      <c r="BD104" s="772">
        <v>6576</v>
      </c>
      <c r="BE104" s="772">
        <v>2819</v>
      </c>
      <c r="BF104" s="772">
        <v>2142</v>
      </c>
      <c r="BG104" s="772">
        <v>10993315</v>
      </c>
      <c r="BH104" s="772">
        <v>0</v>
      </c>
      <c r="BI104" s="772">
        <v>12475935</v>
      </c>
      <c r="BJ104" s="772">
        <v>1766373</v>
      </c>
      <c r="BK104" s="772">
        <v>165365</v>
      </c>
      <c r="BL104" s="772">
        <v>803</v>
      </c>
      <c r="BM104" s="772">
        <v>16359167</v>
      </c>
      <c r="BN104" s="772">
        <v>12506887</v>
      </c>
      <c r="BO104" s="772">
        <v>1251268</v>
      </c>
      <c r="BP104" s="772">
        <v>37595787</v>
      </c>
      <c r="BQ104" s="772">
        <v>165631666</v>
      </c>
      <c r="BR104" s="772">
        <v>257152</v>
      </c>
      <c r="BS104" s="772">
        <v>1367827</v>
      </c>
      <c r="BT104" s="772">
        <v>265198</v>
      </c>
      <c r="BU104" s="772">
        <v>9759735</v>
      </c>
      <c r="BV104" s="772">
        <v>49960</v>
      </c>
      <c r="BW104" s="772">
        <v>28041</v>
      </c>
      <c r="BX104" s="772">
        <v>13975851</v>
      </c>
      <c r="BY104" s="772">
        <v>1336521</v>
      </c>
      <c r="BZ104" s="772">
        <v>52076142</v>
      </c>
      <c r="CA104" s="772">
        <v>272197</v>
      </c>
      <c r="CB104" s="772">
        <v>18205815</v>
      </c>
      <c r="CC104" s="772">
        <v>312374</v>
      </c>
      <c r="CD104" s="772">
        <v>890664</v>
      </c>
      <c r="CE104" s="772">
        <v>53356868</v>
      </c>
    </row>
    <row r="105" spans="1:83" x14ac:dyDescent="0.25">
      <c r="A105" s="767">
        <v>339</v>
      </c>
      <c r="B105" s="752">
        <v>339</v>
      </c>
      <c r="C105" s="768" t="s">
        <v>255</v>
      </c>
      <c r="D105" s="635" t="s">
        <v>487</v>
      </c>
      <c r="E105" s="769">
        <v>116984</v>
      </c>
      <c r="F105" s="770">
        <v>233132</v>
      </c>
      <c r="G105" s="770">
        <v>14565</v>
      </c>
      <c r="H105" s="770">
        <v>130900</v>
      </c>
      <c r="I105" s="770">
        <v>19020</v>
      </c>
      <c r="J105" s="770">
        <v>7311</v>
      </c>
      <c r="K105" s="771">
        <v>875</v>
      </c>
      <c r="L105" s="772">
        <v>0</v>
      </c>
      <c r="M105" s="772">
        <v>1062699</v>
      </c>
      <c r="N105" s="773">
        <v>14542414</v>
      </c>
      <c r="O105" s="773">
        <v>4936</v>
      </c>
      <c r="P105" s="773">
        <v>132672</v>
      </c>
      <c r="Q105" s="773">
        <v>150993</v>
      </c>
      <c r="R105" s="773">
        <v>1697454</v>
      </c>
      <c r="S105" s="773">
        <v>0</v>
      </c>
      <c r="T105" s="773">
        <v>39331</v>
      </c>
      <c r="U105" s="773">
        <v>359579</v>
      </c>
      <c r="V105" s="773">
        <v>40405</v>
      </c>
      <c r="W105" s="773">
        <v>100280</v>
      </c>
      <c r="X105" s="773">
        <v>104498</v>
      </c>
      <c r="Y105" s="773">
        <v>66203</v>
      </c>
      <c r="Z105" s="773">
        <v>137519</v>
      </c>
      <c r="AA105" s="773">
        <v>4194791</v>
      </c>
      <c r="AB105" s="772">
        <v>0</v>
      </c>
      <c r="AC105" s="772">
        <v>137619</v>
      </c>
      <c r="AD105" s="772">
        <v>2889978</v>
      </c>
      <c r="AE105" s="772">
        <v>104848</v>
      </c>
      <c r="AF105" s="772">
        <v>13108</v>
      </c>
      <c r="AG105" s="772">
        <v>12122029</v>
      </c>
      <c r="AH105" s="772">
        <v>1200</v>
      </c>
      <c r="AI105" s="772">
        <v>47294</v>
      </c>
      <c r="AJ105" s="772">
        <v>465940</v>
      </c>
      <c r="AK105" s="772">
        <v>36468</v>
      </c>
      <c r="AL105" s="772">
        <v>0</v>
      </c>
      <c r="AM105" s="772">
        <v>4689703</v>
      </c>
      <c r="AN105" s="772">
        <v>10425</v>
      </c>
      <c r="AO105" s="772">
        <v>1205925</v>
      </c>
      <c r="AP105" s="772">
        <v>6550</v>
      </c>
      <c r="AQ105" s="772">
        <v>280843</v>
      </c>
      <c r="AR105" s="772">
        <v>141115</v>
      </c>
      <c r="AS105" s="772">
        <v>0</v>
      </c>
      <c r="AT105" s="772">
        <v>37370</v>
      </c>
      <c r="AU105" s="772">
        <v>3230</v>
      </c>
      <c r="AV105" s="772">
        <v>38609403</v>
      </c>
      <c r="AW105" s="772">
        <v>11876321</v>
      </c>
      <c r="AX105" s="772">
        <v>146697</v>
      </c>
      <c r="AY105" s="772">
        <v>2585</v>
      </c>
      <c r="AZ105" s="772">
        <v>46216</v>
      </c>
      <c r="BA105" s="772">
        <v>51314</v>
      </c>
      <c r="BB105" s="772">
        <v>5273</v>
      </c>
      <c r="BC105" s="772">
        <v>858650</v>
      </c>
      <c r="BD105" s="772">
        <v>6550</v>
      </c>
      <c r="BE105" s="772">
        <v>32158</v>
      </c>
      <c r="BF105" s="772">
        <v>7155</v>
      </c>
      <c r="BG105" s="772">
        <v>1140542</v>
      </c>
      <c r="BH105" s="772">
        <v>0</v>
      </c>
      <c r="BI105" s="772">
        <v>1102750</v>
      </c>
      <c r="BJ105" s="772">
        <v>115076</v>
      </c>
      <c r="BK105" s="772">
        <v>2400</v>
      </c>
      <c r="BL105" s="772">
        <v>11880</v>
      </c>
      <c r="BM105" s="772">
        <v>2771227</v>
      </c>
      <c r="BN105" s="772">
        <v>858264</v>
      </c>
      <c r="BO105" s="772">
        <v>310084</v>
      </c>
      <c r="BP105" s="772">
        <v>8795060</v>
      </c>
      <c r="BQ105" s="772">
        <v>24206507</v>
      </c>
      <c r="BR105" s="772">
        <v>39802</v>
      </c>
      <c r="BS105" s="772">
        <v>391628</v>
      </c>
      <c r="BT105" s="772">
        <v>26118</v>
      </c>
      <c r="BU105" s="772">
        <v>595400</v>
      </c>
      <c r="BV105" s="772">
        <v>35870</v>
      </c>
      <c r="BW105" s="772">
        <v>21899</v>
      </c>
      <c r="BX105" s="772">
        <v>321054</v>
      </c>
      <c r="BY105" s="772">
        <v>553044</v>
      </c>
      <c r="BZ105" s="772">
        <v>10005640</v>
      </c>
      <c r="CA105" s="772">
        <v>160944</v>
      </c>
      <c r="CB105" s="772">
        <v>2083280</v>
      </c>
      <c r="CC105" s="772">
        <v>555</v>
      </c>
      <c r="CD105" s="772">
        <v>382572</v>
      </c>
      <c r="CE105" s="772">
        <v>2001012</v>
      </c>
    </row>
    <row r="106" spans="1:83" x14ac:dyDescent="0.25">
      <c r="B106" s="752">
        <v>340</v>
      </c>
      <c r="C106" s="768" t="s">
        <v>734</v>
      </c>
      <c r="D106" s="635" t="s">
        <v>488</v>
      </c>
      <c r="E106" s="769"/>
      <c r="F106" s="770"/>
      <c r="G106" s="770"/>
      <c r="H106" s="770"/>
      <c r="I106" s="770"/>
      <c r="J106" s="770"/>
      <c r="K106" s="771"/>
      <c r="L106" s="772"/>
      <c r="M106" s="772"/>
      <c r="N106" s="773"/>
      <c r="O106" s="773"/>
      <c r="P106" s="773"/>
      <c r="Q106" s="773"/>
      <c r="R106" s="773"/>
      <c r="S106" s="773"/>
      <c r="T106" s="773"/>
      <c r="U106" s="773"/>
      <c r="V106" s="773"/>
      <c r="W106" s="773"/>
      <c r="X106" s="773"/>
      <c r="Y106" s="773"/>
      <c r="Z106" s="773"/>
      <c r="AA106" s="773"/>
      <c r="AB106" s="772"/>
      <c r="AC106" s="772"/>
      <c r="AD106" s="772"/>
      <c r="AE106" s="772"/>
      <c r="AF106" s="772"/>
      <c r="AG106" s="772"/>
      <c r="AH106" s="772"/>
      <c r="AI106" s="772"/>
      <c r="AJ106" s="772"/>
      <c r="AK106" s="772"/>
      <c r="AL106" s="772"/>
      <c r="AM106" s="772"/>
      <c r="AN106" s="772"/>
      <c r="AO106" s="772"/>
      <c r="AP106" s="772"/>
      <c r="AQ106" s="772"/>
      <c r="AR106" s="772"/>
      <c r="AS106" s="772"/>
      <c r="AT106" s="772"/>
      <c r="AU106" s="772"/>
      <c r="AV106" s="772"/>
      <c r="AW106" s="772"/>
      <c r="AX106" s="772"/>
      <c r="AY106" s="772"/>
      <c r="AZ106" s="772"/>
      <c r="BA106" s="772"/>
      <c r="BB106" s="772"/>
      <c r="BC106" s="772"/>
      <c r="BD106" s="772"/>
      <c r="BE106" s="772"/>
      <c r="BF106" s="772"/>
      <c r="BG106" s="772"/>
      <c r="BH106" s="772"/>
      <c r="BI106" s="772"/>
      <c r="BJ106" s="772"/>
      <c r="BK106" s="772"/>
      <c r="BL106" s="772"/>
      <c r="BM106" s="772"/>
      <c r="BN106" s="772"/>
      <c r="BO106" s="772"/>
      <c r="BP106" s="772"/>
      <c r="BQ106" s="772"/>
      <c r="BR106" s="772"/>
      <c r="BS106" s="772"/>
      <c r="BT106" s="772"/>
      <c r="BU106" s="772"/>
      <c r="BV106" s="772"/>
      <c r="BW106" s="772"/>
      <c r="BX106" s="772"/>
      <c r="BY106" s="772"/>
      <c r="BZ106" s="772"/>
      <c r="CA106" s="772"/>
      <c r="CB106" s="772"/>
      <c r="CC106" s="772"/>
      <c r="CD106" s="772"/>
      <c r="CE106" s="772"/>
    </row>
    <row r="107" spans="1:83" x14ac:dyDescent="0.25">
      <c r="A107" s="767">
        <v>341</v>
      </c>
      <c r="B107" s="752">
        <v>341</v>
      </c>
      <c r="C107" s="768" t="s">
        <v>258</v>
      </c>
      <c r="D107" s="635" t="s">
        <v>489</v>
      </c>
      <c r="E107" s="769">
        <v>672807</v>
      </c>
      <c r="F107" s="770">
        <v>1762490</v>
      </c>
      <c r="G107" s="770">
        <v>278141</v>
      </c>
      <c r="H107" s="770">
        <v>606792</v>
      </c>
      <c r="I107" s="770">
        <v>548799</v>
      </c>
      <c r="J107" s="770">
        <v>126188</v>
      </c>
      <c r="K107" s="771">
        <v>47738</v>
      </c>
      <c r="L107" s="772">
        <v>75343</v>
      </c>
      <c r="M107" s="772">
        <v>3324254</v>
      </c>
      <c r="N107" s="773">
        <v>139131489</v>
      </c>
      <c r="O107" s="773">
        <v>1741909</v>
      </c>
      <c r="P107" s="773">
        <v>6472272</v>
      </c>
      <c r="Q107" s="773">
        <v>12805</v>
      </c>
      <c r="R107" s="773">
        <v>6634839</v>
      </c>
      <c r="S107" s="773">
        <v>68725</v>
      </c>
      <c r="T107" s="773">
        <v>273286</v>
      </c>
      <c r="U107" s="773">
        <v>1292808</v>
      </c>
      <c r="V107" s="773">
        <v>1044025</v>
      </c>
      <c r="W107" s="773">
        <v>4177060</v>
      </c>
      <c r="X107" s="773">
        <v>1401570</v>
      </c>
      <c r="Y107" s="773">
        <v>524753</v>
      </c>
      <c r="Z107" s="773">
        <v>705255</v>
      </c>
      <c r="AA107" s="773">
        <v>21892717</v>
      </c>
      <c r="AB107" s="772">
        <v>986321</v>
      </c>
      <c r="AC107" s="772">
        <v>420809</v>
      </c>
      <c r="AD107" s="772">
        <v>27693222</v>
      </c>
      <c r="AE107" s="772">
        <v>605046</v>
      </c>
      <c r="AF107" s="772">
        <v>605391</v>
      </c>
      <c r="AG107" s="772">
        <v>54436620</v>
      </c>
      <c r="AH107" s="772">
        <v>169038</v>
      </c>
      <c r="AI107" s="772">
        <v>180673</v>
      </c>
      <c r="AJ107" s="772">
        <v>4984019</v>
      </c>
      <c r="AK107" s="772">
        <v>777216</v>
      </c>
      <c r="AL107" s="772">
        <v>67075</v>
      </c>
      <c r="AM107" s="772">
        <v>30598047</v>
      </c>
      <c r="AN107" s="772">
        <v>358388</v>
      </c>
      <c r="AO107" s="772">
        <v>10490395</v>
      </c>
      <c r="AP107" s="772">
        <v>39423</v>
      </c>
      <c r="AQ107" s="772">
        <v>3389771</v>
      </c>
      <c r="AR107" s="772">
        <v>1861030</v>
      </c>
      <c r="AS107" s="772">
        <v>67434</v>
      </c>
      <c r="AT107" s="772">
        <v>894310</v>
      </c>
      <c r="AU107" s="772">
        <v>234441</v>
      </c>
      <c r="AV107" s="772">
        <v>253088728</v>
      </c>
      <c r="AW107" s="772">
        <v>63498044</v>
      </c>
      <c r="AX107" s="772">
        <v>1279029</v>
      </c>
      <c r="AY107" s="772">
        <v>217374</v>
      </c>
      <c r="AZ107" s="772">
        <v>229018</v>
      </c>
      <c r="BA107" s="772">
        <v>132101</v>
      </c>
      <c r="BB107" s="772">
        <v>348832</v>
      </c>
      <c r="BC107" s="772">
        <v>4323043</v>
      </c>
      <c r="BD107" s="772">
        <v>255813</v>
      </c>
      <c r="BE107" s="772">
        <v>120064</v>
      </c>
      <c r="BF107" s="772">
        <v>39677</v>
      </c>
      <c r="BG107" s="772">
        <v>9255157</v>
      </c>
      <c r="BH107" s="772">
        <v>19559</v>
      </c>
      <c r="BI107" s="772">
        <v>8978366</v>
      </c>
      <c r="BJ107" s="772">
        <v>1768738</v>
      </c>
      <c r="BK107" s="772">
        <v>190704</v>
      </c>
      <c r="BL107" s="772">
        <v>82218</v>
      </c>
      <c r="BM107" s="772">
        <v>10898278</v>
      </c>
      <c r="BN107" s="772">
        <v>13687061</v>
      </c>
      <c r="BO107" s="772">
        <v>1216372</v>
      </c>
      <c r="BP107" s="772">
        <v>44932736</v>
      </c>
      <c r="BQ107" s="772">
        <v>95858691</v>
      </c>
      <c r="BR107" s="772">
        <v>244298</v>
      </c>
      <c r="BS107" s="772">
        <v>4328751</v>
      </c>
      <c r="BT107" s="772">
        <v>930942</v>
      </c>
      <c r="BU107" s="772">
        <v>9475831</v>
      </c>
      <c r="BV107" s="772">
        <v>113514</v>
      </c>
      <c r="BW107" s="772">
        <v>206088</v>
      </c>
      <c r="BX107" s="772">
        <v>5755280</v>
      </c>
      <c r="BY107" s="772">
        <v>2123969</v>
      </c>
      <c r="BZ107" s="772">
        <v>29380064</v>
      </c>
      <c r="CA107" s="772">
        <v>200360</v>
      </c>
      <c r="CB107" s="772">
        <v>10515016</v>
      </c>
      <c r="CC107" s="772">
        <v>471310</v>
      </c>
      <c r="CD107" s="772">
        <v>2391445</v>
      </c>
      <c r="CE107" s="772">
        <v>37884565</v>
      </c>
    </row>
    <row r="108" spans="1:83" x14ac:dyDescent="0.25">
      <c r="B108" s="752">
        <v>342</v>
      </c>
      <c r="C108" s="768" t="s">
        <v>735</v>
      </c>
      <c r="D108" s="635" t="s">
        <v>490</v>
      </c>
      <c r="E108" s="769"/>
      <c r="F108" s="770"/>
      <c r="G108" s="770"/>
      <c r="H108" s="770"/>
      <c r="I108" s="770"/>
      <c r="J108" s="770"/>
      <c r="K108" s="771"/>
      <c r="L108" s="772"/>
      <c r="M108" s="772"/>
      <c r="N108" s="773"/>
      <c r="O108" s="773"/>
      <c r="P108" s="773"/>
      <c r="Q108" s="773"/>
      <c r="R108" s="773"/>
      <c r="S108" s="773"/>
      <c r="T108" s="773"/>
      <c r="U108" s="773"/>
      <c r="V108" s="773"/>
      <c r="W108" s="773"/>
      <c r="X108" s="773"/>
      <c r="Y108" s="773"/>
      <c r="Z108" s="773"/>
      <c r="AA108" s="773"/>
      <c r="AB108" s="772"/>
      <c r="AC108" s="772"/>
      <c r="AD108" s="772"/>
      <c r="AE108" s="772"/>
      <c r="AF108" s="772"/>
      <c r="AG108" s="772"/>
      <c r="AH108" s="772"/>
      <c r="AI108" s="772"/>
      <c r="AJ108" s="772"/>
      <c r="AK108" s="772"/>
      <c r="AL108" s="772"/>
      <c r="AM108" s="772"/>
      <c r="AN108" s="772"/>
      <c r="AO108" s="772"/>
      <c r="AP108" s="772"/>
      <c r="AQ108" s="772"/>
      <c r="AR108" s="772"/>
      <c r="AS108" s="772"/>
      <c r="AT108" s="772"/>
      <c r="AU108" s="772"/>
      <c r="AV108" s="772"/>
      <c r="AW108" s="772"/>
      <c r="AX108" s="772"/>
      <c r="AY108" s="772"/>
      <c r="AZ108" s="772"/>
      <c r="BA108" s="772"/>
      <c r="BB108" s="772"/>
      <c r="BC108" s="772"/>
      <c r="BD108" s="772"/>
      <c r="BE108" s="772"/>
      <c r="BF108" s="772"/>
      <c r="BG108" s="772"/>
      <c r="BH108" s="772"/>
      <c r="BI108" s="772"/>
      <c r="BJ108" s="772"/>
      <c r="BK108" s="772"/>
      <c r="BL108" s="772"/>
      <c r="BM108" s="772"/>
      <c r="BN108" s="772"/>
      <c r="BO108" s="772"/>
      <c r="BP108" s="772"/>
      <c r="BQ108" s="772"/>
      <c r="BR108" s="772"/>
      <c r="BS108" s="772"/>
      <c r="BT108" s="772"/>
      <c r="BU108" s="772"/>
      <c r="BV108" s="772"/>
      <c r="BW108" s="772"/>
      <c r="BX108" s="772"/>
      <c r="BY108" s="772"/>
      <c r="BZ108" s="772"/>
      <c r="CA108" s="772"/>
      <c r="CB108" s="772"/>
      <c r="CC108" s="772"/>
      <c r="CD108" s="772"/>
      <c r="CE108" s="772"/>
    </row>
    <row r="109" spans="1:83" x14ac:dyDescent="0.25">
      <c r="A109" s="767">
        <v>343</v>
      </c>
      <c r="B109" s="752">
        <v>343</v>
      </c>
      <c r="C109" s="768" t="s">
        <v>320</v>
      </c>
      <c r="D109" s="635" t="s">
        <v>491</v>
      </c>
      <c r="E109" s="769">
        <v>4855</v>
      </c>
      <c r="F109" s="770">
        <v>0</v>
      </c>
      <c r="G109" s="770">
        <v>0</v>
      </c>
      <c r="H109" s="770">
        <v>0</v>
      </c>
      <c r="I109" s="770">
        <v>32436</v>
      </c>
      <c r="J109" s="770">
        <v>0</v>
      </c>
      <c r="K109" s="771">
        <v>0</v>
      </c>
      <c r="L109" s="772">
        <v>0</v>
      </c>
      <c r="M109" s="772">
        <v>82668</v>
      </c>
      <c r="N109" s="773">
        <v>8515091</v>
      </c>
      <c r="O109" s="773">
        <v>0</v>
      </c>
      <c r="P109" s="773">
        <v>299129</v>
      </c>
      <c r="Q109" s="773">
        <v>0</v>
      </c>
      <c r="R109" s="773">
        <v>222778</v>
      </c>
      <c r="S109" s="773">
        <v>0</v>
      </c>
      <c r="T109" s="773">
        <v>7957</v>
      </c>
      <c r="U109" s="773">
        <v>75834</v>
      </c>
      <c r="V109" s="773">
        <v>128128</v>
      </c>
      <c r="W109" s="773">
        <v>239368</v>
      </c>
      <c r="X109" s="773">
        <v>31932</v>
      </c>
      <c r="Y109" s="773">
        <v>0</v>
      </c>
      <c r="Z109" s="773">
        <v>61208</v>
      </c>
      <c r="AA109" s="773">
        <v>1194454</v>
      </c>
      <c r="AB109" s="772">
        <v>0</v>
      </c>
      <c r="AC109" s="772">
        <v>4588</v>
      </c>
      <c r="AD109" s="772">
        <v>2584412</v>
      </c>
      <c r="AE109" s="772">
        <v>32854</v>
      </c>
      <c r="AF109" s="772">
        <v>20440</v>
      </c>
      <c r="AG109" s="772">
        <v>6306194</v>
      </c>
      <c r="AH109" s="772">
        <v>0</v>
      </c>
      <c r="AI109" s="772">
        <v>0</v>
      </c>
      <c r="AJ109" s="772">
        <v>183719</v>
      </c>
      <c r="AK109" s="772">
        <v>0</v>
      </c>
      <c r="AL109" s="772">
        <v>0</v>
      </c>
      <c r="AM109" s="772">
        <v>4296084</v>
      </c>
      <c r="AN109" s="772">
        <v>0</v>
      </c>
      <c r="AO109" s="772">
        <v>0</v>
      </c>
      <c r="AP109" s="772">
        <v>0</v>
      </c>
      <c r="AQ109" s="772">
        <v>76793</v>
      </c>
      <c r="AR109" s="772">
        <v>196960</v>
      </c>
      <c r="AS109" s="772">
        <v>0</v>
      </c>
      <c r="AT109" s="772">
        <v>12705</v>
      </c>
      <c r="AU109" s="772">
        <v>0</v>
      </c>
      <c r="AV109" s="772">
        <v>18503515</v>
      </c>
      <c r="AW109" s="772">
        <v>4541160</v>
      </c>
      <c r="AX109" s="772">
        <v>101934</v>
      </c>
      <c r="AY109" s="772">
        <v>0</v>
      </c>
      <c r="AZ109" s="772">
        <v>0</v>
      </c>
      <c r="BA109" s="772">
        <v>2075</v>
      </c>
      <c r="BB109" s="772">
        <v>0</v>
      </c>
      <c r="BC109" s="772">
        <v>144737</v>
      </c>
      <c r="BD109" s="772">
        <v>0</v>
      </c>
      <c r="BE109" s="772">
        <v>32984</v>
      </c>
      <c r="BF109" s="772">
        <v>16557</v>
      </c>
      <c r="BG109" s="772">
        <v>627312</v>
      </c>
      <c r="BH109" s="772">
        <v>0</v>
      </c>
      <c r="BI109" s="772">
        <v>180350</v>
      </c>
      <c r="BJ109" s="772">
        <v>79962</v>
      </c>
      <c r="BK109" s="772">
        <v>12000</v>
      </c>
      <c r="BL109" s="772">
        <v>0</v>
      </c>
      <c r="BM109" s="772">
        <v>438511</v>
      </c>
      <c r="BN109" s="772">
        <v>836995</v>
      </c>
      <c r="BO109" s="772">
        <v>61714</v>
      </c>
      <c r="BP109" s="772">
        <v>807069</v>
      </c>
      <c r="BQ109" s="772">
        <v>7265698</v>
      </c>
      <c r="BR109" s="772">
        <v>50000</v>
      </c>
      <c r="BS109" s="772">
        <v>61082</v>
      </c>
      <c r="BT109" s="772">
        <v>43900</v>
      </c>
      <c r="BU109" s="772">
        <v>1141740</v>
      </c>
      <c r="BV109" s="772">
        <v>1714</v>
      </c>
      <c r="BW109" s="772">
        <v>0</v>
      </c>
      <c r="BX109" s="772">
        <v>1614048</v>
      </c>
      <c r="BY109" s="772">
        <v>85550</v>
      </c>
      <c r="BZ109" s="772">
        <v>3388785</v>
      </c>
      <c r="CA109" s="772">
        <v>14852</v>
      </c>
      <c r="CB109" s="772">
        <v>930860</v>
      </c>
      <c r="CC109" s="772">
        <v>6764</v>
      </c>
      <c r="CD109" s="772">
        <v>55334</v>
      </c>
      <c r="CE109" s="772">
        <v>3876723</v>
      </c>
    </row>
    <row r="110" spans="1:83" x14ac:dyDescent="0.25">
      <c r="A110" s="767">
        <v>344</v>
      </c>
      <c r="B110" s="752">
        <v>344</v>
      </c>
      <c r="C110" s="768" t="s">
        <v>253</v>
      </c>
      <c r="D110" s="635" t="s">
        <v>492</v>
      </c>
      <c r="E110" s="769">
        <v>1027</v>
      </c>
      <c r="F110" s="770">
        <v>0</v>
      </c>
      <c r="G110" s="770">
        <v>0</v>
      </c>
      <c r="H110" s="770">
        <v>0</v>
      </c>
      <c r="I110" s="770">
        <v>5801</v>
      </c>
      <c r="J110" s="770">
        <v>0</v>
      </c>
      <c r="K110" s="771">
        <v>0</v>
      </c>
      <c r="L110" s="772">
        <v>0</v>
      </c>
      <c r="M110" s="772">
        <v>4662</v>
      </c>
      <c r="N110" s="773">
        <v>845337</v>
      </c>
      <c r="O110" s="773">
        <v>0</v>
      </c>
      <c r="P110" s="773">
        <v>278251</v>
      </c>
      <c r="Q110" s="773">
        <v>0</v>
      </c>
      <c r="R110" s="773">
        <v>22269</v>
      </c>
      <c r="S110" s="773">
        <v>0</v>
      </c>
      <c r="T110" s="773">
        <v>6821</v>
      </c>
      <c r="U110" s="773">
        <v>32542</v>
      </c>
      <c r="V110" s="773">
        <v>24853</v>
      </c>
      <c r="W110" s="773">
        <v>16576</v>
      </c>
      <c r="X110" s="773">
        <v>4545</v>
      </c>
      <c r="Y110" s="773">
        <v>0</v>
      </c>
      <c r="Z110" s="773">
        <v>5105</v>
      </c>
      <c r="AA110" s="773">
        <v>364634</v>
      </c>
      <c r="AB110" s="772">
        <v>0</v>
      </c>
      <c r="AC110" s="772">
        <v>0</v>
      </c>
      <c r="AD110" s="772">
        <v>1153007</v>
      </c>
      <c r="AE110" s="772">
        <v>41994</v>
      </c>
      <c r="AF110" s="772">
        <v>3200</v>
      </c>
      <c r="AG110" s="772">
        <v>1824064</v>
      </c>
      <c r="AH110" s="772">
        <v>0</v>
      </c>
      <c r="AI110" s="772">
        <v>0</v>
      </c>
      <c r="AJ110" s="772">
        <v>6968</v>
      </c>
      <c r="AK110" s="772">
        <v>0</v>
      </c>
      <c r="AL110" s="772">
        <v>0</v>
      </c>
      <c r="AM110" s="772">
        <v>917168</v>
      </c>
      <c r="AN110" s="772">
        <v>0</v>
      </c>
      <c r="AO110" s="772">
        <v>0</v>
      </c>
      <c r="AP110" s="772">
        <v>0</v>
      </c>
      <c r="AQ110" s="772">
        <v>12499</v>
      </c>
      <c r="AR110" s="772">
        <v>7685</v>
      </c>
      <c r="AS110" s="772">
        <v>0</v>
      </c>
      <c r="AT110" s="772">
        <v>1505</v>
      </c>
      <c r="AU110" s="772">
        <v>0</v>
      </c>
      <c r="AV110" s="772">
        <v>6331443</v>
      </c>
      <c r="AW110" s="772">
        <v>1157600</v>
      </c>
      <c r="AX110" s="772">
        <v>51585</v>
      </c>
      <c r="AY110" s="772">
        <v>0</v>
      </c>
      <c r="AZ110" s="772">
        <v>0</v>
      </c>
      <c r="BA110" s="772">
        <v>0</v>
      </c>
      <c r="BB110" s="772">
        <v>0</v>
      </c>
      <c r="BC110" s="772">
        <v>7952</v>
      </c>
      <c r="BD110" s="772">
        <v>0</v>
      </c>
      <c r="BE110" s="772">
        <v>1575</v>
      </c>
      <c r="BF110" s="772">
        <v>0</v>
      </c>
      <c r="BG110" s="772">
        <v>158802</v>
      </c>
      <c r="BH110" s="772">
        <v>0</v>
      </c>
      <c r="BI110" s="772">
        <v>161897</v>
      </c>
      <c r="BJ110" s="772">
        <v>6144</v>
      </c>
      <c r="BK110" s="772">
        <v>1010</v>
      </c>
      <c r="BL110" s="772">
        <v>0</v>
      </c>
      <c r="BM110" s="772">
        <v>28203</v>
      </c>
      <c r="BN110" s="772">
        <v>274831</v>
      </c>
      <c r="BO110" s="772">
        <v>28947</v>
      </c>
      <c r="BP110" s="772">
        <v>88128</v>
      </c>
      <c r="BQ110" s="772">
        <v>2996656</v>
      </c>
      <c r="BR110" s="772">
        <v>8228</v>
      </c>
      <c r="BS110" s="772">
        <v>7032</v>
      </c>
      <c r="BT110" s="772">
        <v>0</v>
      </c>
      <c r="BU110" s="772">
        <v>114957</v>
      </c>
      <c r="BV110" s="772">
        <v>1434</v>
      </c>
      <c r="BW110" s="772">
        <v>0</v>
      </c>
      <c r="BX110" s="772">
        <v>229730</v>
      </c>
      <c r="BY110" s="772">
        <v>23858</v>
      </c>
      <c r="BZ110" s="772">
        <v>1247571</v>
      </c>
      <c r="CA110" s="772">
        <v>2468</v>
      </c>
      <c r="CB110" s="772">
        <v>155353</v>
      </c>
      <c r="CC110" s="772">
        <v>7954</v>
      </c>
      <c r="CD110" s="772">
        <v>2376</v>
      </c>
      <c r="CE110" s="772">
        <v>1419762</v>
      </c>
    </row>
    <row r="111" spans="1:83" x14ac:dyDescent="0.25">
      <c r="B111" s="752">
        <v>346</v>
      </c>
      <c r="C111" s="768" t="s">
        <v>736</v>
      </c>
      <c r="D111" s="635" t="s">
        <v>493</v>
      </c>
      <c r="E111" s="769"/>
      <c r="F111" s="770"/>
      <c r="G111" s="770"/>
      <c r="H111" s="770"/>
      <c r="I111" s="770"/>
      <c r="J111" s="770"/>
      <c r="K111" s="771"/>
      <c r="L111" s="772"/>
      <c r="M111" s="772"/>
      <c r="N111" s="773"/>
      <c r="O111" s="773"/>
      <c r="P111" s="773"/>
      <c r="Q111" s="773"/>
      <c r="R111" s="773"/>
      <c r="S111" s="773"/>
      <c r="T111" s="773"/>
      <c r="U111" s="773"/>
      <c r="V111" s="773"/>
      <c r="W111" s="773"/>
      <c r="X111" s="773"/>
      <c r="Y111" s="773"/>
      <c r="Z111" s="773"/>
      <c r="AA111" s="773"/>
      <c r="AB111" s="772"/>
      <c r="AC111" s="772"/>
      <c r="AD111" s="772"/>
      <c r="AE111" s="772"/>
      <c r="AF111" s="772"/>
      <c r="AG111" s="772"/>
      <c r="AH111" s="772"/>
      <c r="AI111" s="772"/>
      <c r="AJ111" s="772"/>
      <c r="AK111" s="772"/>
      <c r="AL111" s="772"/>
      <c r="AM111" s="772"/>
      <c r="AN111" s="772"/>
      <c r="AO111" s="772"/>
      <c r="AP111" s="772"/>
      <c r="AQ111" s="772"/>
      <c r="AR111" s="772"/>
      <c r="AS111" s="772"/>
      <c r="AT111" s="772"/>
      <c r="AU111" s="772"/>
      <c r="AV111" s="772"/>
      <c r="AW111" s="772"/>
      <c r="AX111" s="772"/>
      <c r="AY111" s="772"/>
      <c r="AZ111" s="772"/>
      <c r="BA111" s="772"/>
      <c r="BB111" s="772"/>
      <c r="BC111" s="772"/>
      <c r="BD111" s="772"/>
      <c r="BE111" s="772"/>
      <c r="BF111" s="772"/>
      <c r="BG111" s="772"/>
      <c r="BH111" s="772"/>
      <c r="BI111" s="772"/>
      <c r="BJ111" s="772"/>
      <c r="BK111" s="772"/>
      <c r="BL111" s="772"/>
      <c r="BM111" s="772"/>
      <c r="BN111" s="772"/>
      <c r="BO111" s="772"/>
      <c r="BP111" s="772"/>
      <c r="BQ111" s="772"/>
      <c r="BR111" s="772"/>
      <c r="BS111" s="772"/>
      <c r="BT111" s="772"/>
      <c r="BU111" s="772"/>
      <c r="BV111" s="772"/>
      <c r="BW111" s="772"/>
      <c r="BX111" s="772"/>
      <c r="BY111" s="772"/>
      <c r="BZ111" s="772"/>
      <c r="CA111" s="772"/>
      <c r="CB111" s="772"/>
      <c r="CC111" s="772"/>
      <c r="CD111" s="772"/>
      <c r="CE111" s="772"/>
    </row>
    <row r="112" spans="1:83" x14ac:dyDescent="0.25">
      <c r="B112" s="752">
        <v>347</v>
      </c>
      <c r="C112" s="768" t="s">
        <v>737</v>
      </c>
      <c r="D112" s="635" t="s">
        <v>494</v>
      </c>
      <c r="E112" s="769"/>
      <c r="F112" s="770"/>
      <c r="G112" s="770"/>
      <c r="H112" s="770"/>
      <c r="I112" s="770"/>
      <c r="J112" s="770"/>
      <c r="K112" s="771"/>
      <c r="L112" s="772"/>
      <c r="M112" s="772"/>
      <c r="N112" s="773"/>
      <c r="O112" s="773"/>
      <c r="P112" s="773"/>
      <c r="Q112" s="773"/>
      <c r="R112" s="773"/>
      <c r="S112" s="773"/>
      <c r="T112" s="773"/>
      <c r="U112" s="773"/>
      <c r="V112" s="773"/>
      <c r="W112" s="773"/>
      <c r="X112" s="773"/>
      <c r="Y112" s="773"/>
      <c r="Z112" s="773"/>
      <c r="AA112" s="773"/>
      <c r="AB112" s="772"/>
      <c r="AC112" s="772"/>
      <c r="AD112" s="772"/>
      <c r="AE112" s="772"/>
      <c r="AF112" s="772"/>
      <c r="AG112" s="772"/>
      <c r="AH112" s="772"/>
      <c r="AI112" s="772"/>
      <c r="AJ112" s="772"/>
      <c r="AK112" s="772"/>
      <c r="AL112" s="772"/>
      <c r="AM112" s="772"/>
      <c r="AN112" s="772"/>
      <c r="AO112" s="772"/>
      <c r="AP112" s="772"/>
      <c r="AQ112" s="772"/>
      <c r="AR112" s="772"/>
      <c r="AS112" s="772"/>
      <c r="AT112" s="772"/>
      <c r="AU112" s="772"/>
      <c r="AV112" s="772"/>
      <c r="AW112" s="772"/>
      <c r="AX112" s="772"/>
      <c r="AY112" s="772"/>
      <c r="AZ112" s="772"/>
      <c r="BA112" s="772"/>
      <c r="BB112" s="772"/>
      <c r="BC112" s="772"/>
      <c r="BD112" s="772"/>
      <c r="BE112" s="772"/>
      <c r="BF112" s="772"/>
      <c r="BG112" s="772"/>
      <c r="BH112" s="772"/>
      <c r="BI112" s="772"/>
      <c r="BJ112" s="772"/>
      <c r="BK112" s="772"/>
      <c r="BL112" s="772"/>
      <c r="BM112" s="772"/>
      <c r="BN112" s="772"/>
      <c r="BO112" s="772"/>
      <c r="BP112" s="772"/>
      <c r="BQ112" s="772"/>
      <c r="BR112" s="772"/>
      <c r="BS112" s="772"/>
      <c r="BT112" s="772"/>
      <c r="BU112" s="772"/>
      <c r="BV112" s="772"/>
      <c r="BW112" s="772"/>
      <c r="BX112" s="772"/>
      <c r="BY112" s="772"/>
      <c r="BZ112" s="772"/>
      <c r="CA112" s="772"/>
      <c r="CB112" s="772"/>
      <c r="CC112" s="772"/>
      <c r="CD112" s="772"/>
      <c r="CE112" s="772"/>
    </row>
    <row r="113" spans="1:83" x14ac:dyDescent="0.25">
      <c r="A113" s="767">
        <v>349</v>
      </c>
      <c r="B113" s="752">
        <v>349</v>
      </c>
      <c r="C113" s="768" t="s">
        <v>129</v>
      </c>
      <c r="D113" s="635" t="s">
        <v>495</v>
      </c>
      <c r="E113" s="769">
        <v>574524</v>
      </c>
      <c r="F113" s="770">
        <v>3336551</v>
      </c>
      <c r="G113" s="770">
        <v>0</v>
      </c>
      <c r="H113" s="770">
        <v>822136</v>
      </c>
      <c r="I113" s="770">
        <v>1447166</v>
      </c>
      <c r="J113" s="770">
        <v>39911</v>
      </c>
      <c r="K113" s="771">
        <v>0</v>
      </c>
      <c r="L113" s="772">
        <v>5605</v>
      </c>
      <c r="M113" s="772">
        <v>12966356</v>
      </c>
      <c r="N113" s="773">
        <v>0</v>
      </c>
      <c r="O113" s="773">
        <v>0</v>
      </c>
      <c r="P113" s="773">
        <v>0</v>
      </c>
      <c r="Q113" s="773">
        <v>12204</v>
      </c>
      <c r="R113" s="773">
        <v>4829893</v>
      </c>
      <c r="S113" s="773">
        <v>0</v>
      </c>
      <c r="T113" s="773">
        <v>41375</v>
      </c>
      <c r="U113" s="773">
        <v>803096</v>
      </c>
      <c r="V113" s="773">
        <v>252708</v>
      </c>
      <c r="W113" s="773">
        <v>8589615</v>
      </c>
      <c r="X113" s="773">
        <v>0</v>
      </c>
      <c r="Y113" s="773">
        <v>433247</v>
      </c>
      <c r="Z113" s="773">
        <v>1522252</v>
      </c>
      <c r="AA113" s="773">
        <v>48873773</v>
      </c>
      <c r="AB113" s="772">
        <v>0</v>
      </c>
      <c r="AC113" s="772">
        <v>346118</v>
      </c>
      <c r="AD113" s="772">
        <v>0</v>
      </c>
      <c r="AE113" s="772">
        <v>0</v>
      </c>
      <c r="AF113" s="772">
        <v>0</v>
      </c>
      <c r="AG113" s="772">
        <v>83956048</v>
      </c>
      <c r="AH113" s="772">
        <v>1959</v>
      </c>
      <c r="AI113" s="772">
        <v>18803</v>
      </c>
      <c r="AJ113" s="772">
        <v>729454</v>
      </c>
      <c r="AK113" s="772">
        <v>672</v>
      </c>
      <c r="AL113" s="772">
        <v>84536</v>
      </c>
      <c r="AM113" s="772">
        <v>30206099</v>
      </c>
      <c r="AN113" s="772">
        <v>2803093</v>
      </c>
      <c r="AO113" s="772">
        <v>9138239</v>
      </c>
      <c r="AP113" s="772">
        <v>0</v>
      </c>
      <c r="AQ113" s="772">
        <v>3082868</v>
      </c>
      <c r="AR113" s="772">
        <v>0</v>
      </c>
      <c r="AS113" s="772">
        <v>0</v>
      </c>
      <c r="AT113" s="772">
        <v>2452330</v>
      </c>
      <c r="AU113" s="772">
        <v>19922</v>
      </c>
      <c r="AV113" s="772">
        <v>319284179</v>
      </c>
      <c r="AW113" s="772">
        <v>99381490</v>
      </c>
      <c r="AX113" s="772">
        <v>685980</v>
      </c>
      <c r="AY113" s="772">
        <v>508304</v>
      </c>
      <c r="AZ113" s="772">
        <v>62888</v>
      </c>
      <c r="BA113" s="772">
        <v>14275</v>
      </c>
      <c r="BB113" s="772">
        <v>1251181</v>
      </c>
      <c r="BC113" s="772">
        <v>2918870</v>
      </c>
      <c r="BD113" s="772">
        <v>229671</v>
      </c>
      <c r="BE113" s="772">
        <v>0</v>
      </c>
      <c r="BF113" s="772">
        <v>358468</v>
      </c>
      <c r="BG113" s="772">
        <v>15614890</v>
      </c>
      <c r="BH113" s="772">
        <v>0</v>
      </c>
      <c r="BI113" s="772">
        <v>16327859</v>
      </c>
      <c r="BJ113" s="772">
        <v>1442180</v>
      </c>
      <c r="BK113" s="772">
        <v>0</v>
      </c>
      <c r="BL113" s="772">
        <v>0</v>
      </c>
      <c r="BM113" s="772">
        <v>28568563</v>
      </c>
      <c r="BN113" s="772">
        <v>22292497</v>
      </c>
      <c r="BO113" s="772">
        <v>7837904</v>
      </c>
      <c r="BP113" s="772">
        <v>35504828</v>
      </c>
      <c r="BQ113" s="772">
        <v>165239089</v>
      </c>
      <c r="BR113" s="772">
        <v>38943</v>
      </c>
      <c r="BS113" s="772">
        <v>1545750</v>
      </c>
      <c r="BT113" s="772">
        <v>0</v>
      </c>
      <c r="BU113" s="772">
        <v>30897318</v>
      </c>
      <c r="BV113" s="772">
        <v>35234</v>
      </c>
      <c r="BW113" s="772">
        <v>0</v>
      </c>
      <c r="BX113" s="772">
        <v>1439769</v>
      </c>
      <c r="BY113" s="772">
        <v>0</v>
      </c>
      <c r="BZ113" s="772">
        <v>42486501</v>
      </c>
      <c r="CA113" s="772">
        <v>448401</v>
      </c>
      <c r="CB113" s="772">
        <v>0</v>
      </c>
      <c r="CC113" s="772">
        <v>223760</v>
      </c>
      <c r="CD113" s="772">
        <v>0</v>
      </c>
      <c r="CE113" s="772">
        <v>0</v>
      </c>
    </row>
    <row r="114" spans="1:83" x14ac:dyDescent="0.25">
      <c r="A114" s="767">
        <v>350</v>
      </c>
      <c r="B114" s="752">
        <v>350</v>
      </c>
      <c r="C114" s="768" t="s">
        <v>296</v>
      </c>
      <c r="D114" s="635" t="s">
        <v>496</v>
      </c>
      <c r="E114" s="769">
        <v>269</v>
      </c>
      <c r="F114" s="770">
        <v>12366</v>
      </c>
      <c r="G114" s="770">
        <v>0</v>
      </c>
      <c r="H114" s="770">
        <v>2053</v>
      </c>
      <c r="I114" s="770">
        <v>574</v>
      </c>
      <c r="J114" s="770">
        <v>700</v>
      </c>
      <c r="K114" s="771">
        <v>0</v>
      </c>
      <c r="L114" s="772">
        <v>839</v>
      </c>
      <c r="M114" s="772">
        <v>45666</v>
      </c>
      <c r="N114" s="773">
        <v>0</v>
      </c>
      <c r="O114" s="773">
        <v>0</v>
      </c>
      <c r="P114" s="773">
        <v>0</v>
      </c>
      <c r="Q114" s="773">
        <v>0</v>
      </c>
      <c r="R114" s="773">
        <v>41854</v>
      </c>
      <c r="S114" s="773">
        <v>0</v>
      </c>
      <c r="T114" s="773">
        <v>207</v>
      </c>
      <c r="U114" s="773">
        <v>22561</v>
      </c>
      <c r="V114" s="773">
        <v>556</v>
      </c>
      <c r="W114" s="773">
        <v>105674</v>
      </c>
      <c r="X114" s="773">
        <v>0</v>
      </c>
      <c r="Y114" s="773">
        <v>0</v>
      </c>
      <c r="Z114" s="773">
        <v>869</v>
      </c>
      <c r="AA114" s="773">
        <v>3924272</v>
      </c>
      <c r="AB114" s="772">
        <v>0</v>
      </c>
      <c r="AC114" s="772">
        <v>0</v>
      </c>
      <c r="AD114" s="772">
        <v>0</v>
      </c>
      <c r="AE114" s="772">
        <v>0</v>
      </c>
      <c r="AF114" s="772">
        <v>0</v>
      </c>
      <c r="AG114" s="772">
        <v>801768</v>
      </c>
      <c r="AH114" s="772">
        <v>0</v>
      </c>
      <c r="AI114" s="772">
        <v>6791</v>
      </c>
      <c r="AJ114" s="772">
        <v>219</v>
      </c>
      <c r="AK114" s="772">
        <v>0</v>
      </c>
      <c r="AL114" s="772">
        <v>0</v>
      </c>
      <c r="AM114" s="772">
        <v>714793</v>
      </c>
      <c r="AN114" s="772">
        <v>126000</v>
      </c>
      <c r="AO114" s="772">
        <v>183193</v>
      </c>
      <c r="AP114" s="772">
        <v>0</v>
      </c>
      <c r="AQ114" s="772">
        <v>56861</v>
      </c>
      <c r="AR114" s="772">
        <v>0</v>
      </c>
      <c r="AS114" s="772">
        <v>0</v>
      </c>
      <c r="AT114" s="772">
        <v>12709</v>
      </c>
      <c r="AU114" s="772">
        <v>987</v>
      </c>
      <c r="AV114" s="772">
        <v>1861032</v>
      </c>
      <c r="AW114" s="772">
        <v>1526733</v>
      </c>
      <c r="AX114" s="772">
        <v>99020</v>
      </c>
      <c r="AY114" s="772">
        <v>836</v>
      </c>
      <c r="AZ114" s="772">
        <v>87662</v>
      </c>
      <c r="BA114" s="772">
        <v>3</v>
      </c>
      <c r="BB114" s="772">
        <v>50</v>
      </c>
      <c r="BC114" s="772">
        <v>65225</v>
      </c>
      <c r="BD114" s="772">
        <v>1921</v>
      </c>
      <c r="BE114" s="772">
        <v>0</v>
      </c>
      <c r="BF114" s="772">
        <v>1267</v>
      </c>
      <c r="BG114" s="772">
        <v>78869</v>
      </c>
      <c r="BH114" s="772">
        <v>0</v>
      </c>
      <c r="BI114" s="772">
        <v>54153</v>
      </c>
      <c r="BJ114" s="772">
        <v>6519</v>
      </c>
      <c r="BK114" s="772">
        <v>0</v>
      </c>
      <c r="BL114" s="772">
        <v>0</v>
      </c>
      <c r="BM114" s="772">
        <v>145552</v>
      </c>
      <c r="BN114" s="772">
        <v>484611</v>
      </c>
      <c r="BO114" s="772">
        <v>21738</v>
      </c>
      <c r="BP114" s="772">
        <v>189309</v>
      </c>
      <c r="BQ114" s="772">
        <v>1083083</v>
      </c>
      <c r="BR114" s="772">
        <v>98890</v>
      </c>
      <c r="BS114" s="772">
        <v>2698</v>
      </c>
      <c r="BT114" s="772">
        <v>230</v>
      </c>
      <c r="BU114" s="772">
        <v>44935</v>
      </c>
      <c r="BV114" s="772">
        <v>0</v>
      </c>
      <c r="BW114" s="772">
        <v>0</v>
      </c>
      <c r="BX114" s="772">
        <v>1580111</v>
      </c>
      <c r="BY114" s="772">
        <v>0</v>
      </c>
      <c r="BZ114" s="772">
        <v>221686</v>
      </c>
      <c r="CA114" s="772">
        <v>41076</v>
      </c>
      <c r="CB114" s="772">
        <v>0</v>
      </c>
      <c r="CC114" s="772">
        <v>0</v>
      </c>
      <c r="CD114" s="772">
        <v>0</v>
      </c>
      <c r="CE114" s="772">
        <v>0</v>
      </c>
    </row>
    <row r="115" spans="1:83" x14ac:dyDescent="0.25">
      <c r="A115" s="767">
        <v>351</v>
      </c>
      <c r="B115" s="752">
        <v>351</v>
      </c>
      <c r="C115" s="768" t="s">
        <v>297</v>
      </c>
      <c r="D115" s="635" t="s">
        <v>497</v>
      </c>
      <c r="E115" s="769">
        <v>16100</v>
      </c>
      <c r="F115" s="770">
        <v>115650</v>
      </c>
      <c r="G115" s="770">
        <v>0</v>
      </c>
      <c r="H115" s="770">
        <v>0</v>
      </c>
      <c r="I115" s="770">
        <v>65582</v>
      </c>
      <c r="J115" s="770">
        <v>0</v>
      </c>
      <c r="K115" s="771">
        <v>0</v>
      </c>
      <c r="L115" s="772">
        <v>0</v>
      </c>
      <c r="M115" s="772">
        <v>374881</v>
      </c>
      <c r="N115" s="773">
        <v>0</v>
      </c>
      <c r="O115" s="773">
        <v>0</v>
      </c>
      <c r="P115" s="773">
        <v>0</v>
      </c>
      <c r="Q115" s="773">
        <v>0</v>
      </c>
      <c r="R115" s="773">
        <v>3746</v>
      </c>
      <c r="S115" s="773">
        <v>0</v>
      </c>
      <c r="T115" s="773">
        <v>100</v>
      </c>
      <c r="U115" s="773">
        <v>28318</v>
      </c>
      <c r="V115" s="773">
        <v>5973</v>
      </c>
      <c r="W115" s="773">
        <v>199726</v>
      </c>
      <c r="X115" s="773">
        <v>0</v>
      </c>
      <c r="Y115" s="773">
        <v>11261</v>
      </c>
      <c r="Z115" s="773">
        <v>32724</v>
      </c>
      <c r="AA115" s="773">
        <v>1422023</v>
      </c>
      <c r="AB115" s="772">
        <v>0</v>
      </c>
      <c r="AC115" s="772">
        <v>0</v>
      </c>
      <c r="AD115" s="772">
        <v>0</v>
      </c>
      <c r="AE115" s="772">
        <v>0</v>
      </c>
      <c r="AF115" s="772">
        <v>0</v>
      </c>
      <c r="AG115" s="772">
        <v>1158889</v>
      </c>
      <c r="AH115" s="772">
        <v>0</v>
      </c>
      <c r="AI115" s="772">
        <v>0</v>
      </c>
      <c r="AJ115" s="772">
        <v>421</v>
      </c>
      <c r="AK115" s="772">
        <v>0</v>
      </c>
      <c r="AL115" s="772">
        <v>0</v>
      </c>
      <c r="AM115" s="772">
        <v>750158</v>
      </c>
      <c r="AN115" s="772">
        <v>78378</v>
      </c>
      <c r="AO115" s="772">
        <v>133481</v>
      </c>
      <c r="AP115" s="772">
        <v>0</v>
      </c>
      <c r="AQ115" s="772">
        <v>59317</v>
      </c>
      <c r="AR115" s="772">
        <v>0</v>
      </c>
      <c r="AS115" s="772">
        <v>0</v>
      </c>
      <c r="AT115" s="772">
        <v>0</v>
      </c>
      <c r="AU115" s="772">
        <v>59</v>
      </c>
      <c r="AV115" s="772">
        <v>10212326</v>
      </c>
      <c r="AW115" s="772">
        <v>2383585</v>
      </c>
      <c r="AX115" s="772">
        <v>18563</v>
      </c>
      <c r="AY115" s="772">
        <v>16358</v>
      </c>
      <c r="AZ115" s="772">
        <v>847</v>
      </c>
      <c r="BA115" s="772">
        <v>0</v>
      </c>
      <c r="BB115" s="772">
        <v>25506</v>
      </c>
      <c r="BC115" s="772">
        <v>7805</v>
      </c>
      <c r="BD115" s="772">
        <v>9713</v>
      </c>
      <c r="BE115" s="772">
        <v>0</v>
      </c>
      <c r="BF115" s="772">
        <v>18103</v>
      </c>
      <c r="BG115" s="772">
        <v>273411</v>
      </c>
      <c r="BH115" s="772">
        <v>0</v>
      </c>
      <c r="BI115" s="772">
        <v>429168</v>
      </c>
      <c r="BJ115" s="772">
        <v>20266</v>
      </c>
      <c r="BK115" s="772">
        <v>0</v>
      </c>
      <c r="BL115" s="772">
        <v>0</v>
      </c>
      <c r="BM115" s="772">
        <v>157739</v>
      </c>
      <c r="BN115" s="772">
        <v>450132</v>
      </c>
      <c r="BO115" s="772">
        <v>232432</v>
      </c>
      <c r="BP115" s="772">
        <v>656820</v>
      </c>
      <c r="BQ115" s="772">
        <v>6795238</v>
      </c>
      <c r="BR115" s="772">
        <v>0</v>
      </c>
      <c r="BS115" s="772">
        <v>518765</v>
      </c>
      <c r="BT115" s="772">
        <v>2068007</v>
      </c>
      <c r="BU115" s="772">
        <v>1398059</v>
      </c>
      <c r="BV115" s="772">
        <v>0</v>
      </c>
      <c r="BW115" s="772">
        <v>0</v>
      </c>
      <c r="BX115" s="772">
        <v>1200534</v>
      </c>
      <c r="BY115" s="772">
        <v>0</v>
      </c>
      <c r="BZ115" s="772">
        <v>1161540</v>
      </c>
      <c r="CA115" s="772">
        <v>18216</v>
      </c>
      <c r="CB115" s="772">
        <v>0</v>
      </c>
      <c r="CC115" s="772">
        <v>6799</v>
      </c>
      <c r="CD115" s="772">
        <v>0</v>
      </c>
      <c r="CE115" s="772">
        <v>0</v>
      </c>
    </row>
    <row r="116" spans="1:83" x14ac:dyDescent="0.25">
      <c r="A116" s="767">
        <v>352</v>
      </c>
      <c r="B116" s="752">
        <v>352</v>
      </c>
      <c r="C116" s="768" t="s">
        <v>299</v>
      </c>
      <c r="D116" s="635" t="s">
        <v>498</v>
      </c>
      <c r="E116" s="769">
        <v>0</v>
      </c>
      <c r="F116" s="770">
        <v>0</v>
      </c>
      <c r="G116" s="770">
        <v>0</v>
      </c>
      <c r="H116" s="770">
        <v>0</v>
      </c>
      <c r="I116" s="770">
        <v>0</v>
      </c>
      <c r="J116" s="770">
        <v>0</v>
      </c>
      <c r="K116" s="771">
        <v>0</v>
      </c>
      <c r="L116" s="772">
        <v>0</v>
      </c>
      <c r="M116" s="772">
        <v>0</v>
      </c>
      <c r="N116" s="773">
        <v>0</v>
      </c>
      <c r="O116" s="773">
        <v>0</v>
      </c>
      <c r="P116" s="773">
        <v>0</v>
      </c>
      <c r="Q116" s="773">
        <v>5807</v>
      </c>
      <c r="R116" s="773">
        <v>0</v>
      </c>
      <c r="S116" s="773">
        <v>0</v>
      </c>
      <c r="T116" s="773">
        <v>0</v>
      </c>
      <c r="U116" s="773">
        <v>0</v>
      </c>
      <c r="V116" s="773">
        <v>0</v>
      </c>
      <c r="W116" s="773">
        <v>0</v>
      </c>
      <c r="X116" s="773">
        <v>0</v>
      </c>
      <c r="Y116" s="773">
        <v>0</v>
      </c>
      <c r="Z116" s="773">
        <v>0</v>
      </c>
      <c r="AA116" s="773">
        <v>0</v>
      </c>
      <c r="AB116" s="772">
        <v>21213</v>
      </c>
      <c r="AC116" s="772">
        <v>0</v>
      </c>
      <c r="AD116" s="772">
        <v>0</v>
      </c>
      <c r="AE116" s="772">
        <v>0</v>
      </c>
      <c r="AF116" s="772">
        <v>0</v>
      </c>
      <c r="AG116" s="772">
        <v>35000</v>
      </c>
      <c r="AH116" s="772">
        <v>0</v>
      </c>
      <c r="AI116" s="772">
        <v>0</v>
      </c>
      <c r="AJ116" s="772">
        <v>0</v>
      </c>
      <c r="AK116" s="772">
        <v>0</v>
      </c>
      <c r="AL116" s="772">
        <v>0</v>
      </c>
      <c r="AM116" s="772">
        <v>250000</v>
      </c>
      <c r="AN116" s="772">
        <v>0</v>
      </c>
      <c r="AO116" s="772">
        <v>0</v>
      </c>
      <c r="AP116" s="772">
        <v>0</v>
      </c>
      <c r="AQ116" s="772">
        <v>15566</v>
      </c>
      <c r="AR116" s="772">
        <v>0</v>
      </c>
      <c r="AS116" s="772">
        <v>0</v>
      </c>
      <c r="AT116" s="772">
        <v>0</v>
      </c>
      <c r="AU116" s="772">
        <v>30104</v>
      </c>
      <c r="AV116" s="772">
        <v>0</v>
      </c>
      <c r="AW116" s="772">
        <v>0</v>
      </c>
      <c r="AX116" s="772">
        <v>0</v>
      </c>
      <c r="AY116" s="772">
        <v>23950</v>
      </c>
      <c r="AZ116" s="772">
        <v>0</v>
      </c>
      <c r="BA116" s="772">
        <v>0</v>
      </c>
      <c r="BB116" s="772">
        <v>0</v>
      </c>
      <c r="BC116" s="772">
        <v>0</v>
      </c>
      <c r="BD116" s="772">
        <v>0</v>
      </c>
      <c r="BE116" s="772">
        <v>0</v>
      </c>
      <c r="BF116" s="772">
        <v>0</v>
      </c>
      <c r="BG116" s="772">
        <v>475909</v>
      </c>
      <c r="BH116" s="772">
        <v>0</v>
      </c>
      <c r="BI116" s="772">
        <v>0</v>
      </c>
      <c r="BJ116" s="772">
        <v>0</v>
      </c>
      <c r="BK116" s="772">
        <v>0</v>
      </c>
      <c r="BL116" s="772">
        <v>0</v>
      </c>
      <c r="BM116" s="772">
        <v>1265230</v>
      </c>
      <c r="BN116" s="772">
        <v>0</v>
      </c>
      <c r="BO116" s="772">
        <v>0</v>
      </c>
      <c r="BP116" s="772">
        <v>0</v>
      </c>
      <c r="BQ116" s="772">
        <v>0</v>
      </c>
      <c r="BR116" s="772">
        <v>0</v>
      </c>
      <c r="BS116" s="772">
        <v>974435</v>
      </c>
      <c r="BT116" s="772">
        <v>0</v>
      </c>
      <c r="BU116" s="772">
        <v>0</v>
      </c>
      <c r="BV116" s="772">
        <v>0</v>
      </c>
      <c r="BW116" s="772">
        <v>0</v>
      </c>
      <c r="BX116" s="772">
        <v>0</v>
      </c>
      <c r="BY116" s="772">
        <v>0</v>
      </c>
      <c r="BZ116" s="772">
        <v>266596</v>
      </c>
      <c r="CA116" s="772">
        <v>0</v>
      </c>
      <c r="CB116" s="772">
        <v>0</v>
      </c>
      <c r="CC116" s="772">
        <v>0</v>
      </c>
      <c r="CD116" s="772">
        <v>0</v>
      </c>
      <c r="CE116" s="772">
        <v>0</v>
      </c>
    </row>
    <row r="117" spans="1:83" x14ac:dyDescent="0.25">
      <c r="A117" s="767">
        <v>353</v>
      </c>
      <c r="B117" s="752">
        <v>353</v>
      </c>
      <c r="C117" s="768" t="s">
        <v>300</v>
      </c>
      <c r="D117" s="635" t="s">
        <v>499</v>
      </c>
      <c r="E117" s="769">
        <v>10924</v>
      </c>
      <c r="F117" s="770">
        <v>0</v>
      </c>
      <c r="G117" s="770">
        <v>0</v>
      </c>
      <c r="H117" s="770">
        <v>0</v>
      </c>
      <c r="I117" s="770">
        <v>0</v>
      </c>
      <c r="J117" s="770">
        <v>0</v>
      </c>
      <c r="K117" s="771">
        <v>0</v>
      </c>
      <c r="L117" s="772">
        <v>0</v>
      </c>
      <c r="M117" s="772">
        <v>189323</v>
      </c>
      <c r="N117" s="773">
        <v>0</v>
      </c>
      <c r="O117" s="773">
        <v>0</v>
      </c>
      <c r="P117" s="773">
        <v>0</v>
      </c>
      <c r="Q117" s="773">
        <v>0</v>
      </c>
      <c r="R117" s="773">
        <v>3488781</v>
      </c>
      <c r="S117" s="773">
        <v>0</v>
      </c>
      <c r="T117" s="773">
        <v>0</v>
      </c>
      <c r="U117" s="773">
        <v>0</v>
      </c>
      <c r="V117" s="773">
        <v>117000</v>
      </c>
      <c r="W117" s="773">
        <v>0</v>
      </c>
      <c r="X117" s="773">
        <v>0</v>
      </c>
      <c r="Y117" s="773">
        <v>0</v>
      </c>
      <c r="Z117" s="773">
        <v>0</v>
      </c>
      <c r="AA117" s="773">
        <v>306783</v>
      </c>
      <c r="AB117" s="772">
        <v>0</v>
      </c>
      <c r="AC117" s="772">
        <v>0</v>
      </c>
      <c r="AD117" s="772">
        <v>0</v>
      </c>
      <c r="AE117" s="772">
        <v>0</v>
      </c>
      <c r="AF117" s="772">
        <v>0</v>
      </c>
      <c r="AG117" s="772">
        <v>288000</v>
      </c>
      <c r="AH117" s="772">
        <v>0</v>
      </c>
      <c r="AI117" s="772">
        <v>0</v>
      </c>
      <c r="AJ117" s="772">
        <v>0</v>
      </c>
      <c r="AK117" s="772">
        <v>0</v>
      </c>
      <c r="AL117" s="772">
        <v>0</v>
      </c>
      <c r="AM117" s="772">
        <v>0</v>
      </c>
      <c r="AN117" s="772">
        <v>0</v>
      </c>
      <c r="AO117" s="772">
        <v>940388</v>
      </c>
      <c r="AP117" s="772">
        <v>0</v>
      </c>
      <c r="AQ117" s="772">
        <v>15566</v>
      </c>
      <c r="AR117" s="772">
        <v>0</v>
      </c>
      <c r="AS117" s="772">
        <v>0</v>
      </c>
      <c r="AT117" s="772">
        <v>0</v>
      </c>
      <c r="AU117" s="772">
        <v>0</v>
      </c>
      <c r="AV117" s="772">
        <v>0</v>
      </c>
      <c r="AW117" s="772">
        <v>0</v>
      </c>
      <c r="AX117" s="772">
        <v>9000</v>
      </c>
      <c r="AY117" s="772">
        <v>0</v>
      </c>
      <c r="AZ117" s="772">
        <v>0</v>
      </c>
      <c r="BA117" s="772">
        <v>0</v>
      </c>
      <c r="BB117" s="772">
        <v>0</v>
      </c>
      <c r="BC117" s="772">
        <v>0</v>
      </c>
      <c r="BD117" s="772">
        <v>0</v>
      </c>
      <c r="BE117" s="772">
        <v>0</v>
      </c>
      <c r="BF117" s="772">
        <v>0</v>
      </c>
      <c r="BG117" s="772">
        <v>0</v>
      </c>
      <c r="BH117" s="772">
        <v>0</v>
      </c>
      <c r="BI117" s="772">
        <v>0</v>
      </c>
      <c r="BJ117" s="772">
        <v>0</v>
      </c>
      <c r="BK117" s="772">
        <v>0</v>
      </c>
      <c r="BL117" s="772">
        <v>0</v>
      </c>
      <c r="BM117" s="772">
        <v>2039230</v>
      </c>
      <c r="BN117" s="772">
        <v>625539</v>
      </c>
      <c r="BO117" s="772">
        <v>0</v>
      </c>
      <c r="BP117" s="772">
        <v>2104437</v>
      </c>
      <c r="BQ117" s="772">
        <v>50000</v>
      </c>
      <c r="BR117" s="772">
        <v>0</v>
      </c>
      <c r="BS117" s="772">
        <v>0</v>
      </c>
      <c r="BT117" s="772">
        <v>1477965</v>
      </c>
      <c r="BU117" s="772">
        <v>0</v>
      </c>
      <c r="BV117" s="772">
        <v>0</v>
      </c>
      <c r="BW117" s="772">
        <v>0</v>
      </c>
      <c r="BX117" s="772">
        <v>0</v>
      </c>
      <c r="BY117" s="772">
        <v>0</v>
      </c>
      <c r="BZ117" s="772">
        <v>17497</v>
      </c>
      <c r="CA117" s="772">
        <v>74000</v>
      </c>
      <c r="CB117" s="772">
        <v>0</v>
      </c>
      <c r="CC117" s="772">
        <v>0</v>
      </c>
      <c r="CD117" s="772">
        <v>0</v>
      </c>
      <c r="CE117" s="772">
        <v>0</v>
      </c>
    </row>
    <row r="118" spans="1:83" ht="30" x14ac:dyDescent="0.25">
      <c r="A118" s="767">
        <v>356</v>
      </c>
      <c r="B118" s="752">
        <v>356</v>
      </c>
      <c r="C118" s="768" t="s">
        <v>644</v>
      </c>
      <c r="D118" s="635" t="s">
        <v>500</v>
      </c>
      <c r="E118" s="769">
        <v>0</v>
      </c>
      <c r="F118" s="770">
        <v>0</v>
      </c>
      <c r="G118" s="770">
        <v>0</v>
      </c>
      <c r="H118" s="770">
        <v>0</v>
      </c>
      <c r="I118" s="770">
        <v>0</v>
      </c>
      <c r="J118" s="770">
        <v>0</v>
      </c>
      <c r="K118" s="771">
        <v>0</v>
      </c>
      <c r="L118" s="772">
        <v>0</v>
      </c>
      <c r="M118" s="772">
        <v>9160864</v>
      </c>
      <c r="N118" s="773">
        <v>0</v>
      </c>
      <c r="O118" s="773">
        <v>0</v>
      </c>
      <c r="P118" s="773">
        <v>0</v>
      </c>
      <c r="Q118" s="773">
        <v>0</v>
      </c>
      <c r="R118" s="773">
        <v>12463968</v>
      </c>
      <c r="S118" s="773">
        <v>0</v>
      </c>
      <c r="T118" s="773">
        <v>772875</v>
      </c>
      <c r="U118" s="773">
        <v>0</v>
      </c>
      <c r="V118" s="773">
        <v>0</v>
      </c>
      <c r="W118" s="773">
        <v>0</v>
      </c>
      <c r="X118" s="773">
        <v>0</v>
      </c>
      <c r="Y118" s="773">
        <v>0</v>
      </c>
      <c r="Z118" s="773">
        <v>1031857</v>
      </c>
      <c r="AA118" s="773">
        <v>0</v>
      </c>
      <c r="AB118" s="772">
        <v>0</v>
      </c>
      <c r="AC118" s="772">
        <v>0</v>
      </c>
      <c r="AD118" s="772">
        <v>0</v>
      </c>
      <c r="AE118" s="772">
        <v>0</v>
      </c>
      <c r="AF118" s="772">
        <v>0</v>
      </c>
      <c r="AG118" s="772">
        <v>97908490</v>
      </c>
      <c r="AH118" s="772">
        <v>0</v>
      </c>
      <c r="AI118" s="772">
        <v>0</v>
      </c>
      <c r="AJ118" s="772">
        <v>0</v>
      </c>
      <c r="AK118" s="772">
        <v>0</v>
      </c>
      <c r="AL118" s="772">
        <v>0</v>
      </c>
      <c r="AM118" s="772">
        <v>0</v>
      </c>
      <c r="AN118" s="772">
        <v>0</v>
      </c>
      <c r="AO118" s="772">
        <v>0</v>
      </c>
      <c r="AP118" s="772">
        <v>0</v>
      </c>
      <c r="AQ118" s="772">
        <v>6762680</v>
      </c>
      <c r="AR118" s="772">
        <v>0</v>
      </c>
      <c r="AS118" s="772">
        <v>0</v>
      </c>
      <c r="AT118" s="772">
        <v>0</v>
      </c>
      <c r="AU118" s="772">
        <v>0</v>
      </c>
      <c r="AV118" s="772">
        <v>0</v>
      </c>
      <c r="AW118" s="772">
        <v>283626953</v>
      </c>
      <c r="AX118" s="772">
        <v>0</v>
      </c>
      <c r="AY118" s="772">
        <v>0</v>
      </c>
      <c r="AZ118" s="772">
        <v>0</v>
      </c>
      <c r="BA118" s="772">
        <v>0</v>
      </c>
      <c r="BB118" s="772">
        <v>313707</v>
      </c>
      <c r="BC118" s="772">
        <v>0</v>
      </c>
      <c r="BD118" s="772">
        <v>0</v>
      </c>
      <c r="BE118" s="772">
        <v>0</v>
      </c>
      <c r="BF118" s="772">
        <v>0</v>
      </c>
      <c r="BG118" s="772">
        <v>0</v>
      </c>
      <c r="BH118" s="772">
        <v>0</v>
      </c>
      <c r="BI118" s="772">
        <v>0</v>
      </c>
      <c r="BJ118" s="772">
        <v>0</v>
      </c>
      <c r="BK118" s="772">
        <v>0</v>
      </c>
      <c r="BL118" s="772">
        <v>0</v>
      </c>
      <c r="BM118" s="772">
        <v>0</v>
      </c>
      <c r="BN118" s="772">
        <v>0</v>
      </c>
      <c r="BO118" s="772">
        <v>2885450</v>
      </c>
      <c r="BP118" s="772">
        <v>0</v>
      </c>
      <c r="BQ118" s="772">
        <v>134206366</v>
      </c>
      <c r="BR118" s="772">
        <v>0</v>
      </c>
      <c r="BS118" s="772">
        <v>3561835</v>
      </c>
      <c r="BT118" s="772">
        <v>0</v>
      </c>
      <c r="BU118" s="772">
        <v>0</v>
      </c>
      <c r="BV118" s="772">
        <v>438651</v>
      </c>
      <c r="BW118" s="772">
        <v>0</v>
      </c>
      <c r="BX118" s="772">
        <v>0</v>
      </c>
      <c r="BY118" s="772">
        <v>0</v>
      </c>
      <c r="BZ118" s="772">
        <v>0</v>
      </c>
      <c r="CA118" s="772">
        <v>720135</v>
      </c>
      <c r="CB118" s="772">
        <v>0</v>
      </c>
      <c r="CC118" s="772">
        <v>0</v>
      </c>
      <c r="CD118" s="772">
        <v>0</v>
      </c>
      <c r="CE118" s="772">
        <v>31032451</v>
      </c>
    </row>
    <row r="119" spans="1:83" x14ac:dyDescent="0.25">
      <c r="A119" s="767">
        <v>357</v>
      </c>
      <c r="B119" s="752">
        <v>357</v>
      </c>
      <c r="C119" s="768" t="s">
        <v>645</v>
      </c>
      <c r="D119" s="635" t="s">
        <v>501</v>
      </c>
      <c r="E119" s="769">
        <v>0</v>
      </c>
      <c r="F119" s="770">
        <v>0</v>
      </c>
      <c r="G119" s="770">
        <v>0</v>
      </c>
      <c r="H119" s="770">
        <v>0</v>
      </c>
      <c r="I119" s="770">
        <v>0</v>
      </c>
      <c r="J119" s="770">
        <v>0</v>
      </c>
      <c r="K119" s="771">
        <v>0</v>
      </c>
      <c r="L119" s="772">
        <v>0</v>
      </c>
      <c r="M119" s="772">
        <v>4756984</v>
      </c>
      <c r="N119" s="773">
        <v>0</v>
      </c>
      <c r="O119" s="773">
        <v>0</v>
      </c>
      <c r="P119" s="773">
        <v>0</v>
      </c>
      <c r="Q119" s="773">
        <v>0</v>
      </c>
      <c r="R119" s="773">
        <v>9931790</v>
      </c>
      <c r="S119" s="773">
        <v>0</v>
      </c>
      <c r="T119" s="773">
        <v>566375</v>
      </c>
      <c r="U119" s="773">
        <v>0</v>
      </c>
      <c r="V119" s="773">
        <v>0</v>
      </c>
      <c r="W119" s="773">
        <v>0</v>
      </c>
      <c r="X119" s="773">
        <v>0</v>
      </c>
      <c r="Y119" s="773">
        <v>0</v>
      </c>
      <c r="Z119" s="773">
        <v>975928</v>
      </c>
      <c r="AA119" s="773">
        <v>0</v>
      </c>
      <c r="AB119" s="772">
        <v>0</v>
      </c>
      <c r="AC119" s="772">
        <v>0</v>
      </c>
      <c r="AD119" s="772">
        <v>0</v>
      </c>
      <c r="AE119" s="772">
        <v>0</v>
      </c>
      <c r="AF119" s="772">
        <v>0</v>
      </c>
      <c r="AG119" s="772">
        <v>60108850</v>
      </c>
      <c r="AH119" s="772">
        <v>0</v>
      </c>
      <c r="AI119" s="772">
        <v>0</v>
      </c>
      <c r="AJ119" s="772">
        <v>0</v>
      </c>
      <c r="AK119" s="772">
        <v>0</v>
      </c>
      <c r="AL119" s="772">
        <v>0</v>
      </c>
      <c r="AM119" s="772">
        <v>0</v>
      </c>
      <c r="AN119" s="772">
        <v>0</v>
      </c>
      <c r="AO119" s="772">
        <v>0</v>
      </c>
      <c r="AP119" s="772">
        <v>0</v>
      </c>
      <c r="AQ119" s="772">
        <v>3541420</v>
      </c>
      <c r="AR119" s="772">
        <v>0</v>
      </c>
      <c r="AS119" s="772">
        <v>0</v>
      </c>
      <c r="AT119" s="772">
        <v>0</v>
      </c>
      <c r="AU119" s="772">
        <v>0</v>
      </c>
      <c r="AV119" s="772">
        <v>0</v>
      </c>
      <c r="AW119" s="772">
        <v>189205786</v>
      </c>
      <c r="AX119" s="772">
        <v>0</v>
      </c>
      <c r="AY119" s="772">
        <v>0</v>
      </c>
      <c r="AZ119" s="772">
        <v>0</v>
      </c>
      <c r="BA119" s="772">
        <v>0</v>
      </c>
      <c r="BB119" s="772">
        <v>298327</v>
      </c>
      <c r="BC119" s="772">
        <v>0</v>
      </c>
      <c r="BD119" s="772">
        <v>0</v>
      </c>
      <c r="BE119" s="772">
        <v>0</v>
      </c>
      <c r="BF119" s="772">
        <v>0</v>
      </c>
      <c r="BG119" s="772">
        <v>0</v>
      </c>
      <c r="BH119" s="772">
        <v>0</v>
      </c>
      <c r="BI119" s="772">
        <v>0</v>
      </c>
      <c r="BJ119" s="772">
        <v>0</v>
      </c>
      <c r="BK119" s="772">
        <v>0</v>
      </c>
      <c r="BL119" s="772">
        <v>0</v>
      </c>
      <c r="BM119" s="772">
        <v>0</v>
      </c>
      <c r="BN119" s="772">
        <v>0</v>
      </c>
      <c r="BO119" s="772">
        <v>2344107</v>
      </c>
      <c r="BP119" s="772">
        <v>0</v>
      </c>
      <c r="BQ119" s="772">
        <v>92740830</v>
      </c>
      <c r="BR119" s="772">
        <v>0</v>
      </c>
      <c r="BS119" s="772">
        <v>2390043</v>
      </c>
      <c r="BT119" s="772">
        <v>0</v>
      </c>
      <c r="BU119" s="772">
        <v>0</v>
      </c>
      <c r="BV119" s="772">
        <v>377355</v>
      </c>
      <c r="BW119" s="772">
        <v>0</v>
      </c>
      <c r="BX119" s="772">
        <v>0</v>
      </c>
      <c r="BY119" s="772">
        <v>0</v>
      </c>
      <c r="BZ119" s="772">
        <v>0</v>
      </c>
      <c r="CA119" s="772">
        <v>466913</v>
      </c>
      <c r="CB119" s="772">
        <v>0</v>
      </c>
      <c r="CC119" s="772">
        <v>0</v>
      </c>
      <c r="CD119" s="772">
        <v>0</v>
      </c>
      <c r="CE119" s="772">
        <v>11962788</v>
      </c>
    </row>
    <row r="120" spans="1:83" x14ac:dyDescent="0.25">
      <c r="A120" s="767">
        <v>359</v>
      </c>
      <c r="B120" s="752">
        <v>359</v>
      </c>
      <c r="C120" s="768" t="s">
        <v>321</v>
      </c>
      <c r="D120" s="635" t="s">
        <v>502</v>
      </c>
      <c r="E120" s="769">
        <v>0</v>
      </c>
      <c r="F120" s="770">
        <v>0</v>
      </c>
      <c r="G120" s="770">
        <v>0</v>
      </c>
      <c r="H120" s="770">
        <v>0</v>
      </c>
      <c r="I120" s="770">
        <v>0</v>
      </c>
      <c r="J120" s="770">
        <v>0</v>
      </c>
      <c r="K120" s="771">
        <v>0</v>
      </c>
      <c r="L120" s="772">
        <v>0</v>
      </c>
      <c r="M120" s="772">
        <v>968019</v>
      </c>
      <c r="N120" s="773">
        <v>0</v>
      </c>
      <c r="O120" s="773">
        <v>0</v>
      </c>
      <c r="P120" s="773">
        <v>0</v>
      </c>
      <c r="Q120" s="773">
        <v>0</v>
      </c>
      <c r="R120" s="773">
        <v>51037</v>
      </c>
      <c r="S120" s="773">
        <v>0</v>
      </c>
      <c r="T120" s="773">
        <v>0</v>
      </c>
      <c r="U120" s="773">
        <v>0</v>
      </c>
      <c r="V120" s="773">
        <v>0</v>
      </c>
      <c r="W120" s="773">
        <v>0</v>
      </c>
      <c r="X120" s="773">
        <v>0</v>
      </c>
      <c r="Y120" s="773">
        <v>0</v>
      </c>
      <c r="Z120" s="773">
        <v>4739</v>
      </c>
      <c r="AA120" s="773">
        <v>0</v>
      </c>
      <c r="AB120" s="772">
        <v>0</v>
      </c>
      <c r="AC120" s="772">
        <v>0</v>
      </c>
      <c r="AD120" s="772">
        <v>0</v>
      </c>
      <c r="AE120" s="772">
        <v>0</v>
      </c>
      <c r="AF120" s="772">
        <v>0</v>
      </c>
      <c r="AG120" s="772">
        <v>430000</v>
      </c>
      <c r="AH120" s="772">
        <v>0</v>
      </c>
      <c r="AI120" s="772">
        <v>0</v>
      </c>
      <c r="AJ120" s="772">
        <v>0</v>
      </c>
      <c r="AK120" s="772">
        <v>0</v>
      </c>
      <c r="AL120" s="772">
        <v>0</v>
      </c>
      <c r="AM120" s="772">
        <v>0</v>
      </c>
      <c r="AN120" s="772">
        <v>0</v>
      </c>
      <c r="AO120" s="772">
        <v>0</v>
      </c>
      <c r="AP120" s="772">
        <v>0</v>
      </c>
      <c r="AQ120" s="772">
        <v>0</v>
      </c>
      <c r="AR120" s="772">
        <v>0</v>
      </c>
      <c r="AS120" s="772">
        <v>0</v>
      </c>
      <c r="AT120" s="772">
        <v>0</v>
      </c>
      <c r="AU120" s="772">
        <v>0</v>
      </c>
      <c r="AV120" s="772">
        <v>0</v>
      </c>
      <c r="AW120" s="772">
        <v>37132043</v>
      </c>
      <c r="AX120" s="772">
        <v>0</v>
      </c>
      <c r="AY120" s="772">
        <v>0</v>
      </c>
      <c r="AZ120" s="772">
        <v>0</v>
      </c>
      <c r="BA120" s="772">
        <v>0</v>
      </c>
      <c r="BB120" s="772">
        <v>0</v>
      </c>
      <c r="BC120" s="772">
        <v>0</v>
      </c>
      <c r="BD120" s="772">
        <v>0</v>
      </c>
      <c r="BE120" s="772">
        <v>0</v>
      </c>
      <c r="BF120" s="772">
        <v>0</v>
      </c>
      <c r="BG120" s="772">
        <v>0</v>
      </c>
      <c r="BH120" s="772">
        <v>0</v>
      </c>
      <c r="BI120" s="772">
        <v>0</v>
      </c>
      <c r="BJ120" s="772">
        <v>0</v>
      </c>
      <c r="BK120" s="772">
        <v>0</v>
      </c>
      <c r="BL120" s="772">
        <v>0</v>
      </c>
      <c r="BM120" s="772">
        <v>0</v>
      </c>
      <c r="BN120" s="772">
        <v>0</v>
      </c>
      <c r="BO120" s="772">
        <v>215984</v>
      </c>
      <c r="BP120" s="772">
        <v>0</v>
      </c>
      <c r="BQ120" s="772">
        <v>0</v>
      </c>
      <c r="BR120" s="772">
        <v>0</v>
      </c>
      <c r="BS120" s="772">
        <v>714933</v>
      </c>
      <c r="BT120" s="772">
        <v>0</v>
      </c>
      <c r="BU120" s="772">
        <v>0</v>
      </c>
      <c r="BV120" s="772">
        <v>0</v>
      </c>
      <c r="BW120" s="772">
        <v>0</v>
      </c>
      <c r="BX120" s="772">
        <v>0</v>
      </c>
      <c r="BY120" s="772">
        <v>0</v>
      </c>
      <c r="BZ120" s="772">
        <v>0</v>
      </c>
      <c r="CA120" s="772">
        <v>0</v>
      </c>
      <c r="CB120" s="772">
        <v>0</v>
      </c>
      <c r="CC120" s="772">
        <v>0</v>
      </c>
      <c r="CD120" s="772">
        <v>0</v>
      </c>
      <c r="CE120" s="772">
        <v>0</v>
      </c>
    </row>
    <row r="121" spans="1:83" x14ac:dyDescent="0.25">
      <c r="A121" s="767">
        <v>360</v>
      </c>
      <c r="B121" s="752">
        <v>360</v>
      </c>
      <c r="C121" s="768" t="s">
        <v>132</v>
      </c>
      <c r="D121" s="635" t="s">
        <v>503</v>
      </c>
      <c r="E121" s="769">
        <v>0</v>
      </c>
      <c r="F121" s="770">
        <v>0</v>
      </c>
      <c r="G121" s="770">
        <v>0</v>
      </c>
      <c r="H121" s="770">
        <v>0</v>
      </c>
      <c r="I121" s="770">
        <v>0</v>
      </c>
      <c r="J121" s="770">
        <v>0</v>
      </c>
      <c r="K121" s="771">
        <v>0</v>
      </c>
      <c r="L121" s="772">
        <v>0</v>
      </c>
      <c r="M121" s="772">
        <v>2008063</v>
      </c>
      <c r="N121" s="773">
        <v>0</v>
      </c>
      <c r="O121" s="773">
        <v>0</v>
      </c>
      <c r="P121" s="773">
        <v>0</v>
      </c>
      <c r="Q121" s="773">
        <v>0</v>
      </c>
      <c r="R121" s="773">
        <v>2686613</v>
      </c>
      <c r="S121" s="773">
        <v>0</v>
      </c>
      <c r="T121" s="773">
        <v>73315</v>
      </c>
      <c r="U121" s="773">
        <v>0</v>
      </c>
      <c r="V121" s="773">
        <v>0</v>
      </c>
      <c r="W121" s="773">
        <v>0</v>
      </c>
      <c r="X121" s="773">
        <v>0</v>
      </c>
      <c r="Y121" s="773">
        <v>0</v>
      </c>
      <c r="Z121" s="773">
        <v>569499</v>
      </c>
      <c r="AA121" s="773">
        <v>0</v>
      </c>
      <c r="AB121" s="772">
        <v>0</v>
      </c>
      <c r="AC121" s="772">
        <v>0</v>
      </c>
      <c r="AD121" s="772">
        <v>0</v>
      </c>
      <c r="AE121" s="772">
        <v>0</v>
      </c>
      <c r="AF121" s="772">
        <v>0</v>
      </c>
      <c r="AG121" s="772">
        <v>12856266</v>
      </c>
      <c r="AH121" s="772">
        <v>0</v>
      </c>
      <c r="AI121" s="772">
        <v>0</v>
      </c>
      <c r="AJ121" s="772">
        <v>0</v>
      </c>
      <c r="AK121" s="772">
        <v>0</v>
      </c>
      <c r="AL121" s="772">
        <v>0</v>
      </c>
      <c r="AM121" s="772">
        <v>0</v>
      </c>
      <c r="AN121" s="772">
        <v>0</v>
      </c>
      <c r="AO121" s="772">
        <v>0</v>
      </c>
      <c r="AP121" s="772">
        <v>0</v>
      </c>
      <c r="AQ121" s="772">
        <v>1101376</v>
      </c>
      <c r="AR121" s="772">
        <v>0</v>
      </c>
      <c r="AS121" s="772">
        <v>0</v>
      </c>
      <c r="AT121" s="772">
        <v>0</v>
      </c>
      <c r="AU121" s="772">
        <v>0</v>
      </c>
      <c r="AV121" s="772">
        <v>0</v>
      </c>
      <c r="AW121" s="772">
        <v>76430477</v>
      </c>
      <c r="AX121" s="772">
        <v>0</v>
      </c>
      <c r="AY121" s="772">
        <v>0</v>
      </c>
      <c r="AZ121" s="772">
        <v>0</v>
      </c>
      <c r="BA121" s="772">
        <v>0</v>
      </c>
      <c r="BB121" s="772">
        <v>93359</v>
      </c>
      <c r="BC121" s="772">
        <v>0</v>
      </c>
      <c r="BD121" s="772">
        <v>0</v>
      </c>
      <c r="BE121" s="772">
        <v>0</v>
      </c>
      <c r="BF121" s="772">
        <v>0</v>
      </c>
      <c r="BG121" s="772">
        <v>0</v>
      </c>
      <c r="BH121" s="772">
        <v>0</v>
      </c>
      <c r="BI121" s="772">
        <v>0</v>
      </c>
      <c r="BJ121" s="772">
        <v>0</v>
      </c>
      <c r="BK121" s="772">
        <v>0</v>
      </c>
      <c r="BL121" s="772">
        <v>0</v>
      </c>
      <c r="BM121" s="772">
        <v>0</v>
      </c>
      <c r="BN121" s="772">
        <v>0</v>
      </c>
      <c r="BO121" s="772">
        <v>664911</v>
      </c>
      <c r="BP121" s="772">
        <v>0</v>
      </c>
      <c r="BQ121" s="772">
        <v>17780635</v>
      </c>
      <c r="BR121" s="772">
        <v>0</v>
      </c>
      <c r="BS121" s="772">
        <v>1201796</v>
      </c>
      <c r="BT121" s="772">
        <v>0</v>
      </c>
      <c r="BU121" s="772">
        <v>0</v>
      </c>
      <c r="BV121" s="772">
        <v>84450</v>
      </c>
      <c r="BW121" s="772">
        <v>0</v>
      </c>
      <c r="BX121" s="772">
        <v>0</v>
      </c>
      <c r="BY121" s="772">
        <v>0</v>
      </c>
      <c r="BZ121" s="772">
        <v>0</v>
      </c>
      <c r="CA121" s="772">
        <v>138890</v>
      </c>
      <c r="CB121" s="772">
        <v>0</v>
      </c>
      <c r="CC121" s="772">
        <v>0</v>
      </c>
      <c r="CD121" s="772">
        <v>0</v>
      </c>
      <c r="CE121" s="772">
        <v>2935034</v>
      </c>
    </row>
    <row r="122" spans="1:83" x14ac:dyDescent="0.25">
      <c r="A122" s="767">
        <v>361</v>
      </c>
      <c r="B122" s="752">
        <v>361</v>
      </c>
      <c r="C122" s="768" t="s">
        <v>113</v>
      </c>
      <c r="D122" s="635" t="s">
        <v>504</v>
      </c>
      <c r="E122" s="769">
        <v>0</v>
      </c>
      <c r="F122" s="770">
        <v>0</v>
      </c>
      <c r="G122" s="770">
        <v>0</v>
      </c>
      <c r="H122" s="770">
        <v>0</v>
      </c>
      <c r="I122" s="770">
        <v>0</v>
      </c>
      <c r="J122" s="770">
        <v>0</v>
      </c>
      <c r="K122" s="771">
        <v>0</v>
      </c>
      <c r="L122" s="772">
        <v>0</v>
      </c>
      <c r="M122" s="772">
        <v>1696693</v>
      </c>
      <c r="N122" s="773">
        <v>0</v>
      </c>
      <c r="O122" s="773">
        <v>0</v>
      </c>
      <c r="P122" s="773">
        <v>0</v>
      </c>
      <c r="Q122" s="773">
        <v>0</v>
      </c>
      <c r="R122" s="773">
        <v>5185846</v>
      </c>
      <c r="S122" s="773">
        <v>0</v>
      </c>
      <c r="T122" s="773">
        <v>945064</v>
      </c>
      <c r="U122" s="773">
        <v>0</v>
      </c>
      <c r="V122" s="773">
        <v>0</v>
      </c>
      <c r="W122" s="773">
        <v>0</v>
      </c>
      <c r="X122" s="773">
        <v>0</v>
      </c>
      <c r="Y122" s="773">
        <v>0</v>
      </c>
      <c r="Z122" s="773">
        <v>306076</v>
      </c>
      <c r="AA122" s="773">
        <v>0</v>
      </c>
      <c r="AB122" s="772">
        <v>0</v>
      </c>
      <c r="AC122" s="772">
        <v>0</v>
      </c>
      <c r="AD122" s="772">
        <v>0</v>
      </c>
      <c r="AE122" s="772">
        <v>0</v>
      </c>
      <c r="AF122" s="772">
        <v>0</v>
      </c>
      <c r="AG122" s="772">
        <v>16590051</v>
      </c>
      <c r="AH122" s="772">
        <v>0</v>
      </c>
      <c r="AI122" s="772">
        <v>0</v>
      </c>
      <c r="AJ122" s="772">
        <v>0</v>
      </c>
      <c r="AK122" s="772">
        <v>0</v>
      </c>
      <c r="AL122" s="772">
        <v>0</v>
      </c>
      <c r="AM122" s="772">
        <v>0</v>
      </c>
      <c r="AN122" s="772">
        <v>0</v>
      </c>
      <c r="AO122" s="772">
        <v>0</v>
      </c>
      <c r="AP122" s="772">
        <v>0</v>
      </c>
      <c r="AQ122" s="772">
        <v>3891369</v>
      </c>
      <c r="AR122" s="772">
        <v>0</v>
      </c>
      <c r="AS122" s="772">
        <v>0</v>
      </c>
      <c r="AT122" s="772">
        <v>0</v>
      </c>
      <c r="AU122" s="772">
        <v>0</v>
      </c>
      <c r="AV122" s="772">
        <v>0</v>
      </c>
      <c r="AW122" s="772">
        <v>68819904</v>
      </c>
      <c r="AX122" s="772">
        <v>0</v>
      </c>
      <c r="AY122" s="772">
        <v>0</v>
      </c>
      <c r="AZ122" s="772">
        <v>0</v>
      </c>
      <c r="BA122" s="772">
        <v>0</v>
      </c>
      <c r="BB122" s="772">
        <v>571831</v>
      </c>
      <c r="BC122" s="772">
        <v>0</v>
      </c>
      <c r="BD122" s="772">
        <v>0</v>
      </c>
      <c r="BE122" s="772">
        <v>0</v>
      </c>
      <c r="BF122" s="772">
        <v>0</v>
      </c>
      <c r="BG122" s="772">
        <v>0</v>
      </c>
      <c r="BH122" s="772">
        <v>0</v>
      </c>
      <c r="BI122" s="772">
        <v>0</v>
      </c>
      <c r="BJ122" s="772">
        <v>0</v>
      </c>
      <c r="BK122" s="772">
        <v>0</v>
      </c>
      <c r="BL122" s="772">
        <v>0</v>
      </c>
      <c r="BM122" s="772">
        <v>0</v>
      </c>
      <c r="BN122" s="772">
        <v>0</v>
      </c>
      <c r="BO122" s="772">
        <v>955417</v>
      </c>
      <c r="BP122" s="772">
        <v>0</v>
      </c>
      <c r="BQ122" s="772">
        <v>56794789</v>
      </c>
      <c r="BR122" s="772">
        <v>0</v>
      </c>
      <c r="BS122" s="772">
        <v>5615965</v>
      </c>
      <c r="BT122" s="772">
        <v>0</v>
      </c>
      <c r="BU122" s="772">
        <v>0</v>
      </c>
      <c r="BV122" s="772">
        <v>411370</v>
      </c>
      <c r="BW122" s="772">
        <v>0</v>
      </c>
      <c r="BX122" s="772">
        <v>0</v>
      </c>
      <c r="BY122" s="772">
        <v>0</v>
      </c>
      <c r="BZ122" s="772">
        <v>0</v>
      </c>
      <c r="CA122" s="772">
        <v>667785</v>
      </c>
      <c r="CB122" s="772">
        <v>0</v>
      </c>
      <c r="CC122" s="772">
        <v>0</v>
      </c>
      <c r="CD122" s="772">
        <v>0</v>
      </c>
      <c r="CE122" s="772">
        <v>3447880</v>
      </c>
    </row>
    <row r="123" spans="1:83" x14ac:dyDescent="0.25">
      <c r="A123" s="767">
        <v>362</v>
      </c>
      <c r="B123" s="752">
        <v>362</v>
      </c>
      <c r="C123" s="768" t="s">
        <v>114</v>
      </c>
      <c r="D123" s="635" t="s">
        <v>505</v>
      </c>
      <c r="E123" s="769">
        <v>0</v>
      </c>
      <c r="F123" s="770">
        <v>0</v>
      </c>
      <c r="G123" s="770">
        <v>0</v>
      </c>
      <c r="H123" s="770">
        <v>0</v>
      </c>
      <c r="I123" s="770">
        <v>0</v>
      </c>
      <c r="J123" s="770">
        <v>0</v>
      </c>
      <c r="K123" s="771">
        <v>0</v>
      </c>
      <c r="L123" s="772">
        <v>0</v>
      </c>
      <c r="M123" s="772">
        <v>5191454</v>
      </c>
      <c r="N123" s="773">
        <v>0</v>
      </c>
      <c r="O123" s="773">
        <v>0</v>
      </c>
      <c r="P123" s="773">
        <v>0</v>
      </c>
      <c r="Q123" s="773">
        <v>0</v>
      </c>
      <c r="R123" s="773">
        <v>7830702</v>
      </c>
      <c r="S123" s="773">
        <v>0</v>
      </c>
      <c r="T123" s="773">
        <v>1151564</v>
      </c>
      <c r="U123" s="773">
        <v>0</v>
      </c>
      <c r="V123" s="773">
        <v>0</v>
      </c>
      <c r="W123" s="773">
        <v>0</v>
      </c>
      <c r="X123" s="773">
        <v>0</v>
      </c>
      <c r="Y123" s="773">
        <v>0</v>
      </c>
      <c r="Z123" s="773">
        <v>494466</v>
      </c>
      <c r="AA123" s="773">
        <v>0</v>
      </c>
      <c r="AB123" s="772">
        <v>0</v>
      </c>
      <c r="AC123" s="772">
        <v>0</v>
      </c>
      <c r="AD123" s="772">
        <v>0</v>
      </c>
      <c r="AE123" s="772">
        <v>0</v>
      </c>
      <c r="AF123" s="772">
        <v>0</v>
      </c>
      <c r="AG123" s="772">
        <v>62957379</v>
      </c>
      <c r="AH123" s="772">
        <v>0</v>
      </c>
      <c r="AI123" s="772">
        <v>0</v>
      </c>
      <c r="AJ123" s="772">
        <v>0</v>
      </c>
      <c r="AK123" s="772">
        <v>0</v>
      </c>
      <c r="AL123" s="772">
        <v>0</v>
      </c>
      <c r="AM123" s="772">
        <v>0</v>
      </c>
      <c r="AN123" s="772">
        <v>0</v>
      </c>
      <c r="AO123" s="772">
        <v>0</v>
      </c>
      <c r="AP123" s="772">
        <v>0</v>
      </c>
      <c r="AQ123" s="772">
        <v>7160029</v>
      </c>
      <c r="AR123" s="772">
        <v>0</v>
      </c>
      <c r="AS123" s="772">
        <v>0</v>
      </c>
      <c r="AT123" s="772">
        <v>0</v>
      </c>
      <c r="AU123" s="772">
        <v>0</v>
      </c>
      <c r="AV123" s="772">
        <v>0</v>
      </c>
      <c r="AW123" s="772">
        <v>145381712</v>
      </c>
      <c r="AX123" s="772">
        <v>0</v>
      </c>
      <c r="AY123" s="772">
        <v>0</v>
      </c>
      <c r="AZ123" s="772">
        <v>0</v>
      </c>
      <c r="BA123" s="772">
        <v>0</v>
      </c>
      <c r="BB123" s="772">
        <v>587211</v>
      </c>
      <c r="BC123" s="772">
        <v>0</v>
      </c>
      <c r="BD123" s="772">
        <v>0</v>
      </c>
      <c r="BE123" s="772">
        <v>0</v>
      </c>
      <c r="BF123" s="772">
        <v>0</v>
      </c>
      <c r="BG123" s="772">
        <v>0</v>
      </c>
      <c r="BH123" s="772">
        <v>0</v>
      </c>
      <c r="BI123" s="772">
        <v>0</v>
      </c>
      <c r="BJ123" s="772">
        <v>0</v>
      </c>
      <c r="BK123" s="772">
        <v>0</v>
      </c>
      <c r="BL123" s="772">
        <v>0</v>
      </c>
      <c r="BM123" s="772">
        <v>0</v>
      </c>
      <c r="BN123" s="772">
        <v>0</v>
      </c>
      <c r="BO123" s="772">
        <v>1280776</v>
      </c>
      <c r="BP123" s="772">
        <v>0</v>
      </c>
      <c r="BQ123" s="772">
        <v>117320232</v>
      </c>
      <c r="BR123" s="772">
        <v>0</v>
      </c>
      <c r="BS123" s="772">
        <v>6787757</v>
      </c>
      <c r="BT123" s="772">
        <v>0</v>
      </c>
      <c r="BU123" s="772">
        <v>0</v>
      </c>
      <c r="BV123" s="772">
        <v>429200</v>
      </c>
      <c r="BW123" s="772">
        <v>0</v>
      </c>
      <c r="BX123" s="772">
        <v>0</v>
      </c>
      <c r="BY123" s="772">
        <v>0</v>
      </c>
      <c r="BZ123" s="772">
        <v>0</v>
      </c>
      <c r="CA123" s="772">
        <v>921007</v>
      </c>
      <c r="CB123" s="772">
        <v>0</v>
      </c>
      <c r="CC123" s="772">
        <v>0</v>
      </c>
      <c r="CD123" s="772">
        <v>0</v>
      </c>
      <c r="CE123" s="772">
        <v>22931314</v>
      </c>
    </row>
    <row r="124" spans="1:83" x14ac:dyDescent="0.25">
      <c r="A124" s="767">
        <v>363</v>
      </c>
      <c r="B124" s="752">
        <v>363</v>
      </c>
      <c r="C124" s="768" t="s">
        <v>307</v>
      </c>
      <c r="D124" s="635" t="s">
        <v>506</v>
      </c>
      <c r="E124" s="769">
        <v>0</v>
      </c>
      <c r="F124" s="770">
        <v>0</v>
      </c>
      <c r="G124" s="770">
        <v>0</v>
      </c>
      <c r="H124" s="770">
        <v>0</v>
      </c>
      <c r="I124" s="770">
        <v>0</v>
      </c>
      <c r="J124" s="770">
        <v>0</v>
      </c>
      <c r="K124" s="771">
        <v>0</v>
      </c>
      <c r="L124" s="772">
        <v>0</v>
      </c>
      <c r="M124" s="772">
        <v>106046</v>
      </c>
      <c r="N124" s="773">
        <v>0</v>
      </c>
      <c r="O124" s="773">
        <v>0</v>
      </c>
      <c r="P124" s="773">
        <v>0</v>
      </c>
      <c r="Q124" s="773">
        <v>0</v>
      </c>
      <c r="R124" s="773">
        <v>34834</v>
      </c>
      <c r="S124" s="773">
        <v>0</v>
      </c>
      <c r="T124" s="773">
        <v>296</v>
      </c>
      <c r="U124" s="773">
        <v>0</v>
      </c>
      <c r="V124" s="773">
        <v>0</v>
      </c>
      <c r="W124" s="773">
        <v>0</v>
      </c>
      <c r="X124" s="773">
        <v>0</v>
      </c>
      <c r="Y124" s="773">
        <v>0</v>
      </c>
      <c r="Z124" s="773">
        <v>2008</v>
      </c>
      <c r="AA124" s="773">
        <v>0</v>
      </c>
      <c r="AB124" s="772">
        <v>0</v>
      </c>
      <c r="AC124" s="772">
        <v>0</v>
      </c>
      <c r="AD124" s="772">
        <v>0</v>
      </c>
      <c r="AE124" s="772">
        <v>0</v>
      </c>
      <c r="AF124" s="772">
        <v>0</v>
      </c>
      <c r="AG124" s="772">
        <v>157873</v>
      </c>
      <c r="AH124" s="772">
        <v>0</v>
      </c>
      <c r="AI124" s="772">
        <v>0</v>
      </c>
      <c r="AJ124" s="772">
        <v>0</v>
      </c>
      <c r="AK124" s="772">
        <v>0</v>
      </c>
      <c r="AL124" s="772">
        <v>0</v>
      </c>
      <c r="AM124" s="772">
        <v>0</v>
      </c>
      <c r="AN124" s="772">
        <v>0</v>
      </c>
      <c r="AO124" s="772">
        <v>0</v>
      </c>
      <c r="AP124" s="772">
        <v>0</v>
      </c>
      <c r="AQ124" s="772">
        <v>10345</v>
      </c>
      <c r="AR124" s="772">
        <v>0</v>
      </c>
      <c r="AS124" s="772">
        <v>0</v>
      </c>
      <c r="AT124" s="772">
        <v>0</v>
      </c>
      <c r="AU124" s="772">
        <v>0</v>
      </c>
      <c r="AV124" s="772">
        <v>0</v>
      </c>
      <c r="AW124" s="772">
        <v>3034089</v>
      </c>
      <c r="AX124" s="772">
        <v>0</v>
      </c>
      <c r="AY124" s="772">
        <v>0</v>
      </c>
      <c r="AZ124" s="772">
        <v>0</v>
      </c>
      <c r="BA124" s="772">
        <v>0</v>
      </c>
      <c r="BB124" s="772">
        <v>12354</v>
      </c>
      <c r="BC124" s="772">
        <v>0</v>
      </c>
      <c r="BD124" s="772">
        <v>0</v>
      </c>
      <c r="BE124" s="772">
        <v>0</v>
      </c>
      <c r="BF124" s="772">
        <v>0</v>
      </c>
      <c r="BG124" s="772">
        <v>0</v>
      </c>
      <c r="BH124" s="772">
        <v>0</v>
      </c>
      <c r="BI124" s="772">
        <v>0</v>
      </c>
      <c r="BJ124" s="772">
        <v>0</v>
      </c>
      <c r="BK124" s="772">
        <v>0</v>
      </c>
      <c r="BL124" s="772">
        <v>0</v>
      </c>
      <c r="BM124" s="772">
        <v>0</v>
      </c>
      <c r="BN124" s="772">
        <v>0</v>
      </c>
      <c r="BO124" s="772">
        <v>15861</v>
      </c>
      <c r="BP124" s="772">
        <v>0</v>
      </c>
      <c r="BQ124" s="772">
        <v>847634</v>
      </c>
      <c r="BR124" s="772">
        <v>0</v>
      </c>
      <c r="BS124" s="772">
        <v>15037</v>
      </c>
      <c r="BT124" s="772">
        <v>0</v>
      </c>
      <c r="BU124" s="772">
        <v>0</v>
      </c>
      <c r="BV124" s="772">
        <v>10500</v>
      </c>
      <c r="BW124" s="772">
        <v>0</v>
      </c>
      <c r="BX124" s="772">
        <v>0</v>
      </c>
      <c r="BY124" s="772">
        <v>0</v>
      </c>
      <c r="BZ124" s="772">
        <v>0</v>
      </c>
      <c r="CA124" s="772">
        <v>3765</v>
      </c>
      <c r="CB124" s="772">
        <v>0</v>
      </c>
      <c r="CC124" s="772">
        <v>0</v>
      </c>
      <c r="CD124" s="772">
        <v>0</v>
      </c>
      <c r="CE124" s="772">
        <v>5969</v>
      </c>
    </row>
    <row r="125" spans="1:83" x14ac:dyDescent="0.25">
      <c r="A125" s="767">
        <v>364</v>
      </c>
      <c r="B125" s="752">
        <v>364</v>
      </c>
      <c r="C125" s="768" t="s">
        <v>308</v>
      </c>
      <c r="D125" s="635" t="s">
        <v>507</v>
      </c>
      <c r="E125" s="769">
        <v>0</v>
      </c>
      <c r="F125" s="770">
        <v>0</v>
      </c>
      <c r="G125" s="770">
        <v>0</v>
      </c>
      <c r="H125" s="770">
        <v>0</v>
      </c>
      <c r="I125" s="770">
        <v>0</v>
      </c>
      <c r="J125" s="770">
        <v>0</v>
      </c>
      <c r="K125" s="771">
        <v>0</v>
      </c>
      <c r="L125" s="772">
        <v>0</v>
      </c>
      <c r="M125" s="772">
        <v>40549</v>
      </c>
      <c r="N125" s="773">
        <v>0</v>
      </c>
      <c r="O125" s="773">
        <v>0</v>
      </c>
      <c r="P125" s="773">
        <v>0</v>
      </c>
      <c r="Q125" s="773">
        <v>0</v>
      </c>
      <c r="R125" s="773">
        <v>1007</v>
      </c>
      <c r="S125" s="773">
        <v>0</v>
      </c>
      <c r="T125" s="773">
        <v>0</v>
      </c>
      <c r="U125" s="773">
        <v>0</v>
      </c>
      <c r="V125" s="773">
        <v>0</v>
      </c>
      <c r="W125" s="773">
        <v>0</v>
      </c>
      <c r="X125" s="773">
        <v>0</v>
      </c>
      <c r="Y125" s="773">
        <v>0</v>
      </c>
      <c r="Z125" s="773">
        <v>435</v>
      </c>
      <c r="AA125" s="773">
        <v>0</v>
      </c>
      <c r="AB125" s="772">
        <v>0</v>
      </c>
      <c r="AC125" s="772">
        <v>0</v>
      </c>
      <c r="AD125" s="772">
        <v>0</v>
      </c>
      <c r="AE125" s="772">
        <v>0</v>
      </c>
      <c r="AF125" s="772">
        <v>0</v>
      </c>
      <c r="AG125" s="772">
        <v>16869</v>
      </c>
      <c r="AH125" s="772">
        <v>0</v>
      </c>
      <c r="AI125" s="772">
        <v>0</v>
      </c>
      <c r="AJ125" s="772">
        <v>0</v>
      </c>
      <c r="AK125" s="772">
        <v>0</v>
      </c>
      <c r="AL125" s="772">
        <v>0</v>
      </c>
      <c r="AM125" s="772">
        <v>0</v>
      </c>
      <c r="AN125" s="772">
        <v>0</v>
      </c>
      <c r="AO125" s="772">
        <v>0</v>
      </c>
      <c r="AP125" s="772">
        <v>0</v>
      </c>
      <c r="AQ125" s="772">
        <v>1494</v>
      </c>
      <c r="AR125" s="772">
        <v>0</v>
      </c>
      <c r="AS125" s="772">
        <v>0</v>
      </c>
      <c r="AT125" s="772">
        <v>0</v>
      </c>
      <c r="AU125" s="772">
        <v>0</v>
      </c>
      <c r="AV125" s="772">
        <v>0</v>
      </c>
      <c r="AW125" s="772">
        <v>1904002</v>
      </c>
      <c r="AX125" s="772">
        <v>0</v>
      </c>
      <c r="AY125" s="772">
        <v>0</v>
      </c>
      <c r="AZ125" s="772">
        <v>0</v>
      </c>
      <c r="BA125" s="772">
        <v>0</v>
      </c>
      <c r="BB125" s="772">
        <v>0</v>
      </c>
      <c r="BC125" s="772">
        <v>0</v>
      </c>
      <c r="BD125" s="772">
        <v>0</v>
      </c>
      <c r="BE125" s="772">
        <v>0</v>
      </c>
      <c r="BF125" s="772">
        <v>0</v>
      </c>
      <c r="BG125" s="772">
        <v>0</v>
      </c>
      <c r="BH125" s="772">
        <v>0</v>
      </c>
      <c r="BI125" s="772">
        <v>0</v>
      </c>
      <c r="BJ125" s="772">
        <v>0</v>
      </c>
      <c r="BK125" s="772">
        <v>0</v>
      </c>
      <c r="BL125" s="772">
        <v>0</v>
      </c>
      <c r="BM125" s="772">
        <v>0</v>
      </c>
      <c r="BN125" s="772">
        <v>0</v>
      </c>
      <c r="BO125" s="772">
        <v>10093</v>
      </c>
      <c r="BP125" s="772">
        <v>0</v>
      </c>
      <c r="BQ125" s="772">
        <v>0</v>
      </c>
      <c r="BR125" s="772">
        <v>0</v>
      </c>
      <c r="BS125" s="772">
        <v>0</v>
      </c>
      <c r="BT125" s="772">
        <v>0</v>
      </c>
      <c r="BU125" s="772">
        <v>0</v>
      </c>
      <c r="BV125" s="772">
        <v>0</v>
      </c>
      <c r="BW125" s="772">
        <v>0</v>
      </c>
      <c r="BX125" s="772">
        <v>0</v>
      </c>
      <c r="BY125" s="772">
        <v>0</v>
      </c>
      <c r="BZ125" s="772">
        <v>0</v>
      </c>
      <c r="CA125" s="772">
        <v>0</v>
      </c>
      <c r="CB125" s="772">
        <v>0</v>
      </c>
      <c r="CC125" s="772">
        <v>0</v>
      </c>
      <c r="CD125" s="772">
        <v>0</v>
      </c>
      <c r="CE125" s="772">
        <v>0</v>
      </c>
    </row>
    <row r="126" spans="1:83" x14ac:dyDescent="0.25">
      <c r="A126" s="767">
        <v>365</v>
      </c>
      <c r="B126" s="752">
        <v>365</v>
      </c>
      <c r="C126" s="768" t="s">
        <v>310</v>
      </c>
      <c r="D126" s="635" t="s">
        <v>508</v>
      </c>
      <c r="E126" s="769">
        <v>0</v>
      </c>
      <c r="F126" s="770">
        <v>0</v>
      </c>
      <c r="G126" s="770">
        <v>0</v>
      </c>
      <c r="H126" s="770">
        <v>0</v>
      </c>
      <c r="I126" s="770">
        <v>0</v>
      </c>
      <c r="J126" s="770">
        <v>0</v>
      </c>
      <c r="K126" s="771">
        <v>0</v>
      </c>
      <c r="L126" s="772">
        <v>0</v>
      </c>
      <c r="M126" s="772">
        <v>0</v>
      </c>
      <c r="N126" s="773">
        <v>0</v>
      </c>
      <c r="O126" s="773">
        <v>0</v>
      </c>
      <c r="P126" s="773">
        <v>0</v>
      </c>
      <c r="Q126" s="773">
        <v>0</v>
      </c>
      <c r="R126" s="773">
        <v>0</v>
      </c>
      <c r="S126" s="773">
        <v>0</v>
      </c>
      <c r="T126" s="773">
        <v>0</v>
      </c>
      <c r="U126" s="773">
        <v>0</v>
      </c>
      <c r="V126" s="773">
        <v>0</v>
      </c>
      <c r="W126" s="773">
        <v>0</v>
      </c>
      <c r="X126" s="773">
        <v>0</v>
      </c>
      <c r="Y126" s="773">
        <v>0</v>
      </c>
      <c r="Z126" s="773">
        <v>0</v>
      </c>
      <c r="AA126" s="773">
        <v>0</v>
      </c>
      <c r="AB126" s="772">
        <v>0</v>
      </c>
      <c r="AC126" s="772">
        <v>0</v>
      </c>
      <c r="AD126" s="772">
        <v>0</v>
      </c>
      <c r="AE126" s="772">
        <v>0</v>
      </c>
      <c r="AF126" s="772">
        <v>0</v>
      </c>
      <c r="AG126" s="772">
        <v>0</v>
      </c>
      <c r="AH126" s="772">
        <v>0</v>
      </c>
      <c r="AI126" s="772">
        <v>0</v>
      </c>
      <c r="AJ126" s="772">
        <v>0</v>
      </c>
      <c r="AK126" s="772">
        <v>0</v>
      </c>
      <c r="AL126" s="772">
        <v>0</v>
      </c>
      <c r="AM126" s="772">
        <v>0</v>
      </c>
      <c r="AN126" s="772">
        <v>0</v>
      </c>
      <c r="AO126" s="772">
        <v>0</v>
      </c>
      <c r="AP126" s="772">
        <v>0</v>
      </c>
      <c r="AQ126" s="772">
        <v>0</v>
      </c>
      <c r="AR126" s="772">
        <v>0</v>
      </c>
      <c r="AS126" s="772">
        <v>0</v>
      </c>
      <c r="AT126" s="772">
        <v>0</v>
      </c>
      <c r="AU126" s="772">
        <v>0</v>
      </c>
      <c r="AV126" s="772">
        <v>0</v>
      </c>
      <c r="AW126" s="772">
        <v>0</v>
      </c>
      <c r="AX126" s="772">
        <v>0</v>
      </c>
      <c r="AY126" s="772">
        <v>0</v>
      </c>
      <c r="AZ126" s="772">
        <v>0</v>
      </c>
      <c r="BA126" s="772">
        <v>0</v>
      </c>
      <c r="BB126" s="772">
        <v>5000</v>
      </c>
      <c r="BC126" s="772">
        <v>0</v>
      </c>
      <c r="BD126" s="772">
        <v>0</v>
      </c>
      <c r="BE126" s="772">
        <v>0</v>
      </c>
      <c r="BF126" s="772">
        <v>0</v>
      </c>
      <c r="BG126" s="772">
        <v>0</v>
      </c>
      <c r="BH126" s="772">
        <v>0</v>
      </c>
      <c r="BI126" s="772">
        <v>0</v>
      </c>
      <c r="BJ126" s="772">
        <v>0</v>
      </c>
      <c r="BK126" s="772">
        <v>0</v>
      </c>
      <c r="BL126" s="772">
        <v>0</v>
      </c>
      <c r="BM126" s="772">
        <v>0</v>
      </c>
      <c r="BN126" s="772">
        <v>0</v>
      </c>
      <c r="BO126" s="772">
        <v>0</v>
      </c>
      <c r="BP126" s="772">
        <v>0</v>
      </c>
      <c r="BQ126" s="772">
        <v>0</v>
      </c>
      <c r="BR126" s="772">
        <v>0</v>
      </c>
      <c r="BS126" s="772">
        <v>0</v>
      </c>
      <c r="BT126" s="772">
        <v>0</v>
      </c>
      <c r="BU126" s="772">
        <v>0</v>
      </c>
      <c r="BV126" s="772">
        <v>0</v>
      </c>
      <c r="BW126" s="772">
        <v>0</v>
      </c>
      <c r="BX126" s="772">
        <v>0</v>
      </c>
      <c r="BY126" s="772">
        <v>0</v>
      </c>
      <c r="BZ126" s="772">
        <v>0</v>
      </c>
      <c r="CA126" s="772">
        <v>0</v>
      </c>
      <c r="CB126" s="772">
        <v>0</v>
      </c>
      <c r="CC126" s="772">
        <v>0</v>
      </c>
      <c r="CD126" s="772">
        <v>0</v>
      </c>
      <c r="CE126" s="772">
        <v>0</v>
      </c>
    </row>
    <row r="127" spans="1:83" x14ac:dyDescent="0.25">
      <c r="A127" s="767">
        <v>366</v>
      </c>
      <c r="B127" s="752">
        <v>366</v>
      </c>
      <c r="C127" s="768" t="s">
        <v>623</v>
      </c>
      <c r="D127" s="635" t="s">
        <v>509</v>
      </c>
      <c r="E127" s="769">
        <v>0</v>
      </c>
      <c r="F127" s="770">
        <v>0</v>
      </c>
      <c r="G127" s="770">
        <v>0</v>
      </c>
      <c r="H127" s="770">
        <v>0</v>
      </c>
      <c r="I127" s="770">
        <v>0</v>
      </c>
      <c r="J127" s="770">
        <v>0</v>
      </c>
      <c r="K127" s="771">
        <v>0</v>
      </c>
      <c r="L127" s="772">
        <v>0</v>
      </c>
      <c r="M127" s="772">
        <v>393779</v>
      </c>
      <c r="N127" s="773">
        <v>0</v>
      </c>
      <c r="O127" s="773">
        <v>0</v>
      </c>
      <c r="P127" s="773">
        <v>0</v>
      </c>
      <c r="Q127" s="773">
        <v>0</v>
      </c>
      <c r="R127" s="773">
        <v>5256749</v>
      </c>
      <c r="S127" s="773">
        <v>0</v>
      </c>
      <c r="T127" s="773">
        <v>0</v>
      </c>
      <c r="U127" s="773">
        <v>0</v>
      </c>
      <c r="V127" s="773">
        <v>0</v>
      </c>
      <c r="W127" s="773">
        <v>0</v>
      </c>
      <c r="X127" s="773">
        <v>0</v>
      </c>
      <c r="Y127" s="773">
        <v>0</v>
      </c>
      <c r="Z127" s="773">
        <v>8886</v>
      </c>
      <c r="AA127" s="773">
        <v>0</v>
      </c>
      <c r="AB127" s="772">
        <v>0</v>
      </c>
      <c r="AC127" s="772">
        <v>0</v>
      </c>
      <c r="AD127" s="772">
        <v>0</v>
      </c>
      <c r="AE127" s="772">
        <v>0</v>
      </c>
      <c r="AF127" s="772">
        <v>0</v>
      </c>
      <c r="AG127" s="772">
        <v>2085948</v>
      </c>
      <c r="AH127" s="772">
        <v>0</v>
      </c>
      <c r="AI127" s="772">
        <v>0</v>
      </c>
      <c r="AJ127" s="772">
        <v>0</v>
      </c>
      <c r="AK127" s="772">
        <v>0</v>
      </c>
      <c r="AL127" s="772">
        <v>0</v>
      </c>
      <c r="AM127" s="772">
        <v>0</v>
      </c>
      <c r="AN127" s="772">
        <v>0</v>
      </c>
      <c r="AO127" s="772">
        <v>0</v>
      </c>
      <c r="AP127" s="772">
        <v>0</v>
      </c>
      <c r="AQ127" s="772">
        <v>0</v>
      </c>
      <c r="AR127" s="772">
        <v>0</v>
      </c>
      <c r="AS127" s="772">
        <v>0</v>
      </c>
      <c r="AT127" s="772">
        <v>0</v>
      </c>
      <c r="AU127" s="772">
        <v>0</v>
      </c>
      <c r="AV127" s="772">
        <v>0</v>
      </c>
      <c r="AW127" s="772">
        <v>5002127</v>
      </c>
      <c r="AX127" s="772">
        <v>0</v>
      </c>
      <c r="AY127" s="772">
        <v>0</v>
      </c>
      <c r="AZ127" s="772">
        <v>0</v>
      </c>
      <c r="BA127" s="772">
        <v>0</v>
      </c>
      <c r="BB127" s="772">
        <v>0</v>
      </c>
      <c r="BC127" s="772">
        <v>0</v>
      </c>
      <c r="BD127" s="772">
        <v>0</v>
      </c>
      <c r="BE127" s="772">
        <v>0</v>
      </c>
      <c r="BF127" s="772">
        <v>0</v>
      </c>
      <c r="BG127" s="772">
        <v>0</v>
      </c>
      <c r="BH127" s="772">
        <v>0</v>
      </c>
      <c r="BI127" s="772">
        <v>0</v>
      </c>
      <c r="BJ127" s="772">
        <v>0</v>
      </c>
      <c r="BK127" s="772">
        <v>0</v>
      </c>
      <c r="BL127" s="772">
        <v>0</v>
      </c>
      <c r="BM127" s="772">
        <v>0</v>
      </c>
      <c r="BN127" s="772">
        <v>0</v>
      </c>
      <c r="BO127" s="772">
        <v>84000</v>
      </c>
      <c r="BP127" s="772">
        <v>0</v>
      </c>
      <c r="BQ127" s="772">
        <v>1999492</v>
      </c>
      <c r="BR127" s="772">
        <v>0</v>
      </c>
      <c r="BS127" s="772">
        <v>767961</v>
      </c>
      <c r="BT127" s="772">
        <v>0</v>
      </c>
      <c r="BU127" s="772">
        <v>0</v>
      </c>
      <c r="BV127" s="772">
        <v>0</v>
      </c>
      <c r="BW127" s="772">
        <v>0</v>
      </c>
      <c r="BX127" s="772">
        <v>0</v>
      </c>
      <c r="BY127" s="772">
        <v>0</v>
      </c>
      <c r="BZ127" s="772">
        <v>0</v>
      </c>
      <c r="CA127" s="772">
        <v>65638</v>
      </c>
      <c r="CB127" s="772">
        <v>0</v>
      </c>
      <c r="CC127" s="772">
        <v>0</v>
      </c>
      <c r="CD127" s="772">
        <v>0</v>
      </c>
      <c r="CE127" s="772">
        <v>0</v>
      </c>
    </row>
    <row r="128" spans="1:83" x14ac:dyDescent="0.25">
      <c r="B128" s="752">
        <v>367</v>
      </c>
      <c r="C128" s="768" t="s">
        <v>738</v>
      </c>
      <c r="D128" s="635" t="s">
        <v>510</v>
      </c>
      <c r="E128" s="769"/>
      <c r="F128" s="770"/>
      <c r="G128" s="770"/>
      <c r="H128" s="770"/>
      <c r="I128" s="770"/>
      <c r="J128" s="770"/>
      <c r="K128" s="771"/>
      <c r="L128" s="772"/>
      <c r="M128" s="772"/>
      <c r="N128" s="773"/>
      <c r="O128" s="773"/>
      <c r="P128" s="773"/>
      <c r="Q128" s="773"/>
      <c r="R128" s="773"/>
      <c r="S128" s="773"/>
      <c r="T128" s="773"/>
      <c r="U128" s="773"/>
      <c r="V128" s="773"/>
      <c r="W128" s="773"/>
      <c r="X128" s="773"/>
      <c r="Y128" s="773"/>
      <c r="Z128" s="773"/>
      <c r="AA128" s="773"/>
      <c r="AB128" s="772"/>
      <c r="AC128" s="772"/>
      <c r="AD128" s="772"/>
      <c r="AE128" s="772"/>
      <c r="AF128" s="772"/>
      <c r="AG128" s="772"/>
      <c r="AH128" s="772"/>
      <c r="AI128" s="772"/>
      <c r="AJ128" s="772"/>
      <c r="AK128" s="772"/>
      <c r="AL128" s="772"/>
      <c r="AM128" s="772"/>
      <c r="AN128" s="772"/>
      <c r="AO128" s="772"/>
      <c r="AP128" s="772"/>
      <c r="AQ128" s="772"/>
      <c r="AR128" s="772"/>
      <c r="AS128" s="772"/>
      <c r="AT128" s="772"/>
      <c r="AU128" s="772"/>
      <c r="AV128" s="772"/>
      <c r="AW128" s="772"/>
      <c r="AX128" s="772"/>
      <c r="AY128" s="772"/>
      <c r="AZ128" s="772"/>
      <c r="BA128" s="772"/>
      <c r="BB128" s="772"/>
      <c r="BC128" s="772"/>
      <c r="BD128" s="772"/>
      <c r="BE128" s="772"/>
      <c r="BF128" s="772"/>
      <c r="BG128" s="772"/>
      <c r="BH128" s="772"/>
      <c r="BI128" s="772"/>
      <c r="BJ128" s="772"/>
      <c r="BK128" s="772"/>
      <c r="BL128" s="772"/>
      <c r="BM128" s="772"/>
      <c r="BN128" s="772"/>
      <c r="BO128" s="772"/>
      <c r="BP128" s="772"/>
      <c r="BQ128" s="772"/>
      <c r="BR128" s="772"/>
      <c r="BS128" s="772"/>
      <c r="BT128" s="772"/>
      <c r="BU128" s="772"/>
      <c r="BV128" s="772"/>
      <c r="BW128" s="772"/>
      <c r="BX128" s="772"/>
      <c r="BY128" s="772"/>
      <c r="BZ128" s="772"/>
      <c r="CA128" s="772"/>
      <c r="CB128" s="772"/>
      <c r="CC128" s="772"/>
      <c r="CD128" s="772"/>
      <c r="CE128" s="772"/>
    </row>
    <row r="129" spans="1:83" x14ac:dyDescent="0.25">
      <c r="A129" s="767">
        <v>368</v>
      </c>
      <c r="B129" s="752">
        <v>368</v>
      </c>
      <c r="C129" s="768" t="s">
        <v>265</v>
      </c>
      <c r="D129" s="635" t="s">
        <v>511</v>
      </c>
      <c r="E129" s="769">
        <v>0</v>
      </c>
      <c r="F129" s="770">
        <v>0</v>
      </c>
      <c r="G129" s="770">
        <v>0</v>
      </c>
      <c r="H129" s="770">
        <v>0</v>
      </c>
      <c r="I129" s="770">
        <v>0</v>
      </c>
      <c r="J129" s="770">
        <v>0</v>
      </c>
      <c r="K129" s="771">
        <v>0</v>
      </c>
      <c r="L129" s="772">
        <v>0</v>
      </c>
      <c r="M129" s="772">
        <v>0</v>
      </c>
      <c r="N129" s="773">
        <v>382329</v>
      </c>
      <c r="O129" s="773">
        <v>0</v>
      </c>
      <c r="P129" s="773">
        <v>0</v>
      </c>
      <c r="Q129" s="773">
        <v>0</v>
      </c>
      <c r="R129" s="773">
        <v>0</v>
      </c>
      <c r="S129" s="773">
        <v>0</v>
      </c>
      <c r="T129" s="773">
        <v>0</v>
      </c>
      <c r="U129" s="773">
        <v>0</v>
      </c>
      <c r="V129" s="773">
        <v>0</v>
      </c>
      <c r="W129" s="773">
        <v>0</v>
      </c>
      <c r="X129" s="773">
        <v>0</v>
      </c>
      <c r="Y129" s="773">
        <v>0</v>
      </c>
      <c r="Z129" s="773">
        <v>0</v>
      </c>
      <c r="AA129" s="773">
        <v>241</v>
      </c>
      <c r="AB129" s="772">
        <v>0</v>
      </c>
      <c r="AC129" s="772">
        <v>0</v>
      </c>
      <c r="AD129" s="772">
        <v>156640</v>
      </c>
      <c r="AE129" s="772">
        <v>0</v>
      </c>
      <c r="AF129" s="772">
        <v>0</v>
      </c>
      <c r="AG129" s="772">
        <v>0</v>
      </c>
      <c r="AH129" s="772">
        <v>0</v>
      </c>
      <c r="AI129" s="772">
        <v>0</v>
      </c>
      <c r="AJ129" s="772">
        <v>0</v>
      </c>
      <c r="AK129" s="772">
        <v>0</v>
      </c>
      <c r="AL129" s="772">
        <v>0</v>
      </c>
      <c r="AM129" s="772">
        <v>0</v>
      </c>
      <c r="AN129" s="772">
        <v>0</v>
      </c>
      <c r="AO129" s="772">
        <v>35720</v>
      </c>
      <c r="AP129" s="772">
        <v>0</v>
      </c>
      <c r="AQ129" s="772">
        <v>0</v>
      </c>
      <c r="AR129" s="772">
        <v>0</v>
      </c>
      <c r="AS129" s="772">
        <v>0</v>
      </c>
      <c r="AT129" s="772">
        <v>0</v>
      </c>
      <c r="AU129" s="772">
        <v>0</v>
      </c>
      <c r="AV129" s="772">
        <v>1513540</v>
      </c>
      <c r="AW129" s="772">
        <v>0</v>
      </c>
      <c r="AX129" s="772">
        <v>0</v>
      </c>
      <c r="AY129" s="772">
        <v>0</v>
      </c>
      <c r="AZ129" s="772">
        <v>0</v>
      </c>
      <c r="BA129" s="772">
        <v>0</v>
      </c>
      <c r="BB129" s="772">
        <v>0</v>
      </c>
      <c r="BC129" s="772">
        <v>0</v>
      </c>
      <c r="BD129" s="772">
        <v>0</v>
      </c>
      <c r="BE129" s="772">
        <v>0</v>
      </c>
      <c r="BF129" s="772">
        <v>0</v>
      </c>
      <c r="BG129" s="772">
        <v>200167</v>
      </c>
      <c r="BH129" s="772">
        <v>0</v>
      </c>
      <c r="BI129" s="772">
        <v>0</v>
      </c>
      <c r="BJ129" s="772">
        <v>0</v>
      </c>
      <c r="BK129" s="772">
        <v>0</v>
      </c>
      <c r="BL129" s="772">
        <v>0</v>
      </c>
      <c r="BM129" s="772">
        <v>0</v>
      </c>
      <c r="BN129" s="772">
        <v>0</v>
      </c>
      <c r="BO129" s="772">
        <v>0</v>
      </c>
      <c r="BP129" s="772">
        <v>57215</v>
      </c>
      <c r="BQ129" s="772">
        <v>451324</v>
      </c>
      <c r="BR129" s="772">
        <v>0</v>
      </c>
      <c r="BS129" s="772">
        <v>0</v>
      </c>
      <c r="BT129" s="772">
        <v>12850</v>
      </c>
      <c r="BU129" s="772">
        <v>0</v>
      </c>
      <c r="BV129" s="772">
        <v>0</v>
      </c>
      <c r="BW129" s="772">
        <v>0</v>
      </c>
      <c r="BX129" s="772">
        <v>0</v>
      </c>
      <c r="BY129" s="772">
        <v>0</v>
      </c>
      <c r="BZ129" s="772">
        <v>274617</v>
      </c>
      <c r="CA129" s="772">
        <v>0</v>
      </c>
      <c r="CB129" s="772">
        <v>0</v>
      </c>
      <c r="CC129" s="772">
        <v>0</v>
      </c>
      <c r="CD129" s="772">
        <v>0</v>
      </c>
      <c r="CE129" s="772">
        <v>1304879</v>
      </c>
    </row>
    <row r="130" spans="1:83" x14ac:dyDescent="0.25">
      <c r="A130" s="767">
        <v>369</v>
      </c>
      <c r="B130" s="752">
        <v>369</v>
      </c>
      <c r="C130" s="768" t="s">
        <v>270</v>
      </c>
      <c r="D130" s="635" t="s">
        <v>512</v>
      </c>
      <c r="E130" s="769">
        <v>502821</v>
      </c>
      <c r="F130" s="770">
        <v>1014036</v>
      </c>
      <c r="G130" s="770">
        <v>188078</v>
      </c>
      <c r="H130" s="770">
        <v>362673</v>
      </c>
      <c r="I130" s="770">
        <v>291376</v>
      </c>
      <c r="J130" s="770">
        <v>98574</v>
      </c>
      <c r="K130" s="771">
        <v>26147</v>
      </c>
      <c r="L130" s="772">
        <v>69591</v>
      </c>
      <c r="M130" s="772">
        <v>1649537</v>
      </c>
      <c r="N130" s="773">
        <v>76400089</v>
      </c>
      <c r="O130" s="773">
        <v>644266</v>
      </c>
      <c r="P130" s="773">
        <v>2662400</v>
      </c>
      <c r="Q130" s="773">
        <v>11110</v>
      </c>
      <c r="R130" s="773">
        <v>2014473</v>
      </c>
      <c r="S130" s="773">
        <v>37604</v>
      </c>
      <c r="T130" s="773">
        <v>212587</v>
      </c>
      <c r="U130" s="773">
        <v>517196</v>
      </c>
      <c r="V130" s="773">
        <v>396778</v>
      </c>
      <c r="W130" s="773">
        <v>1469751</v>
      </c>
      <c r="X130" s="773">
        <v>648473</v>
      </c>
      <c r="Y130" s="773">
        <v>372468</v>
      </c>
      <c r="Z130" s="773">
        <v>386488</v>
      </c>
      <c r="AA130" s="773">
        <v>9583576</v>
      </c>
      <c r="AB130" s="772">
        <v>122519</v>
      </c>
      <c r="AC130" s="772">
        <v>240880</v>
      </c>
      <c r="AD130" s="772">
        <v>3316833</v>
      </c>
      <c r="AE130" s="772">
        <v>305533</v>
      </c>
      <c r="AF130" s="772">
        <v>363972</v>
      </c>
      <c r="AG130" s="772">
        <v>4962854</v>
      </c>
      <c r="AH130" s="772">
        <v>113115</v>
      </c>
      <c r="AI130" s="772">
        <v>97656</v>
      </c>
      <c r="AJ130" s="772">
        <v>2300036</v>
      </c>
      <c r="AK130" s="772">
        <v>492246</v>
      </c>
      <c r="AL130" s="772">
        <v>40161</v>
      </c>
      <c r="AM130" s="772">
        <v>6778204</v>
      </c>
      <c r="AN130" s="772">
        <v>28766</v>
      </c>
      <c r="AO130" s="772">
        <v>5604065</v>
      </c>
      <c r="AP130" s="772">
        <v>38913</v>
      </c>
      <c r="AQ130" s="772">
        <v>625017</v>
      </c>
      <c r="AR130" s="772">
        <v>929957</v>
      </c>
      <c r="AS130" s="772">
        <v>34566</v>
      </c>
      <c r="AT130" s="772">
        <v>140586</v>
      </c>
      <c r="AU130" s="772">
        <v>197750</v>
      </c>
      <c r="AV130" s="772">
        <v>32124997</v>
      </c>
      <c r="AW130" s="772">
        <v>9995824</v>
      </c>
      <c r="AX130" s="772">
        <v>292750</v>
      </c>
      <c r="AY130" s="772">
        <v>195383</v>
      </c>
      <c r="AZ130" s="772">
        <v>77534</v>
      </c>
      <c r="BA130" s="772">
        <v>33034</v>
      </c>
      <c r="BB130" s="772">
        <v>285435</v>
      </c>
      <c r="BC130" s="772">
        <v>2342834</v>
      </c>
      <c r="BD130" s="772">
        <v>48577</v>
      </c>
      <c r="BE130" s="772">
        <v>74800</v>
      </c>
      <c r="BF130" s="772">
        <v>18521</v>
      </c>
      <c r="BG130" s="772">
        <v>4370328</v>
      </c>
      <c r="BH130" s="772">
        <v>12569</v>
      </c>
      <c r="BI130" s="772">
        <v>4395903</v>
      </c>
      <c r="BJ130" s="772">
        <v>1173065</v>
      </c>
      <c r="BK130" s="772">
        <v>96592</v>
      </c>
      <c r="BL130" s="772">
        <v>65691</v>
      </c>
      <c r="BM130" s="772">
        <v>4573326</v>
      </c>
      <c r="BN130" s="772">
        <v>5267830</v>
      </c>
      <c r="BO130" s="772">
        <v>919835</v>
      </c>
      <c r="BP130" s="772">
        <v>3244269</v>
      </c>
      <c r="BQ130" s="772">
        <v>35108337</v>
      </c>
      <c r="BR130" s="772">
        <v>132563</v>
      </c>
      <c r="BS130" s="772">
        <v>1388312</v>
      </c>
      <c r="BT130" s="772">
        <v>240627</v>
      </c>
      <c r="BU130" s="772">
        <v>1295808</v>
      </c>
      <c r="BV130" s="772">
        <v>56064</v>
      </c>
      <c r="BW130" s="772">
        <v>183514</v>
      </c>
      <c r="BX130" s="772">
        <v>304715</v>
      </c>
      <c r="BY130" s="772">
        <v>844601</v>
      </c>
      <c r="BZ130" s="772">
        <v>9825706</v>
      </c>
      <c r="CA130" s="772">
        <v>182786</v>
      </c>
      <c r="CB130" s="772">
        <v>5695157</v>
      </c>
      <c r="CC130" s="772">
        <v>223702</v>
      </c>
      <c r="CD130" s="772">
        <v>530168</v>
      </c>
      <c r="CE130" s="772">
        <v>6951452</v>
      </c>
    </row>
    <row r="131" spans="1:83" x14ac:dyDescent="0.25">
      <c r="A131" s="767">
        <v>370</v>
      </c>
      <c r="B131" s="752">
        <v>370</v>
      </c>
      <c r="C131" s="768" t="s">
        <v>272</v>
      </c>
      <c r="D131" s="635" t="s">
        <v>513</v>
      </c>
      <c r="E131" s="769">
        <v>5882</v>
      </c>
      <c r="F131" s="770">
        <v>0</v>
      </c>
      <c r="G131" s="770">
        <v>0</v>
      </c>
      <c r="H131" s="770">
        <v>0</v>
      </c>
      <c r="I131" s="770">
        <v>39549</v>
      </c>
      <c r="J131" s="770">
        <v>0</v>
      </c>
      <c r="K131" s="771">
        <v>0</v>
      </c>
      <c r="L131" s="772">
        <v>0</v>
      </c>
      <c r="M131" s="772">
        <v>88469</v>
      </c>
      <c r="N131" s="773">
        <v>9016449</v>
      </c>
      <c r="O131" s="773">
        <v>0</v>
      </c>
      <c r="P131" s="773">
        <v>577147</v>
      </c>
      <c r="Q131" s="773">
        <v>0</v>
      </c>
      <c r="R131" s="773">
        <v>245047</v>
      </c>
      <c r="S131" s="773">
        <v>0</v>
      </c>
      <c r="T131" s="773">
        <v>14778</v>
      </c>
      <c r="U131" s="773">
        <v>71643</v>
      </c>
      <c r="V131" s="773">
        <v>152981</v>
      </c>
      <c r="W131" s="773">
        <v>269437</v>
      </c>
      <c r="X131" s="773">
        <v>38086</v>
      </c>
      <c r="Y131" s="773">
        <v>0</v>
      </c>
      <c r="Z131" s="773">
        <v>62760</v>
      </c>
      <c r="AA131" s="773">
        <v>0</v>
      </c>
      <c r="AB131" s="772">
        <v>0</v>
      </c>
      <c r="AC131" s="772">
        <v>0</v>
      </c>
      <c r="AD131" s="772">
        <v>3748006</v>
      </c>
      <c r="AE131" s="772">
        <v>75314</v>
      </c>
      <c r="AF131" s="772">
        <v>23640</v>
      </c>
      <c r="AG131" s="772">
        <v>4750931</v>
      </c>
      <c r="AH131" s="772">
        <v>0</v>
      </c>
      <c r="AI131" s="772">
        <v>0</v>
      </c>
      <c r="AJ131" s="772">
        <v>148042</v>
      </c>
      <c r="AK131" s="772">
        <v>0</v>
      </c>
      <c r="AL131" s="772">
        <v>0</v>
      </c>
      <c r="AM131" s="772">
        <v>4703683</v>
      </c>
      <c r="AN131" s="772">
        <v>0</v>
      </c>
      <c r="AO131" s="772">
        <v>0</v>
      </c>
      <c r="AP131" s="772">
        <v>0</v>
      </c>
      <c r="AQ131" s="772">
        <v>89292</v>
      </c>
      <c r="AR131" s="772">
        <v>57685</v>
      </c>
      <c r="AS131" s="772">
        <v>0</v>
      </c>
      <c r="AT131" s="772">
        <v>14211</v>
      </c>
      <c r="AU131" s="772">
        <v>0</v>
      </c>
      <c r="AV131" s="772">
        <v>0</v>
      </c>
      <c r="AW131" s="772">
        <v>0</v>
      </c>
      <c r="AX131" s="772">
        <v>153520</v>
      </c>
      <c r="AY131" s="772">
        <v>0</v>
      </c>
      <c r="AZ131" s="772">
        <v>0</v>
      </c>
      <c r="BA131" s="772">
        <v>2075</v>
      </c>
      <c r="BB131" s="772">
        <v>0</v>
      </c>
      <c r="BC131" s="772">
        <v>152689</v>
      </c>
      <c r="BD131" s="772">
        <v>0</v>
      </c>
      <c r="BE131" s="772">
        <v>34559</v>
      </c>
      <c r="BF131" s="772">
        <v>0</v>
      </c>
      <c r="BG131" s="772">
        <v>751010</v>
      </c>
      <c r="BH131" s="772">
        <v>0</v>
      </c>
      <c r="BI131" s="772">
        <v>342247</v>
      </c>
      <c r="BJ131" s="772">
        <v>87019</v>
      </c>
      <c r="BK131" s="772">
        <v>13150</v>
      </c>
      <c r="BL131" s="772">
        <v>0</v>
      </c>
      <c r="BM131" s="772">
        <v>472166</v>
      </c>
      <c r="BN131" s="772">
        <v>0</v>
      </c>
      <c r="BO131" s="772">
        <v>90256</v>
      </c>
      <c r="BP131" s="772">
        <v>896548</v>
      </c>
      <c r="BQ131" s="772">
        <v>566897</v>
      </c>
      <c r="BR131" s="772">
        <v>58228</v>
      </c>
      <c r="BS131" s="772">
        <v>68114</v>
      </c>
      <c r="BT131" s="772">
        <v>48905</v>
      </c>
      <c r="BU131" s="772">
        <v>1401119</v>
      </c>
      <c r="BV131" s="772">
        <v>3148</v>
      </c>
      <c r="BW131" s="772">
        <v>0</v>
      </c>
      <c r="BX131" s="772">
        <v>386136</v>
      </c>
      <c r="BY131" s="772">
        <v>109409</v>
      </c>
      <c r="BZ131" s="772">
        <v>4643949</v>
      </c>
      <c r="CA131" s="772">
        <v>17688</v>
      </c>
      <c r="CB131" s="772">
        <v>943400</v>
      </c>
      <c r="CC131" s="772">
        <v>8155</v>
      </c>
      <c r="CD131" s="772">
        <v>57710</v>
      </c>
      <c r="CE131" s="772">
        <v>4315371</v>
      </c>
    </row>
    <row r="132" spans="1:83" x14ac:dyDescent="0.25">
      <c r="A132" s="767">
        <v>371</v>
      </c>
      <c r="B132" s="752">
        <v>371</v>
      </c>
      <c r="C132" s="768" t="s">
        <v>327</v>
      </c>
      <c r="D132" s="635" t="s">
        <v>514</v>
      </c>
      <c r="E132" s="769">
        <v>0</v>
      </c>
      <c r="F132" s="770">
        <v>0</v>
      </c>
      <c r="G132" s="770">
        <v>0</v>
      </c>
      <c r="H132" s="770">
        <v>0</v>
      </c>
      <c r="I132" s="770">
        <v>0</v>
      </c>
      <c r="J132" s="770">
        <v>0</v>
      </c>
      <c r="K132" s="771">
        <v>0</v>
      </c>
      <c r="L132" s="772">
        <v>0</v>
      </c>
      <c r="M132" s="772">
        <v>0</v>
      </c>
      <c r="N132" s="773">
        <v>0</v>
      </c>
      <c r="O132" s="773">
        <v>0</v>
      </c>
      <c r="P132" s="773">
        <v>0</v>
      </c>
      <c r="Q132" s="773">
        <v>0</v>
      </c>
      <c r="R132" s="773">
        <v>0</v>
      </c>
      <c r="S132" s="773">
        <v>0</v>
      </c>
      <c r="T132" s="773">
        <v>0</v>
      </c>
      <c r="U132" s="773">
        <v>0</v>
      </c>
      <c r="V132" s="773">
        <v>0</v>
      </c>
      <c r="W132" s="773">
        <v>0</v>
      </c>
      <c r="X132" s="773">
        <v>0</v>
      </c>
      <c r="Y132" s="773">
        <v>0</v>
      </c>
      <c r="Z132" s="773">
        <v>0</v>
      </c>
      <c r="AA132" s="773">
        <v>2696893</v>
      </c>
      <c r="AB132" s="772">
        <v>0</v>
      </c>
      <c r="AC132" s="772">
        <v>0</v>
      </c>
      <c r="AD132" s="772">
        <v>0</v>
      </c>
      <c r="AE132" s="772">
        <v>0</v>
      </c>
      <c r="AF132" s="772">
        <v>0</v>
      </c>
      <c r="AG132" s="772">
        <v>0</v>
      </c>
      <c r="AH132" s="772">
        <v>0</v>
      </c>
      <c r="AI132" s="772">
        <v>0</v>
      </c>
      <c r="AJ132" s="772">
        <v>0</v>
      </c>
      <c r="AK132" s="772">
        <v>0</v>
      </c>
      <c r="AL132" s="772">
        <v>0</v>
      </c>
      <c r="AM132" s="772">
        <v>0</v>
      </c>
      <c r="AN132" s="772">
        <v>0</v>
      </c>
      <c r="AO132" s="772">
        <v>0</v>
      </c>
      <c r="AP132" s="772">
        <v>0</v>
      </c>
      <c r="AQ132" s="772">
        <v>0</v>
      </c>
      <c r="AR132" s="772">
        <v>0</v>
      </c>
      <c r="AS132" s="772">
        <v>0</v>
      </c>
      <c r="AT132" s="772">
        <v>0</v>
      </c>
      <c r="AU132" s="772">
        <v>0</v>
      </c>
      <c r="AV132" s="772">
        <v>25920000</v>
      </c>
      <c r="AW132" s="772">
        <v>4737002</v>
      </c>
      <c r="AX132" s="772">
        <v>0</v>
      </c>
      <c r="AY132" s="772">
        <v>0</v>
      </c>
      <c r="AZ132" s="772">
        <v>0</v>
      </c>
      <c r="BA132" s="772">
        <v>0</v>
      </c>
      <c r="BB132" s="772">
        <v>0</v>
      </c>
      <c r="BC132" s="772">
        <v>0</v>
      </c>
      <c r="BD132" s="772">
        <v>0</v>
      </c>
      <c r="BE132" s="772">
        <v>0</v>
      </c>
      <c r="BF132" s="772">
        <v>0</v>
      </c>
      <c r="BG132" s="772">
        <v>0</v>
      </c>
      <c r="BH132" s="772">
        <v>0</v>
      </c>
      <c r="BI132" s="772">
        <v>0</v>
      </c>
      <c r="BJ132" s="772">
        <v>0</v>
      </c>
      <c r="BK132" s="772">
        <v>0</v>
      </c>
      <c r="BL132" s="772">
        <v>0</v>
      </c>
      <c r="BM132" s="772">
        <v>0</v>
      </c>
      <c r="BN132" s="772">
        <v>562702</v>
      </c>
      <c r="BO132" s="772">
        <v>0</v>
      </c>
      <c r="BP132" s="772">
        <v>0</v>
      </c>
      <c r="BQ132" s="772">
        <v>4743550</v>
      </c>
      <c r="BR132" s="772">
        <v>0</v>
      </c>
      <c r="BS132" s="772">
        <v>0</v>
      </c>
      <c r="BT132" s="772">
        <v>0</v>
      </c>
      <c r="BU132" s="772">
        <v>0</v>
      </c>
      <c r="BV132" s="772">
        <v>0</v>
      </c>
      <c r="BW132" s="772">
        <v>0</v>
      </c>
      <c r="BX132" s="772">
        <v>0</v>
      </c>
      <c r="BY132" s="772">
        <v>0</v>
      </c>
      <c r="BZ132" s="772">
        <v>0</v>
      </c>
      <c r="CA132" s="772">
        <v>0</v>
      </c>
      <c r="CB132" s="772">
        <v>0</v>
      </c>
      <c r="CC132" s="772">
        <v>0</v>
      </c>
      <c r="CD132" s="772">
        <v>0</v>
      </c>
      <c r="CE132" s="772">
        <v>0</v>
      </c>
    </row>
    <row r="133" spans="1:83" x14ac:dyDescent="0.25">
      <c r="A133" s="767">
        <v>373</v>
      </c>
      <c r="B133" s="752">
        <v>373</v>
      </c>
      <c r="C133" s="768" t="s">
        <v>641</v>
      </c>
      <c r="D133" s="635" t="s">
        <v>515</v>
      </c>
      <c r="E133" s="769">
        <v>507393</v>
      </c>
      <c r="F133" s="770">
        <v>3306149</v>
      </c>
      <c r="G133" s="770">
        <v>122553</v>
      </c>
      <c r="H133" s="770">
        <v>517277</v>
      </c>
      <c r="I133" s="770">
        <v>886979</v>
      </c>
      <c r="J133" s="770">
        <v>351312</v>
      </c>
      <c r="K133" s="771">
        <v>74574</v>
      </c>
      <c r="L133" s="772">
        <v>61533</v>
      </c>
      <c r="M133" s="772">
        <v>5469248</v>
      </c>
      <c r="N133" s="773">
        <v>378380239</v>
      </c>
      <c r="O133" s="773">
        <v>926148</v>
      </c>
      <c r="P133" s="773">
        <v>2652793</v>
      </c>
      <c r="Q133" s="773">
        <v>46965</v>
      </c>
      <c r="R133" s="773">
        <v>11938467</v>
      </c>
      <c r="S133" s="773">
        <v>56947</v>
      </c>
      <c r="T133" s="773">
        <v>350753</v>
      </c>
      <c r="U133" s="773">
        <v>1557938</v>
      </c>
      <c r="V133" s="773">
        <v>409079</v>
      </c>
      <c r="W133" s="773">
        <v>6410781</v>
      </c>
      <c r="X133" s="773">
        <v>1394107</v>
      </c>
      <c r="Y133" s="773">
        <v>541098</v>
      </c>
      <c r="Z133" s="773">
        <v>1455697</v>
      </c>
      <c r="AA133" s="773">
        <v>26328921</v>
      </c>
      <c r="AB133" s="772">
        <v>337147</v>
      </c>
      <c r="AC133" s="772">
        <v>557196</v>
      </c>
      <c r="AD133" s="772">
        <v>77209284</v>
      </c>
      <c r="AE133" s="772">
        <v>883910</v>
      </c>
      <c r="AF133" s="772">
        <v>589062</v>
      </c>
      <c r="AG133" s="772">
        <v>291602111</v>
      </c>
      <c r="AH133" s="772">
        <v>398563</v>
      </c>
      <c r="AI133" s="772">
        <v>260636</v>
      </c>
      <c r="AJ133" s="772">
        <v>5689569</v>
      </c>
      <c r="AK133" s="772">
        <v>1158587</v>
      </c>
      <c r="AL133" s="772">
        <v>69329</v>
      </c>
      <c r="AM133" s="772">
        <v>59973141</v>
      </c>
      <c r="AN133" s="772">
        <v>387868</v>
      </c>
      <c r="AO133" s="772">
        <v>12722853</v>
      </c>
      <c r="AP133" s="772">
        <v>0</v>
      </c>
      <c r="AQ133" s="772">
        <v>2948390</v>
      </c>
      <c r="AR133" s="772">
        <v>2345177</v>
      </c>
      <c r="AS133" s="772">
        <v>70645</v>
      </c>
      <c r="AT133" s="772">
        <v>1538841</v>
      </c>
      <c r="AU133" s="772">
        <v>382474</v>
      </c>
      <c r="AV133" s="772">
        <v>382921430</v>
      </c>
      <c r="AW133" s="772">
        <v>112891835</v>
      </c>
      <c r="AX133" s="772">
        <v>6685448</v>
      </c>
      <c r="AY133" s="772">
        <v>304959</v>
      </c>
      <c r="AZ133" s="772">
        <v>385451</v>
      </c>
      <c r="BA133" s="772">
        <v>110888</v>
      </c>
      <c r="BB133" s="772">
        <v>276510</v>
      </c>
      <c r="BC133" s="772">
        <v>12282896</v>
      </c>
      <c r="BD133" s="772">
        <v>262908</v>
      </c>
      <c r="BE133" s="772">
        <v>273018</v>
      </c>
      <c r="BF133" s="772">
        <v>45349</v>
      </c>
      <c r="BG133" s="772">
        <v>6212490</v>
      </c>
      <c r="BH133" s="772">
        <v>51512</v>
      </c>
      <c r="BI133" s="772">
        <v>10072224</v>
      </c>
      <c r="BJ133" s="772">
        <v>3442395</v>
      </c>
      <c r="BK133" s="772">
        <v>655724</v>
      </c>
      <c r="BL133" s="772">
        <v>172993</v>
      </c>
      <c r="BM133" s="772">
        <v>25103075</v>
      </c>
      <c r="BN133" s="772">
        <v>20954935</v>
      </c>
      <c r="BO133" s="772">
        <v>2776233</v>
      </c>
      <c r="BP133" s="772">
        <v>98580817</v>
      </c>
      <c r="BQ133" s="772">
        <v>535928529</v>
      </c>
      <c r="BR133" s="772">
        <v>525053</v>
      </c>
      <c r="BS133" s="772">
        <v>9253583</v>
      </c>
      <c r="BT133" s="772">
        <v>1306728</v>
      </c>
      <c r="BU133" s="772">
        <v>6883365</v>
      </c>
      <c r="BV133" s="772">
        <v>771300</v>
      </c>
      <c r="BW133" s="772">
        <v>678484</v>
      </c>
      <c r="BX133" s="772">
        <v>1962481</v>
      </c>
      <c r="BY133" s="772">
        <v>1035390</v>
      </c>
      <c r="BZ133" s="772">
        <v>33932188</v>
      </c>
      <c r="CA133" s="772">
        <v>790032</v>
      </c>
      <c r="CB133" s="772">
        <v>12248675</v>
      </c>
      <c r="CC133" s="772">
        <v>792991</v>
      </c>
      <c r="CD133" s="772">
        <v>2930221</v>
      </c>
      <c r="CE133" s="772">
        <v>49047534</v>
      </c>
    </row>
    <row r="134" spans="1:83" x14ac:dyDescent="0.25">
      <c r="A134" s="767">
        <v>375</v>
      </c>
      <c r="B134" s="752">
        <v>375</v>
      </c>
      <c r="C134" s="768" t="s">
        <v>287</v>
      </c>
      <c r="D134" s="635" t="s">
        <v>516</v>
      </c>
      <c r="E134" s="769">
        <v>98405</v>
      </c>
      <c r="F134" s="770">
        <v>146513</v>
      </c>
      <c r="G134" s="770">
        <v>0</v>
      </c>
      <c r="H134" s="770">
        <v>558573</v>
      </c>
      <c r="I134" s="770">
        <v>488039</v>
      </c>
      <c r="J134" s="770">
        <v>92640</v>
      </c>
      <c r="K134" s="771">
        <v>0</v>
      </c>
      <c r="L134" s="772">
        <v>224047</v>
      </c>
      <c r="M134" s="772">
        <v>3654038</v>
      </c>
      <c r="N134" s="773">
        <v>0</v>
      </c>
      <c r="O134" s="773">
        <v>0</v>
      </c>
      <c r="P134" s="773">
        <v>0</v>
      </c>
      <c r="Q134" s="773">
        <v>2901</v>
      </c>
      <c r="R134" s="773">
        <v>2067011</v>
      </c>
      <c r="S134" s="773">
        <v>0</v>
      </c>
      <c r="T134" s="773">
        <v>198070</v>
      </c>
      <c r="U134" s="773">
        <v>1024748</v>
      </c>
      <c r="V134" s="773">
        <v>623910</v>
      </c>
      <c r="W134" s="773">
        <v>4044468</v>
      </c>
      <c r="X134" s="773">
        <v>0</v>
      </c>
      <c r="Y134" s="773">
        <v>554324</v>
      </c>
      <c r="Z134" s="773">
        <v>-291410</v>
      </c>
      <c r="AA134" s="773">
        <v>15418950</v>
      </c>
      <c r="AB134" s="772">
        <v>25106</v>
      </c>
      <c r="AC134" s="772">
        <v>424079</v>
      </c>
      <c r="AD134" s="772">
        <v>0</v>
      </c>
      <c r="AE134" s="772">
        <v>0</v>
      </c>
      <c r="AF134" s="772">
        <v>0</v>
      </c>
      <c r="AG134" s="772">
        <v>13759230</v>
      </c>
      <c r="AH134" s="772">
        <v>967</v>
      </c>
      <c r="AI134" s="772">
        <v>244865</v>
      </c>
      <c r="AJ134" s="772">
        <v>1632762</v>
      </c>
      <c r="AK134" s="772">
        <v>96490</v>
      </c>
      <c r="AL134" s="772">
        <v>8753</v>
      </c>
      <c r="AM134" s="772">
        <v>0</v>
      </c>
      <c r="AN134" s="772">
        <v>175920</v>
      </c>
      <c r="AO134" s="772">
        <v>11981233</v>
      </c>
      <c r="AP134" s="772">
        <v>0</v>
      </c>
      <c r="AQ134" s="772">
        <v>2736208</v>
      </c>
      <c r="AR134" s="772">
        <v>0</v>
      </c>
      <c r="AS134" s="772">
        <v>0</v>
      </c>
      <c r="AT134" s="772">
        <v>625355</v>
      </c>
      <c r="AU134" s="772">
        <v>159874</v>
      </c>
      <c r="AV134" s="772">
        <v>47408267</v>
      </c>
      <c r="AW134" s="772">
        <v>10773421</v>
      </c>
      <c r="AX134" s="772">
        <v>499319</v>
      </c>
      <c r="AY134" s="772">
        <v>117651</v>
      </c>
      <c r="AZ134" s="772">
        <v>169091</v>
      </c>
      <c r="BA134" s="772">
        <v>92090</v>
      </c>
      <c r="BB134" s="772">
        <v>411756</v>
      </c>
      <c r="BC134" s="772">
        <v>523151</v>
      </c>
      <c r="BD134" s="772">
        <v>493713</v>
      </c>
      <c r="BE134" s="772">
        <v>0</v>
      </c>
      <c r="BF134" s="772">
        <v>116275</v>
      </c>
      <c r="BG134" s="772">
        <v>9993578</v>
      </c>
      <c r="BH134" s="772">
        <v>0</v>
      </c>
      <c r="BI134" s="772">
        <v>9023648</v>
      </c>
      <c r="BJ134" s="772">
        <v>1129369</v>
      </c>
      <c r="BK134" s="772">
        <v>0</v>
      </c>
      <c r="BL134" s="772">
        <v>0</v>
      </c>
      <c r="BM134" s="772">
        <v>24619423</v>
      </c>
      <c r="BN134" s="772">
        <v>18410327</v>
      </c>
      <c r="BO134" s="772">
        <v>972460</v>
      </c>
      <c r="BP134" s="772">
        <v>29612777</v>
      </c>
      <c r="BQ134" s="772">
        <v>39021515</v>
      </c>
      <c r="BR134" s="772">
        <v>190481</v>
      </c>
      <c r="BS134" s="772">
        <v>1328088</v>
      </c>
      <c r="BT134" s="772">
        <v>0</v>
      </c>
      <c r="BU134" s="772">
        <v>7830314</v>
      </c>
      <c r="BV134" s="772">
        <v>113620</v>
      </c>
      <c r="BW134" s="772">
        <v>0</v>
      </c>
      <c r="BX134" s="772">
        <v>5302997</v>
      </c>
      <c r="BY134" s="772">
        <v>0</v>
      </c>
      <c r="BZ134" s="772">
        <v>41758277</v>
      </c>
      <c r="CA134" s="772">
        <v>571358</v>
      </c>
      <c r="CB134" s="772">
        <v>0</v>
      </c>
      <c r="CC134" s="772">
        <v>-16024</v>
      </c>
      <c r="CD134" s="772">
        <v>0</v>
      </c>
      <c r="CE134" s="772">
        <v>0</v>
      </c>
    </row>
    <row r="135" spans="1:83" x14ac:dyDescent="0.25">
      <c r="A135" s="767">
        <v>376</v>
      </c>
      <c r="B135" s="752">
        <v>376</v>
      </c>
      <c r="C135" s="768" t="s">
        <v>115</v>
      </c>
      <c r="D135" s="635" t="s">
        <v>517</v>
      </c>
      <c r="E135" s="769">
        <v>0</v>
      </c>
      <c r="F135" s="770">
        <v>-1489417</v>
      </c>
      <c r="G135" s="770">
        <v>0</v>
      </c>
      <c r="H135" s="770">
        <v>-227973</v>
      </c>
      <c r="I135" s="770">
        <v>0</v>
      </c>
      <c r="J135" s="770">
        <v>0</v>
      </c>
      <c r="K135" s="771">
        <v>0</v>
      </c>
      <c r="L135" s="772">
        <v>0</v>
      </c>
      <c r="M135" s="772">
        <v>-1263591</v>
      </c>
      <c r="N135" s="773">
        <v>-13380314</v>
      </c>
      <c r="O135" s="773">
        <v>0</v>
      </c>
      <c r="P135" s="773">
        <v>2826</v>
      </c>
      <c r="Q135" s="773">
        <v>0</v>
      </c>
      <c r="R135" s="773">
        <v>-10465379</v>
      </c>
      <c r="S135" s="773">
        <v>0</v>
      </c>
      <c r="T135" s="773">
        <v>0</v>
      </c>
      <c r="U135" s="773">
        <v>0</v>
      </c>
      <c r="V135" s="773">
        <v>0</v>
      </c>
      <c r="W135" s="773">
        <v>-637859</v>
      </c>
      <c r="X135" s="773">
        <v>1</v>
      </c>
      <c r="Y135" s="773">
        <v>0</v>
      </c>
      <c r="Z135" s="773">
        <v>0</v>
      </c>
      <c r="AA135" s="773">
        <v>-2363263</v>
      </c>
      <c r="AB135" s="772">
        <v>0</v>
      </c>
      <c r="AC135" s="772">
        <v>0</v>
      </c>
      <c r="AD135" s="772">
        <v>-11172333</v>
      </c>
      <c r="AE135" s="772">
        <v>-13028</v>
      </c>
      <c r="AF135" s="772">
        <v>-234177</v>
      </c>
      <c r="AG135" s="772">
        <v>-26567657</v>
      </c>
      <c r="AH135" s="772">
        <v>-1</v>
      </c>
      <c r="AI135" s="772">
        <v>0</v>
      </c>
      <c r="AJ135" s="772">
        <v>-363160</v>
      </c>
      <c r="AK135" s="772">
        <v>0</v>
      </c>
      <c r="AL135" s="772">
        <v>0</v>
      </c>
      <c r="AM135" s="772">
        <v>-4045604</v>
      </c>
      <c r="AN135" s="772">
        <v>0</v>
      </c>
      <c r="AO135" s="772">
        <v>-7090972</v>
      </c>
      <c r="AP135" s="772">
        <v>0</v>
      </c>
      <c r="AQ135" s="772">
        <v>-8053</v>
      </c>
      <c r="AR135" s="772">
        <v>0</v>
      </c>
      <c r="AS135" s="772">
        <v>0</v>
      </c>
      <c r="AT135" s="772">
        <v>-1</v>
      </c>
      <c r="AU135" s="772">
        <v>0</v>
      </c>
      <c r="AV135" s="772">
        <v>-92602063</v>
      </c>
      <c r="AW135" s="772">
        <v>-30282294</v>
      </c>
      <c r="AX135" s="772">
        <v>0</v>
      </c>
      <c r="AY135" s="772">
        <v>0</v>
      </c>
      <c r="AZ135" s="772">
        <v>0</v>
      </c>
      <c r="BA135" s="772">
        <v>0</v>
      </c>
      <c r="BB135" s="772">
        <v>0</v>
      </c>
      <c r="BC135" s="772">
        <v>-3053572</v>
      </c>
      <c r="BD135" s="772">
        <v>1</v>
      </c>
      <c r="BE135" s="772">
        <v>0</v>
      </c>
      <c r="BF135" s="772">
        <v>0</v>
      </c>
      <c r="BG135" s="772">
        <v>0</v>
      </c>
      <c r="BH135" s="772">
        <v>-13760</v>
      </c>
      <c r="BI135" s="772">
        <v>-1988218</v>
      </c>
      <c r="BJ135" s="772">
        <v>-640905</v>
      </c>
      <c r="BK135" s="772">
        <v>0</v>
      </c>
      <c r="BL135" s="772">
        <v>751142</v>
      </c>
      <c r="BM135" s="772">
        <v>-6921850</v>
      </c>
      <c r="BN135" s="772">
        <v>-859344</v>
      </c>
      <c r="BO135" s="772">
        <v>0</v>
      </c>
      <c r="BP135" s="772">
        <v>-10155043</v>
      </c>
      <c r="BQ135" s="772">
        <v>-3358027</v>
      </c>
      <c r="BR135" s="772">
        <v>-1</v>
      </c>
      <c r="BS135" s="772">
        <v>43058</v>
      </c>
      <c r="BT135" s="772">
        <v>0</v>
      </c>
      <c r="BU135" s="772">
        <v>-669929</v>
      </c>
      <c r="BV135" s="772">
        <v>0</v>
      </c>
      <c r="BW135" s="772">
        <v>0</v>
      </c>
      <c r="BX135" s="772">
        <v>0</v>
      </c>
      <c r="BY135" s="772">
        <v>-196633</v>
      </c>
      <c r="BZ135" s="772">
        <v>-697091</v>
      </c>
      <c r="CA135" s="772">
        <v>-2</v>
      </c>
      <c r="CB135" s="772">
        <v>-3643295</v>
      </c>
      <c r="CC135" s="772">
        <v>0</v>
      </c>
      <c r="CD135" s="772">
        <v>0</v>
      </c>
      <c r="CE135" s="772">
        <v>-898859</v>
      </c>
    </row>
    <row r="136" spans="1:83" x14ac:dyDescent="0.25">
      <c r="A136" s="767">
        <v>377</v>
      </c>
      <c r="B136" s="752">
        <v>377</v>
      </c>
      <c r="C136" s="768" t="s">
        <v>116</v>
      </c>
      <c r="D136" s="635" t="s">
        <v>518</v>
      </c>
      <c r="E136" s="769">
        <v>0</v>
      </c>
      <c r="F136" s="770">
        <v>0</v>
      </c>
      <c r="G136" s="770">
        <v>0</v>
      </c>
      <c r="H136" s="770">
        <v>-210486</v>
      </c>
      <c r="I136" s="770">
        <v>0</v>
      </c>
      <c r="J136" s="770">
        <v>0</v>
      </c>
      <c r="K136" s="771">
        <v>0</v>
      </c>
      <c r="L136" s="772">
        <v>0</v>
      </c>
      <c r="M136" s="772">
        <v>-252209</v>
      </c>
      <c r="N136" s="773">
        <v>0</v>
      </c>
      <c r="O136" s="773">
        <v>0</v>
      </c>
      <c r="P136" s="773">
        <v>0</v>
      </c>
      <c r="Q136" s="773">
        <v>0</v>
      </c>
      <c r="R136" s="773">
        <v>-3267621</v>
      </c>
      <c r="S136" s="773">
        <v>0</v>
      </c>
      <c r="T136" s="773">
        <v>0</v>
      </c>
      <c r="U136" s="773">
        <v>-116</v>
      </c>
      <c r="V136" s="773">
        <v>0</v>
      </c>
      <c r="W136" s="773">
        <v>-366011</v>
      </c>
      <c r="X136" s="773">
        <v>0</v>
      </c>
      <c r="Y136" s="773">
        <v>0</v>
      </c>
      <c r="Z136" s="773">
        <v>0</v>
      </c>
      <c r="AA136" s="773">
        <v>-379785</v>
      </c>
      <c r="AB136" s="772">
        <v>0</v>
      </c>
      <c r="AC136" s="772">
        <v>0</v>
      </c>
      <c r="AD136" s="772">
        <v>0</v>
      </c>
      <c r="AE136" s="772">
        <v>0</v>
      </c>
      <c r="AF136" s="772">
        <v>0</v>
      </c>
      <c r="AG136" s="772">
        <v>-4336311</v>
      </c>
      <c r="AH136" s="772">
        <v>1</v>
      </c>
      <c r="AI136" s="772">
        <v>0</v>
      </c>
      <c r="AJ136" s="772">
        <v>-27335</v>
      </c>
      <c r="AK136" s="772">
        <v>1</v>
      </c>
      <c r="AL136" s="772">
        <v>0</v>
      </c>
      <c r="AM136" s="772">
        <v>-1172428</v>
      </c>
      <c r="AN136" s="772">
        <v>0</v>
      </c>
      <c r="AO136" s="772">
        <v>-1513588</v>
      </c>
      <c r="AP136" s="772">
        <v>0</v>
      </c>
      <c r="AQ136" s="772">
        <v>-1109</v>
      </c>
      <c r="AR136" s="772">
        <v>0</v>
      </c>
      <c r="AS136" s="772">
        <v>0</v>
      </c>
      <c r="AT136" s="772">
        <v>0</v>
      </c>
      <c r="AU136" s="772">
        <v>-102000</v>
      </c>
      <c r="AV136" s="772">
        <v>-12146240</v>
      </c>
      <c r="AW136" s="772">
        <v>-5931891</v>
      </c>
      <c r="AX136" s="772">
        <v>0</v>
      </c>
      <c r="AY136" s="772">
        <v>0</v>
      </c>
      <c r="AZ136" s="772">
        <v>0</v>
      </c>
      <c r="BA136" s="772">
        <v>0</v>
      </c>
      <c r="BB136" s="772">
        <v>0</v>
      </c>
      <c r="BC136" s="772">
        <v>-1129403</v>
      </c>
      <c r="BD136" s="772">
        <v>1</v>
      </c>
      <c r="BE136" s="772">
        <v>0</v>
      </c>
      <c r="BF136" s="772">
        <v>-1</v>
      </c>
      <c r="BG136" s="772">
        <v>0</v>
      </c>
      <c r="BH136" s="772">
        <v>0</v>
      </c>
      <c r="BI136" s="772">
        <v>-296237</v>
      </c>
      <c r="BJ136" s="772">
        <v>-120762</v>
      </c>
      <c r="BK136" s="772">
        <v>0</v>
      </c>
      <c r="BL136" s="772">
        <v>0</v>
      </c>
      <c r="BM136" s="772">
        <v>-2228845</v>
      </c>
      <c r="BN136" s="772">
        <v>-783988</v>
      </c>
      <c r="BO136" s="772">
        <v>0</v>
      </c>
      <c r="BP136" s="772">
        <v>-1959602</v>
      </c>
      <c r="BQ136" s="772">
        <v>-463624</v>
      </c>
      <c r="BR136" s="772">
        <v>0</v>
      </c>
      <c r="BS136" s="772">
        <v>13273</v>
      </c>
      <c r="BT136" s="772">
        <v>0</v>
      </c>
      <c r="BU136" s="772">
        <v>-348231</v>
      </c>
      <c r="BV136" s="772">
        <v>0</v>
      </c>
      <c r="BW136" s="772">
        <v>0</v>
      </c>
      <c r="BX136" s="772">
        <v>0</v>
      </c>
      <c r="BY136" s="772">
        <v>0</v>
      </c>
      <c r="BZ136" s="772">
        <v>-197378</v>
      </c>
      <c r="CA136" s="772">
        <v>0</v>
      </c>
      <c r="CB136" s="772">
        <v>0</v>
      </c>
      <c r="CC136" s="772">
        <v>1</v>
      </c>
      <c r="CD136" s="772">
        <v>0</v>
      </c>
      <c r="CE136" s="772">
        <v>0</v>
      </c>
    </row>
    <row r="137" spans="1:83" x14ac:dyDescent="0.25">
      <c r="A137" s="767">
        <v>378</v>
      </c>
      <c r="B137" s="752">
        <v>378</v>
      </c>
      <c r="C137" s="768" t="s">
        <v>117</v>
      </c>
      <c r="D137" s="635" t="s">
        <v>519</v>
      </c>
      <c r="E137" s="769">
        <v>0</v>
      </c>
      <c r="F137" s="770">
        <v>0</v>
      </c>
      <c r="G137" s="770">
        <v>0</v>
      </c>
      <c r="H137" s="770">
        <v>0</v>
      </c>
      <c r="I137" s="770">
        <v>0</v>
      </c>
      <c r="J137" s="770">
        <v>0</v>
      </c>
      <c r="K137" s="771">
        <v>0</v>
      </c>
      <c r="L137" s="772">
        <v>0</v>
      </c>
      <c r="M137" s="772">
        <v>-243005</v>
      </c>
      <c r="N137" s="773">
        <v>0</v>
      </c>
      <c r="O137" s="773">
        <v>0</v>
      </c>
      <c r="P137" s="773">
        <v>0</v>
      </c>
      <c r="Q137" s="773">
        <v>0</v>
      </c>
      <c r="R137" s="773">
        <v>-1256085</v>
      </c>
      <c r="S137" s="773">
        <v>0</v>
      </c>
      <c r="T137" s="773">
        <v>0</v>
      </c>
      <c r="U137" s="773">
        <v>0</v>
      </c>
      <c r="V137" s="773">
        <v>0</v>
      </c>
      <c r="W137" s="773">
        <v>0</v>
      </c>
      <c r="X137" s="773">
        <v>0</v>
      </c>
      <c r="Y137" s="773">
        <v>0</v>
      </c>
      <c r="Z137" s="773">
        <v>0</v>
      </c>
      <c r="AA137" s="773">
        <v>0</v>
      </c>
      <c r="AB137" s="772">
        <v>0</v>
      </c>
      <c r="AC137" s="772">
        <v>0</v>
      </c>
      <c r="AD137" s="772">
        <v>0</v>
      </c>
      <c r="AE137" s="772">
        <v>0</v>
      </c>
      <c r="AF137" s="772">
        <v>0</v>
      </c>
      <c r="AG137" s="772">
        <v>-1965236</v>
      </c>
      <c r="AH137" s="772">
        <v>0</v>
      </c>
      <c r="AI137" s="772">
        <v>0</v>
      </c>
      <c r="AJ137" s="772">
        <v>0</v>
      </c>
      <c r="AK137" s="772">
        <v>0</v>
      </c>
      <c r="AL137" s="772">
        <v>0</v>
      </c>
      <c r="AM137" s="772">
        <v>0</v>
      </c>
      <c r="AN137" s="772">
        <v>0</v>
      </c>
      <c r="AO137" s="772">
        <v>0</v>
      </c>
      <c r="AP137" s="772">
        <v>0</v>
      </c>
      <c r="AQ137" s="772">
        <v>-2559</v>
      </c>
      <c r="AR137" s="772">
        <v>0</v>
      </c>
      <c r="AS137" s="772">
        <v>0</v>
      </c>
      <c r="AT137" s="772">
        <v>0</v>
      </c>
      <c r="AU137" s="772">
        <v>0</v>
      </c>
      <c r="AV137" s="772">
        <v>0</v>
      </c>
      <c r="AW137" s="772">
        <v>-11178116</v>
      </c>
      <c r="AX137" s="772">
        <v>0</v>
      </c>
      <c r="AY137" s="772">
        <v>0</v>
      </c>
      <c r="AZ137" s="772">
        <v>0</v>
      </c>
      <c r="BA137" s="772">
        <v>0</v>
      </c>
      <c r="BB137" s="772">
        <v>0</v>
      </c>
      <c r="BC137" s="772">
        <v>0</v>
      </c>
      <c r="BD137" s="772">
        <v>0</v>
      </c>
      <c r="BE137" s="772">
        <v>0</v>
      </c>
      <c r="BF137" s="772">
        <v>0</v>
      </c>
      <c r="BG137" s="772">
        <v>0</v>
      </c>
      <c r="BH137" s="772">
        <v>0</v>
      </c>
      <c r="BI137" s="772">
        <v>0</v>
      </c>
      <c r="BJ137" s="772">
        <v>0</v>
      </c>
      <c r="BK137" s="772">
        <v>0</v>
      </c>
      <c r="BL137" s="772">
        <v>0</v>
      </c>
      <c r="BM137" s="772">
        <v>0</v>
      </c>
      <c r="BN137" s="772">
        <v>0</v>
      </c>
      <c r="BO137" s="772">
        <v>0</v>
      </c>
      <c r="BP137" s="772">
        <v>0</v>
      </c>
      <c r="BQ137" s="772">
        <v>-375614</v>
      </c>
      <c r="BR137" s="772">
        <v>0</v>
      </c>
      <c r="BS137" s="772">
        <v>11651</v>
      </c>
      <c r="BT137" s="772">
        <v>0</v>
      </c>
      <c r="BU137" s="772">
        <v>0</v>
      </c>
      <c r="BV137" s="772">
        <v>0</v>
      </c>
      <c r="BW137" s="772">
        <v>0</v>
      </c>
      <c r="BX137" s="772">
        <v>0</v>
      </c>
      <c r="BY137" s="772">
        <v>0</v>
      </c>
      <c r="BZ137" s="772">
        <v>0</v>
      </c>
      <c r="CA137" s="772">
        <v>2</v>
      </c>
      <c r="CB137" s="772">
        <v>0</v>
      </c>
      <c r="CC137" s="772">
        <v>0</v>
      </c>
      <c r="CD137" s="772">
        <v>0</v>
      </c>
      <c r="CE137" s="772">
        <v>0</v>
      </c>
    </row>
    <row r="138" spans="1:83" x14ac:dyDescent="0.25">
      <c r="A138" s="767">
        <v>379</v>
      </c>
      <c r="B138" s="752">
        <v>379</v>
      </c>
      <c r="C138" s="768" t="s">
        <v>125</v>
      </c>
      <c r="D138" s="635" t="s">
        <v>520</v>
      </c>
      <c r="E138" s="769">
        <v>815394</v>
      </c>
      <c r="F138" s="770">
        <v>1170614</v>
      </c>
      <c r="G138" s="770">
        <v>533955</v>
      </c>
      <c r="H138" s="770">
        <v>1110130</v>
      </c>
      <c r="I138" s="770">
        <v>802225</v>
      </c>
      <c r="J138" s="770">
        <v>224567</v>
      </c>
      <c r="K138" s="771">
        <v>139669</v>
      </c>
      <c r="L138" s="772">
        <v>641142</v>
      </c>
      <c r="M138" s="772">
        <v>3223962</v>
      </c>
      <c r="N138" s="773">
        <v>83089471</v>
      </c>
      <c r="O138" s="773">
        <v>3050908</v>
      </c>
      <c r="P138" s="773">
        <v>5481494</v>
      </c>
      <c r="Q138" s="773">
        <v>189046</v>
      </c>
      <c r="R138" s="773">
        <v>9666660</v>
      </c>
      <c r="S138" s="773">
        <v>125020</v>
      </c>
      <c r="T138" s="773">
        <v>526777</v>
      </c>
      <c r="U138" s="773">
        <v>590679</v>
      </c>
      <c r="V138" s="773">
        <v>1168438</v>
      </c>
      <c r="W138" s="773">
        <v>3265999</v>
      </c>
      <c r="X138" s="773">
        <v>1662750</v>
      </c>
      <c r="Y138" s="773">
        <v>691349</v>
      </c>
      <c r="Z138" s="773">
        <v>523213</v>
      </c>
      <c r="AA138" s="773">
        <v>24944511</v>
      </c>
      <c r="AB138" s="772">
        <v>7239558</v>
      </c>
      <c r="AC138" s="772">
        <v>762032</v>
      </c>
      <c r="AD138" s="772">
        <v>31753710</v>
      </c>
      <c r="AE138" s="772">
        <v>620337</v>
      </c>
      <c r="AF138" s="772">
        <v>395260</v>
      </c>
      <c r="AG138" s="772">
        <v>34988209</v>
      </c>
      <c r="AH138" s="772">
        <v>844926</v>
      </c>
      <c r="AI138" s="772">
        <v>285422</v>
      </c>
      <c r="AJ138" s="772">
        <v>3622794</v>
      </c>
      <c r="AK138" s="772">
        <v>704642</v>
      </c>
      <c r="AL138" s="772">
        <v>126990</v>
      </c>
      <c r="AM138" s="772">
        <v>16244074</v>
      </c>
      <c r="AN138" s="772">
        <v>625965</v>
      </c>
      <c r="AO138" s="772">
        <v>11259048</v>
      </c>
      <c r="AP138" s="772">
        <v>72102</v>
      </c>
      <c r="AQ138" s="772">
        <v>3558575</v>
      </c>
      <c r="AR138" s="772">
        <v>2135544</v>
      </c>
      <c r="AS138" s="772">
        <v>193831</v>
      </c>
      <c r="AT138" s="772">
        <v>1019804</v>
      </c>
      <c r="AU138" s="772">
        <v>576476</v>
      </c>
      <c r="AV138" s="772">
        <v>83150781</v>
      </c>
      <c r="AW138" s="772">
        <v>28573618</v>
      </c>
      <c r="AX138" s="772">
        <v>890224</v>
      </c>
      <c r="AY138" s="772">
        <v>342489</v>
      </c>
      <c r="AZ138" s="772">
        <v>349931</v>
      </c>
      <c r="BA138" s="772">
        <v>148500</v>
      </c>
      <c r="BB138" s="772">
        <v>1063659</v>
      </c>
      <c r="BC138" s="772">
        <v>3242379</v>
      </c>
      <c r="BD138" s="772">
        <v>1140264</v>
      </c>
      <c r="BE138" s="772">
        <v>229845</v>
      </c>
      <c r="BF138" s="772">
        <v>132490</v>
      </c>
      <c r="BG138" s="772">
        <v>6443164</v>
      </c>
      <c r="BH138" s="772">
        <v>82482</v>
      </c>
      <c r="BI138" s="772">
        <v>11638577</v>
      </c>
      <c r="BJ138" s="772">
        <v>1481285</v>
      </c>
      <c r="BK138" s="772">
        <v>476928</v>
      </c>
      <c r="BL138" s="772">
        <v>489019</v>
      </c>
      <c r="BM138" s="772">
        <v>12769426</v>
      </c>
      <c r="BN138" s="772">
        <v>8364457</v>
      </c>
      <c r="BO138" s="772">
        <v>2083127</v>
      </c>
      <c r="BP138" s="772">
        <v>40632251</v>
      </c>
      <c r="BQ138" s="772">
        <v>29390823</v>
      </c>
      <c r="BR138" s="772">
        <v>290176</v>
      </c>
      <c r="BS138" s="772">
        <v>4483215</v>
      </c>
      <c r="BT138" s="772">
        <v>3185379</v>
      </c>
      <c r="BU138" s="772">
        <v>8059905</v>
      </c>
      <c r="BV138" s="772">
        <v>311981</v>
      </c>
      <c r="BW138" s="772">
        <v>1141266</v>
      </c>
      <c r="BX138" s="772">
        <v>2207591</v>
      </c>
      <c r="BY138" s="772">
        <v>2128387</v>
      </c>
      <c r="BZ138" s="772">
        <v>16751760</v>
      </c>
      <c r="CA138" s="772">
        <v>365120</v>
      </c>
      <c r="CB138" s="772">
        <v>8722197</v>
      </c>
      <c r="CC138" s="772">
        <v>526181</v>
      </c>
      <c r="CD138" s="772">
        <v>2083759</v>
      </c>
      <c r="CE138" s="772">
        <v>57469518</v>
      </c>
    </row>
    <row r="139" spans="1:83" ht="30" x14ac:dyDescent="0.25">
      <c r="A139" s="767">
        <v>380</v>
      </c>
      <c r="B139" s="752">
        <v>380</v>
      </c>
      <c r="C139" s="768" t="s">
        <v>128</v>
      </c>
      <c r="D139" s="635" t="s">
        <v>521</v>
      </c>
      <c r="E139" s="769">
        <v>59856</v>
      </c>
      <c r="F139" s="770">
        <v>267783</v>
      </c>
      <c r="G139" s="770">
        <v>2096</v>
      </c>
      <c r="H139" s="770">
        <v>3989</v>
      </c>
      <c r="I139" s="770">
        <v>7115</v>
      </c>
      <c r="J139" s="770">
        <v>1296</v>
      </c>
      <c r="K139" s="771">
        <v>452</v>
      </c>
      <c r="L139" s="772">
        <v>911</v>
      </c>
      <c r="M139" s="772">
        <v>265978</v>
      </c>
      <c r="N139" s="773">
        <v>6090003</v>
      </c>
      <c r="O139" s="773">
        <v>473</v>
      </c>
      <c r="P139" s="773">
        <v>39852</v>
      </c>
      <c r="Q139" s="773">
        <v>1678</v>
      </c>
      <c r="R139" s="773">
        <v>206359</v>
      </c>
      <c r="S139" s="773">
        <v>6058</v>
      </c>
      <c r="T139" s="773">
        <v>28833</v>
      </c>
      <c r="U139" s="773">
        <v>3294</v>
      </c>
      <c r="V139" s="773">
        <v>7032</v>
      </c>
      <c r="W139" s="773">
        <v>95177</v>
      </c>
      <c r="X139" s="773">
        <v>59695</v>
      </c>
      <c r="Y139" s="773">
        <v>16333</v>
      </c>
      <c r="Z139" s="773">
        <v>26858</v>
      </c>
      <c r="AA139" s="773">
        <v>68388</v>
      </c>
      <c r="AB139" s="772">
        <v>0</v>
      </c>
      <c r="AC139" s="772">
        <v>17112</v>
      </c>
      <c r="AD139" s="772">
        <v>103114</v>
      </c>
      <c r="AE139" s="772">
        <v>107729</v>
      </c>
      <c r="AF139" s="772">
        <v>121689</v>
      </c>
      <c r="AG139" s="772">
        <v>1134834</v>
      </c>
      <c r="AH139" s="772">
        <v>1537</v>
      </c>
      <c r="AI139" s="772">
        <v>11168</v>
      </c>
      <c r="AJ139" s="772">
        <v>164379</v>
      </c>
      <c r="AK139" s="772">
        <v>5265</v>
      </c>
      <c r="AL139" s="772">
        <v>30</v>
      </c>
      <c r="AM139" s="772">
        <v>1875532</v>
      </c>
      <c r="AN139" s="772">
        <v>1976</v>
      </c>
      <c r="AO139" s="772">
        <v>189732</v>
      </c>
      <c r="AP139" s="772">
        <v>0</v>
      </c>
      <c r="AQ139" s="772">
        <v>63907</v>
      </c>
      <c r="AR139" s="772">
        <v>36187</v>
      </c>
      <c r="AS139" s="772">
        <v>4421</v>
      </c>
      <c r="AT139" s="772">
        <v>39068</v>
      </c>
      <c r="AU139" s="772">
        <v>36548</v>
      </c>
      <c r="AV139" s="772">
        <v>4934197</v>
      </c>
      <c r="AW139" s="772">
        <v>2420897</v>
      </c>
      <c r="AX139" s="772">
        <v>52208</v>
      </c>
      <c r="AY139" s="772">
        <v>3099</v>
      </c>
      <c r="AZ139" s="772">
        <v>3995</v>
      </c>
      <c r="BA139" s="772">
        <v>1876</v>
      </c>
      <c r="BB139" s="772">
        <v>12741</v>
      </c>
      <c r="BC139" s="772">
        <v>188686</v>
      </c>
      <c r="BD139" s="772">
        <v>2257</v>
      </c>
      <c r="BE139" s="772">
        <v>2004</v>
      </c>
      <c r="BF139" s="772">
        <v>1612</v>
      </c>
      <c r="BG139" s="772">
        <v>38769</v>
      </c>
      <c r="BH139" s="772">
        <v>3023</v>
      </c>
      <c r="BI139" s="772">
        <v>50634</v>
      </c>
      <c r="BJ139" s="772">
        <v>23375</v>
      </c>
      <c r="BK139" s="772">
        <v>1279</v>
      </c>
      <c r="BL139" s="772">
        <v>0</v>
      </c>
      <c r="BM139" s="772">
        <v>222990</v>
      </c>
      <c r="BN139" s="772">
        <v>251065</v>
      </c>
      <c r="BO139" s="772">
        <v>73141</v>
      </c>
      <c r="BP139" s="772">
        <v>531223</v>
      </c>
      <c r="BQ139" s="772">
        <v>1752463</v>
      </c>
      <c r="BR139" s="772">
        <v>12970</v>
      </c>
      <c r="BS139" s="772">
        <v>20334</v>
      </c>
      <c r="BT139" s="772">
        <v>568</v>
      </c>
      <c r="BU139" s="772">
        <v>125209</v>
      </c>
      <c r="BV139" s="772">
        <v>16139</v>
      </c>
      <c r="BW139" s="772">
        <v>21779</v>
      </c>
      <c r="BX139" s="772">
        <v>99028</v>
      </c>
      <c r="BY139" s="772">
        <v>77281</v>
      </c>
      <c r="BZ139" s="772">
        <v>249186</v>
      </c>
      <c r="CA139" s="772">
        <v>9952</v>
      </c>
      <c r="CB139" s="772">
        <v>83460</v>
      </c>
      <c r="CC139" s="772">
        <v>20798</v>
      </c>
      <c r="CD139" s="772">
        <v>100730</v>
      </c>
      <c r="CE139" s="772">
        <v>185267</v>
      </c>
    </row>
    <row r="140" spans="1:83" x14ac:dyDescent="0.25">
      <c r="A140" s="767">
        <v>381</v>
      </c>
      <c r="B140" s="752">
        <v>381</v>
      </c>
      <c r="C140" s="768" t="s">
        <v>120</v>
      </c>
      <c r="D140" s="635" t="s">
        <v>522</v>
      </c>
      <c r="E140" s="769">
        <v>7338653</v>
      </c>
      <c r="F140" s="770">
        <v>10363763</v>
      </c>
      <c r="G140" s="770">
        <v>0</v>
      </c>
      <c r="H140" s="770">
        <v>8751310</v>
      </c>
      <c r="I140" s="770">
        <v>5758466</v>
      </c>
      <c r="J140" s="770">
        <v>493041</v>
      </c>
      <c r="K140" s="771">
        <v>0</v>
      </c>
      <c r="L140" s="772">
        <v>2116248</v>
      </c>
      <c r="M140" s="772">
        <v>44732342</v>
      </c>
      <c r="N140" s="773">
        <v>0</v>
      </c>
      <c r="O140" s="773">
        <v>0</v>
      </c>
      <c r="P140" s="773">
        <v>0</v>
      </c>
      <c r="Q140" s="773">
        <v>2814425</v>
      </c>
      <c r="R140" s="773">
        <v>43965648</v>
      </c>
      <c r="S140" s="773">
        <v>0</v>
      </c>
      <c r="T140" s="773">
        <v>1521413</v>
      </c>
      <c r="U140" s="773">
        <v>3783817</v>
      </c>
      <c r="V140" s="773">
        <v>1832491</v>
      </c>
      <c r="W140" s="773">
        <v>28912089</v>
      </c>
      <c r="X140" s="773">
        <v>0</v>
      </c>
      <c r="Y140" s="773">
        <v>5630776</v>
      </c>
      <c r="Z140" s="773">
        <v>9736071</v>
      </c>
      <c r="AA140" s="773">
        <v>118269040</v>
      </c>
      <c r="AB140" s="772">
        <v>1779886</v>
      </c>
      <c r="AC140" s="772">
        <v>2784657</v>
      </c>
      <c r="AD140" s="772">
        <v>0</v>
      </c>
      <c r="AE140" s="772">
        <v>0</v>
      </c>
      <c r="AF140" s="772">
        <v>0</v>
      </c>
      <c r="AG140" s="772">
        <v>277130523</v>
      </c>
      <c r="AH140" s="772">
        <v>2926</v>
      </c>
      <c r="AI140" s="772">
        <v>1197567</v>
      </c>
      <c r="AJ140" s="772">
        <v>3638081</v>
      </c>
      <c r="AK140" s="772">
        <v>1693737</v>
      </c>
      <c r="AL140" s="772">
        <v>248367</v>
      </c>
      <c r="AM140" s="772">
        <v>87904534</v>
      </c>
      <c r="AN140" s="772">
        <v>7103105</v>
      </c>
      <c r="AO140" s="772">
        <v>57098597</v>
      </c>
      <c r="AP140" s="772">
        <v>0</v>
      </c>
      <c r="AQ140" s="772">
        <v>17123769</v>
      </c>
      <c r="AR140" s="772">
        <v>0</v>
      </c>
      <c r="AS140" s="772">
        <v>0</v>
      </c>
      <c r="AT140" s="772">
        <v>6195816</v>
      </c>
      <c r="AU140" s="772">
        <v>3198353</v>
      </c>
      <c r="AV140" s="772">
        <v>889287914</v>
      </c>
      <c r="AW140" s="772">
        <v>281112904</v>
      </c>
      <c r="AX140" s="772">
        <v>4171294</v>
      </c>
      <c r="AY140" s="772">
        <v>3148697</v>
      </c>
      <c r="AZ140" s="772">
        <v>1927019</v>
      </c>
      <c r="BA140" s="772">
        <v>3498016</v>
      </c>
      <c r="BB140" s="772">
        <v>3221238</v>
      </c>
      <c r="BC140" s="772">
        <v>9081175</v>
      </c>
      <c r="BD140" s="772">
        <v>3883915</v>
      </c>
      <c r="BE140" s="772">
        <v>0</v>
      </c>
      <c r="BF140" s="772">
        <v>804943</v>
      </c>
      <c r="BG140" s="772">
        <v>42658602</v>
      </c>
      <c r="BH140" s="772">
        <v>0</v>
      </c>
      <c r="BI140" s="772">
        <v>35411960</v>
      </c>
      <c r="BJ140" s="772">
        <v>6009432</v>
      </c>
      <c r="BK140" s="772">
        <v>0</v>
      </c>
      <c r="BL140" s="772">
        <v>0</v>
      </c>
      <c r="BM140" s="772">
        <v>118881399</v>
      </c>
      <c r="BN140" s="772">
        <v>96046892</v>
      </c>
      <c r="BO140" s="772">
        <v>14089280</v>
      </c>
      <c r="BP140" s="772">
        <v>160065664</v>
      </c>
      <c r="BQ140" s="772">
        <v>361824440</v>
      </c>
      <c r="BR140" s="772">
        <v>4192709</v>
      </c>
      <c r="BS140" s="772">
        <v>26871278</v>
      </c>
      <c r="BT140" s="772">
        <v>0</v>
      </c>
      <c r="BU140" s="772">
        <v>78052102</v>
      </c>
      <c r="BV140" s="772">
        <v>2970942</v>
      </c>
      <c r="BW140" s="772">
        <v>0</v>
      </c>
      <c r="BX140" s="772">
        <v>22054731</v>
      </c>
      <c r="BY140" s="772">
        <v>0</v>
      </c>
      <c r="BZ140" s="772">
        <v>157463151</v>
      </c>
      <c r="CA140" s="772">
        <v>3652461</v>
      </c>
      <c r="CB140" s="772">
        <v>0</v>
      </c>
      <c r="CC140" s="772">
        <v>998156</v>
      </c>
      <c r="CD140" s="772">
        <v>0</v>
      </c>
      <c r="CE140" s="772">
        <v>0</v>
      </c>
    </row>
    <row r="141" spans="1:83" x14ac:dyDescent="0.25">
      <c r="A141" s="767">
        <v>382</v>
      </c>
      <c r="B141" s="752">
        <v>382</v>
      </c>
      <c r="C141" s="768" t="s">
        <v>121</v>
      </c>
      <c r="D141" s="635" t="s">
        <v>523</v>
      </c>
      <c r="E141" s="769">
        <v>0</v>
      </c>
      <c r="F141" s="770">
        <v>0</v>
      </c>
      <c r="G141" s="770">
        <v>0</v>
      </c>
      <c r="H141" s="770">
        <v>0</v>
      </c>
      <c r="I141" s="770">
        <v>0</v>
      </c>
      <c r="J141" s="770">
        <v>0</v>
      </c>
      <c r="K141" s="771">
        <v>0</v>
      </c>
      <c r="L141" s="772">
        <v>0</v>
      </c>
      <c r="M141" s="772">
        <v>7199517</v>
      </c>
      <c r="N141" s="773">
        <v>0</v>
      </c>
      <c r="O141" s="773">
        <v>0</v>
      </c>
      <c r="P141" s="773">
        <v>0</v>
      </c>
      <c r="Q141" s="773">
        <v>0</v>
      </c>
      <c r="R141" s="773">
        <v>10517315</v>
      </c>
      <c r="S141" s="773">
        <v>0</v>
      </c>
      <c r="T141" s="773">
        <v>1224879</v>
      </c>
      <c r="U141" s="773">
        <v>0</v>
      </c>
      <c r="V141" s="773">
        <v>0</v>
      </c>
      <c r="W141" s="773">
        <v>0</v>
      </c>
      <c r="X141" s="773">
        <v>0</v>
      </c>
      <c r="Y141" s="773">
        <v>0</v>
      </c>
      <c r="Z141" s="773">
        <v>1063965</v>
      </c>
      <c r="AA141" s="773">
        <v>0</v>
      </c>
      <c r="AB141" s="772">
        <v>0</v>
      </c>
      <c r="AC141" s="772">
        <v>0</v>
      </c>
      <c r="AD141" s="772">
        <v>0</v>
      </c>
      <c r="AE141" s="772">
        <v>0</v>
      </c>
      <c r="AF141" s="772">
        <v>0</v>
      </c>
      <c r="AG141" s="772">
        <v>75813645</v>
      </c>
      <c r="AH141" s="772">
        <v>0</v>
      </c>
      <c r="AI141" s="772">
        <v>0</v>
      </c>
      <c r="AJ141" s="772">
        <v>0</v>
      </c>
      <c r="AK141" s="772">
        <v>0</v>
      </c>
      <c r="AL141" s="772">
        <v>0</v>
      </c>
      <c r="AM141" s="772">
        <v>0</v>
      </c>
      <c r="AN141" s="772">
        <v>0</v>
      </c>
      <c r="AO141" s="772">
        <v>0</v>
      </c>
      <c r="AP141" s="772">
        <v>0</v>
      </c>
      <c r="AQ141" s="772">
        <v>8261405</v>
      </c>
      <c r="AR141" s="772">
        <v>0</v>
      </c>
      <c r="AS141" s="772">
        <v>0</v>
      </c>
      <c r="AT141" s="772">
        <v>0</v>
      </c>
      <c r="AU141" s="772">
        <v>0</v>
      </c>
      <c r="AV141" s="772">
        <v>0</v>
      </c>
      <c r="AW141" s="772">
        <v>221812189</v>
      </c>
      <c r="AX141" s="772">
        <v>0</v>
      </c>
      <c r="AY141" s="772">
        <v>0</v>
      </c>
      <c r="AZ141" s="772">
        <v>0</v>
      </c>
      <c r="BA141" s="772">
        <v>0</v>
      </c>
      <c r="BB141" s="772">
        <v>680570</v>
      </c>
      <c r="BC141" s="772">
        <v>0</v>
      </c>
      <c r="BD141" s="772">
        <v>0</v>
      </c>
      <c r="BE141" s="772">
        <v>0</v>
      </c>
      <c r="BF141" s="772">
        <v>0</v>
      </c>
      <c r="BG141" s="772">
        <v>0</v>
      </c>
      <c r="BH141" s="772">
        <v>0</v>
      </c>
      <c r="BI141" s="772">
        <v>0</v>
      </c>
      <c r="BJ141" s="772">
        <v>0</v>
      </c>
      <c r="BK141" s="772">
        <v>0</v>
      </c>
      <c r="BL141" s="772">
        <v>0</v>
      </c>
      <c r="BM141" s="772">
        <v>0</v>
      </c>
      <c r="BN141" s="772">
        <v>0</v>
      </c>
      <c r="BO141" s="772">
        <v>1945687</v>
      </c>
      <c r="BP141" s="772">
        <v>0</v>
      </c>
      <c r="BQ141" s="772">
        <v>135100867</v>
      </c>
      <c r="BR141" s="772">
        <v>0</v>
      </c>
      <c r="BS141" s="772">
        <v>7989553</v>
      </c>
      <c r="BT141" s="772">
        <v>0</v>
      </c>
      <c r="BU141" s="772">
        <v>0</v>
      </c>
      <c r="BV141" s="772">
        <v>513650</v>
      </c>
      <c r="BW141" s="772">
        <v>0</v>
      </c>
      <c r="BX141" s="772">
        <v>0</v>
      </c>
      <c r="BY141" s="772">
        <v>0</v>
      </c>
      <c r="BZ141" s="772">
        <v>0</v>
      </c>
      <c r="CA141" s="772">
        <v>1059897</v>
      </c>
      <c r="CB141" s="772">
        <v>0</v>
      </c>
      <c r="CC141" s="772">
        <v>0</v>
      </c>
      <c r="CD141" s="772">
        <v>0</v>
      </c>
      <c r="CE141" s="772">
        <v>25866348</v>
      </c>
    </row>
    <row r="142" spans="1:83" x14ac:dyDescent="0.25">
      <c r="A142" s="767">
        <v>383</v>
      </c>
      <c r="B142" s="752">
        <v>383</v>
      </c>
      <c r="C142" s="768" t="s">
        <v>286</v>
      </c>
      <c r="D142" s="635" t="s">
        <v>524</v>
      </c>
      <c r="E142" s="769">
        <v>0</v>
      </c>
      <c r="F142" s="770">
        <v>0</v>
      </c>
      <c r="G142" s="770">
        <v>0</v>
      </c>
      <c r="H142" s="770">
        <v>0</v>
      </c>
      <c r="I142" s="770">
        <v>0</v>
      </c>
      <c r="J142" s="770">
        <v>0</v>
      </c>
      <c r="K142" s="771">
        <v>0</v>
      </c>
      <c r="L142" s="772">
        <v>0</v>
      </c>
      <c r="M142" s="772">
        <v>0</v>
      </c>
      <c r="N142" s="773">
        <v>0</v>
      </c>
      <c r="O142" s="773">
        <v>0</v>
      </c>
      <c r="P142" s="773">
        <v>0</v>
      </c>
      <c r="Q142" s="773">
        <v>0</v>
      </c>
      <c r="R142" s="773">
        <v>0</v>
      </c>
      <c r="S142" s="773">
        <v>0</v>
      </c>
      <c r="T142" s="773">
        <v>0</v>
      </c>
      <c r="U142" s="773">
        <v>0</v>
      </c>
      <c r="V142" s="773">
        <v>0</v>
      </c>
      <c r="W142" s="773">
        <v>0</v>
      </c>
      <c r="X142" s="773">
        <v>0</v>
      </c>
      <c r="Y142" s="773">
        <v>0</v>
      </c>
      <c r="Z142" s="773">
        <v>0</v>
      </c>
      <c r="AA142" s="773">
        <v>0</v>
      </c>
      <c r="AB142" s="772">
        <v>0</v>
      </c>
      <c r="AC142" s="772">
        <v>0</v>
      </c>
      <c r="AD142" s="772">
        <v>0</v>
      </c>
      <c r="AE142" s="772">
        <v>0</v>
      </c>
      <c r="AF142" s="772">
        <v>0</v>
      </c>
      <c r="AG142" s="772">
        <v>0</v>
      </c>
      <c r="AH142" s="772">
        <v>0</v>
      </c>
      <c r="AI142" s="772">
        <v>0</v>
      </c>
      <c r="AJ142" s="772">
        <v>0</v>
      </c>
      <c r="AK142" s="772">
        <v>0</v>
      </c>
      <c r="AL142" s="772">
        <v>0</v>
      </c>
      <c r="AM142" s="772">
        <v>10998</v>
      </c>
      <c r="AN142" s="772">
        <v>0</v>
      </c>
      <c r="AO142" s="772">
        <v>0</v>
      </c>
      <c r="AP142" s="772">
        <v>0</v>
      </c>
      <c r="AQ142" s="772">
        <v>0</v>
      </c>
      <c r="AR142" s="772">
        <v>0</v>
      </c>
      <c r="AS142" s="772">
        <v>0</v>
      </c>
      <c r="AT142" s="772">
        <v>0</v>
      </c>
      <c r="AU142" s="772">
        <v>0</v>
      </c>
      <c r="AV142" s="772">
        <v>0</v>
      </c>
      <c r="AW142" s="772">
        <v>214721</v>
      </c>
      <c r="AX142" s="772">
        <v>0</v>
      </c>
      <c r="AY142" s="772">
        <v>0</v>
      </c>
      <c r="AZ142" s="772">
        <v>0</v>
      </c>
      <c r="BA142" s="772">
        <v>0</v>
      </c>
      <c r="BB142" s="772">
        <v>0</v>
      </c>
      <c r="BC142" s="772">
        <v>0</v>
      </c>
      <c r="BD142" s="772">
        <v>0</v>
      </c>
      <c r="BE142" s="772">
        <v>0</v>
      </c>
      <c r="BF142" s="772">
        <v>2594</v>
      </c>
      <c r="BG142" s="772">
        <v>0</v>
      </c>
      <c r="BH142" s="772">
        <v>0</v>
      </c>
      <c r="BI142" s="772">
        <v>0</v>
      </c>
      <c r="BJ142" s="772">
        <v>0</v>
      </c>
      <c r="BK142" s="772">
        <v>0</v>
      </c>
      <c r="BL142" s="772">
        <v>0</v>
      </c>
      <c r="BM142" s="772">
        <v>0</v>
      </c>
      <c r="BN142" s="772">
        <v>0</v>
      </c>
      <c r="BO142" s="772">
        <v>0</v>
      </c>
      <c r="BP142" s="772">
        <v>63764</v>
      </c>
      <c r="BQ142" s="772">
        <v>0</v>
      </c>
      <c r="BR142" s="772">
        <v>0</v>
      </c>
      <c r="BS142" s="772">
        <v>0</v>
      </c>
      <c r="BT142" s="772">
        <v>0</v>
      </c>
      <c r="BU142" s="772">
        <v>0</v>
      </c>
      <c r="BV142" s="772">
        <v>0</v>
      </c>
      <c r="BW142" s="772">
        <v>0</v>
      </c>
      <c r="BX142" s="772">
        <v>0</v>
      </c>
      <c r="BY142" s="772">
        <v>0</v>
      </c>
      <c r="BZ142" s="772">
        <v>0</v>
      </c>
      <c r="CA142" s="772">
        <v>0</v>
      </c>
      <c r="CB142" s="772">
        <v>0</v>
      </c>
      <c r="CC142" s="772">
        <v>0</v>
      </c>
      <c r="CD142" s="772">
        <v>0</v>
      </c>
      <c r="CE142" s="772">
        <v>0</v>
      </c>
    </row>
    <row r="143" spans="1:83" ht="30" x14ac:dyDescent="0.25">
      <c r="A143" s="767">
        <v>384</v>
      </c>
      <c r="B143" s="752">
        <v>384</v>
      </c>
      <c r="C143" s="768" t="s">
        <v>131</v>
      </c>
      <c r="D143" s="635" t="s">
        <v>525</v>
      </c>
      <c r="E143" s="769">
        <v>0</v>
      </c>
      <c r="F143" s="770">
        <v>0</v>
      </c>
      <c r="G143" s="770">
        <v>0</v>
      </c>
      <c r="H143" s="770">
        <v>0</v>
      </c>
      <c r="I143" s="770">
        <v>0</v>
      </c>
      <c r="J143" s="770">
        <v>0</v>
      </c>
      <c r="K143" s="771">
        <v>0</v>
      </c>
      <c r="L143" s="772">
        <v>0</v>
      </c>
      <c r="M143" s="772">
        <v>0</v>
      </c>
      <c r="N143" s="773">
        <v>0</v>
      </c>
      <c r="O143" s="773">
        <v>0</v>
      </c>
      <c r="P143" s="773">
        <v>0</v>
      </c>
      <c r="Q143" s="773">
        <v>0</v>
      </c>
      <c r="R143" s="773">
        <v>0</v>
      </c>
      <c r="S143" s="773">
        <v>0</v>
      </c>
      <c r="T143" s="773">
        <v>0</v>
      </c>
      <c r="U143" s="773">
        <v>0</v>
      </c>
      <c r="V143" s="773">
        <v>0</v>
      </c>
      <c r="W143" s="773">
        <v>0</v>
      </c>
      <c r="X143" s="773">
        <v>0</v>
      </c>
      <c r="Y143" s="773">
        <v>0</v>
      </c>
      <c r="Z143" s="773">
        <v>0</v>
      </c>
      <c r="AA143" s="773">
        <v>0</v>
      </c>
      <c r="AB143" s="772">
        <v>0</v>
      </c>
      <c r="AC143" s="772">
        <v>0</v>
      </c>
      <c r="AD143" s="772">
        <v>0</v>
      </c>
      <c r="AE143" s="772">
        <v>0</v>
      </c>
      <c r="AF143" s="772">
        <v>0</v>
      </c>
      <c r="AG143" s="772">
        <v>0</v>
      </c>
      <c r="AH143" s="772">
        <v>0</v>
      </c>
      <c r="AI143" s="772">
        <v>0</v>
      </c>
      <c r="AJ143" s="772">
        <v>0</v>
      </c>
      <c r="AK143" s="772">
        <v>0</v>
      </c>
      <c r="AL143" s="772">
        <v>0</v>
      </c>
      <c r="AM143" s="772">
        <v>0</v>
      </c>
      <c r="AN143" s="772">
        <v>0</v>
      </c>
      <c r="AO143" s="772">
        <v>0</v>
      </c>
      <c r="AP143" s="772">
        <v>0</v>
      </c>
      <c r="AQ143" s="772">
        <v>0</v>
      </c>
      <c r="AR143" s="772">
        <v>0</v>
      </c>
      <c r="AS143" s="772">
        <v>0</v>
      </c>
      <c r="AT143" s="772">
        <v>0</v>
      </c>
      <c r="AU143" s="772">
        <v>0</v>
      </c>
      <c r="AV143" s="772">
        <v>0</v>
      </c>
      <c r="AW143" s="772">
        <v>179760</v>
      </c>
      <c r="AX143" s="772">
        <v>0</v>
      </c>
      <c r="AY143" s="772">
        <v>0</v>
      </c>
      <c r="AZ143" s="772">
        <v>0</v>
      </c>
      <c r="BA143" s="772">
        <v>0</v>
      </c>
      <c r="BB143" s="772">
        <v>0</v>
      </c>
      <c r="BC143" s="772">
        <v>0</v>
      </c>
      <c r="BD143" s="772">
        <v>0</v>
      </c>
      <c r="BE143" s="772">
        <v>0</v>
      </c>
      <c r="BF143" s="772">
        <v>0</v>
      </c>
      <c r="BG143" s="772">
        <v>0</v>
      </c>
      <c r="BH143" s="772">
        <v>0</v>
      </c>
      <c r="BI143" s="772">
        <v>0</v>
      </c>
      <c r="BJ143" s="772">
        <v>0</v>
      </c>
      <c r="BK143" s="772">
        <v>0</v>
      </c>
      <c r="BL143" s="772">
        <v>0</v>
      </c>
      <c r="BM143" s="772">
        <v>0</v>
      </c>
      <c r="BN143" s="772">
        <v>0</v>
      </c>
      <c r="BO143" s="772">
        <v>0</v>
      </c>
      <c r="BP143" s="772">
        <v>0</v>
      </c>
      <c r="BQ143" s="772">
        <v>0</v>
      </c>
      <c r="BR143" s="772">
        <v>0</v>
      </c>
      <c r="BS143" s="772">
        <v>0</v>
      </c>
      <c r="BT143" s="772">
        <v>0</v>
      </c>
      <c r="BU143" s="772">
        <v>0</v>
      </c>
      <c r="BV143" s="772">
        <v>0</v>
      </c>
      <c r="BW143" s="772">
        <v>0</v>
      </c>
      <c r="BX143" s="772">
        <v>0</v>
      </c>
      <c r="BY143" s="772">
        <v>0</v>
      </c>
      <c r="BZ143" s="772">
        <v>0</v>
      </c>
      <c r="CA143" s="772">
        <v>0</v>
      </c>
      <c r="CB143" s="772">
        <v>0</v>
      </c>
      <c r="CC143" s="772">
        <v>0</v>
      </c>
      <c r="CD143" s="772">
        <v>0</v>
      </c>
      <c r="CE143" s="772">
        <v>0</v>
      </c>
    </row>
    <row r="144" spans="1:83" x14ac:dyDescent="0.25">
      <c r="A144" s="767">
        <v>385</v>
      </c>
      <c r="B144" s="752">
        <v>385</v>
      </c>
      <c r="C144" s="768" t="s">
        <v>122</v>
      </c>
      <c r="D144" s="635" t="s">
        <v>526</v>
      </c>
      <c r="E144" s="769">
        <v>1411100</v>
      </c>
      <c r="F144" s="770">
        <v>2246441</v>
      </c>
      <c r="G144" s="770">
        <v>1975938</v>
      </c>
      <c r="H144" s="770">
        <v>1695275</v>
      </c>
      <c r="I144" s="770">
        <v>1289673</v>
      </c>
      <c r="J144" s="770">
        <v>395208</v>
      </c>
      <c r="K144" s="771">
        <v>214738</v>
      </c>
      <c r="L144" s="772">
        <v>710557</v>
      </c>
      <c r="M144" s="772">
        <v>10736194</v>
      </c>
      <c r="N144" s="773">
        <v>564480631</v>
      </c>
      <c r="O144" s="773">
        <v>7371211</v>
      </c>
      <c r="P144" s="773">
        <v>21964535</v>
      </c>
      <c r="Q144" s="773">
        <v>982857</v>
      </c>
      <c r="R144" s="773">
        <v>30445442</v>
      </c>
      <c r="S144" s="773">
        <v>337178</v>
      </c>
      <c r="T144" s="773">
        <v>757904</v>
      </c>
      <c r="U144" s="773">
        <v>2151389</v>
      </c>
      <c r="V144" s="773">
        <v>3705273</v>
      </c>
      <c r="W144" s="773">
        <v>10161417</v>
      </c>
      <c r="X144" s="773">
        <v>2519637</v>
      </c>
      <c r="Y144" s="773">
        <v>1487615</v>
      </c>
      <c r="Z144" s="773">
        <v>1213898</v>
      </c>
      <c r="AA144" s="773">
        <v>123945788</v>
      </c>
      <c r="AB144" s="772">
        <v>8010604</v>
      </c>
      <c r="AC144" s="772">
        <v>903128</v>
      </c>
      <c r="AD144" s="772">
        <v>134325310</v>
      </c>
      <c r="AE144" s="772">
        <v>1920025</v>
      </c>
      <c r="AF144" s="772">
        <v>1047969</v>
      </c>
      <c r="AG144" s="772">
        <v>221979943</v>
      </c>
      <c r="AH144" s="772">
        <v>1043153</v>
      </c>
      <c r="AI144" s="772">
        <v>526483</v>
      </c>
      <c r="AJ144" s="772">
        <v>9087072</v>
      </c>
      <c r="AK144" s="772">
        <v>1519098</v>
      </c>
      <c r="AL144" s="772">
        <v>868566</v>
      </c>
      <c r="AM144" s="772">
        <v>95682824</v>
      </c>
      <c r="AN144" s="772">
        <v>1290511</v>
      </c>
      <c r="AO144" s="772">
        <v>34416336</v>
      </c>
      <c r="AP144" s="772">
        <v>72102</v>
      </c>
      <c r="AQ144" s="772">
        <v>9425354</v>
      </c>
      <c r="AR144" s="772">
        <v>4872307</v>
      </c>
      <c r="AS144" s="772">
        <v>513976</v>
      </c>
      <c r="AT144" s="772">
        <v>3361082</v>
      </c>
      <c r="AU144" s="772">
        <v>780269</v>
      </c>
      <c r="AV144" s="772">
        <v>756124118</v>
      </c>
      <c r="AW144" s="772">
        <v>288004645</v>
      </c>
      <c r="AX144" s="772">
        <v>3124103</v>
      </c>
      <c r="AY144" s="772">
        <v>697123</v>
      </c>
      <c r="AZ144" s="772">
        <v>595780</v>
      </c>
      <c r="BA144" s="772">
        <v>255371</v>
      </c>
      <c r="BB144" s="772">
        <v>1429283</v>
      </c>
      <c r="BC144" s="772">
        <v>14282949</v>
      </c>
      <c r="BD144" s="772">
        <v>1881189</v>
      </c>
      <c r="BE144" s="772">
        <v>460859</v>
      </c>
      <c r="BF144" s="772">
        <v>158458</v>
      </c>
      <c r="BG144" s="772">
        <v>34286978</v>
      </c>
      <c r="BH144" s="772">
        <v>104827</v>
      </c>
      <c r="BI144" s="772">
        <v>27460310</v>
      </c>
      <c r="BJ144" s="772">
        <v>8687813</v>
      </c>
      <c r="BK144" s="772">
        <v>1310038</v>
      </c>
      <c r="BL144" s="772">
        <v>722204</v>
      </c>
      <c r="BM144" s="772">
        <v>33698531</v>
      </c>
      <c r="BN144" s="772">
        <v>38369239</v>
      </c>
      <c r="BO144" s="772">
        <v>4115687</v>
      </c>
      <c r="BP144" s="772">
        <v>108523353</v>
      </c>
      <c r="BQ144" s="772">
        <v>355950677</v>
      </c>
      <c r="BR144" s="772">
        <v>1259405</v>
      </c>
      <c r="BS144" s="772">
        <v>18309865</v>
      </c>
      <c r="BT144" s="772">
        <v>6290846</v>
      </c>
      <c r="BU144" s="772">
        <v>32895966</v>
      </c>
      <c r="BV144" s="772">
        <v>1719094</v>
      </c>
      <c r="BW144" s="772">
        <v>1555124</v>
      </c>
      <c r="BX144" s="772">
        <v>19219697</v>
      </c>
      <c r="BY144" s="772">
        <v>3690456</v>
      </c>
      <c r="BZ144" s="772">
        <v>171291327</v>
      </c>
      <c r="CA144" s="772">
        <v>1601856</v>
      </c>
      <c r="CB144" s="772">
        <v>35692845</v>
      </c>
      <c r="CC144" s="772">
        <v>1126383</v>
      </c>
      <c r="CD144" s="772">
        <v>5785841</v>
      </c>
      <c r="CE144" s="772">
        <v>169643293</v>
      </c>
    </row>
    <row r="145" spans="1:83" x14ac:dyDescent="0.25">
      <c r="A145" s="767">
        <v>386</v>
      </c>
      <c r="B145" s="752">
        <v>386</v>
      </c>
      <c r="C145" s="768" t="s">
        <v>259</v>
      </c>
      <c r="D145" s="635" t="s">
        <v>527</v>
      </c>
      <c r="E145" s="769">
        <v>10924</v>
      </c>
      <c r="F145" s="770">
        <v>0</v>
      </c>
      <c r="G145" s="770">
        <v>0</v>
      </c>
      <c r="H145" s="770">
        <v>0</v>
      </c>
      <c r="I145" s="770">
        <v>0</v>
      </c>
      <c r="J145" s="770">
        <v>0</v>
      </c>
      <c r="K145" s="771">
        <v>0</v>
      </c>
      <c r="L145" s="772">
        <v>0</v>
      </c>
      <c r="M145" s="772">
        <v>583102</v>
      </c>
      <c r="N145" s="773">
        <v>0</v>
      </c>
      <c r="O145" s="773">
        <v>0</v>
      </c>
      <c r="P145" s="773">
        <v>0</v>
      </c>
      <c r="Q145" s="773">
        <v>0</v>
      </c>
      <c r="R145" s="773">
        <v>8745530</v>
      </c>
      <c r="S145" s="773">
        <v>0</v>
      </c>
      <c r="T145" s="773">
        <v>0</v>
      </c>
      <c r="U145" s="773">
        <v>0</v>
      </c>
      <c r="V145" s="773">
        <v>117000</v>
      </c>
      <c r="W145" s="773">
        <v>0</v>
      </c>
      <c r="X145" s="773">
        <v>0</v>
      </c>
      <c r="Y145" s="773">
        <v>0</v>
      </c>
      <c r="Z145" s="773">
        <v>8886</v>
      </c>
      <c r="AA145" s="773">
        <v>306783</v>
      </c>
      <c r="AB145" s="772">
        <v>0</v>
      </c>
      <c r="AC145" s="772">
        <v>0</v>
      </c>
      <c r="AD145" s="772">
        <v>0</v>
      </c>
      <c r="AE145" s="772">
        <v>0</v>
      </c>
      <c r="AF145" s="772">
        <v>0</v>
      </c>
      <c r="AG145" s="772">
        <v>0</v>
      </c>
      <c r="AH145" s="772">
        <v>0</v>
      </c>
      <c r="AI145" s="772">
        <v>0</v>
      </c>
      <c r="AJ145" s="772">
        <v>0</v>
      </c>
      <c r="AK145" s="772">
        <v>0</v>
      </c>
      <c r="AL145" s="772">
        <v>0</v>
      </c>
      <c r="AM145" s="772">
        <v>0</v>
      </c>
      <c r="AN145" s="772">
        <v>0</v>
      </c>
      <c r="AO145" s="772">
        <v>940388</v>
      </c>
      <c r="AP145" s="772">
        <v>0</v>
      </c>
      <c r="AQ145" s="772">
        <v>0</v>
      </c>
      <c r="AR145" s="772">
        <v>0</v>
      </c>
      <c r="AS145" s="772">
        <v>0</v>
      </c>
      <c r="AT145" s="772">
        <v>0</v>
      </c>
      <c r="AU145" s="772">
        <v>0</v>
      </c>
      <c r="AV145" s="772">
        <v>44735226</v>
      </c>
      <c r="AW145" s="772">
        <v>6302102</v>
      </c>
      <c r="AX145" s="772">
        <v>9000</v>
      </c>
      <c r="AY145" s="772">
        <v>0</v>
      </c>
      <c r="AZ145" s="772">
        <v>0</v>
      </c>
      <c r="BA145" s="772">
        <v>0</v>
      </c>
      <c r="BB145" s="772">
        <v>0</v>
      </c>
      <c r="BC145" s="772">
        <v>0</v>
      </c>
      <c r="BD145" s="772">
        <v>0</v>
      </c>
      <c r="BE145" s="772">
        <v>0</v>
      </c>
      <c r="BF145" s="772">
        <v>0</v>
      </c>
      <c r="BG145" s="772">
        <v>0</v>
      </c>
      <c r="BH145" s="772">
        <v>0</v>
      </c>
      <c r="BI145" s="772">
        <v>0</v>
      </c>
      <c r="BJ145" s="772">
        <v>0</v>
      </c>
      <c r="BK145" s="772">
        <v>0</v>
      </c>
      <c r="BL145" s="772">
        <v>0</v>
      </c>
      <c r="BM145" s="772">
        <v>774000</v>
      </c>
      <c r="BN145" s="772">
        <v>534955</v>
      </c>
      <c r="BO145" s="772">
        <v>84000</v>
      </c>
      <c r="BP145" s="772">
        <v>4201904</v>
      </c>
      <c r="BQ145" s="772">
        <v>1186828</v>
      </c>
      <c r="BR145" s="772">
        <v>0</v>
      </c>
      <c r="BS145" s="772">
        <v>0</v>
      </c>
      <c r="BT145" s="772">
        <v>1477965</v>
      </c>
      <c r="BU145" s="772">
        <v>0</v>
      </c>
      <c r="BV145" s="772">
        <v>0</v>
      </c>
      <c r="BW145" s="772">
        <v>0</v>
      </c>
      <c r="BX145" s="772">
        <v>0</v>
      </c>
      <c r="BY145" s="772">
        <v>0</v>
      </c>
      <c r="BZ145" s="772">
        <v>15348860</v>
      </c>
      <c r="CA145" s="772">
        <v>139638</v>
      </c>
      <c r="CB145" s="772">
        <v>0</v>
      </c>
      <c r="CC145" s="772">
        <v>0</v>
      </c>
      <c r="CD145" s="772">
        <v>0</v>
      </c>
      <c r="CE145" s="772">
        <v>0</v>
      </c>
    </row>
    <row r="146" spans="1:83" x14ac:dyDescent="0.25">
      <c r="A146" s="767">
        <v>387</v>
      </c>
      <c r="B146" s="752">
        <v>387</v>
      </c>
      <c r="C146" s="768" t="s">
        <v>260</v>
      </c>
      <c r="D146" s="635" t="s">
        <v>528</v>
      </c>
      <c r="E146" s="769">
        <v>0</v>
      </c>
      <c r="F146" s="770">
        <v>0</v>
      </c>
      <c r="G146" s="770">
        <v>0</v>
      </c>
      <c r="H146" s="770">
        <v>0</v>
      </c>
      <c r="I146" s="770">
        <v>0</v>
      </c>
      <c r="J146" s="770">
        <v>0</v>
      </c>
      <c r="K146" s="771">
        <v>0</v>
      </c>
      <c r="L146" s="772">
        <v>0</v>
      </c>
      <c r="M146" s="772">
        <v>0</v>
      </c>
      <c r="N146" s="773">
        <v>5863929</v>
      </c>
      <c r="O146" s="773">
        <v>0</v>
      </c>
      <c r="P146" s="773">
        <v>0</v>
      </c>
      <c r="Q146" s="773">
        <v>5807</v>
      </c>
      <c r="R146" s="773">
        <v>0</v>
      </c>
      <c r="S146" s="773">
        <v>0</v>
      </c>
      <c r="T146" s="773">
        <v>0</v>
      </c>
      <c r="U146" s="773">
        <v>0</v>
      </c>
      <c r="V146" s="773">
        <v>0</v>
      </c>
      <c r="W146" s="773">
        <v>0</v>
      </c>
      <c r="X146" s="773">
        <v>0</v>
      </c>
      <c r="Y146" s="773">
        <v>0</v>
      </c>
      <c r="Z146" s="773">
        <v>0</v>
      </c>
      <c r="AA146" s="773">
        <v>0</v>
      </c>
      <c r="AB146" s="772">
        <v>21213</v>
      </c>
      <c r="AC146" s="772">
        <v>0</v>
      </c>
      <c r="AD146" s="772">
        <v>0</v>
      </c>
      <c r="AE146" s="772">
        <v>0</v>
      </c>
      <c r="AF146" s="772">
        <v>0</v>
      </c>
      <c r="AG146" s="772">
        <v>1057760</v>
      </c>
      <c r="AH146" s="772">
        <v>0</v>
      </c>
      <c r="AI146" s="772">
        <v>0</v>
      </c>
      <c r="AJ146" s="772">
        <v>0</v>
      </c>
      <c r="AK146" s="772">
        <v>0</v>
      </c>
      <c r="AL146" s="772">
        <v>0</v>
      </c>
      <c r="AM146" s="772">
        <v>250000</v>
      </c>
      <c r="AN146" s="772">
        <v>0</v>
      </c>
      <c r="AO146" s="772">
        <v>0</v>
      </c>
      <c r="AP146" s="772">
        <v>0</v>
      </c>
      <c r="AQ146" s="772">
        <v>0</v>
      </c>
      <c r="AR146" s="772">
        <v>0</v>
      </c>
      <c r="AS146" s="772">
        <v>0</v>
      </c>
      <c r="AT146" s="772">
        <v>0</v>
      </c>
      <c r="AU146" s="772">
        <v>30104</v>
      </c>
      <c r="AV146" s="772">
        <v>51899735</v>
      </c>
      <c r="AW146" s="772">
        <v>0</v>
      </c>
      <c r="AX146" s="772">
        <v>0</v>
      </c>
      <c r="AY146" s="772">
        <v>23950</v>
      </c>
      <c r="AZ146" s="772">
        <v>0</v>
      </c>
      <c r="BA146" s="772">
        <v>0</v>
      </c>
      <c r="BB146" s="772">
        <v>5000</v>
      </c>
      <c r="BC146" s="772">
        <v>0</v>
      </c>
      <c r="BD146" s="772">
        <v>0</v>
      </c>
      <c r="BE146" s="772">
        <v>0</v>
      </c>
      <c r="BF146" s="772">
        <v>0</v>
      </c>
      <c r="BG146" s="772">
        <v>475909</v>
      </c>
      <c r="BH146" s="772">
        <v>0</v>
      </c>
      <c r="BI146" s="772">
        <v>333084</v>
      </c>
      <c r="BJ146" s="772">
        <v>0</v>
      </c>
      <c r="BK146" s="772">
        <v>0</v>
      </c>
      <c r="BL146" s="772">
        <v>0</v>
      </c>
      <c r="BM146" s="772">
        <v>0</v>
      </c>
      <c r="BN146" s="772">
        <v>0</v>
      </c>
      <c r="BO146" s="772">
        <v>0</v>
      </c>
      <c r="BP146" s="772">
        <v>3707741</v>
      </c>
      <c r="BQ146" s="772">
        <v>0</v>
      </c>
      <c r="BR146" s="772">
        <v>0</v>
      </c>
      <c r="BS146" s="772">
        <v>236606</v>
      </c>
      <c r="BT146" s="772">
        <v>0</v>
      </c>
      <c r="BU146" s="772">
        <v>0</v>
      </c>
      <c r="BV146" s="772">
        <v>0</v>
      </c>
      <c r="BW146" s="772">
        <v>374</v>
      </c>
      <c r="BX146" s="772">
        <v>0</v>
      </c>
      <c r="BY146" s="772">
        <v>0</v>
      </c>
      <c r="BZ146" s="772">
        <v>14781725</v>
      </c>
      <c r="CA146" s="772">
        <v>0</v>
      </c>
      <c r="CB146" s="772">
        <v>0</v>
      </c>
      <c r="CC146" s="772">
        <v>0</v>
      </c>
      <c r="CD146" s="772">
        <v>0</v>
      </c>
      <c r="CE146" s="772">
        <v>371979</v>
      </c>
    </row>
    <row r="147" spans="1:83" x14ac:dyDescent="0.25">
      <c r="A147" s="767">
        <v>388</v>
      </c>
      <c r="B147" s="752">
        <v>388</v>
      </c>
      <c r="C147" s="768" t="s">
        <v>254</v>
      </c>
      <c r="D147" s="635" t="s">
        <v>529</v>
      </c>
      <c r="E147" s="769">
        <v>866867</v>
      </c>
      <c r="F147" s="770">
        <v>2081130</v>
      </c>
      <c r="G147" s="770">
        <v>350634</v>
      </c>
      <c r="H147" s="770">
        <v>603558</v>
      </c>
      <c r="I147" s="770">
        <v>552630</v>
      </c>
      <c r="J147" s="770">
        <v>165454</v>
      </c>
      <c r="K147" s="771">
        <v>50863</v>
      </c>
      <c r="L147" s="772">
        <v>86368</v>
      </c>
      <c r="M147" s="772">
        <v>5115773</v>
      </c>
      <c r="N147" s="773">
        <v>168208978</v>
      </c>
      <c r="O147" s="773">
        <v>1823748</v>
      </c>
      <c r="P147" s="773">
        <v>6211356</v>
      </c>
      <c r="Q147" s="773">
        <v>135597</v>
      </c>
      <c r="R147" s="773">
        <v>12848248</v>
      </c>
      <c r="S147" s="773">
        <v>81882</v>
      </c>
      <c r="T147" s="773">
        <v>300633</v>
      </c>
      <c r="U147" s="773">
        <v>1777996</v>
      </c>
      <c r="V147" s="773">
        <v>889471</v>
      </c>
      <c r="W147" s="773">
        <v>4152442</v>
      </c>
      <c r="X147" s="773">
        <v>1518879</v>
      </c>
      <c r="Y147" s="773">
        <v>548433</v>
      </c>
      <c r="Z147" s="773">
        <v>1091766</v>
      </c>
      <c r="AA147" s="773">
        <v>33858677</v>
      </c>
      <c r="AB147" s="772">
        <v>531188</v>
      </c>
      <c r="AC147" s="772">
        <v>478831</v>
      </c>
      <c r="AD147" s="772">
        <v>33142922</v>
      </c>
      <c r="AE147" s="772">
        <v>631217</v>
      </c>
      <c r="AF147" s="772">
        <v>633594</v>
      </c>
      <c r="AG147" s="772">
        <v>71115644</v>
      </c>
      <c r="AH147" s="772">
        <v>134611</v>
      </c>
      <c r="AI147" s="772">
        <v>258290</v>
      </c>
      <c r="AJ147" s="772">
        <v>5603261</v>
      </c>
      <c r="AK147" s="772">
        <v>938692</v>
      </c>
      <c r="AL147" s="772">
        <v>81432</v>
      </c>
      <c r="AM147" s="772">
        <v>41447348</v>
      </c>
      <c r="AN147" s="772">
        <v>168379</v>
      </c>
      <c r="AO147" s="772">
        <v>12038767</v>
      </c>
      <c r="AP147" s="772">
        <v>66446</v>
      </c>
      <c r="AQ147" s="772">
        <v>3347870</v>
      </c>
      <c r="AR147" s="772">
        <v>2355187</v>
      </c>
      <c r="AS147" s="772">
        <v>51404</v>
      </c>
      <c r="AT147" s="772">
        <v>962082</v>
      </c>
      <c r="AU147" s="772">
        <v>163686</v>
      </c>
      <c r="AV147" s="772">
        <v>311522851</v>
      </c>
      <c r="AW147" s="772">
        <v>88079453</v>
      </c>
      <c r="AX147" s="772">
        <v>1633957</v>
      </c>
      <c r="AY147" s="772">
        <v>274374</v>
      </c>
      <c r="AZ147" s="772">
        <v>314866</v>
      </c>
      <c r="BA147" s="772">
        <v>198236</v>
      </c>
      <c r="BB147" s="772">
        <v>340473</v>
      </c>
      <c r="BC147" s="772">
        <v>6658226</v>
      </c>
      <c r="BD147" s="772">
        <v>271876</v>
      </c>
      <c r="BE147" s="772">
        <v>123108</v>
      </c>
      <c r="BF147" s="772">
        <v>46777</v>
      </c>
      <c r="BG147" s="772">
        <v>10885725</v>
      </c>
      <c r="BH147" s="772">
        <v>30729</v>
      </c>
      <c r="BI147" s="772">
        <v>9966039</v>
      </c>
      <c r="BJ147" s="772">
        <v>2161173</v>
      </c>
      <c r="BK147" s="772">
        <v>294075</v>
      </c>
      <c r="BL147" s="772">
        <v>123839</v>
      </c>
      <c r="BM147" s="772">
        <v>14410470</v>
      </c>
      <c r="BN147" s="772">
        <v>16254203</v>
      </c>
      <c r="BO147" s="772">
        <v>1930813</v>
      </c>
      <c r="BP147" s="772">
        <v>52701382</v>
      </c>
      <c r="BQ147" s="772">
        <v>141512632</v>
      </c>
      <c r="BR147" s="772">
        <v>278946</v>
      </c>
      <c r="BS147" s="772">
        <v>5828592</v>
      </c>
      <c r="BT147" s="772">
        <v>1061824</v>
      </c>
      <c r="BU147" s="772">
        <v>8779383</v>
      </c>
      <c r="BV147" s="772">
        <v>195346</v>
      </c>
      <c r="BW147" s="772">
        <v>280152</v>
      </c>
      <c r="BX147" s="772">
        <v>3875297</v>
      </c>
      <c r="BY147" s="772">
        <v>2472185</v>
      </c>
      <c r="BZ147" s="772">
        <v>34653540</v>
      </c>
      <c r="CA147" s="772">
        <v>469676</v>
      </c>
      <c r="CB147" s="772">
        <v>15069666</v>
      </c>
      <c r="CC147" s="772">
        <v>419089</v>
      </c>
      <c r="CD147" s="772">
        <v>2786335</v>
      </c>
      <c r="CE147" s="772">
        <v>37700247</v>
      </c>
    </row>
    <row r="148" spans="1:83" x14ac:dyDescent="0.25">
      <c r="A148" s="767">
        <v>389</v>
      </c>
      <c r="B148" s="752">
        <v>389</v>
      </c>
      <c r="C148" s="768" t="s">
        <v>261</v>
      </c>
      <c r="D148" s="635" t="s">
        <v>530</v>
      </c>
      <c r="E148" s="769">
        <v>0</v>
      </c>
      <c r="F148" s="770">
        <v>0</v>
      </c>
      <c r="G148" s="770">
        <v>0</v>
      </c>
      <c r="H148" s="770">
        <v>0</v>
      </c>
      <c r="I148" s="770">
        <v>0</v>
      </c>
      <c r="J148" s="770">
        <v>0</v>
      </c>
      <c r="K148" s="771">
        <v>0</v>
      </c>
      <c r="L148" s="772">
        <v>0</v>
      </c>
      <c r="M148" s="772">
        <v>0</v>
      </c>
      <c r="N148" s="773">
        <v>0</v>
      </c>
      <c r="O148" s="773">
        <v>0</v>
      </c>
      <c r="P148" s="773">
        <v>0</v>
      </c>
      <c r="Q148" s="773">
        <v>0</v>
      </c>
      <c r="R148" s="773">
        <v>0</v>
      </c>
      <c r="S148" s="773">
        <v>0</v>
      </c>
      <c r="T148" s="773">
        <v>0</v>
      </c>
      <c r="U148" s="773">
        <v>0</v>
      </c>
      <c r="V148" s="773">
        <v>0</v>
      </c>
      <c r="W148" s="773">
        <v>0</v>
      </c>
      <c r="X148" s="773">
        <v>0</v>
      </c>
      <c r="Y148" s="773">
        <v>0</v>
      </c>
      <c r="Z148" s="773">
        <v>0</v>
      </c>
      <c r="AA148" s="773">
        <v>0</v>
      </c>
      <c r="AB148" s="772">
        <v>0</v>
      </c>
      <c r="AC148" s="772">
        <v>0</v>
      </c>
      <c r="AD148" s="772">
        <v>0</v>
      </c>
      <c r="AE148" s="772">
        <v>0</v>
      </c>
      <c r="AF148" s="772">
        <v>0</v>
      </c>
      <c r="AG148" s="772">
        <v>0</v>
      </c>
      <c r="AH148" s="772">
        <v>0</v>
      </c>
      <c r="AI148" s="772">
        <v>0</v>
      </c>
      <c r="AJ148" s="772">
        <v>0</v>
      </c>
      <c r="AK148" s="772">
        <v>0</v>
      </c>
      <c r="AL148" s="772">
        <v>0</v>
      </c>
      <c r="AM148" s="772">
        <v>252508</v>
      </c>
      <c r="AN148" s="772">
        <v>0</v>
      </c>
      <c r="AO148" s="772">
        <v>0</v>
      </c>
      <c r="AP148" s="772">
        <v>0</v>
      </c>
      <c r="AQ148" s="772">
        <v>0</v>
      </c>
      <c r="AR148" s="772">
        <v>0</v>
      </c>
      <c r="AS148" s="772">
        <v>0</v>
      </c>
      <c r="AT148" s="772">
        <v>0</v>
      </c>
      <c r="AU148" s="772">
        <v>0</v>
      </c>
      <c r="AV148" s="772">
        <v>0</v>
      </c>
      <c r="AW148" s="772">
        <v>0</v>
      </c>
      <c r="AX148" s="772">
        <v>0</v>
      </c>
      <c r="AY148" s="772">
        <v>0</v>
      </c>
      <c r="AZ148" s="772">
        <v>0</v>
      </c>
      <c r="BA148" s="772">
        <v>0</v>
      </c>
      <c r="BB148" s="772">
        <v>0</v>
      </c>
      <c r="BC148" s="772">
        <v>0</v>
      </c>
      <c r="BD148" s="772">
        <v>0</v>
      </c>
      <c r="BE148" s="772">
        <v>0</v>
      </c>
      <c r="BF148" s="772">
        <v>0</v>
      </c>
      <c r="BG148" s="772">
        <v>0</v>
      </c>
      <c r="BH148" s="772">
        <v>0</v>
      </c>
      <c r="BI148" s="772">
        <v>0</v>
      </c>
      <c r="BJ148" s="772">
        <v>0</v>
      </c>
      <c r="BK148" s="772">
        <v>0</v>
      </c>
      <c r="BL148" s="772">
        <v>0</v>
      </c>
      <c r="BM148" s="772">
        <v>0</v>
      </c>
      <c r="BN148" s="772">
        <v>0</v>
      </c>
      <c r="BO148" s="772">
        <v>0</v>
      </c>
      <c r="BP148" s="772">
        <v>0</v>
      </c>
      <c r="BQ148" s="772">
        <v>0</v>
      </c>
      <c r="BR148" s="772">
        <v>0</v>
      </c>
      <c r="BS148" s="772">
        <v>0</v>
      </c>
      <c r="BT148" s="772">
        <v>0</v>
      </c>
      <c r="BU148" s="772">
        <v>0</v>
      </c>
      <c r="BV148" s="772">
        <v>0</v>
      </c>
      <c r="BW148" s="772">
        <v>0</v>
      </c>
      <c r="BX148" s="772">
        <v>0</v>
      </c>
      <c r="BY148" s="772">
        <v>0</v>
      </c>
      <c r="BZ148" s="772">
        <v>0</v>
      </c>
      <c r="CA148" s="772">
        <v>0</v>
      </c>
      <c r="CB148" s="772">
        <v>-16305054</v>
      </c>
      <c r="CC148" s="772">
        <v>0</v>
      </c>
      <c r="CD148" s="772">
        <v>0</v>
      </c>
      <c r="CE148" s="772">
        <v>0</v>
      </c>
    </row>
    <row r="149" spans="1:83" x14ac:dyDescent="0.25">
      <c r="A149" s="767">
        <v>391</v>
      </c>
      <c r="B149" s="752">
        <v>391</v>
      </c>
      <c r="C149" s="768" t="s">
        <v>266</v>
      </c>
      <c r="D149" s="635" t="s">
        <v>531</v>
      </c>
      <c r="E149" s="769">
        <v>203994</v>
      </c>
      <c r="F149" s="770">
        <v>175355</v>
      </c>
      <c r="G149" s="770">
        <v>39811</v>
      </c>
      <c r="H149" s="770">
        <v>76599</v>
      </c>
      <c r="I149" s="770">
        <v>69428</v>
      </c>
      <c r="J149" s="770">
        <v>8693</v>
      </c>
      <c r="K149" s="771">
        <v>6515</v>
      </c>
      <c r="L149" s="772">
        <v>9588</v>
      </c>
      <c r="M149" s="772">
        <v>443087</v>
      </c>
      <c r="N149" s="773">
        <v>25672447</v>
      </c>
      <c r="O149" s="773">
        <v>132607</v>
      </c>
      <c r="P149" s="773">
        <v>712715</v>
      </c>
      <c r="Q149" s="773">
        <v>30597</v>
      </c>
      <c r="R149" s="773">
        <v>893330</v>
      </c>
      <c r="S149" s="773">
        <v>4750</v>
      </c>
      <c r="T149" s="773">
        <v>14529</v>
      </c>
      <c r="U149" s="773">
        <v>123344</v>
      </c>
      <c r="V149" s="773">
        <v>100304</v>
      </c>
      <c r="W149" s="773">
        <v>378344</v>
      </c>
      <c r="X149" s="773">
        <v>178752</v>
      </c>
      <c r="Y149" s="773">
        <v>138738</v>
      </c>
      <c r="Z149" s="773">
        <v>87092</v>
      </c>
      <c r="AA149" s="773">
        <v>2200846</v>
      </c>
      <c r="AB149" s="772">
        <v>148822</v>
      </c>
      <c r="AC149" s="772">
        <v>70838</v>
      </c>
      <c r="AD149" s="772">
        <v>3358985</v>
      </c>
      <c r="AE149" s="772">
        <v>48013</v>
      </c>
      <c r="AF149" s="772">
        <v>60919</v>
      </c>
      <c r="AG149" s="772">
        <v>9757246</v>
      </c>
      <c r="AH149" s="772">
        <v>19898</v>
      </c>
      <c r="AI149" s="772">
        <v>22969</v>
      </c>
      <c r="AJ149" s="772">
        <v>406340</v>
      </c>
      <c r="AK149" s="772">
        <v>82392</v>
      </c>
      <c r="AL149" s="772">
        <v>78994</v>
      </c>
      <c r="AM149" s="772">
        <v>3712763</v>
      </c>
      <c r="AN149" s="772">
        <v>16348</v>
      </c>
      <c r="AO149" s="772">
        <v>2070188</v>
      </c>
      <c r="AP149" s="772">
        <v>1400</v>
      </c>
      <c r="AQ149" s="772">
        <v>243443</v>
      </c>
      <c r="AR149" s="772">
        <v>319024</v>
      </c>
      <c r="AS149" s="772">
        <v>7130</v>
      </c>
      <c r="AT149" s="772">
        <v>350893</v>
      </c>
      <c r="AU149" s="772">
        <v>29884</v>
      </c>
      <c r="AV149" s="772">
        <v>28775095</v>
      </c>
      <c r="AW149" s="772">
        <v>5799264</v>
      </c>
      <c r="AX149" s="772">
        <v>162561</v>
      </c>
      <c r="AY149" s="772">
        <v>88033</v>
      </c>
      <c r="AZ149" s="772">
        <v>21762</v>
      </c>
      <c r="BA149" s="772">
        <v>11131</v>
      </c>
      <c r="BB149" s="772">
        <v>127421</v>
      </c>
      <c r="BC149" s="772">
        <v>532527</v>
      </c>
      <c r="BD149" s="772">
        <v>33980</v>
      </c>
      <c r="BE149" s="772">
        <v>19243</v>
      </c>
      <c r="BF149" s="772">
        <v>9450</v>
      </c>
      <c r="BG149" s="772">
        <v>861270</v>
      </c>
      <c r="BH149" s="772">
        <v>1185</v>
      </c>
      <c r="BI149" s="772">
        <v>838573</v>
      </c>
      <c r="BJ149" s="772">
        <v>233269</v>
      </c>
      <c r="BK149" s="772">
        <v>19090</v>
      </c>
      <c r="BL149" s="772">
        <v>22842</v>
      </c>
      <c r="BM149" s="772">
        <v>1363545</v>
      </c>
      <c r="BN149" s="772">
        <v>2513576</v>
      </c>
      <c r="BO149" s="772">
        <v>281093</v>
      </c>
      <c r="BP149" s="772">
        <v>5575879</v>
      </c>
      <c r="BQ149" s="772">
        <v>10883292</v>
      </c>
      <c r="BR149" s="772">
        <v>17924</v>
      </c>
      <c r="BS149" s="772">
        <v>310664</v>
      </c>
      <c r="BT149" s="772">
        <v>140101</v>
      </c>
      <c r="BU149" s="772">
        <v>2307248</v>
      </c>
      <c r="BV149" s="772">
        <v>12805</v>
      </c>
      <c r="BW149" s="772">
        <v>29334</v>
      </c>
      <c r="BX149" s="772">
        <v>256810</v>
      </c>
      <c r="BY149" s="772">
        <v>188681</v>
      </c>
      <c r="BZ149" s="772">
        <v>5641682</v>
      </c>
      <c r="CA149" s="772">
        <v>88167</v>
      </c>
      <c r="CB149" s="772">
        <v>1569323</v>
      </c>
      <c r="CC149" s="772">
        <v>129444</v>
      </c>
      <c r="CD149" s="772">
        <v>251814</v>
      </c>
      <c r="CE149" s="772">
        <v>13352488</v>
      </c>
    </row>
    <row r="150" spans="1:83" x14ac:dyDescent="0.25">
      <c r="A150" s="767">
        <v>500</v>
      </c>
      <c r="B150" s="752">
        <v>500</v>
      </c>
      <c r="C150" s="768" t="s">
        <v>248</v>
      </c>
      <c r="D150" s="635" t="s">
        <v>532</v>
      </c>
      <c r="E150" s="769">
        <v>0</v>
      </c>
      <c r="F150" s="770">
        <v>119431</v>
      </c>
      <c r="G150" s="770">
        <v>0</v>
      </c>
      <c r="H150" s="770">
        <v>30760</v>
      </c>
      <c r="I150" s="770">
        <v>179289</v>
      </c>
      <c r="J150" s="770">
        <v>22664</v>
      </c>
      <c r="K150" s="771">
        <v>31118</v>
      </c>
      <c r="L150" s="772">
        <v>191417</v>
      </c>
      <c r="M150" s="772">
        <v>566785</v>
      </c>
      <c r="N150" s="773">
        <v>53357570</v>
      </c>
      <c r="O150" s="773">
        <v>0</v>
      </c>
      <c r="P150" s="773">
        <v>591578</v>
      </c>
      <c r="Q150" s="773">
        <v>27751</v>
      </c>
      <c r="R150" s="773">
        <v>425047</v>
      </c>
      <c r="S150" s="773">
        <v>2941</v>
      </c>
      <c r="T150" s="773">
        <v>76779</v>
      </c>
      <c r="U150" s="773">
        <v>74691</v>
      </c>
      <c r="V150" s="773">
        <v>0</v>
      </c>
      <c r="W150" s="773">
        <v>641448</v>
      </c>
      <c r="X150" s="773">
        <v>152167</v>
      </c>
      <c r="Y150" s="773">
        <v>27872</v>
      </c>
      <c r="Z150" s="773">
        <v>99162</v>
      </c>
      <c r="AA150" s="773">
        <v>2004028</v>
      </c>
      <c r="AB150" s="772">
        <v>3052524</v>
      </c>
      <c r="AC150" s="772">
        <v>46402</v>
      </c>
      <c r="AD150" s="772">
        <v>2366272</v>
      </c>
      <c r="AE150" s="772">
        <v>67807</v>
      </c>
      <c r="AF150" s="772">
        <v>8434</v>
      </c>
      <c r="AG150" s="772">
        <v>9424941</v>
      </c>
      <c r="AH150" s="772">
        <v>39520</v>
      </c>
      <c r="AI150" s="772">
        <v>0</v>
      </c>
      <c r="AJ150" s="772">
        <v>360849</v>
      </c>
      <c r="AK150" s="772">
        <v>60392</v>
      </c>
      <c r="AL150" s="772">
        <v>16466</v>
      </c>
      <c r="AM150" s="772">
        <v>1519945</v>
      </c>
      <c r="AN150" s="772">
        <v>103551</v>
      </c>
      <c r="AO150" s="772">
        <v>35720</v>
      </c>
      <c r="AP150" s="772">
        <v>0</v>
      </c>
      <c r="AQ150" s="772">
        <v>295659</v>
      </c>
      <c r="AR150" s="772">
        <v>10289</v>
      </c>
      <c r="AS150" s="772">
        <v>0</v>
      </c>
      <c r="AT150" s="772">
        <v>157571</v>
      </c>
      <c r="AU150" s="772">
        <v>149547</v>
      </c>
      <c r="AV150" s="772">
        <v>30346367</v>
      </c>
      <c r="AW150" s="772">
        <v>14543081</v>
      </c>
      <c r="AX150" s="772">
        <v>22935</v>
      </c>
      <c r="AY150" s="772">
        <v>33246</v>
      </c>
      <c r="AZ150" s="772">
        <v>163496</v>
      </c>
      <c r="BA150" s="772">
        <v>31974</v>
      </c>
      <c r="BB150" s="772">
        <v>49248</v>
      </c>
      <c r="BC150" s="772">
        <v>10983</v>
      </c>
      <c r="BD150" s="772">
        <v>0</v>
      </c>
      <c r="BE150" s="772">
        <v>32581</v>
      </c>
      <c r="BF150" s="772">
        <v>13641</v>
      </c>
      <c r="BG150" s="772">
        <v>5272506</v>
      </c>
      <c r="BH150" s="772">
        <v>32284</v>
      </c>
      <c r="BI150" s="772">
        <v>1702294</v>
      </c>
      <c r="BJ150" s="772">
        <v>5610113</v>
      </c>
      <c r="BK150" s="772">
        <v>216973</v>
      </c>
      <c r="BL150" s="772">
        <v>0</v>
      </c>
      <c r="BM150" s="772">
        <v>1164811</v>
      </c>
      <c r="BN150" s="772">
        <v>2106732</v>
      </c>
      <c r="BO150" s="772">
        <v>309977</v>
      </c>
      <c r="BP150" s="772">
        <v>57215</v>
      </c>
      <c r="BQ150" s="772">
        <v>39472622</v>
      </c>
      <c r="BR150" s="772">
        <v>55001</v>
      </c>
      <c r="BS150" s="772">
        <v>57010</v>
      </c>
      <c r="BT150" s="772">
        <v>348694</v>
      </c>
      <c r="BU150" s="772">
        <v>2338710</v>
      </c>
      <c r="BV150" s="772">
        <v>68375</v>
      </c>
      <c r="BW150" s="772">
        <v>132259</v>
      </c>
      <c r="BX150" s="772">
        <v>0</v>
      </c>
      <c r="BY150" s="772">
        <v>163397</v>
      </c>
      <c r="BZ150" s="772">
        <v>5107700</v>
      </c>
      <c r="CA150" s="772">
        <v>23925</v>
      </c>
      <c r="CB150" s="772">
        <v>29194</v>
      </c>
      <c r="CC150" s="772">
        <v>98023</v>
      </c>
      <c r="CD150" s="772">
        <v>299738</v>
      </c>
      <c r="CE150" s="772">
        <v>15925702</v>
      </c>
    </row>
    <row r="151" spans="1:83" x14ac:dyDescent="0.25">
      <c r="B151" s="752">
        <v>501</v>
      </c>
      <c r="C151" s="768" t="s">
        <v>250</v>
      </c>
      <c r="D151" s="635" t="s">
        <v>533</v>
      </c>
      <c r="E151" s="769">
        <v>0</v>
      </c>
      <c r="F151" s="770">
        <v>0</v>
      </c>
      <c r="G151" s="770">
        <v>0</v>
      </c>
      <c r="H151" s="770">
        <v>0</v>
      </c>
      <c r="I151" s="770">
        <v>0</v>
      </c>
      <c r="J151" s="770">
        <v>0</v>
      </c>
      <c r="K151" s="771">
        <v>0</v>
      </c>
      <c r="L151" s="772">
        <v>0</v>
      </c>
      <c r="M151" s="772">
        <v>0</v>
      </c>
      <c r="N151" s="773">
        <v>0</v>
      </c>
      <c r="O151" s="773">
        <v>0</v>
      </c>
      <c r="P151" s="773">
        <v>0</v>
      </c>
      <c r="Q151" s="773">
        <v>0</v>
      </c>
      <c r="R151" s="773">
        <v>0</v>
      </c>
      <c r="S151" s="773">
        <v>0</v>
      </c>
      <c r="T151" s="773">
        <v>0</v>
      </c>
      <c r="U151" s="773">
        <v>0</v>
      </c>
      <c r="V151" s="773">
        <v>0</v>
      </c>
      <c r="W151" s="773">
        <v>0</v>
      </c>
      <c r="X151" s="773">
        <v>0</v>
      </c>
      <c r="Y151" s="773">
        <v>0</v>
      </c>
      <c r="Z151" s="773">
        <v>0</v>
      </c>
      <c r="AA151" s="773">
        <v>0</v>
      </c>
      <c r="AB151" s="772">
        <v>0</v>
      </c>
      <c r="AC151" s="772">
        <v>0</v>
      </c>
      <c r="AD151" s="772">
        <v>0</v>
      </c>
      <c r="AE151" s="772">
        <v>0</v>
      </c>
      <c r="AF151" s="772">
        <v>0</v>
      </c>
      <c r="AG151" s="772">
        <v>0</v>
      </c>
      <c r="AH151" s="772">
        <v>0</v>
      </c>
      <c r="AI151" s="772">
        <v>0</v>
      </c>
      <c r="AJ151" s="772">
        <v>0</v>
      </c>
      <c r="AK151" s="772">
        <v>0</v>
      </c>
      <c r="AL151" s="772">
        <v>0</v>
      </c>
      <c r="AM151" s="772">
        <v>0</v>
      </c>
      <c r="AN151" s="772">
        <v>0</v>
      </c>
      <c r="AO151" s="772">
        <v>0</v>
      </c>
      <c r="AP151" s="772">
        <v>0</v>
      </c>
      <c r="AQ151" s="772">
        <v>0</v>
      </c>
      <c r="AR151" s="772">
        <v>0</v>
      </c>
      <c r="AS151" s="772">
        <v>0</v>
      </c>
      <c r="AT151" s="772">
        <v>0</v>
      </c>
      <c r="AU151" s="772">
        <v>0</v>
      </c>
      <c r="AV151" s="772">
        <v>0</v>
      </c>
      <c r="AW151" s="772">
        <v>0</v>
      </c>
      <c r="AX151" s="772">
        <v>0</v>
      </c>
      <c r="AY151" s="772">
        <v>0</v>
      </c>
      <c r="AZ151" s="772">
        <v>0</v>
      </c>
      <c r="BA151" s="772">
        <v>0</v>
      </c>
      <c r="BB151" s="772">
        <v>0</v>
      </c>
      <c r="BC151" s="772">
        <v>0</v>
      </c>
      <c r="BD151" s="772">
        <v>0</v>
      </c>
      <c r="BE151" s="772">
        <v>0</v>
      </c>
      <c r="BF151" s="772">
        <v>0</v>
      </c>
      <c r="BG151" s="772">
        <v>0</v>
      </c>
      <c r="BH151" s="772">
        <v>0</v>
      </c>
      <c r="BI151" s="772">
        <v>0</v>
      </c>
      <c r="BJ151" s="772">
        <v>0</v>
      </c>
      <c r="BK151" s="772">
        <v>0</v>
      </c>
      <c r="BL151" s="772">
        <v>0</v>
      </c>
      <c r="BM151" s="772">
        <v>0</v>
      </c>
      <c r="BN151" s="772">
        <v>0</v>
      </c>
      <c r="BO151" s="772">
        <v>0</v>
      </c>
      <c r="BP151" s="772">
        <v>0</v>
      </c>
      <c r="BQ151" s="772">
        <v>0</v>
      </c>
      <c r="BR151" s="772">
        <v>0</v>
      </c>
      <c r="BS151" s="772">
        <v>0</v>
      </c>
      <c r="BT151" s="772">
        <v>0</v>
      </c>
      <c r="BU151" s="772">
        <v>0</v>
      </c>
      <c r="BV151" s="772">
        <v>0</v>
      </c>
      <c r="BW151" s="772">
        <v>0</v>
      </c>
      <c r="BX151" s="772">
        <v>0</v>
      </c>
      <c r="BY151" s="772">
        <v>0</v>
      </c>
      <c r="BZ151" s="772">
        <v>0</v>
      </c>
      <c r="CA151" s="772">
        <v>0</v>
      </c>
      <c r="CB151" s="772">
        <v>0</v>
      </c>
      <c r="CC151" s="772">
        <v>0</v>
      </c>
      <c r="CD151" s="772">
        <v>0</v>
      </c>
      <c r="CE151" s="772">
        <v>0</v>
      </c>
    </row>
    <row r="152" spans="1:83" x14ac:dyDescent="0.25">
      <c r="A152" s="767">
        <v>502</v>
      </c>
      <c r="B152" s="752">
        <v>502</v>
      </c>
      <c r="C152" s="768" t="s">
        <v>251</v>
      </c>
      <c r="D152" s="635" t="s">
        <v>534</v>
      </c>
      <c r="E152" s="769">
        <v>294134</v>
      </c>
      <c r="F152" s="770">
        <v>150541</v>
      </c>
      <c r="G152" s="770">
        <v>0</v>
      </c>
      <c r="H152" s="770">
        <v>795372</v>
      </c>
      <c r="I152" s="770">
        <v>349962</v>
      </c>
      <c r="J152" s="770">
        <v>98380</v>
      </c>
      <c r="K152" s="771">
        <v>0</v>
      </c>
      <c r="L152" s="772">
        <v>203960</v>
      </c>
      <c r="M152" s="772">
        <v>4313101</v>
      </c>
      <c r="N152" s="773">
        <v>22139405</v>
      </c>
      <c r="O152" s="773">
        <v>0</v>
      </c>
      <c r="P152" s="773">
        <v>0</v>
      </c>
      <c r="Q152" s="773">
        <v>5807</v>
      </c>
      <c r="R152" s="773">
        <v>9963637</v>
      </c>
      <c r="S152" s="773">
        <v>0</v>
      </c>
      <c r="T152" s="773">
        <v>1088519</v>
      </c>
      <c r="U152" s="773">
        <v>897961</v>
      </c>
      <c r="V152" s="773">
        <v>725041</v>
      </c>
      <c r="W152" s="773">
        <v>4400214</v>
      </c>
      <c r="X152" s="773">
        <v>0</v>
      </c>
      <c r="Y152" s="773">
        <v>568026</v>
      </c>
      <c r="Z152" s="773">
        <v>270106</v>
      </c>
      <c r="AA152" s="773">
        <v>16446980</v>
      </c>
      <c r="AB152" s="772">
        <v>11284</v>
      </c>
      <c r="AC152" s="772">
        <v>402000</v>
      </c>
      <c r="AD152" s="772">
        <v>0</v>
      </c>
      <c r="AE152" s="772">
        <v>0</v>
      </c>
      <c r="AF152" s="772">
        <v>0</v>
      </c>
      <c r="AG152" s="772">
        <v>40858568</v>
      </c>
      <c r="AH152" s="772">
        <v>581</v>
      </c>
      <c r="AI152" s="772">
        <v>240241</v>
      </c>
      <c r="AJ152" s="772">
        <v>2000048</v>
      </c>
      <c r="AK152" s="772">
        <v>92977</v>
      </c>
      <c r="AL152" s="772">
        <v>80049</v>
      </c>
      <c r="AM152" s="772">
        <v>8059005</v>
      </c>
      <c r="AN152" s="772">
        <v>213722</v>
      </c>
      <c r="AO152" s="772">
        <v>9911715</v>
      </c>
      <c r="AP152" s="772">
        <v>0</v>
      </c>
      <c r="AQ152" s="772">
        <v>5531328</v>
      </c>
      <c r="AR152" s="772">
        <v>0</v>
      </c>
      <c r="AS152" s="772">
        <v>0</v>
      </c>
      <c r="AT152" s="772">
        <v>745945</v>
      </c>
      <c r="AU152" s="772">
        <v>118119</v>
      </c>
      <c r="AV152" s="772">
        <v>73971929</v>
      </c>
      <c r="AW152" s="772">
        <v>127752185</v>
      </c>
      <c r="AX152" s="772">
        <v>425883</v>
      </c>
      <c r="AY152" s="772">
        <v>107399</v>
      </c>
      <c r="AZ152" s="772">
        <v>141366</v>
      </c>
      <c r="BA152" s="772">
        <v>82834</v>
      </c>
      <c r="BB152" s="772">
        <v>968677</v>
      </c>
      <c r="BC152" s="772">
        <v>2853888</v>
      </c>
      <c r="BD152" s="772">
        <v>479806</v>
      </c>
      <c r="BE152" s="772">
        <v>0</v>
      </c>
      <c r="BF152" s="772">
        <v>127216</v>
      </c>
      <c r="BG152" s="772">
        <v>10793295</v>
      </c>
      <c r="BH152" s="772">
        <v>0</v>
      </c>
      <c r="BI152" s="772">
        <v>10624254</v>
      </c>
      <c r="BJ152" s="772">
        <v>1355244</v>
      </c>
      <c r="BK152" s="772">
        <v>0</v>
      </c>
      <c r="BL152" s="772">
        <v>0</v>
      </c>
      <c r="BM152" s="772">
        <v>25624716</v>
      </c>
      <c r="BN152" s="772">
        <v>18667111</v>
      </c>
      <c r="BO152" s="772">
        <v>1285436</v>
      </c>
      <c r="BP152" s="772">
        <v>36531956</v>
      </c>
      <c r="BQ152" s="772">
        <v>145639236</v>
      </c>
      <c r="BR152" s="772">
        <v>182483</v>
      </c>
      <c r="BS152" s="772">
        <v>6663304</v>
      </c>
      <c r="BT152" s="772">
        <v>0</v>
      </c>
      <c r="BU152" s="772">
        <v>9855429</v>
      </c>
      <c r="BV152" s="772">
        <v>600992</v>
      </c>
      <c r="BW152" s="772">
        <v>1095</v>
      </c>
      <c r="BX152" s="772">
        <v>4689548</v>
      </c>
      <c r="BY152" s="772">
        <v>0</v>
      </c>
      <c r="BZ152" s="772">
        <v>41763499</v>
      </c>
      <c r="CA152" s="772">
        <v>757093</v>
      </c>
      <c r="CB152" s="772">
        <v>0</v>
      </c>
      <c r="CC152" s="772">
        <v>46904</v>
      </c>
      <c r="CD152" s="772">
        <v>0</v>
      </c>
      <c r="CE152" s="772">
        <v>4413363</v>
      </c>
    </row>
    <row r="153" spans="1:83" x14ac:dyDescent="0.25">
      <c r="A153" s="767">
        <v>503</v>
      </c>
      <c r="B153" s="752">
        <v>503</v>
      </c>
      <c r="C153" s="768" t="s">
        <v>252</v>
      </c>
      <c r="D153" s="635" t="s">
        <v>535</v>
      </c>
      <c r="E153" s="769">
        <v>0</v>
      </c>
      <c r="F153" s="770">
        <v>0</v>
      </c>
      <c r="G153" s="770">
        <v>0</v>
      </c>
      <c r="H153" s="770">
        <v>40718</v>
      </c>
      <c r="I153" s="770">
        <v>66952</v>
      </c>
      <c r="J153" s="770">
        <v>17414</v>
      </c>
      <c r="K153" s="771">
        <v>0</v>
      </c>
      <c r="L153" s="772">
        <v>4200</v>
      </c>
      <c r="M153" s="772">
        <v>794446</v>
      </c>
      <c r="N153" s="773">
        <v>8073493</v>
      </c>
      <c r="O153" s="773">
        <v>0</v>
      </c>
      <c r="P153" s="773">
        <v>0</v>
      </c>
      <c r="Q153" s="773">
        <v>300</v>
      </c>
      <c r="R153" s="773">
        <v>622486</v>
      </c>
      <c r="S153" s="773">
        <v>0</v>
      </c>
      <c r="T153" s="773">
        <v>53611</v>
      </c>
      <c r="U153" s="773">
        <v>78583</v>
      </c>
      <c r="V153" s="773">
        <v>0</v>
      </c>
      <c r="W153" s="773">
        <v>37990</v>
      </c>
      <c r="X153" s="773">
        <v>0</v>
      </c>
      <c r="Y153" s="773">
        <v>37260</v>
      </c>
      <c r="Z153" s="773">
        <v>72855</v>
      </c>
      <c r="AA153" s="773">
        <v>6790392</v>
      </c>
      <c r="AB153" s="772">
        <v>0</v>
      </c>
      <c r="AC153" s="772">
        <v>38830</v>
      </c>
      <c r="AD153" s="772">
        <v>0</v>
      </c>
      <c r="AE153" s="772">
        <v>0</v>
      </c>
      <c r="AF153" s="772">
        <v>0</v>
      </c>
      <c r="AG153" s="772">
        <v>9906037</v>
      </c>
      <c r="AH153" s="772">
        <v>0</v>
      </c>
      <c r="AI153" s="772">
        <v>0</v>
      </c>
      <c r="AJ153" s="772">
        <v>143944</v>
      </c>
      <c r="AK153" s="772">
        <v>0</v>
      </c>
      <c r="AL153" s="772">
        <v>4450</v>
      </c>
      <c r="AM153" s="772">
        <v>4548543</v>
      </c>
      <c r="AN153" s="772">
        <v>3695</v>
      </c>
      <c r="AO153" s="772">
        <v>166092</v>
      </c>
      <c r="AP153" s="772">
        <v>0</v>
      </c>
      <c r="AQ153" s="772">
        <v>352101</v>
      </c>
      <c r="AR153" s="772">
        <v>0</v>
      </c>
      <c r="AS153" s="772">
        <v>0</v>
      </c>
      <c r="AT153" s="772">
        <v>62084</v>
      </c>
      <c r="AU153" s="772">
        <v>16630</v>
      </c>
      <c r="AV153" s="772">
        <v>120603010</v>
      </c>
      <c r="AW153" s="772">
        <v>17820728</v>
      </c>
      <c r="AX153" s="772">
        <v>75179</v>
      </c>
      <c r="AY153" s="772">
        <v>25473</v>
      </c>
      <c r="AZ153" s="772">
        <v>37613</v>
      </c>
      <c r="BA153" s="772">
        <v>0</v>
      </c>
      <c r="BB153" s="772">
        <v>100978</v>
      </c>
      <c r="BC153" s="772">
        <v>0</v>
      </c>
      <c r="BD153" s="772">
        <v>18398</v>
      </c>
      <c r="BE153" s="772">
        <v>0</v>
      </c>
      <c r="BF153" s="772">
        <v>0</v>
      </c>
      <c r="BG153" s="772">
        <v>826916</v>
      </c>
      <c r="BH153" s="772">
        <v>0</v>
      </c>
      <c r="BI153" s="772">
        <v>353640</v>
      </c>
      <c r="BJ153" s="772">
        <v>87175</v>
      </c>
      <c r="BK153" s="772">
        <v>0</v>
      </c>
      <c r="BL153" s="772">
        <v>0</v>
      </c>
      <c r="BM153" s="772">
        <v>217174</v>
      </c>
      <c r="BN153" s="772">
        <v>0</v>
      </c>
      <c r="BO153" s="772">
        <v>137148</v>
      </c>
      <c r="BP153" s="772">
        <v>655847</v>
      </c>
      <c r="BQ153" s="772">
        <v>1549355</v>
      </c>
      <c r="BR153" s="772">
        <v>13965</v>
      </c>
      <c r="BS153" s="772">
        <v>49375</v>
      </c>
      <c r="BT153" s="772">
        <v>0</v>
      </c>
      <c r="BU153" s="772">
        <v>11988793</v>
      </c>
      <c r="BV153" s="772">
        <v>41280</v>
      </c>
      <c r="BW153" s="772">
        <v>0</v>
      </c>
      <c r="BX153" s="772">
        <v>9653</v>
      </c>
      <c r="BY153" s="772">
        <v>0</v>
      </c>
      <c r="BZ153" s="772">
        <v>1480157</v>
      </c>
      <c r="CA153" s="772">
        <v>164007</v>
      </c>
      <c r="CB153" s="772">
        <v>0</v>
      </c>
      <c r="CC153" s="772">
        <v>6440</v>
      </c>
      <c r="CD153" s="772">
        <v>0</v>
      </c>
      <c r="CE153" s="772">
        <v>219198</v>
      </c>
    </row>
    <row r="154" spans="1:83" x14ac:dyDescent="0.25">
      <c r="A154" s="767">
        <v>504</v>
      </c>
      <c r="B154" s="752">
        <v>504</v>
      </c>
      <c r="C154" s="768" t="s">
        <v>256</v>
      </c>
      <c r="D154" s="635" t="s">
        <v>536</v>
      </c>
      <c r="E154" s="769">
        <v>126053</v>
      </c>
      <c r="F154" s="770">
        <v>179020</v>
      </c>
      <c r="G154" s="770">
        <v>0</v>
      </c>
      <c r="H154" s="770">
        <v>41073</v>
      </c>
      <c r="I154" s="770">
        <v>50617</v>
      </c>
      <c r="J154" s="770">
        <v>10609</v>
      </c>
      <c r="K154" s="771">
        <v>2447</v>
      </c>
      <c r="L154" s="772">
        <v>25591</v>
      </c>
      <c r="M154" s="772">
        <v>86974</v>
      </c>
      <c r="N154" s="773">
        <v>15219678</v>
      </c>
      <c r="O154" s="773">
        <v>0</v>
      </c>
      <c r="P154" s="773">
        <v>239487</v>
      </c>
      <c r="Q154" s="773">
        <v>5481</v>
      </c>
      <c r="R154" s="773">
        <v>414901</v>
      </c>
      <c r="S154" s="773">
        <v>12382</v>
      </c>
      <c r="T154" s="773">
        <v>14927</v>
      </c>
      <c r="U154" s="773">
        <v>63517</v>
      </c>
      <c r="V154" s="773">
        <v>87</v>
      </c>
      <c r="W154" s="773">
        <v>0</v>
      </c>
      <c r="X154" s="773">
        <v>134406</v>
      </c>
      <c r="Y154" s="773">
        <v>12000</v>
      </c>
      <c r="Z154" s="773">
        <v>56475</v>
      </c>
      <c r="AA154" s="773">
        <v>2682492</v>
      </c>
      <c r="AB154" s="772">
        <v>0</v>
      </c>
      <c r="AC154" s="772">
        <v>41919</v>
      </c>
      <c r="AD154" s="772">
        <v>1095356</v>
      </c>
      <c r="AE154" s="772">
        <v>77052</v>
      </c>
      <c r="AF154" s="772">
        <v>39843</v>
      </c>
      <c r="AG154" s="772">
        <v>4529696</v>
      </c>
      <c r="AH154" s="772">
        <v>9065</v>
      </c>
      <c r="AI154" s="772">
        <v>17631</v>
      </c>
      <c r="AJ154" s="772">
        <v>233492</v>
      </c>
      <c r="AK154" s="772">
        <v>44628</v>
      </c>
      <c r="AL154" s="772">
        <v>4376</v>
      </c>
      <c r="AM154" s="772">
        <v>3732186</v>
      </c>
      <c r="AN154" s="772">
        <v>11842</v>
      </c>
      <c r="AO154" s="772">
        <v>915931</v>
      </c>
      <c r="AP154" s="772">
        <v>0</v>
      </c>
      <c r="AQ154" s="772">
        <v>44189</v>
      </c>
      <c r="AR154" s="772">
        <v>133761</v>
      </c>
      <c r="AS154" s="772">
        <v>0</v>
      </c>
      <c r="AT154" s="772">
        <v>57466</v>
      </c>
      <c r="AU154" s="772">
        <v>18855</v>
      </c>
      <c r="AV154" s="772">
        <v>20391139</v>
      </c>
      <c r="AW154" s="772">
        <v>3351271</v>
      </c>
      <c r="AX154" s="772">
        <v>152586</v>
      </c>
      <c r="AY154" s="772">
        <v>63278</v>
      </c>
      <c r="AZ154" s="772">
        <v>32027</v>
      </c>
      <c r="BA154" s="772">
        <v>9196</v>
      </c>
      <c r="BB154" s="772">
        <v>20960</v>
      </c>
      <c r="BC154" s="772">
        <v>13270</v>
      </c>
      <c r="BD154" s="772">
        <v>15196</v>
      </c>
      <c r="BE154" s="772">
        <v>13404</v>
      </c>
      <c r="BF154" s="772">
        <v>2956</v>
      </c>
      <c r="BG154" s="772">
        <v>1748123</v>
      </c>
      <c r="BH154" s="772">
        <v>4390</v>
      </c>
      <c r="BI154" s="772">
        <v>1168000</v>
      </c>
      <c r="BJ154" s="772">
        <v>92841</v>
      </c>
      <c r="BK154" s="772">
        <v>26537</v>
      </c>
      <c r="BL154" s="772">
        <v>0</v>
      </c>
      <c r="BM154" s="772">
        <v>463122</v>
      </c>
      <c r="BN154" s="772">
        <v>703076</v>
      </c>
      <c r="BO154" s="772">
        <v>143808</v>
      </c>
      <c r="BP154" s="772">
        <v>3172997</v>
      </c>
      <c r="BQ154" s="772">
        <v>15903423</v>
      </c>
      <c r="BR154" s="772">
        <v>19278</v>
      </c>
      <c r="BS154" s="772">
        <v>1069590</v>
      </c>
      <c r="BT154" s="772">
        <v>77420</v>
      </c>
      <c r="BU154" s="772">
        <v>197119</v>
      </c>
      <c r="BV154" s="772">
        <v>14664</v>
      </c>
      <c r="BW154" s="772">
        <v>29905</v>
      </c>
      <c r="BX154" s="772">
        <v>257060</v>
      </c>
      <c r="BY154" s="772">
        <v>57336</v>
      </c>
      <c r="BZ154" s="772">
        <v>722111</v>
      </c>
      <c r="CA154" s="772">
        <v>108708</v>
      </c>
      <c r="CB154" s="772">
        <v>1269024</v>
      </c>
      <c r="CC154" s="772">
        <v>24951</v>
      </c>
      <c r="CD154" s="772">
        <v>183243</v>
      </c>
      <c r="CE154" s="772">
        <v>2364626</v>
      </c>
    </row>
    <row r="155" spans="1:83" x14ac:dyDescent="0.25">
      <c r="A155" s="767">
        <v>505</v>
      </c>
      <c r="B155" s="752">
        <v>505</v>
      </c>
      <c r="C155" s="768" t="s">
        <v>257</v>
      </c>
      <c r="D155" s="635" t="s">
        <v>537</v>
      </c>
      <c r="E155" s="769">
        <v>0</v>
      </c>
      <c r="F155" s="770">
        <v>0</v>
      </c>
      <c r="G155" s="770">
        <v>0</v>
      </c>
      <c r="H155" s="770">
        <v>0</v>
      </c>
      <c r="I155" s="770">
        <v>0</v>
      </c>
      <c r="J155" s="770">
        <v>2500</v>
      </c>
      <c r="K155" s="771">
        <v>0</v>
      </c>
      <c r="L155" s="772">
        <v>0</v>
      </c>
      <c r="M155" s="772">
        <v>50171</v>
      </c>
      <c r="N155" s="773">
        <v>8300047</v>
      </c>
      <c r="O155" s="773">
        <v>192852</v>
      </c>
      <c r="P155" s="773">
        <v>49039</v>
      </c>
      <c r="Q155" s="773">
        <v>649506</v>
      </c>
      <c r="R155" s="773">
        <v>101200</v>
      </c>
      <c r="S155" s="773">
        <v>0</v>
      </c>
      <c r="T155" s="773">
        <v>77000</v>
      </c>
      <c r="U155" s="773">
        <v>0</v>
      </c>
      <c r="V155" s="773">
        <v>43016</v>
      </c>
      <c r="W155" s="773">
        <v>134490</v>
      </c>
      <c r="X155" s="773">
        <v>0</v>
      </c>
      <c r="Y155" s="773">
        <v>34391</v>
      </c>
      <c r="Z155" s="773">
        <v>0</v>
      </c>
      <c r="AA155" s="773">
        <v>10023143</v>
      </c>
      <c r="AB155" s="772">
        <v>0</v>
      </c>
      <c r="AC155" s="772">
        <v>0</v>
      </c>
      <c r="AD155" s="772">
        <v>152143</v>
      </c>
      <c r="AE155" s="772">
        <v>0</v>
      </c>
      <c r="AF155" s="772">
        <v>0</v>
      </c>
      <c r="AG155" s="772">
        <v>2947980</v>
      </c>
      <c r="AH155" s="772">
        <v>0</v>
      </c>
      <c r="AI155" s="772">
        <v>0</v>
      </c>
      <c r="AJ155" s="772">
        <v>315235</v>
      </c>
      <c r="AK155" s="772">
        <v>0</v>
      </c>
      <c r="AL155" s="772">
        <v>282146</v>
      </c>
      <c r="AM155" s="772">
        <v>244665</v>
      </c>
      <c r="AN155" s="772">
        <v>0</v>
      </c>
      <c r="AO155" s="772">
        <v>78853</v>
      </c>
      <c r="AP155" s="772">
        <v>0</v>
      </c>
      <c r="AQ155" s="772">
        <v>201635</v>
      </c>
      <c r="AR155" s="772">
        <v>93461</v>
      </c>
      <c r="AS155" s="772">
        <v>0</v>
      </c>
      <c r="AT155" s="772">
        <v>0</v>
      </c>
      <c r="AU155" s="772">
        <v>0</v>
      </c>
      <c r="AV155" s="772">
        <v>13028560</v>
      </c>
      <c r="AW155" s="772">
        <v>10968973</v>
      </c>
      <c r="AX155" s="772">
        <v>9011</v>
      </c>
      <c r="AY155" s="772">
        <v>0</v>
      </c>
      <c r="AZ155" s="772">
        <v>0</v>
      </c>
      <c r="BA155" s="772">
        <v>0</v>
      </c>
      <c r="BB155" s="772">
        <v>0</v>
      </c>
      <c r="BC155" s="772">
        <v>210376</v>
      </c>
      <c r="BD155" s="772">
        <v>0</v>
      </c>
      <c r="BE155" s="772">
        <v>0</v>
      </c>
      <c r="BF155" s="772">
        <v>0</v>
      </c>
      <c r="BG155" s="772">
        <v>2713069</v>
      </c>
      <c r="BH155" s="772">
        <v>0</v>
      </c>
      <c r="BI155" s="772">
        <v>312171</v>
      </c>
      <c r="BJ155" s="772">
        <v>5069121</v>
      </c>
      <c r="BK155" s="772">
        <v>58389</v>
      </c>
      <c r="BL155" s="772">
        <v>0</v>
      </c>
      <c r="BM155" s="772">
        <v>7237</v>
      </c>
      <c r="BN155" s="772">
        <v>561531</v>
      </c>
      <c r="BO155" s="772">
        <v>107200</v>
      </c>
      <c r="BP155" s="772">
        <v>2113962</v>
      </c>
      <c r="BQ155" s="772">
        <v>1084500</v>
      </c>
      <c r="BR155" s="772">
        <v>0</v>
      </c>
      <c r="BS155" s="772">
        <v>957860</v>
      </c>
      <c r="BT155" s="772">
        <v>0</v>
      </c>
      <c r="BU155" s="772">
        <v>1634422</v>
      </c>
      <c r="BV155" s="772">
        <v>0</v>
      </c>
      <c r="BW155" s="772">
        <v>0</v>
      </c>
      <c r="BX155" s="772">
        <v>0</v>
      </c>
      <c r="BY155" s="772">
        <v>0</v>
      </c>
      <c r="BZ155" s="772">
        <v>3826519</v>
      </c>
      <c r="CA155" s="772">
        <v>0</v>
      </c>
      <c r="CB155" s="772">
        <v>0</v>
      </c>
      <c r="CC155" s="772">
        <v>0</v>
      </c>
      <c r="CD155" s="772">
        <v>129832</v>
      </c>
      <c r="CE155" s="772">
        <v>609644</v>
      </c>
    </row>
    <row r="156" spans="1:83" x14ac:dyDescent="0.25">
      <c r="A156" s="767">
        <v>506</v>
      </c>
      <c r="B156" s="752">
        <v>506</v>
      </c>
      <c r="C156" s="768" t="s">
        <v>263</v>
      </c>
      <c r="D156" s="635" t="s">
        <v>538</v>
      </c>
      <c r="E156" s="769">
        <v>551544</v>
      </c>
      <c r="F156" s="770">
        <v>666728</v>
      </c>
      <c r="G156" s="770">
        <v>491067</v>
      </c>
      <c r="H156" s="770">
        <v>998782</v>
      </c>
      <c r="I156" s="770">
        <v>544093</v>
      </c>
      <c r="J156" s="770">
        <v>191914</v>
      </c>
      <c r="K156" s="771">
        <v>98393</v>
      </c>
      <c r="L156" s="772">
        <v>433537</v>
      </c>
      <c r="M156" s="772">
        <v>1929797</v>
      </c>
      <c r="N156" s="773">
        <v>47815154</v>
      </c>
      <c r="O156" s="773">
        <v>2917828</v>
      </c>
      <c r="P156" s="773">
        <v>4112158</v>
      </c>
      <c r="Q156" s="773">
        <v>141695</v>
      </c>
      <c r="R156" s="773">
        <v>8119719</v>
      </c>
      <c r="S156" s="773">
        <v>111271</v>
      </c>
      <c r="T156" s="773">
        <v>399910</v>
      </c>
      <c r="U156" s="773">
        <v>389350</v>
      </c>
      <c r="V156" s="773">
        <v>1060667</v>
      </c>
      <c r="W156" s="773">
        <v>2151030</v>
      </c>
      <c r="X156" s="773">
        <v>1265732</v>
      </c>
      <c r="Y156" s="773">
        <v>524739</v>
      </c>
      <c r="Z156" s="773">
        <v>325307</v>
      </c>
      <c r="AA156" s="773">
        <v>20671249</v>
      </c>
      <c r="AB156" s="772">
        <v>4038212</v>
      </c>
      <c r="AC156" s="772">
        <v>627680</v>
      </c>
      <c r="AD156" s="772">
        <v>27998426</v>
      </c>
      <c r="AE156" s="772">
        <v>396788</v>
      </c>
      <c r="AF156" s="772">
        <v>204218</v>
      </c>
      <c r="AG156" s="772">
        <v>22087916</v>
      </c>
      <c r="AH156" s="772">
        <v>776216</v>
      </c>
      <c r="AI156" s="772">
        <v>251285</v>
      </c>
      <c r="AJ156" s="772">
        <v>2619819</v>
      </c>
      <c r="AK156" s="772">
        <v>556594</v>
      </c>
      <c r="AL156" s="772">
        <v>31500</v>
      </c>
      <c r="AM156" s="772">
        <v>9552963</v>
      </c>
      <c r="AN156" s="772">
        <v>504090</v>
      </c>
      <c r="AO156" s="772">
        <v>8964109</v>
      </c>
      <c r="AP156" s="772">
        <v>70662</v>
      </c>
      <c r="AQ156" s="772">
        <v>2955566</v>
      </c>
      <c r="AR156" s="772">
        <v>1770042</v>
      </c>
      <c r="AS156" s="772">
        <v>182280</v>
      </c>
      <c r="AT156" s="772">
        <v>508709</v>
      </c>
      <c r="AU156" s="772">
        <v>360497</v>
      </c>
      <c r="AV156" s="772">
        <v>50457352</v>
      </c>
      <c r="AW156" s="772">
        <v>19799412</v>
      </c>
      <c r="AX156" s="772">
        <v>652520</v>
      </c>
      <c r="AY156" s="772">
        <v>242061</v>
      </c>
      <c r="AZ156" s="772">
        <v>150166</v>
      </c>
      <c r="BA156" s="772">
        <v>103519</v>
      </c>
      <c r="BB156" s="772">
        <v>864040</v>
      </c>
      <c r="BC156" s="772">
        <v>2503346</v>
      </c>
      <c r="BD156" s="772">
        <v>1092686</v>
      </c>
      <c r="BE156" s="772">
        <v>177458</v>
      </c>
      <c r="BF156" s="772">
        <v>107787</v>
      </c>
      <c r="BG156" s="772">
        <v>5253447</v>
      </c>
      <c r="BH156" s="772">
        <v>45990</v>
      </c>
      <c r="BI156" s="772">
        <v>10576048</v>
      </c>
      <c r="BJ156" s="772">
        <v>614775</v>
      </c>
      <c r="BK156" s="772">
        <v>385064</v>
      </c>
      <c r="BL156" s="772">
        <v>466177</v>
      </c>
      <c r="BM156" s="772">
        <v>10103966</v>
      </c>
      <c r="BN156" s="772">
        <v>5138803</v>
      </c>
      <c r="BO156" s="772">
        <v>1414239</v>
      </c>
      <c r="BP156" s="772">
        <v>32201666</v>
      </c>
      <c r="BQ156" s="772">
        <v>18811573</v>
      </c>
      <c r="BR156" s="772">
        <v>204280</v>
      </c>
      <c r="BS156" s="772">
        <v>4033117</v>
      </c>
      <c r="BT156" s="772">
        <v>2696016</v>
      </c>
      <c r="BU156" s="772">
        <v>5727128</v>
      </c>
      <c r="BV156" s="772">
        <v>214661</v>
      </c>
      <c r="BW156" s="772">
        <v>956715</v>
      </c>
      <c r="BX156" s="772">
        <v>1997624</v>
      </c>
      <c r="BY156" s="772">
        <v>1699028</v>
      </c>
      <c r="BZ156" s="772">
        <v>6364171</v>
      </c>
      <c r="CA156" s="772">
        <v>252390</v>
      </c>
      <c r="CB156" s="772">
        <v>7021883</v>
      </c>
      <c r="CC156" s="772">
        <v>274307</v>
      </c>
      <c r="CD156" s="772">
        <v>1410846</v>
      </c>
      <c r="CE156" s="772">
        <v>38102329</v>
      </c>
    </row>
    <row r="157" spans="1:83" x14ac:dyDescent="0.25">
      <c r="A157" s="767">
        <v>507</v>
      </c>
      <c r="B157" s="752">
        <v>507</v>
      </c>
      <c r="C157" s="768" t="s">
        <v>281</v>
      </c>
      <c r="D157" s="635" t="s">
        <v>539</v>
      </c>
      <c r="E157" s="769">
        <v>0</v>
      </c>
      <c r="F157" s="770">
        <v>0</v>
      </c>
      <c r="G157" s="770">
        <v>0</v>
      </c>
      <c r="H157" s="770">
        <v>0</v>
      </c>
      <c r="I157" s="770">
        <v>0</v>
      </c>
      <c r="J157" s="770">
        <v>0</v>
      </c>
      <c r="K157" s="771">
        <v>0</v>
      </c>
      <c r="L157" s="772">
        <v>0</v>
      </c>
      <c r="M157" s="772">
        <v>0</v>
      </c>
      <c r="N157" s="773">
        <v>0</v>
      </c>
      <c r="O157" s="773">
        <v>0</v>
      </c>
      <c r="P157" s="773">
        <v>0</v>
      </c>
      <c r="Q157" s="773">
        <v>0</v>
      </c>
      <c r="R157" s="773">
        <v>0</v>
      </c>
      <c r="S157" s="773">
        <v>0</v>
      </c>
      <c r="T157" s="773">
        <v>0</v>
      </c>
      <c r="U157" s="773">
        <v>0</v>
      </c>
      <c r="V157" s="773">
        <v>0</v>
      </c>
      <c r="W157" s="773">
        <v>0</v>
      </c>
      <c r="X157" s="773">
        <v>2</v>
      </c>
      <c r="Y157" s="773">
        <v>0</v>
      </c>
      <c r="Z157" s="773">
        <v>1</v>
      </c>
      <c r="AA157" s="773">
        <v>0</v>
      </c>
      <c r="AB157" s="772">
        <v>0</v>
      </c>
      <c r="AC157" s="772">
        <v>0</v>
      </c>
      <c r="AD157" s="772">
        <v>0</v>
      </c>
      <c r="AE157" s="772">
        <v>0</v>
      </c>
      <c r="AF157" s="772">
        <v>0</v>
      </c>
      <c r="AG157" s="772">
        <v>32129</v>
      </c>
      <c r="AH157" s="772">
        <v>0</v>
      </c>
      <c r="AI157" s="772">
        <v>0</v>
      </c>
      <c r="AJ157" s="772">
        <v>0</v>
      </c>
      <c r="AK157" s="772">
        <v>0</v>
      </c>
      <c r="AL157" s="772">
        <v>0</v>
      </c>
      <c r="AM157" s="772">
        <v>-398474</v>
      </c>
      <c r="AN157" s="772">
        <v>0</v>
      </c>
      <c r="AO157" s="772">
        <v>-53472</v>
      </c>
      <c r="AP157" s="772">
        <v>0</v>
      </c>
      <c r="AQ157" s="772">
        <v>0</v>
      </c>
      <c r="AR157" s="772">
        <v>2</v>
      </c>
      <c r="AS157" s="772">
        <v>0</v>
      </c>
      <c r="AT157" s="772">
        <v>0</v>
      </c>
      <c r="AU157" s="772">
        <v>0</v>
      </c>
      <c r="AV157" s="772">
        <v>0</v>
      </c>
      <c r="AW157" s="772">
        <v>0</v>
      </c>
      <c r="AX157" s="772">
        <v>-1</v>
      </c>
      <c r="AY157" s="772">
        <v>0</v>
      </c>
      <c r="AZ157" s="772">
        <v>0</v>
      </c>
      <c r="BA157" s="772">
        <v>0</v>
      </c>
      <c r="BB157" s="772">
        <v>0</v>
      </c>
      <c r="BC157" s="772">
        <v>0</v>
      </c>
      <c r="BD157" s="772">
        <v>0</v>
      </c>
      <c r="BE157" s="772">
        <v>0</v>
      </c>
      <c r="BF157" s="772">
        <v>0</v>
      </c>
      <c r="BG157" s="772">
        <v>0</v>
      </c>
      <c r="BH157" s="772">
        <v>-13760</v>
      </c>
      <c r="BI157" s="772">
        <v>0</v>
      </c>
      <c r="BJ157" s="772">
        <v>0</v>
      </c>
      <c r="BK157" s="772">
        <v>0</v>
      </c>
      <c r="BL157" s="772">
        <v>0</v>
      </c>
      <c r="BM157" s="772">
        <v>0</v>
      </c>
      <c r="BN157" s="772">
        <v>0</v>
      </c>
      <c r="BO157" s="772">
        <v>0</v>
      </c>
      <c r="BP157" s="772">
        <v>0</v>
      </c>
      <c r="BQ157" s="772">
        <v>0</v>
      </c>
      <c r="BR157" s="772">
        <v>-2</v>
      </c>
      <c r="BS157" s="772">
        <v>0</v>
      </c>
      <c r="BT157" s="772">
        <v>0</v>
      </c>
      <c r="BU157" s="772">
        <v>0</v>
      </c>
      <c r="BV157" s="772">
        <v>0</v>
      </c>
      <c r="BW157" s="772">
        <v>0</v>
      </c>
      <c r="BX157" s="772">
        <v>0</v>
      </c>
      <c r="BY157" s="772">
        <v>0</v>
      </c>
      <c r="BZ157" s="772">
        <v>0</v>
      </c>
      <c r="CA157" s="772">
        <v>-1</v>
      </c>
      <c r="CB157" s="772">
        <v>0</v>
      </c>
      <c r="CC157" s="772">
        <v>0</v>
      </c>
      <c r="CD157" s="772">
        <v>0</v>
      </c>
      <c r="CE157" s="772">
        <v>0</v>
      </c>
    </row>
    <row r="158" spans="1:83" x14ac:dyDescent="0.25">
      <c r="A158" s="767">
        <v>508</v>
      </c>
      <c r="B158" s="752">
        <v>508</v>
      </c>
      <c r="C158" s="768" t="s">
        <v>278</v>
      </c>
      <c r="D158" s="635" t="s">
        <v>540</v>
      </c>
      <c r="E158" s="769">
        <v>0</v>
      </c>
      <c r="F158" s="770">
        <v>0</v>
      </c>
      <c r="G158" s="770">
        <v>0</v>
      </c>
      <c r="H158" s="770">
        <v>0</v>
      </c>
      <c r="I158" s="770">
        <v>0</v>
      </c>
      <c r="J158" s="770">
        <v>0</v>
      </c>
      <c r="K158" s="771">
        <v>0</v>
      </c>
      <c r="L158" s="772">
        <v>0</v>
      </c>
      <c r="M158" s="772">
        <v>0</v>
      </c>
      <c r="N158" s="773">
        <v>0</v>
      </c>
      <c r="O158" s="773">
        <v>0</v>
      </c>
      <c r="P158" s="773">
        <v>0</v>
      </c>
      <c r="Q158" s="773">
        <v>0</v>
      </c>
      <c r="R158" s="773">
        <v>0</v>
      </c>
      <c r="S158" s="773">
        <v>0</v>
      </c>
      <c r="T158" s="773">
        <v>0</v>
      </c>
      <c r="U158" s="773">
        <v>0</v>
      </c>
      <c r="V158" s="773">
        <v>0</v>
      </c>
      <c r="W158" s="773">
        <v>0</v>
      </c>
      <c r="X158" s="773">
        <v>0</v>
      </c>
      <c r="Y158" s="773">
        <v>0</v>
      </c>
      <c r="Z158" s="773">
        <v>0</v>
      </c>
      <c r="AA158" s="773">
        <v>0</v>
      </c>
      <c r="AB158" s="772">
        <v>0</v>
      </c>
      <c r="AC158" s="772">
        <v>0</v>
      </c>
      <c r="AD158" s="772">
        <v>0</v>
      </c>
      <c r="AE158" s="772">
        <v>0</v>
      </c>
      <c r="AF158" s="772">
        <v>0</v>
      </c>
      <c r="AG158" s="772">
        <v>0</v>
      </c>
      <c r="AH158" s="772">
        <v>0</v>
      </c>
      <c r="AI158" s="772">
        <v>0</v>
      </c>
      <c r="AJ158" s="772">
        <v>0</v>
      </c>
      <c r="AK158" s="772">
        <v>0</v>
      </c>
      <c r="AL158" s="772">
        <v>0</v>
      </c>
      <c r="AM158" s="772">
        <v>0</v>
      </c>
      <c r="AN158" s="772">
        <v>0</v>
      </c>
      <c r="AO158" s="772">
        <v>0</v>
      </c>
      <c r="AP158" s="772">
        <v>0</v>
      </c>
      <c r="AQ158" s="772">
        <v>0</v>
      </c>
      <c r="AR158" s="772">
        <v>0</v>
      </c>
      <c r="AS158" s="772">
        <v>0</v>
      </c>
      <c r="AT158" s="772">
        <v>0</v>
      </c>
      <c r="AU158" s="772">
        <v>0</v>
      </c>
      <c r="AV158" s="772">
        <v>0</v>
      </c>
      <c r="AW158" s="772">
        <v>0</v>
      </c>
      <c r="AX158" s="772">
        <v>0</v>
      </c>
      <c r="AY158" s="772">
        <v>0</v>
      </c>
      <c r="AZ158" s="772">
        <v>0</v>
      </c>
      <c r="BA158" s="772">
        <v>0</v>
      </c>
      <c r="BB158" s="772">
        <v>0</v>
      </c>
      <c r="BC158" s="772">
        <v>0</v>
      </c>
      <c r="BD158" s="772">
        <v>0</v>
      </c>
      <c r="BE158" s="772">
        <v>0</v>
      </c>
      <c r="BF158" s="772">
        <v>0</v>
      </c>
      <c r="BG158" s="772">
        <v>0</v>
      </c>
      <c r="BH158" s="772">
        <v>0</v>
      </c>
      <c r="BI158" s="772">
        <v>0</v>
      </c>
      <c r="BJ158" s="772">
        <v>0</v>
      </c>
      <c r="BK158" s="772">
        <v>0</v>
      </c>
      <c r="BL158" s="772">
        <v>0</v>
      </c>
      <c r="BM158" s="772">
        <v>0</v>
      </c>
      <c r="BN158" s="772">
        <v>0</v>
      </c>
      <c r="BO158" s="772">
        <v>0</v>
      </c>
      <c r="BP158" s="772">
        <v>0</v>
      </c>
      <c r="BQ158" s="772">
        <v>0</v>
      </c>
      <c r="BR158" s="772">
        <v>0</v>
      </c>
      <c r="BS158" s="772">
        <v>0</v>
      </c>
      <c r="BT158" s="772">
        <v>0</v>
      </c>
      <c r="BU158" s="772">
        <v>0</v>
      </c>
      <c r="BV158" s="772">
        <v>0</v>
      </c>
      <c r="BW158" s="772">
        <v>0</v>
      </c>
      <c r="BX158" s="772">
        <v>0</v>
      </c>
      <c r="BY158" s="772">
        <v>0</v>
      </c>
      <c r="BZ158" s="772">
        <v>0</v>
      </c>
      <c r="CA158" s="772">
        <v>0</v>
      </c>
      <c r="CB158" s="772">
        <v>0</v>
      </c>
      <c r="CC158" s="772">
        <v>0</v>
      </c>
      <c r="CD158" s="772">
        <v>0</v>
      </c>
      <c r="CE158" s="772">
        <v>0</v>
      </c>
    </row>
    <row r="159" spans="1:83" x14ac:dyDescent="0.25">
      <c r="A159" s="767">
        <v>509</v>
      </c>
      <c r="B159" s="752">
        <v>509</v>
      </c>
      <c r="C159" s="768" t="s">
        <v>279</v>
      </c>
      <c r="D159" s="635" t="s">
        <v>541</v>
      </c>
      <c r="E159" s="769">
        <v>0</v>
      </c>
      <c r="F159" s="770">
        <v>0</v>
      </c>
      <c r="G159" s="770">
        <v>0</v>
      </c>
      <c r="H159" s="770">
        <v>0</v>
      </c>
      <c r="I159" s="770">
        <v>0</v>
      </c>
      <c r="J159" s="770">
        <v>0</v>
      </c>
      <c r="K159" s="771">
        <v>0</v>
      </c>
      <c r="L159" s="772">
        <v>0</v>
      </c>
      <c r="M159" s="772">
        <v>0</v>
      </c>
      <c r="N159" s="773">
        <v>0</v>
      </c>
      <c r="O159" s="773">
        <v>0</v>
      </c>
      <c r="P159" s="773">
        <v>0</v>
      </c>
      <c r="Q159" s="773">
        <v>0</v>
      </c>
      <c r="R159" s="773">
        <v>0</v>
      </c>
      <c r="S159" s="773">
        <v>0</v>
      </c>
      <c r="T159" s="773">
        <v>0</v>
      </c>
      <c r="U159" s="773">
        <v>0</v>
      </c>
      <c r="V159" s="773">
        <v>0</v>
      </c>
      <c r="W159" s="773">
        <v>0</v>
      </c>
      <c r="X159" s="773">
        <v>0</v>
      </c>
      <c r="Y159" s="773">
        <v>0</v>
      </c>
      <c r="Z159" s="773">
        <v>0</v>
      </c>
      <c r="AA159" s="773">
        <v>0</v>
      </c>
      <c r="AB159" s="772">
        <v>0</v>
      </c>
      <c r="AC159" s="772">
        <v>0</v>
      </c>
      <c r="AD159" s="772">
        <v>0</v>
      </c>
      <c r="AE159" s="772">
        <v>0</v>
      </c>
      <c r="AF159" s="772">
        <v>0</v>
      </c>
      <c r="AG159" s="772">
        <v>0</v>
      </c>
      <c r="AH159" s="772">
        <v>0</v>
      </c>
      <c r="AI159" s="772">
        <v>0</v>
      </c>
      <c r="AJ159" s="772">
        <v>0</v>
      </c>
      <c r="AK159" s="772">
        <v>0</v>
      </c>
      <c r="AL159" s="772">
        <v>0</v>
      </c>
      <c r="AM159" s="772">
        <v>0</v>
      </c>
      <c r="AN159" s="772">
        <v>0</v>
      </c>
      <c r="AO159" s="772">
        <v>0</v>
      </c>
      <c r="AP159" s="772">
        <v>0</v>
      </c>
      <c r="AQ159" s="772">
        <v>0</v>
      </c>
      <c r="AR159" s="772">
        <v>0</v>
      </c>
      <c r="AS159" s="772">
        <v>0</v>
      </c>
      <c r="AT159" s="772">
        <v>0</v>
      </c>
      <c r="AU159" s="772">
        <v>0</v>
      </c>
      <c r="AV159" s="772">
        <v>0</v>
      </c>
      <c r="AW159" s="772">
        <v>0</v>
      </c>
      <c r="AX159" s="772">
        <v>0</v>
      </c>
      <c r="AY159" s="772">
        <v>0</v>
      </c>
      <c r="AZ159" s="772">
        <v>0</v>
      </c>
      <c r="BA159" s="772">
        <v>0</v>
      </c>
      <c r="BB159" s="772">
        <v>0</v>
      </c>
      <c r="BC159" s="772">
        <v>0</v>
      </c>
      <c r="BD159" s="772">
        <v>0</v>
      </c>
      <c r="BE159" s="772">
        <v>0</v>
      </c>
      <c r="BF159" s="772">
        <v>0</v>
      </c>
      <c r="BG159" s="772">
        <v>0</v>
      </c>
      <c r="BH159" s="772">
        <v>0</v>
      </c>
      <c r="BI159" s="772">
        <v>0</v>
      </c>
      <c r="BJ159" s="772">
        <v>0</v>
      </c>
      <c r="BK159" s="772">
        <v>0</v>
      </c>
      <c r="BL159" s="772">
        <v>0</v>
      </c>
      <c r="BM159" s="772">
        <v>0</v>
      </c>
      <c r="BN159" s="772">
        <v>0</v>
      </c>
      <c r="BO159" s="772">
        <v>0</v>
      </c>
      <c r="BP159" s="772">
        <v>0</v>
      </c>
      <c r="BQ159" s="772">
        <v>0</v>
      </c>
      <c r="BR159" s="772">
        <v>0</v>
      </c>
      <c r="BS159" s="772">
        <v>0</v>
      </c>
      <c r="BT159" s="772">
        <v>0</v>
      </c>
      <c r="BU159" s="772">
        <v>0</v>
      </c>
      <c r="BV159" s="772">
        <v>0</v>
      </c>
      <c r="BW159" s="772">
        <v>0</v>
      </c>
      <c r="BX159" s="772">
        <v>0</v>
      </c>
      <c r="BY159" s="772">
        <v>0</v>
      </c>
      <c r="BZ159" s="772">
        <v>0</v>
      </c>
      <c r="CA159" s="772">
        <v>0</v>
      </c>
      <c r="CB159" s="772">
        <v>0</v>
      </c>
      <c r="CC159" s="772">
        <v>0</v>
      </c>
      <c r="CD159" s="772">
        <v>0</v>
      </c>
      <c r="CE159" s="772">
        <v>0</v>
      </c>
    </row>
    <row r="160" spans="1:83" x14ac:dyDescent="0.25">
      <c r="A160" s="767">
        <v>510</v>
      </c>
      <c r="B160" s="752">
        <v>510</v>
      </c>
      <c r="C160" s="768" t="s">
        <v>285</v>
      </c>
      <c r="D160" s="635" t="s">
        <v>542</v>
      </c>
      <c r="E160" s="769">
        <v>0</v>
      </c>
      <c r="F160" s="770">
        <v>45183</v>
      </c>
      <c r="G160" s="770">
        <v>0</v>
      </c>
      <c r="H160" s="770">
        <v>0</v>
      </c>
      <c r="I160" s="770">
        <v>0</v>
      </c>
      <c r="J160" s="770">
        <v>0</v>
      </c>
      <c r="K160" s="771">
        <v>0</v>
      </c>
      <c r="L160" s="772">
        <v>390</v>
      </c>
      <c r="M160" s="772">
        <v>58635</v>
      </c>
      <c r="N160" s="773">
        <v>0</v>
      </c>
      <c r="O160" s="773">
        <v>0</v>
      </c>
      <c r="P160" s="773">
        <v>0</v>
      </c>
      <c r="Q160" s="773">
        <v>0</v>
      </c>
      <c r="R160" s="773">
        <v>0</v>
      </c>
      <c r="S160" s="773">
        <v>0</v>
      </c>
      <c r="T160" s="773">
        <v>4034</v>
      </c>
      <c r="U160" s="773">
        <v>49907</v>
      </c>
      <c r="V160" s="773">
        <v>75</v>
      </c>
      <c r="W160" s="773">
        <v>110957</v>
      </c>
      <c r="X160" s="773">
        <v>0</v>
      </c>
      <c r="Y160" s="773">
        <v>0</v>
      </c>
      <c r="Z160" s="773">
        <v>0</v>
      </c>
      <c r="AA160" s="773">
        <v>0</v>
      </c>
      <c r="AB160" s="772">
        <v>0</v>
      </c>
      <c r="AC160" s="772">
        <v>4500</v>
      </c>
      <c r="AD160" s="772">
        <v>0</v>
      </c>
      <c r="AE160" s="772">
        <v>0</v>
      </c>
      <c r="AF160" s="772">
        <v>0</v>
      </c>
      <c r="AG160" s="772">
        <v>165986</v>
      </c>
      <c r="AH160" s="772">
        <v>0</v>
      </c>
      <c r="AI160" s="772">
        <v>0</v>
      </c>
      <c r="AJ160" s="772">
        <v>0</v>
      </c>
      <c r="AK160" s="772">
        <v>0</v>
      </c>
      <c r="AL160" s="772">
        <v>0</v>
      </c>
      <c r="AM160" s="772">
        <v>1454294</v>
      </c>
      <c r="AN160" s="772">
        <v>0</v>
      </c>
      <c r="AO160" s="772">
        <v>0</v>
      </c>
      <c r="AP160" s="772">
        <v>0</v>
      </c>
      <c r="AQ160" s="772">
        <v>176943</v>
      </c>
      <c r="AR160" s="772">
        <v>0</v>
      </c>
      <c r="AS160" s="772">
        <v>0</v>
      </c>
      <c r="AT160" s="772">
        <v>0</v>
      </c>
      <c r="AU160" s="772">
        <v>0</v>
      </c>
      <c r="AV160" s="772">
        <v>4628710</v>
      </c>
      <c r="AW160" s="772">
        <v>1042025</v>
      </c>
      <c r="AX160" s="772">
        <v>0</v>
      </c>
      <c r="AY160" s="772">
        <v>500</v>
      </c>
      <c r="AZ160" s="772">
        <v>4056</v>
      </c>
      <c r="BA160" s="772">
        <v>0</v>
      </c>
      <c r="BB160" s="772">
        <v>0</v>
      </c>
      <c r="BC160" s="772">
        <v>48882</v>
      </c>
      <c r="BD160" s="772">
        <v>0</v>
      </c>
      <c r="BE160" s="772">
        <v>0</v>
      </c>
      <c r="BF160" s="772">
        <v>0</v>
      </c>
      <c r="BG160" s="772">
        <v>0</v>
      </c>
      <c r="BH160" s="772">
        <v>0</v>
      </c>
      <c r="BI160" s="772">
        <v>25621</v>
      </c>
      <c r="BJ160" s="772">
        <v>0</v>
      </c>
      <c r="BK160" s="772">
        <v>0</v>
      </c>
      <c r="BL160" s="772">
        <v>0</v>
      </c>
      <c r="BM160" s="772">
        <v>81248</v>
      </c>
      <c r="BN160" s="772">
        <v>1074862</v>
      </c>
      <c r="BO160" s="772">
        <v>0</v>
      </c>
      <c r="BP160" s="772">
        <v>536000</v>
      </c>
      <c r="BQ160" s="772">
        <v>0</v>
      </c>
      <c r="BR160" s="772">
        <v>0</v>
      </c>
      <c r="BS160" s="772">
        <v>202170</v>
      </c>
      <c r="BT160" s="772">
        <v>0</v>
      </c>
      <c r="BU160" s="772">
        <v>215</v>
      </c>
      <c r="BV160" s="772">
        <v>0</v>
      </c>
      <c r="BW160" s="772">
        <v>0</v>
      </c>
      <c r="BX160" s="772">
        <v>123796</v>
      </c>
      <c r="BY160" s="772">
        <v>0</v>
      </c>
      <c r="BZ160" s="772">
        <v>1020</v>
      </c>
      <c r="CA160" s="772">
        <v>18776</v>
      </c>
      <c r="CB160" s="772">
        <v>0</v>
      </c>
      <c r="CC160" s="772">
        <v>0</v>
      </c>
      <c r="CD160" s="772">
        <v>0</v>
      </c>
      <c r="CE160" s="772">
        <v>0</v>
      </c>
    </row>
    <row r="161" spans="1:83" x14ac:dyDescent="0.25">
      <c r="A161" s="767">
        <v>511</v>
      </c>
      <c r="B161" s="752">
        <v>511</v>
      </c>
      <c r="C161" s="768" t="s">
        <v>290</v>
      </c>
      <c r="D161" s="635" t="s">
        <v>543</v>
      </c>
      <c r="E161" s="769">
        <v>0</v>
      </c>
      <c r="F161" s="770">
        <v>0</v>
      </c>
      <c r="G161" s="770">
        <v>0</v>
      </c>
      <c r="H161" s="770">
        <v>0</v>
      </c>
      <c r="I161" s="770">
        <v>0</v>
      </c>
      <c r="J161" s="770">
        <v>0</v>
      </c>
      <c r="K161" s="771">
        <v>0</v>
      </c>
      <c r="L161" s="772">
        <v>0</v>
      </c>
      <c r="M161" s="772">
        <v>203178</v>
      </c>
      <c r="N161" s="773">
        <v>0</v>
      </c>
      <c r="O161" s="773">
        <v>0</v>
      </c>
      <c r="P161" s="773">
        <v>0</v>
      </c>
      <c r="Q161" s="773">
        <v>0</v>
      </c>
      <c r="R161" s="773">
        <v>0</v>
      </c>
      <c r="S161" s="773">
        <v>0</v>
      </c>
      <c r="T161" s="773">
        <v>12817</v>
      </c>
      <c r="U161" s="773">
        <v>0</v>
      </c>
      <c r="V161" s="773">
        <v>0</v>
      </c>
      <c r="W161" s="773">
        <v>0</v>
      </c>
      <c r="X161" s="773">
        <v>0</v>
      </c>
      <c r="Y161" s="773">
        <v>0</v>
      </c>
      <c r="Z161" s="773">
        <v>0</v>
      </c>
      <c r="AA161" s="773">
        <v>0</v>
      </c>
      <c r="AB161" s="772">
        <v>0</v>
      </c>
      <c r="AC161" s="772">
        <v>0</v>
      </c>
      <c r="AD161" s="772">
        <v>0</v>
      </c>
      <c r="AE161" s="772">
        <v>0</v>
      </c>
      <c r="AF161" s="772">
        <v>0</v>
      </c>
      <c r="AG161" s="772">
        <v>1146257</v>
      </c>
      <c r="AH161" s="772">
        <v>0</v>
      </c>
      <c r="AI161" s="772">
        <v>0</v>
      </c>
      <c r="AJ161" s="772">
        <v>0</v>
      </c>
      <c r="AK161" s="772">
        <v>0</v>
      </c>
      <c r="AL161" s="772">
        <v>0</v>
      </c>
      <c r="AM161" s="772">
        <v>0</v>
      </c>
      <c r="AN161" s="772">
        <v>0</v>
      </c>
      <c r="AO161" s="772">
        <v>0</v>
      </c>
      <c r="AP161" s="772">
        <v>0</v>
      </c>
      <c r="AQ161" s="772">
        <v>510508</v>
      </c>
      <c r="AR161" s="772">
        <v>0</v>
      </c>
      <c r="AS161" s="772">
        <v>0</v>
      </c>
      <c r="AT161" s="772">
        <v>0</v>
      </c>
      <c r="AU161" s="772">
        <v>0</v>
      </c>
      <c r="AV161" s="772">
        <v>0</v>
      </c>
      <c r="AW161" s="772">
        <v>6257360</v>
      </c>
      <c r="AX161" s="772">
        <v>0</v>
      </c>
      <c r="AY161" s="772">
        <v>0</v>
      </c>
      <c r="AZ161" s="772">
        <v>0</v>
      </c>
      <c r="BA161" s="772">
        <v>0</v>
      </c>
      <c r="BB161" s="772">
        <v>0</v>
      </c>
      <c r="BC161" s="772">
        <v>0</v>
      </c>
      <c r="BD161" s="772">
        <v>0</v>
      </c>
      <c r="BE161" s="772">
        <v>0</v>
      </c>
      <c r="BF161" s="772">
        <v>0</v>
      </c>
      <c r="BG161" s="772">
        <v>0</v>
      </c>
      <c r="BH161" s="772">
        <v>0</v>
      </c>
      <c r="BI161" s="772">
        <v>0</v>
      </c>
      <c r="BJ161" s="772">
        <v>0</v>
      </c>
      <c r="BK161" s="772">
        <v>0</v>
      </c>
      <c r="BL161" s="772">
        <v>0</v>
      </c>
      <c r="BM161" s="772">
        <v>0</v>
      </c>
      <c r="BN161" s="772">
        <v>0</v>
      </c>
      <c r="BO161" s="772">
        <v>0</v>
      </c>
      <c r="BP161" s="772">
        <v>0</v>
      </c>
      <c r="BQ161" s="772">
        <v>6515126</v>
      </c>
      <c r="BR161" s="772">
        <v>0</v>
      </c>
      <c r="BS161" s="772">
        <v>380725</v>
      </c>
      <c r="BT161" s="772">
        <v>0</v>
      </c>
      <c r="BU161" s="772">
        <v>0</v>
      </c>
      <c r="BV161" s="772">
        <v>0</v>
      </c>
      <c r="BW161" s="772">
        <v>0</v>
      </c>
      <c r="BX161" s="772">
        <v>0</v>
      </c>
      <c r="BY161" s="772">
        <v>0</v>
      </c>
      <c r="BZ161" s="772">
        <v>0</v>
      </c>
      <c r="CA161" s="772">
        <v>112009</v>
      </c>
      <c r="CB161" s="772">
        <v>0</v>
      </c>
      <c r="CC161" s="772">
        <v>0</v>
      </c>
      <c r="CD161" s="772">
        <v>0</v>
      </c>
      <c r="CE161" s="772">
        <v>118914</v>
      </c>
    </row>
    <row r="162" spans="1:83" x14ac:dyDescent="0.25">
      <c r="A162" s="767">
        <v>512</v>
      </c>
      <c r="B162" s="752">
        <v>512</v>
      </c>
      <c r="C162" s="768" t="s">
        <v>317</v>
      </c>
      <c r="D162" s="635" t="s">
        <v>544</v>
      </c>
      <c r="E162" s="769">
        <v>0</v>
      </c>
      <c r="F162" s="770">
        <v>0</v>
      </c>
      <c r="G162" s="770">
        <v>0</v>
      </c>
      <c r="H162" s="770">
        <v>0</v>
      </c>
      <c r="I162" s="770">
        <v>0</v>
      </c>
      <c r="J162" s="770">
        <v>0</v>
      </c>
      <c r="K162" s="771">
        <v>0</v>
      </c>
      <c r="L162" s="772">
        <v>0</v>
      </c>
      <c r="M162" s="772">
        <v>25935</v>
      </c>
      <c r="N162" s="773">
        <v>1591423</v>
      </c>
      <c r="O162" s="773">
        <v>0</v>
      </c>
      <c r="P162" s="773">
        <v>0</v>
      </c>
      <c r="Q162" s="773">
        <v>0</v>
      </c>
      <c r="R162" s="773">
        <v>18723</v>
      </c>
      <c r="S162" s="773">
        <v>0</v>
      </c>
      <c r="T162" s="773">
        <v>0</v>
      </c>
      <c r="U162" s="773">
        <v>0</v>
      </c>
      <c r="V162" s="773">
        <v>0</v>
      </c>
      <c r="W162" s="773">
        <v>0</v>
      </c>
      <c r="X162" s="773">
        <v>0</v>
      </c>
      <c r="Y162" s="773">
        <v>0</v>
      </c>
      <c r="Z162" s="773">
        <v>0</v>
      </c>
      <c r="AA162" s="773">
        <v>0</v>
      </c>
      <c r="AB162" s="772">
        <v>0</v>
      </c>
      <c r="AC162" s="772">
        <v>0</v>
      </c>
      <c r="AD162" s="772">
        <v>56037</v>
      </c>
      <c r="AE162" s="772">
        <v>0</v>
      </c>
      <c r="AF162" s="772">
        <v>0</v>
      </c>
      <c r="AG162" s="772">
        <v>20544</v>
      </c>
      <c r="AH162" s="772">
        <v>0</v>
      </c>
      <c r="AI162" s="772">
        <v>0</v>
      </c>
      <c r="AJ162" s="772">
        <v>104393</v>
      </c>
      <c r="AK162" s="772">
        <v>0</v>
      </c>
      <c r="AL162" s="772">
        <v>0</v>
      </c>
      <c r="AM162" s="772">
        <v>0</v>
      </c>
      <c r="AN162" s="772">
        <v>0</v>
      </c>
      <c r="AO162" s="772">
        <v>0</v>
      </c>
      <c r="AP162" s="772">
        <v>0</v>
      </c>
      <c r="AQ162" s="772">
        <v>0</v>
      </c>
      <c r="AR162" s="772">
        <v>0</v>
      </c>
      <c r="AS162" s="772">
        <v>0</v>
      </c>
      <c r="AT162" s="772">
        <v>0</v>
      </c>
      <c r="AU162" s="772">
        <v>0</v>
      </c>
      <c r="AV162" s="772">
        <v>27335480</v>
      </c>
      <c r="AW162" s="772">
        <v>8708481</v>
      </c>
      <c r="AX162" s="772">
        <v>0</v>
      </c>
      <c r="AY162" s="772">
        <v>0</v>
      </c>
      <c r="AZ162" s="772">
        <v>0</v>
      </c>
      <c r="BA162" s="772">
        <v>0</v>
      </c>
      <c r="BB162" s="772">
        <v>0</v>
      </c>
      <c r="BC162" s="772">
        <v>0</v>
      </c>
      <c r="BD162" s="772">
        <v>0</v>
      </c>
      <c r="BE162" s="772">
        <v>0</v>
      </c>
      <c r="BF162" s="772">
        <v>0</v>
      </c>
      <c r="BG162" s="772">
        <v>0</v>
      </c>
      <c r="BH162" s="772">
        <v>0</v>
      </c>
      <c r="BI162" s="772">
        <v>0</v>
      </c>
      <c r="BJ162" s="772">
        <v>0</v>
      </c>
      <c r="BK162" s="772">
        <v>0</v>
      </c>
      <c r="BL162" s="772">
        <v>0</v>
      </c>
      <c r="BM162" s="772">
        <v>0</v>
      </c>
      <c r="BN162" s="772">
        <v>0</v>
      </c>
      <c r="BO162" s="772">
        <v>0</v>
      </c>
      <c r="BP162" s="772">
        <v>0</v>
      </c>
      <c r="BQ162" s="772">
        <v>345372</v>
      </c>
      <c r="BR162" s="772">
        <v>0</v>
      </c>
      <c r="BS162" s="772">
        <v>1076791</v>
      </c>
      <c r="BT162" s="772">
        <v>0</v>
      </c>
      <c r="BU162" s="772">
        <v>0</v>
      </c>
      <c r="BV162" s="772">
        <v>0</v>
      </c>
      <c r="BW162" s="772">
        <v>0</v>
      </c>
      <c r="BX162" s="772">
        <v>0</v>
      </c>
      <c r="BY162" s="772">
        <v>0</v>
      </c>
      <c r="BZ162" s="772">
        <v>0</v>
      </c>
      <c r="CA162" s="772">
        <v>0</v>
      </c>
      <c r="CB162" s="772">
        <v>0</v>
      </c>
      <c r="CC162" s="772">
        <v>0</v>
      </c>
      <c r="CD162" s="772">
        <v>0</v>
      </c>
      <c r="CE162" s="772">
        <v>0</v>
      </c>
    </row>
    <row r="163" spans="1:83" x14ac:dyDescent="0.25">
      <c r="A163" s="767">
        <v>513</v>
      </c>
      <c r="B163" s="752">
        <v>513</v>
      </c>
      <c r="C163" s="768" t="s">
        <v>328</v>
      </c>
      <c r="D163" s="635" t="s">
        <v>545</v>
      </c>
      <c r="E163" s="769">
        <v>0</v>
      </c>
      <c r="F163" s="770">
        <v>0</v>
      </c>
      <c r="G163" s="770">
        <v>0</v>
      </c>
      <c r="H163" s="770">
        <v>0</v>
      </c>
      <c r="I163" s="770">
        <v>0</v>
      </c>
      <c r="J163" s="770">
        <v>0</v>
      </c>
      <c r="K163" s="771">
        <v>0</v>
      </c>
      <c r="L163" s="772">
        <v>0</v>
      </c>
      <c r="M163" s="772">
        <v>0</v>
      </c>
      <c r="N163" s="773">
        <v>0</v>
      </c>
      <c r="O163" s="773">
        <v>0</v>
      </c>
      <c r="P163" s="773">
        <v>0</v>
      </c>
      <c r="Q163" s="773">
        <v>0</v>
      </c>
      <c r="R163" s="773">
        <v>0</v>
      </c>
      <c r="S163" s="773">
        <v>0</v>
      </c>
      <c r="T163" s="773">
        <v>0</v>
      </c>
      <c r="U163" s="773">
        <v>0</v>
      </c>
      <c r="V163" s="773">
        <v>0</v>
      </c>
      <c r="W163" s="773">
        <v>0</v>
      </c>
      <c r="X163" s="773">
        <v>0</v>
      </c>
      <c r="Y163" s="773">
        <v>0</v>
      </c>
      <c r="Z163" s="773">
        <v>0</v>
      </c>
      <c r="AA163" s="773">
        <v>0</v>
      </c>
      <c r="AB163" s="772">
        <v>0</v>
      </c>
      <c r="AC163" s="772">
        <v>0</v>
      </c>
      <c r="AD163" s="772">
        <v>0</v>
      </c>
      <c r="AE163" s="772">
        <v>0</v>
      </c>
      <c r="AF163" s="772">
        <v>0</v>
      </c>
      <c r="AG163" s="772">
        <v>0</v>
      </c>
      <c r="AH163" s="772">
        <v>0</v>
      </c>
      <c r="AI163" s="772">
        <v>0</v>
      </c>
      <c r="AJ163" s="772">
        <v>0</v>
      </c>
      <c r="AK163" s="772">
        <v>0</v>
      </c>
      <c r="AL163" s="772">
        <v>0</v>
      </c>
      <c r="AM163" s="772">
        <v>0</v>
      </c>
      <c r="AN163" s="772">
        <v>0</v>
      </c>
      <c r="AO163" s="772">
        <v>0</v>
      </c>
      <c r="AP163" s="772">
        <v>0</v>
      </c>
      <c r="AQ163" s="772">
        <v>0</v>
      </c>
      <c r="AR163" s="772">
        <v>0</v>
      </c>
      <c r="AS163" s="772">
        <v>0</v>
      </c>
      <c r="AT163" s="772">
        <v>0</v>
      </c>
      <c r="AU163" s="772">
        <v>0</v>
      </c>
      <c r="AV163" s="772">
        <v>0</v>
      </c>
      <c r="AW163" s="772">
        <v>0</v>
      </c>
      <c r="AX163" s="772">
        <v>0</v>
      </c>
      <c r="AY163" s="772">
        <v>0</v>
      </c>
      <c r="AZ163" s="772">
        <v>0</v>
      </c>
      <c r="BA163" s="772">
        <v>0</v>
      </c>
      <c r="BB163" s="772">
        <v>0</v>
      </c>
      <c r="BC163" s="772">
        <v>0</v>
      </c>
      <c r="BD163" s="772">
        <v>0</v>
      </c>
      <c r="BE163" s="772">
        <v>0</v>
      </c>
      <c r="BF163" s="772">
        <v>0</v>
      </c>
      <c r="BG163" s="772">
        <v>0</v>
      </c>
      <c r="BH163" s="772">
        <v>0</v>
      </c>
      <c r="BI163" s="772">
        <v>0</v>
      </c>
      <c r="BJ163" s="772">
        <v>0</v>
      </c>
      <c r="BK163" s="772">
        <v>0</v>
      </c>
      <c r="BL163" s="772">
        <v>0</v>
      </c>
      <c r="BM163" s="772">
        <v>0</v>
      </c>
      <c r="BN163" s="772">
        <v>0</v>
      </c>
      <c r="BO163" s="772">
        <v>0</v>
      </c>
      <c r="BP163" s="772">
        <v>0</v>
      </c>
      <c r="BQ163" s="772">
        <v>0</v>
      </c>
      <c r="BR163" s="772">
        <v>0</v>
      </c>
      <c r="BS163" s="772">
        <v>0</v>
      </c>
      <c r="BT163" s="772">
        <v>0</v>
      </c>
      <c r="BU163" s="772">
        <v>0</v>
      </c>
      <c r="BV163" s="772">
        <v>0</v>
      </c>
      <c r="BW163" s="772">
        <v>0</v>
      </c>
      <c r="BX163" s="772">
        <v>0</v>
      </c>
      <c r="BY163" s="772">
        <v>0</v>
      </c>
      <c r="BZ163" s="772">
        <v>0</v>
      </c>
      <c r="CA163" s="772">
        <v>0</v>
      </c>
      <c r="CB163" s="772">
        <v>0</v>
      </c>
      <c r="CC163" s="772">
        <v>0</v>
      </c>
      <c r="CD163" s="772">
        <v>0</v>
      </c>
      <c r="CE163" s="772">
        <v>0</v>
      </c>
    </row>
    <row r="164" spans="1:83" x14ac:dyDescent="0.25">
      <c r="A164" s="767">
        <v>514</v>
      </c>
      <c r="B164" s="752">
        <v>514</v>
      </c>
      <c r="C164" s="768" t="s">
        <v>329</v>
      </c>
      <c r="D164" s="635" t="s">
        <v>546</v>
      </c>
      <c r="E164" s="769">
        <v>0</v>
      </c>
      <c r="F164" s="770">
        <v>0</v>
      </c>
      <c r="G164" s="770">
        <v>0</v>
      </c>
      <c r="H164" s="770">
        <v>0</v>
      </c>
      <c r="I164" s="770">
        <v>0</v>
      </c>
      <c r="J164" s="770">
        <v>0</v>
      </c>
      <c r="K164" s="771">
        <v>0</v>
      </c>
      <c r="L164" s="772">
        <v>0</v>
      </c>
      <c r="M164" s="772">
        <v>393779</v>
      </c>
      <c r="N164" s="773">
        <v>0</v>
      </c>
      <c r="O164" s="773">
        <v>0</v>
      </c>
      <c r="P164" s="773">
        <v>0</v>
      </c>
      <c r="Q164" s="773">
        <v>0</v>
      </c>
      <c r="R164" s="773">
        <v>5256749</v>
      </c>
      <c r="S164" s="773">
        <v>0</v>
      </c>
      <c r="T164" s="773">
        <v>0</v>
      </c>
      <c r="U164" s="773">
        <v>0</v>
      </c>
      <c r="V164" s="773">
        <v>0</v>
      </c>
      <c r="W164" s="773">
        <v>0</v>
      </c>
      <c r="X164" s="773">
        <v>0</v>
      </c>
      <c r="Y164" s="773">
        <v>0</v>
      </c>
      <c r="Z164" s="773">
        <v>8886</v>
      </c>
      <c r="AA164" s="773">
        <v>0</v>
      </c>
      <c r="AB164" s="772">
        <v>0</v>
      </c>
      <c r="AC164" s="772">
        <v>0</v>
      </c>
      <c r="AD164" s="772">
        <v>0</v>
      </c>
      <c r="AE164" s="772">
        <v>0</v>
      </c>
      <c r="AF164" s="772">
        <v>0</v>
      </c>
      <c r="AG164" s="772">
        <v>2000000</v>
      </c>
      <c r="AH164" s="772">
        <v>0</v>
      </c>
      <c r="AI164" s="772">
        <v>0</v>
      </c>
      <c r="AJ164" s="772">
        <v>0</v>
      </c>
      <c r="AK164" s="772">
        <v>0</v>
      </c>
      <c r="AL164" s="772">
        <v>0</v>
      </c>
      <c r="AM164" s="772">
        <v>0</v>
      </c>
      <c r="AN164" s="772">
        <v>0</v>
      </c>
      <c r="AO164" s="772">
        <v>0</v>
      </c>
      <c r="AP164" s="772">
        <v>0</v>
      </c>
      <c r="AQ164" s="772">
        <v>0</v>
      </c>
      <c r="AR164" s="772">
        <v>0</v>
      </c>
      <c r="AS164" s="772">
        <v>0</v>
      </c>
      <c r="AT164" s="772">
        <v>0</v>
      </c>
      <c r="AU164" s="772">
        <v>0</v>
      </c>
      <c r="AV164" s="772">
        <v>0</v>
      </c>
      <c r="AW164" s="772">
        <v>5002127</v>
      </c>
      <c r="AX164" s="772">
        <v>0</v>
      </c>
      <c r="AY164" s="772">
        <v>0</v>
      </c>
      <c r="AZ164" s="772">
        <v>0</v>
      </c>
      <c r="BA164" s="772">
        <v>0</v>
      </c>
      <c r="BB164" s="772">
        <v>0</v>
      </c>
      <c r="BC164" s="772">
        <v>0</v>
      </c>
      <c r="BD164" s="772">
        <v>0</v>
      </c>
      <c r="BE164" s="772">
        <v>0</v>
      </c>
      <c r="BF164" s="772">
        <v>0</v>
      </c>
      <c r="BG164" s="772">
        <v>0</v>
      </c>
      <c r="BH164" s="772">
        <v>0</v>
      </c>
      <c r="BI164" s="772">
        <v>0</v>
      </c>
      <c r="BJ164" s="772">
        <v>0</v>
      </c>
      <c r="BK164" s="772">
        <v>0</v>
      </c>
      <c r="BL164" s="772">
        <v>0</v>
      </c>
      <c r="BM164" s="772">
        <v>0</v>
      </c>
      <c r="BN164" s="772">
        <v>0</v>
      </c>
      <c r="BO164" s="772">
        <v>84000</v>
      </c>
      <c r="BP164" s="772">
        <v>0</v>
      </c>
      <c r="BQ164" s="772">
        <v>1999492</v>
      </c>
      <c r="BR164" s="772">
        <v>0</v>
      </c>
      <c r="BS164" s="772">
        <v>10526</v>
      </c>
      <c r="BT164" s="772">
        <v>0</v>
      </c>
      <c r="BU164" s="772">
        <v>0</v>
      </c>
      <c r="BV164" s="772">
        <v>0</v>
      </c>
      <c r="BW164" s="772">
        <v>0</v>
      </c>
      <c r="BX164" s="772">
        <v>0</v>
      </c>
      <c r="BY164" s="772">
        <v>0</v>
      </c>
      <c r="BZ164" s="772">
        <v>0</v>
      </c>
      <c r="CA164" s="772">
        <v>65638</v>
      </c>
      <c r="CB164" s="772">
        <v>0</v>
      </c>
      <c r="CC164" s="772">
        <v>0</v>
      </c>
      <c r="CD164" s="772">
        <v>0</v>
      </c>
      <c r="CE164" s="772">
        <v>0</v>
      </c>
    </row>
    <row r="165" spans="1:83" x14ac:dyDescent="0.25">
      <c r="A165" s="767">
        <v>515</v>
      </c>
      <c r="B165" s="752">
        <v>515</v>
      </c>
      <c r="C165" s="768" t="s">
        <v>342</v>
      </c>
      <c r="D165" s="635" t="s">
        <v>547</v>
      </c>
      <c r="E165" s="769">
        <v>204424</v>
      </c>
      <c r="F165" s="770">
        <v>12755</v>
      </c>
      <c r="G165" s="770">
        <v>0</v>
      </c>
      <c r="H165" s="770">
        <v>542317</v>
      </c>
      <c r="I165" s="770">
        <v>0</v>
      </c>
      <c r="J165" s="770">
        <v>0</v>
      </c>
      <c r="K165" s="771">
        <v>0</v>
      </c>
      <c r="L165" s="772">
        <v>0</v>
      </c>
      <c r="M165" s="772">
        <v>0</v>
      </c>
      <c r="N165" s="773">
        <v>0</v>
      </c>
      <c r="O165" s="773">
        <v>0</v>
      </c>
      <c r="P165" s="773">
        <v>0</v>
      </c>
      <c r="Q165" s="773">
        <v>0</v>
      </c>
      <c r="R165" s="773">
        <v>0</v>
      </c>
      <c r="S165" s="773">
        <v>0</v>
      </c>
      <c r="T165" s="773">
        <v>0</v>
      </c>
      <c r="U165" s="773">
        <v>189661</v>
      </c>
      <c r="V165" s="773">
        <v>0</v>
      </c>
      <c r="W165" s="773">
        <v>1310387</v>
      </c>
      <c r="X165" s="773">
        <v>0</v>
      </c>
      <c r="Y165" s="773">
        <v>0</v>
      </c>
      <c r="Z165" s="773">
        <v>0</v>
      </c>
      <c r="AA165" s="773">
        <v>30686</v>
      </c>
      <c r="AB165" s="772">
        <v>0</v>
      </c>
      <c r="AC165" s="772">
        <v>0</v>
      </c>
      <c r="AD165" s="772">
        <v>0</v>
      </c>
      <c r="AE165" s="772">
        <v>0</v>
      </c>
      <c r="AF165" s="772">
        <v>0</v>
      </c>
      <c r="AG165" s="772">
        <v>69518031</v>
      </c>
      <c r="AH165" s="772">
        <v>0</v>
      </c>
      <c r="AI165" s="772">
        <v>0</v>
      </c>
      <c r="AJ165" s="772">
        <v>129875</v>
      </c>
      <c r="AK165" s="772">
        <v>0</v>
      </c>
      <c r="AL165" s="772">
        <v>0</v>
      </c>
      <c r="AM165" s="772">
        <v>0</v>
      </c>
      <c r="AN165" s="772">
        <v>0</v>
      </c>
      <c r="AO165" s="772">
        <v>17696444</v>
      </c>
      <c r="AP165" s="772">
        <v>0</v>
      </c>
      <c r="AQ165" s="772">
        <v>0</v>
      </c>
      <c r="AR165" s="772">
        <v>0</v>
      </c>
      <c r="AS165" s="772">
        <v>0</v>
      </c>
      <c r="AT165" s="772">
        <v>0</v>
      </c>
      <c r="AU165" s="772">
        <v>371872</v>
      </c>
      <c r="AV165" s="772">
        <v>190371503</v>
      </c>
      <c r="AW165" s="772">
        <v>4774591</v>
      </c>
      <c r="AX165" s="772">
        <v>0</v>
      </c>
      <c r="AY165" s="772">
        <v>0</v>
      </c>
      <c r="AZ165" s="772">
        <v>977796</v>
      </c>
      <c r="BA165" s="772">
        <v>0</v>
      </c>
      <c r="BB165" s="772">
        <v>0</v>
      </c>
      <c r="BC165" s="772">
        <v>89132</v>
      </c>
      <c r="BD165" s="772">
        <v>0</v>
      </c>
      <c r="BE165" s="772">
        <v>0</v>
      </c>
      <c r="BF165" s="772">
        <v>0</v>
      </c>
      <c r="BG165" s="772">
        <v>1903378</v>
      </c>
      <c r="BH165" s="772">
        <v>0</v>
      </c>
      <c r="BI165" s="772">
        <v>0</v>
      </c>
      <c r="BJ165" s="772">
        <v>0</v>
      </c>
      <c r="BK165" s="772">
        <v>0</v>
      </c>
      <c r="BL165" s="772">
        <v>0</v>
      </c>
      <c r="BM165" s="772">
        <v>32865339</v>
      </c>
      <c r="BN165" s="772">
        <v>1487496</v>
      </c>
      <c r="BO165" s="772">
        <v>1700</v>
      </c>
      <c r="BP165" s="772">
        <v>48345802</v>
      </c>
      <c r="BQ165" s="772">
        <v>74337191</v>
      </c>
      <c r="BR165" s="772">
        <v>1057</v>
      </c>
      <c r="BS165" s="772">
        <v>0</v>
      </c>
      <c r="BT165" s="772">
        <v>0</v>
      </c>
      <c r="BU165" s="772">
        <v>27771418</v>
      </c>
      <c r="BV165" s="772">
        <v>0</v>
      </c>
      <c r="BW165" s="772">
        <v>0</v>
      </c>
      <c r="BX165" s="772">
        <v>0</v>
      </c>
      <c r="BY165" s="772">
        <v>0</v>
      </c>
      <c r="BZ165" s="772">
        <v>204461</v>
      </c>
      <c r="CA165" s="772">
        <v>0</v>
      </c>
      <c r="CB165" s="772">
        <v>0</v>
      </c>
      <c r="CC165" s="772">
        <v>118409</v>
      </c>
      <c r="CD165" s="772">
        <v>0</v>
      </c>
      <c r="CE165" s="772">
        <v>0</v>
      </c>
    </row>
    <row r="166" spans="1:83" x14ac:dyDescent="0.25">
      <c r="A166" s="767">
        <v>516</v>
      </c>
      <c r="B166" s="752">
        <v>516</v>
      </c>
      <c r="C166" s="768" t="s">
        <v>343</v>
      </c>
      <c r="D166" s="635" t="s">
        <v>548</v>
      </c>
      <c r="E166" s="769">
        <v>8359807</v>
      </c>
      <c r="F166" s="770">
        <v>13971693</v>
      </c>
      <c r="G166" s="770">
        <v>0</v>
      </c>
      <c r="H166" s="770">
        <v>12387503</v>
      </c>
      <c r="I166" s="770">
        <v>8079066</v>
      </c>
      <c r="J166" s="770">
        <v>1069000</v>
      </c>
      <c r="K166" s="771">
        <v>0</v>
      </c>
      <c r="L166" s="772">
        <v>3191448</v>
      </c>
      <c r="M166" s="772">
        <v>52633050</v>
      </c>
      <c r="N166" s="773">
        <v>0</v>
      </c>
      <c r="O166" s="773">
        <v>0</v>
      </c>
      <c r="P166" s="773">
        <v>0</v>
      </c>
      <c r="Q166" s="773">
        <v>2794047</v>
      </c>
      <c r="R166" s="773">
        <v>60783518</v>
      </c>
      <c r="S166" s="773">
        <v>0</v>
      </c>
      <c r="T166" s="773">
        <v>4051137</v>
      </c>
      <c r="U166" s="773">
        <v>4618169</v>
      </c>
      <c r="V166" s="773">
        <v>1837949</v>
      </c>
      <c r="W166" s="773">
        <v>30324475</v>
      </c>
      <c r="X166" s="773">
        <v>0</v>
      </c>
      <c r="Y166" s="773">
        <v>7753531</v>
      </c>
      <c r="Z166" s="773">
        <v>13158412</v>
      </c>
      <c r="AA166" s="773">
        <v>77892874</v>
      </c>
      <c r="AB166" s="772">
        <v>2780186</v>
      </c>
      <c r="AC166" s="772">
        <v>3119472</v>
      </c>
      <c r="AD166" s="772">
        <v>0</v>
      </c>
      <c r="AE166" s="772">
        <v>0</v>
      </c>
      <c r="AF166" s="772">
        <v>0</v>
      </c>
      <c r="AG166" s="772">
        <v>196192224</v>
      </c>
      <c r="AH166" s="772">
        <v>0</v>
      </c>
      <c r="AI166" s="772">
        <v>2337098</v>
      </c>
      <c r="AJ166" s="772">
        <v>2786998</v>
      </c>
      <c r="AK166" s="772">
        <v>2871297</v>
      </c>
      <c r="AL166" s="772">
        <v>268756</v>
      </c>
      <c r="AM166" s="772">
        <v>133892636</v>
      </c>
      <c r="AN166" s="772">
        <v>0</v>
      </c>
      <c r="AO166" s="772">
        <v>23463499</v>
      </c>
      <c r="AP166" s="772">
        <v>0</v>
      </c>
      <c r="AQ166" s="772">
        <v>25822080</v>
      </c>
      <c r="AR166" s="772">
        <v>0</v>
      </c>
      <c r="AS166" s="772">
        <v>0</v>
      </c>
      <c r="AT166" s="772">
        <v>4231604</v>
      </c>
      <c r="AU166" s="772">
        <v>4058459</v>
      </c>
      <c r="AV166" s="772">
        <v>62624268</v>
      </c>
      <c r="AW166" s="772">
        <v>357825095</v>
      </c>
      <c r="AX166" s="772">
        <v>6758148</v>
      </c>
      <c r="AY166" s="772">
        <v>4696454</v>
      </c>
      <c r="AZ166" s="772">
        <v>2158042</v>
      </c>
      <c r="BA166" s="772">
        <v>4420506</v>
      </c>
      <c r="BB166" s="772">
        <v>4396510</v>
      </c>
      <c r="BC166" s="772">
        <v>18306809</v>
      </c>
      <c r="BD166" s="772">
        <v>4216086</v>
      </c>
      <c r="BE166" s="772">
        <v>0</v>
      </c>
      <c r="BF166" s="772">
        <v>1540777</v>
      </c>
      <c r="BG166" s="772">
        <v>31612400</v>
      </c>
      <c r="BH166" s="772">
        <v>0</v>
      </c>
      <c r="BI166" s="772">
        <v>44225175</v>
      </c>
      <c r="BJ166" s="772">
        <v>9141764</v>
      </c>
      <c r="BK166" s="772">
        <v>0</v>
      </c>
      <c r="BL166" s="772">
        <v>0</v>
      </c>
      <c r="BM166" s="772">
        <v>60781542</v>
      </c>
      <c r="BN166" s="772">
        <v>102021721</v>
      </c>
      <c r="BO166" s="772">
        <v>22451868</v>
      </c>
      <c r="BP166" s="772">
        <v>37813328</v>
      </c>
      <c r="BQ166" s="772">
        <v>0</v>
      </c>
      <c r="BR166" s="772">
        <v>4650172</v>
      </c>
      <c r="BS166" s="772">
        <v>34411271</v>
      </c>
      <c r="BT166" s="772">
        <v>0</v>
      </c>
      <c r="BU166" s="772">
        <v>35002287</v>
      </c>
      <c r="BV166" s="772">
        <v>4775036</v>
      </c>
      <c r="BW166" s="772">
        <v>0</v>
      </c>
      <c r="BX166" s="772">
        <v>22317453</v>
      </c>
      <c r="BY166" s="772">
        <v>0</v>
      </c>
      <c r="BZ166" s="772">
        <v>138152834</v>
      </c>
      <c r="CA166" s="772">
        <v>3671506</v>
      </c>
      <c r="CB166" s="772">
        <v>0</v>
      </c>
      <c r="CC166" s="772">
        <v>2038074</v>
      </c>
      <c r="CD166" s="772">
        <v>0</v>
      </c>
      <c r="CE166" s="772">
        <v>0</v>
      </c>
    </row>
    <row r="167" spans="1:83" x14ac:dyDescent="0.25">
      <c r="A167" s="767">
        <v>517</v>
      </c>
      <c r="B167" s="752">
        <v>517</v>
      </c>
      <c r="C167" s="768" t="s">
        <v>344</v>
      </c>
      <c r="D167" s="635" t="s">
        <v>549</v>
      </c>
      <c r="E167" s="769">
        <v>0</v>
      </c>
      <c r="F167" s="770">
        <v>0</v>
      </c>
      <c r="G167" s="770">
        <v>0</v>
      </c>
      <c r="H167" s="770">
        <v>0</v>
      </c>
      <c r="I167" s="770">
        <v>0</v>
      </c>
      <c r="J167" s="770">
        <v>0</v>
      </c>
      <c r="K167" s="771">
        <v>0</v>
      </c>
      <c r="L167" s="772">
        <v>87210</v>
      </c>
      <c r="M167" s="772">
        <v>0</v>
      </c>
      <c r="N167" s="773">
        <v>0</v>
      </c>
      <c r="O167" s="773">
        <v>0</v>
      </c>
      <c r="P167" s="773">
        <v>0</v>
      </c>
      <c r="Q167" s="773">
        <v>0</v>
      </c>
      <c r="R167" s="773">
        <v>0</v>
      </c>
      <c r="S167" s="773">
        <v>0</v>
      </c>
      <c r="T167" s="773">
        <v>0</v>
      </c>
      <c r="U167" s="773">
        <v>0</v>
      </c>
      <c r="V167" s="773">
        <v>0</v>
      </c>
      <c r="W167" s="773">
        <v>0</v>
      </c>
      <c r="X167" s="773">
        <v>0</v>
      </c>
      <c r="Y167" s="773">
        <v>0</v>
      </c>
      <c r="Z167" s="773">
        <v>0</v>
      </c>
      <c r="AA167" s="773">
        <v>18580131</v>
      </c>
      <c r="AB167" s="772">
        <v>0</v>
      </c>
      <c r="AC167" s="772">
        <v>0</v>
      </c>
      <c r="AD167" s="772">
        <v>0</v>
      </c>
      <c r="AE167" s="772">
        <v>0</v>
      </c>
      <c r="AF167" s="772">
        <v>0</v>
      </c>
      <c r="AG167" s="772">
        <v>0</v>
      </c>
      <c r="AH167" s="772">
        <v>0</v>
      </c>
      <c r="AI167" s="772">
        <v>0</v>
      </c>
      <c r="AJ167" s="772">
        <v>0</v>
      </c>
      <c r="AK167" s="772">
        <v>0</v>
      </c>
      <c r="AL167" s="772">
        <v>0</v>
      </c>
      <c r="AM167" s="772">
        <v>0</v>
      </c>
      <c r="AN167" s="772">
        <v>7211457</v>
      </c>
      <c r="AO167" s="772">
        <v>16026121</v>
      </c>
      <c r="AP167" s="772">
        <v>0</v>
      </c>
      <c r="AQ167" s="772">
        <v>0</v>
      </c>
      <c r="AR167" s="772">
        <v>0</v>
      </c>
      <c r="AS167" s="772">
        <v>0</v>
      </c>
      <c r="AT167" s="772">
        <v>0</v>
      </c>
      <c r="AU167" s="772">
        <v>0</v>
      </c>
      <c r="AV167" s="772">
        <v>617915117</v>
      </c>
      <c r="AW167" s="772">
        <v>0</v>
      </c>
      <c r="AX167" s="772">
        <v>0</v>
      </c>
      <c r="AY167" s="772">
        <v>0</v>
      </c>
      <c r="AZ167" s="772">
        <v>0</v>
      </c>
      <c r="BA167" s="772">
        <v>0</v>
      </c>
      <c r="BB167" s="772">
        <v>0</v>
      </c>
      <c r="BC167" s="772">
        <v>0</v>
      </c>
      <c r="BD167" s="772">
        <v>0</v>
      </c>
      <c r="BE167" s="772">
        <v>0</v>
      </c>
      <c r="BF167" s="772">
        <v>0</v>
      </c>
      <c r="BG167" s="772">
        <v>0</v>
      </c>
      <c r="BH167" s="772">
        <v>0</v>
      </c>
      <c r="BI167" s="772">
        <v>0</v>
      </c>
      <c r="BJ167" s="772">
        <v>0</v>
      </c>
      <c r="BK167" s="772">
        <v>0</v>
      </c>
      <c r="BL167" s="772">
        <v>0</v>
      </c>
      <c r="BM167" s="772">
        <v>0</v>
      </c>
      <c r="BN167" s="772">
        <v>0</v>
      </c>
      <c r="BO167" s="772">
        <v>0</v>
      </c>
      <c r="BP167" s="772">
        <v>96151524</v>
      </c>
      <c r="BQ167" s="772">
        <v>374734446</v>
      </c>
      <c r="BR167" s="772">
        <v>0</v>
      </c>
      <c r="BS167" s="772">
        <v>0</v>
      </c>
      <c r="BT167" s="772">
        <v>0</v>
      </c>
      <c r="BU167" s="772">
        <v>739873</v>
      </c>
      <c r="BV167" s="772">
        <v>0</v>
      </c>
      <c r="BW167" s="772">
        <v>0</v>
      </c>
      <c r="BX167" s="772">
        <v>184026</v>
      </c>
      <c r="BY167" s="772">
        <v>0</v>
      </c>
      <c r="BZ167" s="772">
        <v>0</v>
      </c>
      <c r="CA167" s="772">
        <v>0</v>
      </c>
      <c r="CB167" s="772">
        <v>0</v>
      </c>
      <c r="CC167" s="772">
        <v>0</v>
      </c>
      <c r="CD167" s="772">
        <v>0</v>
      </c>
      <c r="CE167" s="772">
        <v>0</v>
      </c>
    </row>
    <row r="168" spans="1:83" x14ac:dyDescent="0.25">
      <c r="A168" s="767">
        <v>518</v>
      </c>
      <c r="B168" s="752">
        <v>518</v>
      </c>
      <c r="C168" s="768" t="s">
        <v>345</v>
      </c>
      <c r="D168" s="635" t="s">
        <v>550</v>
      </c>
      <c r="E168" s="769">
        <v>188865</v>
      </c>
      <c r="F168" s="770">
        <v>727760</v>
      </c>
      <c r="G168" s="770">
        <v>0</v>
      </c>
      <c r="H168" s="770">
        <v>557006</v>
      </c>
      <c r="I168" s="770">
        <v>40422</v>
      </c>
      <c r="J168" s="770">
        <v>4657</v>
      </c>
      <c r="K168" s="771">
        <v>0</v>
      </c>
      <c r="L168" s="772">
        <v>0</v>
      </c>
      <c r="M168" s="772">
        <v>1788043</v>
      </c>
      <c r="N168" s="773">
        <v>0</v>
      </c>
      <c r="O168" s="773">
        <v>0</v>
      </c>
      <c r="P168" s="773">
        <v>0</v>
      </c>
      <c r="Q168" s="773">
        <v>5611</v>
      </c>
      <c r="R168" s="773">
        <v>4568122</v>
      </c>
      <c r="S168" s="773">
        <v>0</v>
      </c>
      <c r="T168" s="773">
        <v>110299</v>
      </c>
      <c r="U168" s="773">
        <v>422906</v>
      </c>
      <c r="V168" s="773">
        <v>164101</v>
      </c>
      <c r="W168" s="773">
        <v>1467846</v>
      </c>
      <c r="X168" s="773">
        <v>0</v>
      </c>
      <c r="Y168" s="773">
        <v>340967</v>
      </c>
      <c r="Z168" s="773">
        <v>239458</v>
      </c>
      <c r="AA168" s="773">
        <v>2083230</v>
      </c>
      <c r="AB168" s="772">
        <v>0</v>
      </c>
      <c r="AC168" s="772">
        <v>369829</v>
      </c>
      <c r="AD168" s="772">
        <v>0</v>
      </c>
      <c r="AE168" s="772">
        <v>0</v>
      </c>
      <c r="AF168" s="772">
        <v>0</v>
      </c>
      <c r="AG168" s="772">
        <v>19036600</v>
      </c>
      <c r="AH168" s="772">
        <v>0</v>
      </c>
      <c r="AI168" s="772">
        <v>81308</v>
      </c>
      <c r="AJ168" s="772">
        <v>349310</v>
      </c>
      <c r="AK168" s="772">
        <v>0</v>
      </c>
      <c r="AL168" s="772">
        <v>3358</v>
      </c>
      <c r="AM168" s="772">
        <v>5796770</v>
      </c>
      <c r="AN168" s="772">
        <v>0</v>
      </c>
      <c r="AO168" s="772">
        <v>2392881</v>
      </c>
      <c r="AP168" s="772">
        <v>0</v>
      </c>
      <c r="AQ168" s="772">
        <v>1898800</v>
      </c>
      <c r="AR168" s="772">
        <v>0</v>
      </c>
      <c r="AS168" s="772">
        <v>0</v>
      </c>
      <c r="AT168" s="772">
        <v>217562</v>
      </c>
      <c r="AU168" s="772">
        <v>15297</v>
      </c>
      <c r="AV168" s="772">
        <v>130410294</v>
      </c>
      <c r="AW168" s="772">
        <v>24292146</v>
      </c>
      <c r="AX168" s="772">
        <v>162767</v>
      </c>
      <c r="AY168" s="772">
        <v>200175</v>
      </c>
      <c r="AZ168" s="772">
        <v>201785</v>
      </c>
      <c r="BA168" s="772">
        <v>198454</v>
      </c>
      <c r="BB168" s="772">
        <v>85086</v>
      </c>
      <c r="BC168" s="772">
        <v>1717002</v>
      </c>
      <c r="BD168" s="772">
        <v>6338</v>
      </c>
      <c r="BE168" s="772">
        <v>0</v>
      </c>
      <c r="BF168" s="772">
        <v>38161</v>
      </c>
      <c r="BG168" s="772">
        <v>1909606</v>
      </c>
      <c r="BH168" s="772">
        <v>0</v>
      </c>
      <c r="BI168" s="772">
        <v>2162956</v>
      </c>
      <c r="BJ168" s="772">
        <v>281435</v>
      </c>
      <c r="BK168" s="772">
        <v>0</v>
      </c>
      <c r="BL168" s="772">
        <v>0</v>
      </c>
      <c r="BM168" s="772">
        <v>4609700</v>
      </c>
      <c r="BN168" s="772">
        <v>20382726</v>
      </c>
      <c r="BO168" s="772">
        <v>536565</v>
      </c>
      <c r="BP168" s="772">
        <v>10438796</v>
      </c>
      <c r="BQ168" s="772">
        <v>13527599</v>
      </c>
      <c r="BR168" s="772">
        <v>58883</v>
      </c>
      <c r="BS168" s="772">
        <v>1453593</v>
      </c>
      <c r="BT168" s="772">
        <v>0</v>
      </c>
      <c r="BU168" s="772">
        <v>2823492</v>
      </c>
      <c r="BV168" s="772">
        <v>143491</v>
      </c>
      <c r="BW168" s="772">
        <v>0</v>
      </c>
      <c r="BX168" s="772">
        <v>863390</v>
      </c>
      <c r="BY168" s="772">
        <v>0</v>
      </c>
      <c r="BZ168" s="772">
        <v>11043617</v>
      </c>
      <c r="CA168" s="772">
        <v>52980</v>
      </c>
      <c r="CB168" s="772">
        <v>0</v>
      </c>
      <c r="CC168" s="772">
        <v>29283</v>
      </c>
      <c r="CD168" s="772">
        <v>0</v>
      </c>
      <c r="CE168" s="772">
        <v>0</v>
      </c>
    </row>
    <row r="169" spans="1:83" x14ac:dyDescent="0.25">
      <c r="A169" s="767">
        <v>519</v>
      </c>
      <c r="B169" s="752">
        <v>519</v>
      </c>
      <c r="C169" s="768" t="s">
        <v>346</v>
      </c>
      <c r="D169" s="635" t="s">
        <v>551</v>
      </c>
      <c r="E169" s="769">
        <v>1704</v>
      </c>
      <c r="F169" s="770">
        <v>0</v>
      </c>
      <c r="G169" s="770">
        <v>0</v>
      </c>
      <c r="H169" s="770">
        <v>10677</v>
      </c>
      <c r="I169" s="770">
        <v>0</v>
      </c>
      <c r="J169" s="770">
        <v>0</v>
      </c>
      <c r="K169" s="771">
        <v>0</v>
      </c>
      <c r="L169" s="772">
        <v>0</v>
      </c>
      <c r="M169" s="772">
        <v>0</v>
      </c>
      <c r="N169" s="773">
        <v>0</v>
      </c>
      <c r="O169" s="773">
        <v>0</v>
      </c>
      <c r="P169" s="773">
        <v>0</v>
      </c>
      <c r="Q169" s="773">
        <v>0</v>
      </c>
      <c r="R169" s="773">
        <v>0</v>
      </c>
      <c r="S169" s="773">
        <v>0</v>
      </c>
      <c r="T169" s="773">
        <v>0</v>
      </c>
      <c r="U169" s="773">
        <v>4742</v>
      </c>
      <c r="V169" s="773">
        <v>0</v>
      </c>
      <c r="W169" s="773">
        <v>30358</v>
      </c>
      <c r="X169" s="773">
        <v>0</v>
      </c>
      <c r="Y169" s="773">
        <v>0</v>
      </c>
      <c r="Z169" s="773">
        <v>0</v>
      </c>
      <c r="AA169" s="773">
        <v>1268</v>
      </c>
      <c r="AB169" s="772">
        <v>0</v>
      </c>
      <c r="AC169" s="772">
        <v>0</v>
      </c>
      <c r="AD169" s="772">
        <v>0</v>
      </c>
      <c r="AE169" s="772">
        <v>0</v>
      </c>
      <c r="AF169" s="772">
        <v>0</v>
      </c>
      <c r="AG169" s="772">
        <v>1415479</v>
      </c>
      <c r="AH169" s="772">
        <v>0</v>
      </c>
      <c r="AI169" s="772">
        <v>0</v>
      </c>
      <c r="AJ169" s="772">
        <v>2550</v>
      </c>
      <c r="AK169" s="772">
        <v>0</v>
      </c>
      <c r="AL169" s="772">
        <v>0</v>
      </c>
      <c r="AM169" s="772">
        <v>0</v>
      </c>
      <c r="AN169" s="772">
        <v>0</v>
      </c>
      <c r="AO169" s="772">
        <v>235191</v>
      </c>
      <c r="AP169" s="772">
        <v>0</v>
      </c>
      <c r="AQ169" s="772">
        <v>0</v>
      </c>
      <c r="AR169" s="772">
        <v>0</v>
      </c>
      <c r="AS169" s="772">
        <v>0</v>
      </c>
      <c r="AT169" s="772">
        <v>0</v>
      </c>
      <c r="AU169" s="772">
        <v>9326</v>
      </c>
      <c r="AV169" s="772">
        <v>5011222</v>
      </c>
      <c r="AW169" s="772">
        <v>144780</v>
      </c>
      <c r="AX169" s="772">
        <v>0</v>
      </c>
      <c r="AY169" s="772">
        <v>0</v>
      </c>
      <c r="AZ169" s="772">
        <v>19556</v>
      </c>
      <c r="BA169" s="772">
        <v>0</v>
      </c>
      <c r="BB169" s="772">
        <v>0</v>
      </c>
      <c r="BC169" s="772">
        <v>2765</v>
      </c>
      <c r="BD169" s="772">
        <v>0</v>
      </c>
      <c r="BE169" s="772">
        <v>0</v>
      </c>
      <c r="BF169" s="772">
        <v>0</v>
      </c>
      <c r="BG169" s="772">
        <v>38068</v>
      </c>
      <c r="BH169" s="772">
        <v>0</v>
      </c>
      <c r="BI169" s="772">
        <v>0</v>
      </c>
      <c r="BJ169" s="772">
        <v>0</v>
      </c>
      <c r="BK169" s="772">
        <v>0</v>
      </c>
      <c r="BL169" s="772">
        <v>0</v>
      </c>
      <c r="BM169" s="772">
        <v>605771</v>
      </c>
      <c r="BN169" s="772">
        <v>50659</v>
      </c>
      <c r="BO169" s="772">
        <v>0</v>
      </c>
      <c r="BP169" s="772">
        <v>1412851</v>
      </c>
      <c r="BQ169" s="772">
        <v>1504161</v>
      </c>
      <c r="BR169" s="772">
        <v>0</v>
      </c>
      <c r="BS169" s="772">
        <v>0</v>
      </c>
      <c r="BT169" s="772">
        <v>0</v>
      </c>
      <c r="BU169" s="772">
        <v>807264</v>
      </c>
      <c r="BV169" s="772">
        <v>0</v>
      </c>
      <c r="BW169" s="772">
        <v>0</v>
      </c>
      <c r="BX169" s="772">
        <v>0</v>
      </c>
      <c r="BY169" s="772">
        <v>0</v>
      </c>
      <c r="BZ169" s="772">
        <v>5112</v>
      </c>
      <c r="CA169" s="772">
        <v>0</v>
      </c>
      <c r="CB169" s="772">
        <v>0</v>
      </c>
      <c r="CC169" s="772">
        <v>95</v>
      </c>
      <c r="CD169" s="772">
        <v>0</v>
      </c>
      <c r="CE169" s="772">
        <v>0</v>
      </c>
    </row>
    <row r="170" spans="1:83" x14ac:dyDescent="0.25">
      <c r="A170" s="767">
        <v>520</v>
      </c>
      <c r="B170" s="752">
        <v>520</v>
      </c>
      <c r="C170" s="768" t="s">
        <v>347</v>
      </c>
      <c r="D170" s="635" t="s">
        <v>552</v>
      </c>
      <c r="E170" s="769">
        <v>106171</v>
      </c>
      <c r="F170" s="770">
        <v>258226</v>
      </c>
      <c r="G170" s="770">
        <v>0</v>
      </c>
      <c r="H170" s="770">
        <v>341081</v>
      </c>
      <c r="I170" s="770">
        <v>196367</v>
      </c>
      <c r="J170" s="770">
        <v>24494</v>
      </c>
      <c r="K170" s="771">
        <v>0</v>
      </c>
      <c r="L170" s="772">
        <v>76889</v>
      </c>
      <c r="M170" s="772">
        <v>1010195</v>
      </c>
      <c r="N170" s="773">
        <v>0</v>
      </c>
      <c r="O170" s="773">
        <v>0</v>
      </c>
      <c r="P170" s="773">
        <v>0</v>
      </c>
      <c r="Q170" s="773">
        <v>0</v>
      </c>
      <c r="R170" s="773">
        <v>1168451</v>
      </c>
      <c r="S170" s="773">
        <v>0</v>
      </c>
      <c r="T170" s="773">
        <v>75964</v>
      </c>
      <c r="U170" s="773">
        <v>74869</v>
      </c>
      <c r="V170" s="773">
        <v>48066</v>
      </c>
      <c r="W170" s="773">
        <v>589559</v>
      </c>
      <c r="X170" s="773">
        <v>0</v>
      </c>
      <c r="Y170" s="773">
        <v>193475</v>
      </c>
      <c r="Z170" s="773">
        <v>291252</v>
      </c>
      <c r="AA170" s="773">
        <v>2394914</v>
      </c>
      <c r="AB170" s="772">
        <v>69505</v>
      </c>
      <c r="AC170" s="772">
        <v>23248</v>
      </c>
      <c r="AD170" s="772">
        <v>0</v>
      </c>
      <c r="AE170" s="772">
        <v>0</v>
      </c>
      <c r="AF170" s="772">
        <v>0</v>
      </c>
      <c r="AG170" s="772">
        <v>2932561</v>
      </c>
      <c r="AH170" s="772">
        <v>0</v>
      </c>
      <c r="AI170" s="772">
        <v>44443</v>
      </c>
      <c r="AJ170" s="772">
        <v>44378</v>
      </c>
      <c r="AK170" s="772">
        <v>71782</v>
      </c>
      <c r="AL170" s="772">
        <v>5375</v>
      </c>
      <c r="AM170" s="772">
        <v>3458555</v>
      </c>
      <c r="AN170" s="772">
        <v>0</v>
      </c>
      <c r="AO170" s="772">
        <v>355441</v>
      </c>
      <c r="AP170" s="772">
        <v>0</v>
      </c>
      <c r="AQ170" s="772">
        <v>460408</v>
      </c>
      <c r="AR170" s="772">
        <v>0</v>
      </c>
      <c r="AS170" s="772">
        <v>0</v>
      </c>
      <c r="AT170" s="772">
        <v>85393</v>
      </c>
      <c r="AU170" s="772">
        <v>102317</v>
      </c>
      <c r="AV170" s="772">
        <v>3503951</v>
      </c>
      <c r="AW170" s="772">
        <v>8814922</v>
      </c>
      <c r="AX170" s="772">
        <v>123773</v>
      </c>
      <c r="AY170" s="772">
        <v>156435</v>
      </c>
      <c r="AZ170" s="772">
        <v>45644</v>
      </c>
      <c r="BA170" s="772">
        <v>90451</v>
      </c>
      <c r="BB170" s="772">
        <v>53018</v>
      </c>
      <c r="BC170" s="772">
        <v>484966</v>
      </c>
      <c r="BD170" s="772">
        <v>140536</v>
      </c>
      <c r="BE170" s="772">
        <v>0</v>
      </c>
      <c r="BF170" s="772">
        <v>36976</v>
      </c>
      <c r="BG170" s="772">
        <v>959851</v>
      </c>
      <c r="BH170" s="772">
        <v>0</v>
      </c>
      <c r="BI170" s="772">
        <v>734416</v>
      </c>
      <c r="BJ170" s="772">
        <v>186541</v>
      </c>
      <c r="BK170" s="772">
        <v>0</v>
      </c>
      <c r="BL170" s="772">
        <v>0</v>
      </c>
      <c r="BM170" s="772">
        <v>906411</v>
      </c>
      <c r="BN170" s="772">
        <v>2410354</v>
      </c>
      <c r="BO170" s="772">
        <v>721406</v>
      </c>
      <c r="BP170" s="772">
        <v>572756</v>
      </c>
      <c r="BQ170" s="772">
        <v>0</v>
      </c>
      <c r="BR170" s="772">
        <v>91267</v>
      </c>
      <c r="BS170" s="772">
        <v>699321</v>
      </c>
      <c r="BT170" s="772">
        <v>60193</v>
      </c>
      <c r="BU170" s="772">
        <v>393448</v>
      </c>
      <c r="BV170" s="772">
        <v>136276</v>
      </c>
      <c r="BW170" s="772">
        <v>0</v>
      </c>
      <c r="BX170" s="772">
        <v>446349</v>
      </c>
      <c r="BY170" s="772">
        <v>0</v>
      </c>
      <c r="BZ170" s="772">
        <v>3409644</v>
      </c>
      <c r="CA170" s="772">
        <v>83786</v>
      </c>
      <c r="CB170" s="772">
        <v>0</v>
      </c>
      <c r="CC170" s="772">
        <v>66549</v>
      </c>
      <c r="CD170" s="772">
        <v>0</v>
      </c>
      <c r="CE170" s="772">
        <v>0</v>
      </c>
    </row>
    <row r="171" spans="1:83" ht="15" customHeight="1" x14ac:dyDescent="0.25">
      <c r="A171" s="767">
        <v>521</v>
      </c>
      <c r="B171" s="752">
        <v>521</v>
      </c>
      <c r="C171" s="768" t="s">
        <v>348</v>
      </c>
      <c r="D171" s="635" t="s">
        <v>553</v>
      </c>
      <c r="E171" s="769">
        <v>0</v>
      </c>
      <c r="F171" s="770">
        <v>0</v>
      </c>
      <c r="G171" s="770">
        <v>0</v>
      </c>
      <c r="H171" s="770">
        <v>0</v>
      </c>
      <c r="I171" s="770">
        <v>0</v>
      </c>
      <c r="J171" s="770">
        <v>0</v>
      </c>
      <c r="K171" s="771">
        <v>0</v>
      </c>
      <c r="L171" s="772">
        <v>2339</v>
      </c>
      <c r="M171" s="772">
        <v>0</v>
      </c>
      <c r="N171" s="773">
        <v>0</v>
      </c>
      <c r="O171" s="773">
        <v>0</v>
      </c>
      <c r="P171" s="773">
        <v>0</v>
      </c>
      <c r="Q171" s="773">
        <v>0</v>
      </c>
      <c r="R171" s="773">
        <v>0</v>
      </c>
      <c r="S171" s="773">
        <v>0</v>
      </c>
      <c r="T171" s="773">
        <v>0</v>
      </c>
      <c r="U171" s="773">
        <v>0</v>
      </c>
      <c r="V171" s="773">
        <v>0</v>
      </c>
      <c r="W171" s="773">
        <v>0</v>
      </c>
      <c r="X171" s="773">
        <v>0</v>
      </c>
      <c r="Y171" s="773">
        <v>0</v>
      </c>
      <c r="Z171" s="773">
        <v>0</v>
      </c>
      <c r="AA171" s="773">
        <v>445697</v>
      </c>
      <c r="AB171" s="772">
        <v>0</v>
      </c>
      <c r="AC171" s="772">
        <v>0</v>
      </c>
      <c r="AD171" s="772">
        <v>0</v>
      </c>
      <c r="AE171" s="772">
        <v>0</v>
      </c>
      <c r="AF171" s="772">
        <v>0</v>
      </c>
      <c r="AG171" s="772">
        <v>0</v>
      </c>
      <c r="AH171" s="772">
        <v>0</v>
      </c>
      <c r="AI171" s="772">
        <v>0</v>
      </c>
      <c r="AJ171" s="772">
        <v>0</v>
      </c>
      <c r="AK171" s="772">
        <v>0</v>
      </c>
      <c r="AL171" s="772">
        <v>0</v>
      </c>
      <c r="AM171" s="772">
        <v>0</v>
      </c>
      <c r="AN171" s="772">
        <v>180579</v>
      </c>
      <c r="AO171" s="772">
        <v>265724</v>
      </c>
      <c r="AP171" s="772">
        <v>0</v>
      </c>
      <c r="AQ171" s="772">
        <v>0</v>
      </c>
      <c r="AR171" s="772">
        <v>0</v>
      </c>
      <c r="AS171" s="772">
        <v>0</v>
      </c>
      <c r="AT171" s="772">
        <v>0</v>
      </c>
      <c r="AU171" s="772">
        <v>0</v>
      </c>
      <c r="AV171" s="772">
        <v>14469577</v>
      </c>
      <c r="AW171" s="772">
        <v>0</v>
      </c>
      <c r="AX171" s="772">
        <v>0</v>
      </c>
      <c r="AY171" s="772">
        <v>0</v>
      </c>
      <c r="AZ171" s="772">
        <v>0</v>
      </c>
      <c r="BA171" s="772">
        <v>0</v>
      </c>
      <c r="BB171" s="772">
        <v>0</v>
      </c>
      <c r="BC171" s="772">
        <v>0</v>
      </c>
      <c r="BD171" s="772">
        <v>0</v>
      </c>
      <c r="BE171" s="772">
        <v>0</v>
      </c>
      <c r="BF171" s="772">
        <v>0</v>
      </c>
      <c r="BG171" s="772">
        <v>0</v>
      </c>
      <c r="BH171" s="772">
        <v>0</v>
      </c>
      <c r="BI171" s="772">
        <v>0</v>
      </c>
      <c r="BJ171" s="772">
        <v>0</v>
      </c>
      <c r="BK171" s="772">
        <v>0</v>
      </c>
      <c r="BL171" s="772">
        <v>0</v>
      </c>
      <c r="BM171" s="772">
        <v>0</v>
      </c>
      <c r="BN171" s="772">
        <v>0</v>
      </c>
      <c r="BO171" s="772">
        <v>0</v>
      </c>
      <c r="BP171" s="772">
        <v>1886886</v>
      </c>
      <c r="BQ171" s="772">
        <v>10763901</v>
      </c>
      <c r="BR171" s="772">
        <v>0</v>
      </c>
      <c r="BS171" s="772">
        <v>0</v>
      </c>
      <c r="BT171" s="772">
        <v>0</v>
      </c>
      <c r="BU171" s="772">
        <v>17045</v>
      </c>
      <c r="BV171" s="772">
        <v>0</v>
      </c>
      <c r="BW171" s="772">
        <v>0</v>
      </c>
      <c r="BX171" s="772">
        <v>3681</v>
      </c>
      <c r="BY171" s="772">
        <v>0</v>
      </c>
      <c r="BZ171" s="772">
        <v>0</v>
      </c>
      <c r="CA171" s="772">
        <v>0</v>
      </c>
      <c r="CB171" s="772">
        <v>0</v>
      </c>
      <c r="CC171" s="772">
        <v>0</v>
      </c>
      <c r="CD171" s="772">
        <v>0</v>
      </c>
      <c r="CE171" s="772">
        <v>0</v>
      </c>
    </row>
    <row r="172" spans="1:83" ht="20.25" customHeight="1" x14ac:dyDescent="0.25">
      <c r="A172" s="767">
        <v>522</v>
      </c>
      <c r="B172" s="782">
        <v>522</v>
      </c>
      <c r="C172" s="768" t="s">
        <v>349</v>
      </c>
      <c r="D172" s="635" t="s">
        <v>554</v>
      </c>
      <c r="E172" s="769">
        <v>0</v>
      </c>
      <c r="F172" s="770">
        <v>8204</v>
      </c>
      <c r="G172" s="770">
        <v>0</v>
      </c>
      <c r="H172" s="770">
        <v>25807</v>
      </c>
      <c r="I172" s="770">
        <v>4243</v>
      </c>
      <c r="J172" s="770">
        <v>0</v>
      </c>
      <c r="K172" s="771">
        <v>0</v>
      </c>
      <c r="L172" s="772">
        <v>0</v>
      </c>
      <c r="M172" s="772">
        <v>115161</v>
      </c>
      <c r="N172" s="773">
        <v>0</v>
      </c>
      <c r="O172" s="773">
        <v>0</v>
      </c>
      <c r="P172" s="773">
        <v>0</v>
      </c>
      <c r="Q172" s="773">
        <v>338</v>
      </c>
      <c r="R172" s="773">
        <v>139519</v>
      </c>
      <c r="S172" s="773">
        <v>0</v>
      </c>
      <c r="T172" s="773">
        <v>646</v>
      </c>
      <c r="U172" s="773">
        <v>24291</v>
      </c>
      <c r="V172" s="773">
        <v>11146</v>
      </c>
      <c r="W172" s="773">
        <v>48888</v>
      </c>
      <c r="X172" s="773">
        <v>0</v>
      </c>
      <c r="Y172" s="773">
        <v>23661</v>
      </c>
      <c r="Z172" s="773">
        <v>11926</v>
      </c>
      <c r="AA172" s="773">
        <v>227328</v>
      </c>
      <c r="AB172" s="772">
        <v>0</v>
      </c>
      <c r="AC172" s="772">
        <v>13472</v>
      </c>
      <c r="AD172" s="772">
        <v>0</v>
      </c>
      <c r="AE172" s="772">
        <v>0</v>
      </c>
      <c r="AF172" s="772">
        <v>0</v>
      </c>
      <c r="AG172" s="772">
        <v>522111</v>
      </c>
      <c r="AH172" s="772">
        <v>0</v>
      </c>
      <c r="AI172" s="772">
        <v>2231</v>
      </c>
      <c r="AJ172" s="772">
        <v>18581</v>
      </c>
      <c r="AK172" s="772">
        <v>0</v>
      </c>
      <c r="AL172" s="772">
        <v>0</v>
      </c>
      <c r="AM172" s="772">
        <v>292521</v>
      </c>
      <c r="AN172" s="772">
        <v>0</v>
      </c>
      <c r="AO172" s="772">
        <v>112866</v>
      </c>
      <c r="AP172" s="772">
        <v>0</v>
      </c>
      <c r="AQ172" s="772">
        <v>112953</v>
      </c>
      <c r="AR172" s="772">
        <v>0</v>
      </c>
      <c r="AS172" s="772">
        <v>0</v>
      </c>
      <c r="AT172" s="772">
        <v>2308</v>
      </c>
      <c r="AU172" s="772">
        <v>0</v>
      </c>
      <c r="AV172" s="772">
        <v>3399065</v>
      </c>
      <c r="AW172" s="772">
        <v>1235620</v>
      </c>
      <c r="AX172" s="772">
        <v>17061</v>
      </c>
      <c r="AY172" s="772">
        <v>5215</v>
      </c>
      <c r="AZ172" s="772">
        <v>5855</v>
      </c>
      <c r="BA172" s="772">
        <v>4757</v>
      </c>
      <c r="BB172" s="772">
        <v>2924</v>
      </c>
      <c r="BC172" s="772">
        <v>159088</v>
      </c>
      <c r="BD172" s="772">
        <v>906</v>
      </c>
      <c r="BE172" s="772">
        <v>0</v>
      </c>
      <c r="BF172" s="772">
        <v>3165</v>
      </c>
      <c r="BG172" s="772">
        <v>167875</v>
      </c>
      <c r="BH172" s="772">
        <v>0</v>
      </c>
      <c r="BI172" s="772">
        <v>145154</v>
      </c>
      <c r="BJ172" s="772">
        <v>8334</v>
      </c>
      <c r="BK172" s="772">
        <v>0</v>
      </c>
      <c r="BL172" s="772">
        <v>0</v>
      </c>
      <c r="BM172" s="772">
        <v>329082</v>
      </c>
      <c r="BN172" s="772">
        <v>582721</v>
      </c>
      <c r="BO172" s="772">
        <v>11141</v>
      </c>
      <c r="BP172" s="772">
        <v>950643</v>
      </c>
      <c r="BQ172" s="772">
        <v>418865</v>
      </c>
      <c r="BR172" s="772">
        <v>380</v>
      </c>
      <c r="BS172" s="772">
        <v>90100</v>
      </c>
      <c r="BT172" s="772">
        <v>366</v>
      </c>
      <c r="BU172" s="772">
        <v>582360</v>
      </c>
      <c r="BV172" s="772">
        <v>807</v>
      </c>
      <c r="BW172" s="772">
        <v>0</v>
      </c>
      <c r="BX172" s="772">
        <v>69480</v>
      </c>
      <c r="BY172" s="772">
        <v>0</v>
      </c>
      <c r="BZ172" s="772">
        <v>387203</v>
      </c>
      <c r="CA172" s="772">
        <v>2253</v>
      </c>
      <c r="CB172" s="772">
        <v>0</v>
      </c>
      <c r="CC172" s="772">
        <v>4657</v>
      </c>
      <c r="CD172" s="772">
        <v>0</v>
      </c>
      <c r="CE172" s="772">
        <v>0</v>
      </c>
    </row>
    <row r="173" spans="1:83" ht="15" customHeight="1" x14ac:dyDescent="0.25">
      <c r="A173" s="767">
        <v>523</v>
      </c>
      <c r="B173" s="752">
        <v>523</v>
      </c>
      <c r="C173" s="768" t="s">
        <v>350</v>
      </c>
      <c r="D173" s="635" t="s">
        <v>555</v>
      </c>
      <c r="E173" s="769">
        <v>1704</v>
      </c>
      <c r="F173" s="770">
        <v>12758</v>
      </c>
      <c r="G173" s="770">
        <v>0</v>
      </c>
      <c r="H173" s="770">
        <v>378762</v>
      </c>
      <c r="I173" s="770">
        <v>0</v>
      </c>
      <c r="J173" s="770">
        <v>0</v>
      </c>
      <c r="K173" s="771">
        <v>0</v>
      </c>
      <c r="L173" s="772">
        <v>0</v>
      </c>
      <c r="M173" s="772">
        <v>0</v>
      </c>
      <c r="N173" s="773">
        <v>0</v>
      </c>
      <c r="O173" s="773">
        <v>0</v>
      </c>
      <c r="P173" s="773">
        <v>0</v>
      </c>
      <c r="Q173" s="773">
        <v>0</v>
      </c>
      <c r="R173" s="773">
        <v>0</v>
      </c>
      <c r="S173" s="773">
        <v>0</v>
      </c>
      <c r="T173" s="773">
        <v>0</v>
      </c>
      <c r="U173" s="773">
        <v>83196</v>
      </c>
      <c r="V173" s="773">
        <v>0</v>
      </c>
      <c r="W173" s="773">
        <v>87322</v>
      </c>
      <c r="X173" s="773">
        <v>0</v>
      </c>
      <c r="Y173" s="773">
        <v>0</v>
      </c>
      <c r="Z173" s="773">
        <v>0</v>
      </c>
      <c r="AA173" s="773">
        <v>26850</v>
      </c>
      <c r="AB173" s="772">
        <v>0</v>
      </c>
      <c r="AC173" s="772">
        <v>0</v>
      </c>
      <c r="AD173" s="772">
        <v>0</v>
      </c>
      <c r="AE173" s="772">
        <v>0</v>
      </c>
      <c r="AF173" s="772">
        <v>0</v>
      </c>
      <c r="AG173" s="772">
        <v>37576182</v>
      </c>
      <c r="AH173" s="772">
        <v>0</v>
      </c>
      <c r="AI173" s="772">
        <v>0</v>
      </c>
      <c r="AJ173" s="772">
        <v>29405</v>
      </c>
      <c r="AK173" s="772">
        <v>0</v>
      </c>
      <c r="AL173" s="772">
        <v>0</v>
      </c>
      <c r="AM173" s="772">
        <v>0</v>
      </c>
      <c r="AN173" s="772">
        <v>0</v>
      </c>
      <c r="AO173" s="772">
        <v>7247710</v>
      </c>
      <c r="AP173" s="772">
        <v>0</v>
      </c>
      <c r="AQ173" s="772">
        <v>0</v>
      </c>
      <c r="AR173" s="772">
        <v>0</v>
      </c>
      <c r="AS173" s="772">
        <v>0</v>
      </c>
      <c r="AT173" s="772">
        <v>0</v>
      </c>
      <c r="AU173" s="772">
        <v>362432</v>
      </c>
      <c r="AV173" s="772">
        <v>88692311</v>
      </c>
      <c r="AW173" s="772">
        <v>2196878</v>
      </c>
      <c r="AX173" s="772">
        <v>0</v>
      </c>
      <c r="AY173" s="772">
        <v>0</v>
      </c>
      <c r="AZ173" s="772">
        <v>114076</v>
      </c>
      <c r="BA173" s="772">
        <v>0</v>
      </c>
      <c r="BB173" s="772">
        <v>0</v>
      </c>
      <c r="BC173" s="772">
        <v>73001</v>
      </c>
      <c r="BD173" s="772">
        <v>0</v>
      </c>
      <c r="BE173" s="772">
        <v>0</v>
      </c>
      <c r="BF173" s="772">
        <v>0</v>
      </c>
      <c r="BG173" s="772">
        <v>232321</v>
      </c>
      <c r="BH173" s="772">
        <v>0</v>
      </c>
      <c r="BI173" s="772">
        <v>0</v>
      </c>
      <c r="BJ173" s="772">
        <v>0</v>
      </c>
      <c r="BK173" s="772">
        <v>0</v>
      </c>
      <c r="BL173" s="772">
        <v>0</v>
      </c>
      <c r="BM173" s="772">
        <v>18407575</v>
      </c>
      <c r="BN173" s="772">
        <v>723448</v>
      </c>
      <c r="BO173" s="772">
        <v>1700</v>
      </c>
      <c r="BP173" s="772">
        <v>22025145</v>
      </c>
      <c r="BQ173" s="772">
        <v>45314797</v>
      </c>
      <c r="BR173" s="772">
        <v>857</v>
      </c>
      <c r="BS173" s="772">
        <v>0</v>
      </c>
      <c r="BT173" s="772">
        <v>0</v>
      </c>
      <c r="BU173" s="772">
        <v>9388119</v>
      </c>
      <c r="BV173" s="772">
        <v>0</v>
      </c>
      <c r="BW173" s="772">
        <v>0</v>
      </c>
      <c r="BX173" s="772">
        <v>0</v>
      </c>
      <c r="BY173" s="772">
        <v>0</v>
      </c>
      <c r="BZ173" s="772">
        <v>72415</v>
      </c>
      <c r="CA173" s="772">
        <v>0</v>
      </c>
      <c r="CB173" s="772">
        <v>0</v>
      </c>
      <c r="CC173" s="772">
        <v>117685</v>
      </c>
      <c r="CD173" s="772">
        <v>0</v>
      </c>
      <c r="CE173" s="772">
        <v>0</v>
      </c>
    </row>
    <row r="174" spans="1:83" ht="15" customHeight="1" x14ac:dyDescent="0.25">
      <c r="A174" s="767">
        <v>524</v>
      </c>
      <c r="B174" s="752">
        <v>524</v>
      </c>
      <c r="C174" s="768" t="s">
        <v>351</v>
      </c>
      <c r="D174" s="635" t="s">
        <v>556</v>
      </c>
      <c r="E174" s="769">
        <v>2119617</v>
      </c>
      <c r="F174" s="770">
        <v>5896642</v>
      </c>
      <c r="G174" s="770">
        <v>0</v>
      </c>
      <c r="H174" s="770">
        <v>5246001</v>
      </c>
      <c r="I174" s="770">
        <v>2920510</v>
      </c>
      <c r="J174" s="770">
        <v>708510</v>
      </c>
      <c r="K174" s="771">
        <v>0</v>
      </c>
      <c r="L174" s="772">
        <v>1413141</v>
      </c>
      <c r="M174" s="772">
        <v>15765968</v>
      </c>
      <c r="N174" s="773">
        <v>0</v>
      </c>
      <c r="O174" s="773">
        <v>0</v>
      </c>
      <c r="P174" s="773">
        <v>0</v>
      </c>
      <c r="Q174" s="773">
        <v>0</v>
      </c>
      <c r="R174" s="773">
        <v>24389246</v>
      </c>
      <c r="S174" s="773">
        <v>0</v>
      </c>
      <c r="T174" s="773">
        <v>2769651</v>
      </c>
      <c r="U174" s="773">
        <v>2243754</v>
      </c>
      <c r="V174" s="773">
        <v>1018499</v>
      </c>
      <c r="W174" s="773">
        <v>10040633</v>
      </c>
      <c r="X174" s="773">
        <v>0</v>
      </c>
      <c r="Y174" s="773">
        <v>2870429</v>
      </c>
      <c r="Z174" s="773">
        <v>4839920</v>
      </c>
      <c r="AA174" s="773">
        <v>29797239</v>
      </c>
      <c r="AB174" s="772">
        <v>1025406</v>
      </c>
      <c r="AC174" s="772">
        <v>1056144</v>
      </c>
      <c r="AD174" s="772">
        <v>0</v>
      </c>
      <c r="AE174" s="772">
        <v>0</v>
      </c>
      <c r="AF174" s="772">
        <v>0</v>
      </c>
      <c r="AG174" s="772">
        <v>73892733</v>
      </c>
      <c r="AH174" s="772">
        <v>0</v>
      </c>
      <c r="AI174" s="772">
        <v>1426760</v>
      </c>
      <c r="AJ174" s="772">
        <v>1950000</v>
      </c>
      <c r="AK174" s="772">
        <v>1274720</v>
      </c>
      <c r="AL174" s="772">
        <v>134378</v>
      </c>
      <c r="AM174" s="772">
        <v>71925206</v>
      </c>
      <c r="AN174" s="772">
        <v>0</v>
      </c>
      <c r="AO174" s="772">
        <v>7705106</v>
      </c>
      <c r="AP174" s="772">
        <v>0</v>
      </c>
      <c r="AQ174" s="772">
        <v>12905045</v>
      </c>
      <c r="AR174" s="772">
        <v>0</v>
      </c>
      <c r="AS174" s="772">
        <v>0</v>
      </c>
      <c r="AT174" s="772">
        <v>1597082</v>
      </c>
      <c r="AU174" s="772">
        <v>1085392</v>
      </c>
      <c r="AV174" s="772">
        <v>28494250</v>
      </c>
      <c r="AW174" s="772">
        <v>146502173</v>
      </c>
      <c r="AX174" s="772">
        <v>3266708</v>
      </c>
      <c r="AY174" s="772">
        <v>1788310</v>
      </c>
      <c r="AZ174" s="772">
        <v>1690995</v>
      </c>
      <c r="BA174" s="772">
        <v>1115567</v>
      </c>
      <c r="BB174" s="772">
        <v>1735305</v>
      </c>
      <c r="BC174" s="772">
        <v>13281512</v>
      </c>
      <c r="BD174" s="772">
        <v>983755</v>
      </c>
      <c r="BE174" s="772">
        <v>0</v>
      </c>
      <c r="BF174" s="772">
        <v>872743</v>
      </c>
      <c r="BG174" s="772">
        <v>10422124</v>
      </c>
      <c r="BH174" s="772">
        <v>0</v>
      </c>
      <c r="BI174" s="772">
        <v>20615492</v>
      </c>
      <c r="BJ174" s="772">
        <v>4671702</v>
      </c>
      <c r="BK174" s="772">
        <v>0</v>
      </c>
      <c r="BL174" s="772">
        <v>0</v>
      </c>
      <c r="BM174" s="772">
        <v>16521574</v>
      </c>
      <c r="BN174" s="772">
        <v>37621333</v>
      </c>
      <c r="BO174" s="772">
        <v>9844549</v>
      </c>
      <c r="BP174" s="772">
        <v>17577962</v>
      </c>
      <c r="BQ174" s="772">
        <v>0</v>
      </c>
      <c r="BR174" s="772">
        <v>787245</v>
      </c>
      <c r="BS174" s="772">
        <v>10279199</v>
      </c>
      <c r="BT174" s="772">
        <v>0</v>
      </c>
      <c r="BU174" s="772">
        <v>9248446</v>
      </c>
      <c r="BV174" s="772">
        <v>2131243</v>
      </c>
      <c r="BW174" s="772">
        <v>0</v>
      </c>
      <c r="BX174" s="772">
        <v>6342196</v>
      </c>
      <c r="BY174" s="772">
        <v>0</v>
      </c>
      <c r="BZ174" s="772">
        <v>32376672</v>
      </c>
      <c r="CA174" s="772">
        <v>1259670</v>
      </c>
      <c r="CB174" s="772">
        <v>0</v>
      </c>
      <c r="CC174" s="772">
        <v>1135836</v>
      </c>
      <c r="CD174" s="772">
        <v>0</v>
      </c>
      <c r="CE174" s="772">
        <v>0</v>
      </c>
    </row>
    <row r="175" spans="1:83" x14ac:dyDescent="0.25">
      <c r="A175" s="767">
        <v>525</v>
      </c>
      <c r="B175" s="782">
        <v>525</v>
      </c>
      <c r="C175" s="768" t="s">
        <v>352</v>
      </c>
      <c r="D175" s="635" t="s">
        <v>557</v>
      </c>
      <c r="E175" s="769">
        <v>0</v>
      </c>
      <c r="F175" s="770">
        <v>0</v>
      </c>
      <c r="G175" s="770">
        <v>0</v>
      </c>
      <c r="H175" s="770">
        <v>0</v>
      </c>
      <c r="I175" s="770">
        <v>0</v>
      </c>
      <c r="J175" s="770">
        <v>0</v>
      </c>
      <c r="K175" s="771">
        <v>0</v>
      </c>
      <c r="L175" s="772">
        <v>80929</v>
      </c>
      <c r="M175" s="772">
        <v>0</v>
      </c>
      <c r="N175" s="773">
        <v>0</v>
      </c>
      <c r="O175" s="773">
        <v>0</v>
      </c>
      <c r="P175" s="773">
        <v>0</v>
      </c>
      <c r="Q175" s="773">
        <v>0</v>
      </c>
      <c r="R175" s="773">
        <v>0</v>
      </c>
      <c r="S175" s="773">
        <v>0</v>
      </c>
      <c r="T175" s="773">
        <v>0</v>
      </c>
      <c r="U175" s="773">
        <v>0</v>
      </c>
      <c r="V175" s="773">
        <v>0</v>
      </c>
      <c r="W175" s="773">
        <v>0</v>
      </c>
      <c r="X175" s="773">
        <v>0</v>
      </c>
      <c r="Y175" s="773">
        <v>0</v>
      </c>
      <c r="Z175" s="773">
        <v>0</v>
      </c>
      <c r="AA175" s="773">
        <v>8174122</v>
      </c>
      <c r="AB175" s="772">
        <v>0</v>
      </c>
      <c r="AC175" s="772">
        <v>0</v>
      </c>
      <c r="AD175" s="772">
        <v>0</v>
      </c>
      <c r="AE175" s="772">
        <v>0</v>
      </c>
      <c r="AF175" s="772">
        <v>0</v>
      </c>
      <c r="AG175" s="772">
        <v>0</v>
      </c>
      <c r="AH175" s="772">
        <v>0</v>
      </c>
      <c r="AI175" s="772">
        <v>0</v>
      </c>
      <c r="AJ175" s="772">
        <v>0</v>
      </c>
      <c r="AK175" s="772">
        <v>0</v>
      </c>
      <c r="AL175" s="772">
        <v>0</v>
      </c>
      <c r="AM175" s="772">
        <v>0</v>
      </c>
      <c r="AN175" s="772">
        <v>370529</v>
      </c>
      <c r="AO175" s="772">
        <v>4179850</v>
      </c>
      <c r="AP175" s="772">
        <v>0</v>
      </c>
      <c r="AQ175" s="772">
        <v>0</v>
      </c>
      <c r="AR175" s="772">
        <v>0</v>
      </c>
      <c r="AS175" s="772">
        <v>0</v>
      </c>
      <c r="AT175" s="772">
        <v>0</v>
      </c>
      <c r="AU175" s="772">
        <v>0</v>
      </c>
      <c r="AV175" s="772">
        <v>265900239</v>
      </c>
      <c r="AW175" s="772">
        <v>0</v>
      </c>
      <c r="AX175" s="772">
        <v>0</v>
      </c>
      <c r="AY175" s="772">
        <v>0</v>
      </c>
      <c r="AZ175" s="772">
        <v>0</v>
      </c>
      <c r="BA175" s="772">
        <v>0</v>
      </c>
      <c r="BB175" s="772">
        <v>0</v>
      </c>
      <c r="BC175" s="772">
        <v>0</v>
      </c>
      <c r="BD175" s="772">
        <v>0</v>
      </c>
      <c r="BE175" s="772">
        <v>0</v>
      </c>
      <c r="BF175" s="772">
        <v>0</v>
      </c>
      <c r="BG175" s="772">
        <v>0</v>
      </c>
      <c r="BH175" s="772">
        <v>0</v>
      </c>
      <c r="BI175" s="772">
        <v>0</v>
      </c>
      <c r="BJ175" s="772">
        <v>0</v>
      </c>
      <c r="BK175" s="772">
        <v>0</v>
      </c>
      <c r="BL175" s="772">
        <v>0</v>
      </c>
      <c r="BM175" s="772">
        <v>0</v>
      </c>
      <c r="BN175" s="772">
        <v>0</v>
      </c>
      <c r="BO175" s="772">
        <v>0</v>
      </c>
      <c r="BP175" s="772">
        <v>37284028</v>
      </c>
      <c r="BQ175" s="772">
        <v>171081228</v>
      </c>
      <c r="BR175" s="772">
        <v>0</v>
      </c>
      <c r="BS175" s="772">
        <v>0</v>
      </c>
      <c r="BT175" s="772">
        <v>0</v>
      </c>
      <c r="BU175" s="772">
        <v>101595</v>
      </c>
      <c r="BV175" s="772">
        <v>0</v>
      </c>
      <c r="BW175" s="772">
        <v>0</v>
      </c>
      <c r="BX175" s="772">
        <v>47559</v>
      </c>
      <c r="BY175" s="772">
        <v>0</v>
      </c>
      <c r="BZ175" s="772">
        <v>6293166</v>
      </c>
      <c r="CA175" s="772">
        <v>0</v>
      </c>
      <c r="CB175" s="772">
        <v>0</v>
      </c>
      <c r="CC175" s="772">
        <v>0</v>
      </c>
      <c r="CD175" s="772">
        <v>0</v>
      </c>
      <c r="CE175" s="772">
        <v>0</v>
      </c>
    </row>
    <row r="176" spans="1:83" x14ac:dyDescent="0.25">
      <c r="A176" s="767">
        <v>526</v>
      </c>
      <c r="B176" s="782">
        <v>526</v>
      </c>
      <c r="C176" s="768" t="s">
        <v>353</v>
      </c>
      <c r="D176" s="635" t="s">
        <v>558</v>
      </c>
      <c r="E176" s="769">
        <v>188865</v>
      </c>
      <c r="F176" s="770">
        <v>626426</v>
      </c>
      <c r="G176" s="770">
        <v>0</v>
      </c>
      <c r="H176" s="770">
        <v>492488</v>
      </c>
      <c r="I176" s="770">
        <v>28321</v>
      </c>
      <c r="J176" s="770">
        <v>4657</v>
      </c>
      <c r="K176" s="771">
        <v>0</v>
      </c>
      <c r="L176" s="772">
        <v>0</v>
      </c>
      <c r="M176" s="772">
        <v>1189297</v>
      </c>
      <c r="N176" s="773">
        <v>0</v>
      </c>
      <c r="O176" s="773">
        <v>0</v>
      </c>
      <c r="P176" s="773">
        <v>0</v>
      </c>
      <c r="Q176" s="773">
        <v>338</v>
      </c>
      <c r="R176" s="773">
        <v>3528451</v>
      </c>
      <c r="S176" s="773">
        <v>0</v>
      </c>
      <c r="T176" s="773">
        <v>109817</v>
      </c>
      <c r="U176" s="773">
        <v>356170</v>
      </c>
      <c r="V176" s="773">
        <v>102114</v>
      </c>
      <c r="W176" s="773">
        <v>1213578</v>
      </c>
      <c r="X176" s="773">
        <v>0</v>
      </c>
      <c r="Y176" s="773">
        <v>236872</v>
      </c>
      <c r="Z176" s="773">
        <v>226706</v>
      </c>
      <c r="AA176" s="773">
        <v>1430624</v>
      </c>
      <c r="AB176" s="772">
        <v>0</v>
      </c>
      <c r="AC176" s="772">
        <v>253590</v>
      </c>
      <c r="AD176" s="772">
        <v>0</v>
      </c>
      <c r="AE176" s="772">
        <v>0</v>
      </c>
      <c r="AF176" s="772">
        <v>0</v>
      </c>
      <c r="AG176" s="772">
        <v>12455961</v>
      </c>
      <c r="AH176" s="772">
        <v>0</v>
      </c>
      <c r="AI176" s="772">
        <v>70157</v>
      </c>
      <c r="AJ176" s="772">
        <v>190018</v>
      </c>
      <c r="AK176" s="772">
        <v>0</v>
      </c>
      <c r="AL176" s="772">
        <v>3358</v>
      </c>
      <c r="AM176" s="772">
        <v>3668605</v>
      </c>
      <c r="AN176" s="772">
        <v>0</v>
      </c>
      <c r="AO176" s="772">
        <v>1376434</v>
      </c>
      <c r="AP176" s="772">
        <v>0</v>
      </c>
      <c r="AQ176" s="772">
        <v>917423</v>
      </c>
      <c r="AR176" s="772">
        <v>0</v>
      </c>
      <c r="AS176" s="772">
        <v>0</v>
      </c>
      <c r="AT176" s="772">
        <v>192626</v>
      </c>
      <c r="AU176" s="772">
        <v>15297</v>
      </c>
      <c r="AV176" s="772">
        <v>33837481</v>
      </c>
      <c r="AW176" s="772">
        <v>14810019</v>
      </c>
      <c r="AX176" s="772">
        <v>126212</v>
      </c>
      <c r="AY176" s="772">
        <v>159794</v>
      </c>
      <c r="AZ176" s="772">
        <v>166248</v>
      </c>
      <c r="BA176" s="772">
        <v>123455</v>
      </c>
      <c r="BB176" s="772">
        <v>78930</v>
      </c>
      <c r="BC176" s="772">
        <v>1250810</v>
      </c>
      <c r="BD176" s="772">
        <v>2716</v>
      </c>
      <c r="BE176" s="772">
        <v>0</v>
      </c>
      <c r="BF176" s="772">
        <v>43648</v>
      </c>
      <c r="BG176" s="772">
        <v>966107</v>
      </c>
      <c r="BH176" s="772">
        <v>0</v>
      </c>
      <c r="BI176" s="772">
        <v>1446401</v>
      </c>
      <c r="BJ176" s="772">
        <v>233433</v>
      </c>
      <c r="BK176" s="772">
        <v>0</v>
      </c>
      <c r="BL176" s="772">
        <v>0</v>
      </c>
      <c r="BM176" s="772">
        <v>3729763</v>
      </c>
      <c r="BN176" s="772">
        <v>16365086</v>
      </c>
      <c r="BO176" s="772">
        <v>502544</v>
      </c>
      <c r="BP176" s="772">
        <v>4913231</v>
      </c>
      <c r="BQ176" s="772">
        <v>9079759</v>
      </c>
      <c r="BR176" s="772">
        <v>57665</v>
      </c>
      <c r="BS176" s="772">
        <v>797697</v>
      </c>
      <c r="BT176" s="772">
        <v>0</v>
      </c>
      <c r="BU176" s="772">
        <v>2297004</v>
      </c>
      <c r="BV176" s="772">
        <v>142329</v>
      </c>
      <c r="BW176" s="772">
        <v>0</v>
      </c>
      <c r="BX176" s="772">
        <v>525823</v>
      </c>
      <c r="BY176" s="772">
        <v>0</v>
      </c>
      <c r="BZ176" s="772">
        <v>0</v>
      </c>
      <c r="CA176" s="772">
        <v>46172</v>
      </c>
      <c r="CB176" s="772">
        <v>0</v>
      </c>
      <c r="CC176" s="772">
        <v>11433</v>
      </c>
      <c r="CD176" s="772">
        <v>0</v>
      </c>
      <c r="CE176" s="772">
        <v>0</v>
      </c>
    </row>
    <row r="177" spans="1:83" ht="30" x14ac:dyDescent="0.25">
      <c r="A177" s="767">
        <v>527</v>
      </c>
      <c r="B177" s="782">
        <v>527</v>
      </c>
      <c r="C177" s="768" t="s">
        <v>354</v>
      </c>
      <c r="D177" s="635" t="s">
        <v>559</v>
      </c>
      <c r="E177" s="769">
        <v>0</v>
      </c>
      <c r="F177" s="770">
        <v>0</v>
      </c>
      <c r="G177" s="770">
        <v>0</v>
      </c>
      <c r="H177" s="770">
        <v>0</v>
      </c>
      <c r="I177" s="770">
        <v>0</v>
      </c>
      <c r="J177" s="770">
        <v>0</v>
      </c>
      <c r="K177" s="771">
        <v>0</v>
      </c>
      <c r="L177" s="772">
        <v>0</v>
      </c>
      <c r="M177" s="772">
        <v>58900</v>
      </c>
      <c r="N177" s="773">
        <v>0</v>
      </c>
      <c r="O177" s="773">
        <v>0</v>
      </c>
      <c r="P177" s="773">
        <v>0</v>
      </c>
      <c r="Q177" s="773">
        <v>0</v>
      </c>
      <c r="R177" s="773">
        <v>163715</v>
      </c>
      <c r="S177" s="773">
        <v>0</v>
      </c>
      <c r="T177" s="773">
        <v>0</v>
      </c>
      <c r="U177" s="773">
        <v>0</v>
      </c>
      <c r="V177" s="773">
        <v>0</v>
      </c>
      <c r="W177" s="773">
        <v>0</v>
      </c>
      <c r="X177" s="773">
        <v>0</v>
      </c>
      <c r="Y177" s="773">
        <v>0</v>
      </c>
      <c r="Z177" s="773">
        <v>137268</v>
      </c>
      <c r="AA177" s="773">
        <v>0</v>
      </c>
      <c r="AB177" s="772">
        <v>0</v>
      </c>
      <c r="AC177" s="772">
        <v>0</v>
      </c>
      <c r="AD177" s="772">
        <v>0</v>
      </c>
      <c r="AE177" s="772">
        <v>0</v>
      </c>
      <c r="AF177" s="772">
        <v>0</v>
      </c>
      <c r="AG177" s="772">
        <v>8550072</v>
      </c>
      <c r="AH177" s="772">
        <v>0</v>
      </c>
      <c r="AI177" s="772">
        <v>0</v>
      </c>
      <c r="AJ177" s="772">
        <v>0</v>
      </c>
      <c r="AK177" s="772">
        <v>0</v>
      </c>
      <c r="AL177" s="772">
        <v>0</v>
      </c>
      <c r="AM177" s="772">
        <v>0</v>
      </c>
      <c r="AN177" s="772">
        <v>0</v>
      </c>
      <c r="AO177" s="772">
        <v>0</v>
      </c>
      <c r="AP177" s="772">
        <v>0</v>
      </c>
      <c r="AQ177" s="772">
        <v>47400</v>
      </c>
      <c r="AR177" s="772">
        <v>0</v>
      </c>
      <c r="AS177" s="772">
        <v>0</v>
      </c>
      <c r="AT177" s="772">
        <v>0</v>
      </c>
      <c r="AU177" s="772">
        <v>0</v>
      </c>
      <c r="AV177" s="772">
        <v>0</v>
      </c>
      <c r="AW177" s="772">
        <v>15366890</v>
      </c>
      <c r="AX177" s="772">
        <v>0</v>
      </c>
      <c r="AY177" s="772">
        <v>0</v>
      </c>
      <c r="AZ177" s="772">
        <v>0</v>
      </c>
      <c r="BA177" s="772">
        <v>0</v>
      </c>
      <c r="BB177" s="772">
        <v>0</v>
      </c>
      <c r="BC177" s="772">
        <v>0</v>
      </c>
      <c r="BD177" s="772">
        <v>0</v>
      </c>
      <c r="BE177" s="772">
        <v>0</v>
      </c>
      <c r="BF177" s="772">
        <v>0</v>
      </c>
      <c r="BG177" s="772">
        <v>0</v>
      </c>
      <c r="BH177" s="772">
        <v>0</v>
      </c>
      <c r="BI177" s="772">
        <v>0</v>
      </c>
      <c r="BJ177" s="772">
        <v>0</v>
      </c>
      <c r="BK177" s="772">
        <v>0</v>
      </c>
      <c r="BL177" s="772">
        <v>0</v>
      </c>
      <c r="BM177" s="772">
        <v>0</v>
      </c>
      <c r="BN177" s="772">
        <v>0</v>
      </c>
      <c r="BO177" s="772">
        <v>0</v>
      </c>
      <c r="BP177" s="772">
        <v>0</v>
      </c>
      <c r="BQ177" s="772">
        <v>7244203</v>
      </c>
      <c r="BR177" s="772">
        <v>0</v>
      </c>
      <c r="BS177" s="772">
        <v>0</v>
      </c>
      <c r="BT177" s="772">
        <v>0</v>
      </c>
      <c r="BU177" s="772">
        <v>0</v>
      </c>
      <c r="BV177" s="772">
        <v>0</v>
      </c>
      <c r="BW177" s="772">
        <v>0</v>
      </c>
      <c r="BX177" s="772">
        <v>0</v>
      </c>
      <c r="BY177" s="772">
        <v>0</v>
      </c>
      <c r="BZ177" s="772">
        <v>0</v>
      </c>
      <c r="CA177" s="772">
        <v>0</v>
      </c>
      <c r="CB177" s="772">
        <v>0</v>
      </c>
      <c r="CC177" s="772">
        <v>0</v>
      </c>
      <c r="CD177" s="772">
        <v>0</v>
      </c>
      <c r="CE177" s="772">
        <v>413771</v>
      </c>
    </row>
    <row r="178" spans="1:83" x14ac:dyDescent="0.25">
      <c r="A178" s="767">
        <v>528</v>
      </c>
      <c r="B178" s="782">
        <v>528</v>
      </c>
      <c r="C178" s="768" t="s">
        <v>336</v>
      </c>
      <c r="D178" s="635" t="s">
        <v>560</v>
      </c>
      <c r="E178" s="769">
        <v>246330</v>
      </c>
      <c r="F178" s="770">
        <v>720236</v>
      </c>
      <c r="G178" s="770">
        <v>76805</v>
      </c>
      <c r="H178" s="770">
        <v>260653</v>
      </c>
      <c r="I178" s="770">
        <v>233524</v>
      </c>
      <c r="J178" s="770">
        <v>22238</v>
      </c>
      <c r="K178" s="771">
        <v>17892</v>
      </c>
      <c r="L178" s="772">
        <v>18509</v>
      </c>
      <c r="M178" s="772">
        <v>1492960</v>
      </c>
      <c r="N178" s="773">
        <v>62192159</v>
      </c>
      <c r="O178" s="773">
        <v>938991</v>
      </c>
      <c r="P178" s="773">
        <v>3715513</v>
      </c>
      <c r="Q178" s="773">
        <v>7632</v>
      </c>
      <c r="R178" s="773">
        <v>3702362</v>
      </c>
      <c r="S178" s="773">
        <v>39344</v>
      </c>
      <c r="T178" s="773">
        <v>131855</v>
      </c>
      <c r="U178" s="773">
        <v>744423</v>
      </c>
      <c r="V178" s="773">
        <v>587712</v>
      </c>
      <c r="W178" s="773">
        <v>1846577</v>
      </c>
      <c r="X178" s="773">
        <v>682231</v>
      </c>
      <c r="Y178" s="773">
        <v>162866</v>
      </c>
      <c r="Z178" s="773">
        <v>294940</v>
      </c>
      <c r="AA178" s="773">
        <v>12584282</v>
      </c>
      <c r="AB178" s="772">
        <v>0</v>
      </c>
      <c r="AC178" s="772">
        <v>179288</v>
      </c>
      <c r="AD178" s="772">
        <v>16563289</v>
      </c>
      <c r="AE178" s="772">
        <v>152400</v>
      </c>
      <c r="AF178" s="772">
        <v>195121</v>
      </c>
      <c r="AG178" s="772">
        <v>27540495</v>
      </c>
      <c r="AH178" s="772">
        <v>55820</v>
      </c>
      <c r="AI178" s="772">
        <v>96922</v>
      </c>
      <c r="AJ178" s="772">
        <v>2815122</v>
      </c>
      <c r="AK178" s="772">
        <v>279780</v>
      </c>
      <c r="AL178" s="772">
        <v>17140</v>
      </c>
      <c r="AM178" s="772">
        <v>14082237</v>
      </c>
      <c r="AN178" s="772">
        <v>53309</v>
      </c>
      <c r="AO178" s="772">
        <v>4765645</v>
      </c>
      <c r="AP178" s="772">
        <v>0</v>
      </c>
      <c r="AQ178" s="772">
        <v>1715510</v>
      </c>
      <c r="AR178" s="772">
        <v>768672</v>
      </c>
      <c r="AS178" s="772">
        <v>27711</v>
      </c>
      <c r="AT178" s="772">
        <v>205430</v>
      </c>
      <c r="AU178" s="772">
        <v>47990</v>
      </c>
      <c r="AV178" s="772">
        <v>160223146</v>
      </c>
      <c r="AW178" s="772">
        <v>29627617</v>
      </c>
      <c r="AX178" s="772">
        <v>479731</v>
      </c>
      <c r="AY178" s="772">
        <v>68102</v>
      </c>
      <c r="AZ178" s="772">
        <v>117935</v>
      </c>
      <c r="BA178" s="772">
        <v>66229</v>
      </c>
      <c r="BB178" s="772">
        <v>57881</v>
      </c>
      <c r="BC178" s="772">
        <v>1755486</v>
      </c>
      <c r="BD178" s="772">
        <v>28977</v>
      </c>
      <c r="BE178" s="772">
        <v>21357</v>
      </c>
      <c r="BF178" s="772">
        <v>19411</v>
      </c>
      <c r="BG178" s="772">
        <v>5633660</v>
      </c>
      <c r="BH178" s="772">
        <v>4598</v>
      </c>
      <c r="BI178" s="772">
        <v>4556207</v>
      </c>
      <c r="BJ178" s="772">
        <v>626315</v>
      </c>
      <c r="BK178" s="772">
        <v>93626</v>
      </c>
      <c r="BL178" s="772">
        <v>0</v>
      </c>
      <c r="BM178" s="772">
        <v>5735379</v>
      </c>
      <c r="BN178" s="772">
        <v>7628458</v>
      </c>
      <c r="BO178" s="772">
        <v>527538</v>
      </c>
      <c r="BP178" s="772">
        <v>24824775</v>
      </c>
      <c r="BQ178" s="772">
        <v>56965473</v>
      </c>
      <c r="BR178" s="772">
        <v>100995</v>
      </c>
      <c r="BS178" s="772">
        <v>2863132</v>
      </c>
      <c r="BT178" s="772">
        <v>218110</v>
      </c>
      <c r="BU178" s="772">
        <v>6091635</v>
      </c>
      <c r="BV178" s="772">
        <v>47692</v>
      </c>
      <c r="BW178" s="772">
        <v>34706</v>
      </c>
      <c r="BX178" s="772">
        <v>2663709</v>
      </c>
      <c r="BY178" s="772">
        <v>1172123</v>
      </c>
      <c r="BZ178" s="772">
        <v>17556445</v>
      </c>
      <c r="CA178" s="772">
        <v>56479</v>
      </c>
      <c r="CB178" s="772">
        <v>4679895</v>
      </c>
      <c r="CC178" s="772">
        <v>213467</v>
      </c>
      <c r="CD178" s="772">
        <v>1124948</v>
      </c>
      <c r="CE178" s="772">
        <v>19152968</v>
      </c>
    </row>
    <row r="179" spans="1:83" x14ac:dyDescent="0.25">
      <c r="A179" s="767">
        <v>529</v>
      </c>
      <c r="B179" s="782">
        <v>529</v>
      </c>
      <c r="C179" s="768" t="s">
        <v>337</v>
      </c>
      <c r="D179" s="635" t="s">
        <v>561</v>
      </c>
      <c r="E179" s="769">
        <v>28621</v>
      </c>
      <c r="F179" s="770">
        <v>101970</v>
      </c>
      <c r="G179" s="770">
        <v>9311</v>
      </c>
      <c r="H179" s="770">
        <v>25485</v>
      </c>
      <c r="I179" s="770">
        <v>30246</v>
      </c>
      <c r="J179" s="770">
        <v>3105</v>
      </c>
      <c r="K179" s="771">
        <v>1959</v>
      </c>
      <c r="L179" s="772">
        <v>2483</v>
      </c>
      <c r="M179" s="772">
        <v>166895</v>
      </c>
      <c r="N179" s="773">
        <v>6724256</v>
      </c>
      <c r="O179" s="773">
        <v>56224</v>
      </c>
      <c r="P179" s="773">
        <v>262093</v>
      </c>
      <c r="Q179" s="773">
        <v>1282</v>
      </c>
      <c r="R179" s="773">
        <v>140090</v>
      </c>
      <c r="S179" s="773">
        <v>3570</v>
      </c>
      <c r="T179" s="773">
        <v>13119</v>
      </c>
      <c r="U179" s="773">
        <v>64123</v>
      </c>
      <c r="V179" s="773">
        <v>51178</v>
      </c>
      <c r="W179" s="773">
        <v>123813</v>
      </c>
      <c r="X179" s="773">
        <v>85871</v>
      </c>
      <c r="Y179" s="773">
        <v>23883</v>
      </c>
      <c r="Z179" s="773">
        <v>47137</v>
      </c>
      <c r="AA179" s="773">
        <v>1196943</v>
      </c>
      <c r="AB179" s="772">
        <v>0</v>
      </c>
      <c r="AC179" s="772">
        <v>23572</v>
      </c>
      <c r="AD179" s="772">
        <v>1751012</v>
      </c>
      <c r="AE179" s="772">
        <v>32317</v>
      </c>
      <c r="AF179" s="772">
        <v>31209</v>
      </c>
      <c r="AG179" s="772">
        <v>2449860</v>
      </c>
      <c r="AH179" s="772">
        <v>6764</v>
      </c>
      <c r="AI179" s="772">
        <v>13572</v>
      </c>
      <c r="AJ179" s="772">
        <v>339607</v>
      </c>
      <c r="AK179" s="772">
        <v>46861</v>
      </c>
      <c r="AL179" s="772">
        <v>3258</v>
      </c>
      <c r="AM179" s="772">
        <v>1459592</v>
      </c>
      <c r="AN179" s="772">
        <v>5623</v>
      </c>
      <c r="AO179" s="772">
        <v>538647</v>
      </c>
      <c r="AP179" s="772">
        <v>0</v>
      </c>
      <c r="AQ179" s="772">
        <v>171417</v>
      </c>
      <c r="AR179" s="772">
        <v>110567</v>
      </c>
      <c r="AS179" s="772">
        <v>2813</v>
      </c>
      <c r="AT179" s="772">
        <v>52360</v>
      </c>
      <c r="AU179" s="772">
        <v>8688</v>
      </c>
      <c r="AV179" s="772">
        <v>19832442</v>
      </c>
      <c r="AW179" s="772">
        <v>4522746</v>
      </c>
      <c r="AX179" s="772">
        <v>88581</v>
      </c>
      <c r="AY179" s="772">
        <v>12657</v>
      </c>
      <c r="AZ179" s="772">
        <v>17813</v>
      </c>
      <c r="BA179" s="772">
        <v>11261</v>
      </c>
      <c r="BB179" s="772">
        <v>11987</v>
      </c>
      <c r="BC179" s="772">
        <v>273839</v>
      </c>
      <c r="BD179" s="772">
        <v>3596</v>
      </c>
      <c r="BE179" s="772">
        <v>2993</v>
      </c>
      <c r="BF179" s="772">
        <v>2584</v>
      </c>
      <c r="BG179" s="772">
        <v>571854</v>
      </c>
      <c r="BH179" s="772">
        <v>527</v>
      </c>
      <c r="BI179" s="772">
        <v>543945</v>
      </c>
      <c r="BJ179" s="772">
        <v>75581</v>
      </c>
      <c r="BK179" s="772">
        <v>4902</v>
      </c>
      <c r="BL179" s="772">
        <v>0</v>
      </c>
      <c r="BM179" s="772">
        <v>596845</v>
      </c>
      <c r="BN179" s="772">
        <v>630463</v>
      </c>
      <c r="BO179" s="772">
        <v>58164</v>
      </c>
      <c r="BP179" s="772">
        <v>2298181</v>
      </c>
      <c r="BQ179" s="772">
        <v>6638541</v>
      </c>
      <c r="BR179" s="772">
        <v>14179</v>
      </c>
      <c r="BS179" s="772">
        <v>22398</v>
      </c>
      <c r="BT179" s="772">
        <v>19485</v>
      </c>
      <c r="BU179" s="772">
        <v>585052</v>
      </c>
      <c r="BV179" s="772">
        <v>11871</v>
      </c>
      <c r="BW179" s="772">
        <v>7481</v>
      </c>
      <c r="BX179" s="772">
        <v>23302</v>
      </c>
      <c r="BY179" s="772">
        <v>97966</v>
      </c>
      <c r="BZ179" s="772">
        <v>1875865</v>
      </c>
      <c r="CA179" s="772">
        <v>8925</v>
      </c>
      <c r="CB179" s="772">
        <v>530046</v>
      </c>
      <c r="CC179" s="772">
        <v>30174</v>
      </c>
      <c r="CD179" s="772">
        <v>125235</v>
      </c>
      <c r="CE179" s="772">
        <v>1879294</v>
      </c>
    </row>
    <row r="180" spans="1:83" ht="30" x14ac:dyDescent="0.25">
      <c r="A180" s="767">
        <v>530</v>
      </c>
      <c r="B180" s="782">
        <v>530</v>
      </c>
      <c r="C180" s="768" t="s">
        <v>338</v>
      </c>
      <c r="D180" s="635" t="s">
        <v>562</v>
      </c>
      <c r="E180" s="769">
        <v>13826</v>
      </c>
      <c r="F180" s="770">
        <v>57914</v>
      </c>
      <c r="G180" s="770">
        <v>193</v>
      </c>
      <c r="H180" s="770">
        <v>3536</v>
      </c>
      <c r="I180" s="770">
        <v>4890</v>
      </c>
      <c r="J180" s="770">
        <v>645</v>
      </c>
      <c r="K180" s="771">
        <v>452</v>
      </c>
      <c r="L180" s="772">
        <v>877</v>
      </c>
      <c r="M180" s="772">
        <v>85082</v>
      </c>
      <c r="N180" s="773">
        <v>457811</v>
      </c>
      <c r="O180" s="773">
        <v>0</v>
      </c>
      <c r="P180" s="773">
        <v>18357</v>
      </c>
      <c r="Q180" s="773">
        <v>293</v>
      </c>
      <c r="R180" s="773">
        <v>38371</v>
      </c>
      <c r="S180" s="773">
        <v>3127</v>
      </c>
      <c r="T180" s="773">
        <v>3725</v>
      </c>
      <c r="U180" s="773">
        <v>422</v>
      </c>
      <c r="V180" s="773">
        <v>1997</v>
      </c>
      <c r="W180" s="773">
        <v>82160</v>
      </c>
      <c r="X180" s="773">
        <v>21937</v>
      </c>
      <c r="Y180" s="773">
        <v>1962</v>
      </c>
      <c r="Z180" s="773">
        <v>14485</v>
      </c>
      <c r="AA180" s="773">
        <v>23833</v>
      </c>
      <c r="AB180" s="772">
        <v>0</v>
      </c>
      <c r="AC180" s="772">
        <v>11964</v>
      </c>
      <c r="AD180" s="772">
        <v>33984</v>
      </c>
      <c r="AE180" s="772">
        <v>21734</v>
      </c>
      <c r="AF180" s="772">
        <v>22478</v>
      </c>
      <c r="AG180" s="772">
        <v>298348</v>
      </c>
      <c r="AH180" s="772">
        <v>1285</v>
      </c>
      <c r="AI180" s="772">
        <v>5081</v>
      </c>
      <c r="AJ180" s="772">
        <v>43986</v>
      </c>
      <c r="AK180" s="772">
        <v>3319</v>
      </c>
      <c r="AL180" s="772">
        <v>285</v>
      </c>
      <c r="AM180" s="772">
        <v>257860</v>
      </c>
      <c r="AN180" s="772">
        <v>882</v>
      </c>
      <c r="AO180" s="772">
        <v>59632</v>
      </c>
      <c r="AP180" s="772">
        <v>0</v>
      </c>
      <c r="AQ180" s="772">
        <v>50224</v>
      </c>
      <c r="AR180" s="772">
        <v>11544</v>
      </c>
      <c r="AS180" s="772">
        <v>1425</v>
      </c>
      <c r="AT180" s="772">
        <v>12597</v>
      </c>
      <c r="AU180" s="772">
        <v>8599</v>
      </c>
      <c r="AV180" s="772">
        <v>1074636</v>
      </c>
      <c r="AW180" s="772">
        <v>148323</v>
      </c>
      <c r="AX180" s="772">
        <v>27188</v>
      </c>
      <c r="AY180" s="772">
        <v>1127</v>
      </c>
      <c r="AZ180" s="772">
        <v>2444</v>
      </c>
      <c r="BA180" s="772">
        <v>891</v>
      </c>
      <c r="BB180" s="772">
        <v>7813</v>
      </c>
      <c r="BC180" s="772">
        <v>67535</v>
      </c>
      <c r="BD180" s="772">
        <v>570</v>
      </c>
      <c r="BE180" s="772">
        <v>584</v>
      </c>
      <c r="BF180" s="772">
        <v>540</v>
      </c>
      <c r="BG180" s="772">
        <v>22365</v>
      </c>
      <c r="BH180" s="772">
        <v>890</v>
      </c>
      <c r="BI180" s="772">
        <v>16155</v>
      </c>
      <c r="BJ180" s="772">
        <v>8944</v>
      </c>
      <c r="BK180" s="772">
        <v>1760</v>
      </c>
      <c r="BL180" s="772">
        <v>0</v>
      </c>
      <c r="BM180" s="772">
        <v>153723</v>
      </c>
      <c r="BN180" s="772">
        <v>142625</v>
      </c>
      <c r="BO180" s="772">
        <v>24660</v>
      </c>
      <c r="BP180" s="772">
        <v>362154</v>
      </c>
      <c r="BQ180" s="772">
        <v>573390</v>
      </c>
      <c r="BR180" s="772">
        <v>2840</v>
      </c>
      <c r="BS180" s="772">
        <v>17544</v>
      </c>
      <c r="BT180" s="772">
        <v>1121</v>
      </c>
      <c r="BU180" s="772">
        <v>58229</v>
      </c>
      <c r="BV180" s="772">
        <v>3903</v>
      </c>
      <c r="BW180" s="772">
        <v>720</v>
      </c>
      <c r="BX180" s="772">
        <v>25592</v>
      </c>
      <c r="BY180" s="772">
        <v>15324</v>
      </c>
      <c r="BZ180" s="772">
        <v>19521</v>
      </c>
      <c r="CA180" s="772">
        <v>248</v>
      </c>
      <c r="CB180" s="772">
        <v>14481</v>
      </c>
      <c r="CC180" s="772">
        <v>5753</v>
      </c>
      <c r="CD180" s="772">
        <v>71430</v>
      </c>
      <c r="CE180" s="772">
        <v>68204</v>
      </c>
    </row>
    <row r="181" spans="1:83" ht="30" x14ac:dyDescent="0.25">
      <c r="A181" s="767">
        <v>531</v>
      </c>
      <c r="B181" s="782">
        <v>531</v>
      </c>
      <c r="C181" s="768" t="s">
        <v>339</v>
      </c>
      <c r="D181" s="635" t="s">
        <v>563</v>
      </c>
      <c r="E181" s="769">
        <v>0</v>
      </c>
      <c r="F181" s="770">
        <v>0</v>
      </c>
      <c r="G181" s="770">
        <v>0</v>
      </c>
      <c r="H181" s="770">
        <v>0</v>
      </c>
      <c r="I181" s="770">
        <v>27</v>
      </c>
      <c r="J181" s="770">
        <v>12</v>
      </c>
      <c r="K181" s="771">
        <v>0</v>
      </c>
      <c r="L181" s="772">
        <v>0</v>
      </c>
      <c r="M181" s="772">
        <v>0</v>
      </c>
      <c r="N181" s="773">
        <v>42651</v>
      </c>
      <c r="O181" s="773">
        <v>0</v>
      </c>
      <c r="P181" s="773">
        <v>650</v>
      </c>
      <c r="Q181" s="773">
        <v>0</v>
      </c>
      <c r="R181" s="773">
        <v>0</v>
      </c>
      <c r="S181" s="773">
        <v>0</v>
      </c>
      <c r="T181" s="773">
        <v>0</v>
      </c>
      <c r="U181" s="773">
        <v>0</v>
      </c>
      <c r="V181" s="773">
        <v>0</v>
      </c>
      <c r="W181" s="773">
        <v>0</v>
      </c>
      <c r="X181" s="773">
        <v>153</v>
      </c>
      <c r="Y181" s="773">
        <v>28</v>
      </c>
      <c r="Z181" s="773">
        <v>0</v>
      </c>
      <c r="AA181" s="773">
        <v>0</v>
      </c>
      <c r="AB181" s="772">
        <v>0</v>
      </c>
      <c r="AC181" s="772">
        <v>0</v>
      </c>
      <c r="AD181" s="772">
        <v>0</v>
      </c>
      <c r="AE181" s="772">
        <v>0</v>
      </c>
      <c r="AF181" s="772">
        <v>0</v>
      </c>
      <c r="AG181" s="772">
        <v>12831</v>
      </c>
      <c r="AH181" s="772">
        <v>98</v>
      </c>
      <c r="AI181" s="772">
        <v>0</v>
      </c>
      <c r="AJ181" s="772">
        <v>0</v>
      </c>
      <c r="AK181" s="772">
        <v>0</v>
      </c>
      <c r="AL181" s="772">
        <v>0</v>
      </c>
      <c r="AM181" s="772">
        <v>0</v>
      </c>
      <c r="AN181" s="772">
        <v>0</v>
      </c>
      <c r="AO181" s="772">
        <v>362</v>
      </c>
      <c r="AP181" s="772">
        <v>0</v>
      </c>
      <c r="AQ181" s="772">
        <v>256</v>
      </c>
      <c r="AR181" s="772">
        <v>0</v>
      </c>
      <c r="AS181" s="772">
        <v>0</v>
      </c>
      <c r="AT181" s="772">
        <v>0</v>
      </c>
      <c r="AU181" s="772">
        <v>0</v>
      </c>
      <c r="AV181" s="772">
        <v>4735</v>
      </c>
      <c r="AW181" s="772">
        <v>0</v>
      </c>
      <c r="AX181" s="772">
        <v>0</v>
      </c>
      <c r="AY181" s="772">
        <v>0</v>
      </c>
      <c r="AZ181" s="772">
        <v>0</v>
      </c>
      <c r="BA181" s="772">
        <v>0</v>
      </c>
      <c r="BB181" s="772">
        <v>0</v>
      </c>
      <c r="BC181" s="772">
        <v>0</v>
      </c>
      <c r="BD181" s="772">
        <v>0</v>
      </c>
      <c r="BE181" s="772">
        <v>0</v>
      </c>
      <c r="BF181" s="772">
        <v>0</v>
      </c>
      <c r="BG181" s="772">
        <v>0</v>
      </c>
      <c r="BH181" s="772">
        <v>0</v>
      </c>
      <c r="BI181" s="772">
        <v>0</v>
      </c>
      <c r="BJ181" s="772">
        <v>48</v>
      </c>
      <c r="BK181" s="772">
        <v>0</v>
      </c>
      <c r="BL181" s="772">
        <v>0</v>
      </c>
      <c r="BM181" s="772">
        <v>0</v>
      </c>
      <c r="BN181" s="772">
        <v>1867</v>
      </c>
      <c r="BO181" s="772">
        <v>0</v>
      </c>
      <c r="BP181" s="772">
        <v>195</v>
      </c>
      <c r="BQ181" s="772">
        <v>13245</v>
      </c>
      <c r="BR181" s="772">
        <v>0</v>
      </c>
      <c r="BS181" s="772">
        <v>0</v>
      </c>
      <c r="BT181" s="772">
        <v>0</v>
      </c>
      <c r="BU181" s="772">
        <v>0</v>
      </c>
      <c r="BV181" s="772">
        <v>0</v>
      </c>
      <c r="BW181" s="772">
        <v>0</v>
      </c>
      <c r="BX181" s="772">
        <v>0</v>
      </c>
      <c r="BY181" s="772">
        <v>0</v>
      </c>
      <c r="BZ181" s="772">
        <v>10794</v>
      </c>
      <c r="CA181" s="772">
        <v>0</v>
      </c>
      <c r="CB181" s="772">
        <v>0</v>
      </c>
      <c r="CC181" s="772">
        <v>0</v>
      </c>
      <c r="CD181" s="772">
        <v>0</v>
      </c>
      <c r="CE181" s="772">
        <v>0</v>
      </c>
    </row>
    <row r="182" spans="1:83" x14ac:dyDescent="0.25">
      <c r="A182" s="767">
        <v>532</v>
      </c>
      <c r="B182" s="782">
        <v>532</v>
      </c>
      <c r="C182" s="768" t="s">
        <v>664</v>
      </c>
      <c r="D182" s="635" t="s">
        <v>564</v>
      </c>
      <c r="E182" s="769">
        <v>865834</v>
      </c>
      <c r="F182" s="770">
        <v>2147877</v>
      </c>
      <c r="G182" s="770">
        <v>275026</v>
      </c>
      <c r="H182" s="770">
        <v>622651</v>
      </c>
      <c r="I182" s="770">
        <v>543879</v>
      </c>
      <c r="J182" s="770">
        <v>150860</v>
      </c>
      <c r="K182" s="771">
        <v>47108</v>
      </c>
      <c r="L182" s="772">
        <v>80856</v>
      </c>
      <c r="M182" s="772">
        <v>5013592</v>
      </c>
      <c r="N182" s="773">
        <v>142850346</v>
      </c>
      <c r="O182" s="773">
        <v>1590114</v>
      </c>
      <c r="P182" s="773">
        <v>6489102</v>
      </c>
      <c r="Q182" s="773">
        <v>132341</v>
      </c>
      <c r="R182" s="773">
        <v>15351735</v>
      </c>
      <c r="S182" s="773">
        <v>115899</v>
      </c>
      <c r="T182" s="773">
        <v>286754</v>
      </c>
      <c r="U182" s="773">
        <v>1670935</v>
      </c>
      <c r="V182" s="773">
        <v>996652</v>
      </c>
      <c r="W182" s="773">
        <v>4193673</v>
      </c>
      <c r="X182" s="773">
        <v>1608406</v>
      </c>
      <c r="Y182" s="773">
        <v>532304</v>
      </c>
      <c r="Z182" s="773">
        <v>993220</v>
      </c>
      <c r="AA182" s="773">
        <v>22257113</v>
      </c>
      <c r="AB182" s="772">
        <v>497725</v>
      </c>
      <c r="AC182" s="772">
        <v>495510</v>
      </c>
      <c r="AD182" s="772">
        <v>31429315</v>
      </c>
      <c r="AE182" s="772">
        <v>599056</v>
      </c>
      <c r="AF182" s="772">
        <v>624494</v>
      </c>
      <c r="AG182" s="772">
        <v>55193820</v>
      </c>
      <c r="AH182" s="772">
        <v>170807</v>
      </c>
      <c r="AI182" s="772">
        <v>242050</v>
      </c>
      <c r="AJ182" s="772">
        <v>5692700</v>
      </c>
      <c r="AK182" s="772">
        <v>902853</v>
      </c>
      <c r="AL182" s="772">
        <v>352250</v>
      </c>
      <c r="AM182" s="772">
        <v>40495239</v>
      </c>
      <c r="AN182" s="772">
        <v>349115</v>
      </c>
      <c r="AO182" s="772">
        <v>12146274</v>
      </c>
      <c r="AP182" s="772">
        <v>66446</v>
      </c>
      <c r="AQ182" s="772">
        <v>3367776</v>
      </c>
      <c r="AR182" s="772">
        <v>2421566</v>
      </c>
      <c r="AS182" s="772">
        <v>84990</v>
      </c>
      <c r="AT182" s="772">
        <v>983048</v>
      </c>
      <c r="AU182" s="772">
        <v>151572</v>
      </c>
      <c r="AV182" s="772">
        <v>241463264</v>
      </c>
      <c r="AW182" s="772">
        <v>71000401</v>
      </c>
      <c r="AX182" s="772">
        <v>1576861</v>
      </c>
      <c r="AY182" s="772">
        <v>309130</v>
      </c>
      <c r="AZ182" s="772">
        <v>300101</v>
      </c>
      <c r="BA182" s="772">
        <v>193890</v>
      </c>
      <c r="BB182" s="772">
        <v>341508</v>
      </c>
      <c r="BC182" s="772">
        <v>5581458</v>
      </c>
      <c r="BD182" s="772">
        <v>434881</v>
      </c>
      <c r="BE182" s="772">
        <v>141055</v>
      </c>
      <c r="BF182" s="772">
        <v>46183</v>
      </c>
      <c r="BG182" s="772">
        <v>11737335</v>
      </c>
      <c r="BH182" s="772">
        <v>27606</v>
      </c>
      <c r="BI182" s="772">
        <v>9692870</v>
      </c>
      <c r="BJ182" s="772">
        <v>2292245</v>
      </c>
      <c r="BK182" s="772">
        <v>241547</v>
      </c>
      <c r="BL182" s="772">
        <v>108459</v>
      </c>
      <c r="BM182" s="772">
        <v>14343852</v>
      </c>
      <c r="BN182" s="772">
        <v>13862377</v>
      </c>
      <c r="BO182" s="772">
        <v>1822763</v>
      </c>
      <c r="BP182" s="772">
        <v>45665639</v>
      </c>
      <c r="BQ182" s="772">
        <v>108682947</v>
      </c>
      <c r="BR182" s="772">
        <v>292182</v>
      </c>
      <c r="BS182" s="772">
        <v>6241896</v>
      </c>
      <c r="BT182" s="772">
        <v>1010274</v>
      </c>
      <c r="BU182" s="772">
        <v>10176945</v>
      </c>
      <c r="BV182" s="772">
        <v>145666</v>
      </c>
      <c r="BW182" s="772">
        <v>264792</v>
      </c>
      <c r="BX182" s="772">
        <v>2461176</v>
      </c>
      <c r="BY182" s="772">
        <v>2467393</v>
      </c>
      <c r="BZ182" s="772">
        <v>35572228</v>
      </c>
      <c r="CA182" s="772">
        <v>653568</v>
      </c>
      <c r="CB182" s="772">
        <v>15138596</v>
      </c>
      <c r="CC182" s="772">
        <v>632241</v>
      </c>
      <c r="CD182" s="772">
        <v>2855467</v>
      </c>
      <c r="CE182" s="772">
        <v>38088558</v>
      </c>
    </row>
    <row r="183" spans="1:83" x14ac:dyDescent="0.25">
      <c r="A183" s="767">
        <v>533</v>
      </c>
      <c r="B183" s="752">
        <v>533</v>
      </c>
      <c r="C183" s="768" t="s">
        <v>665</v>
      </c>
      <c r="D183" s="635" t="s">
        <v>565</v>
      </c>
      <c r="E183" s="769">
        <v>0</v>
      </c>
      <c r="F183" s="770">
        <v>133882</v>
      </c>
      <c r="G183" s="770">
        <v>0</v>
      </c>
      <c r="H183" s="770">
        <v>0</v>
      </c>
      <c r="I183" s="770">
        <v>0</v>
      </c>
      <c r="J183" s="770">
        <v>0</v>
      </c>
      <c r="K183" s="771">
        <v>0</v>
      </c>
      <c r="L183" s="772">
        <v>0</v>
      </c>
      <c r="M183" s="772">
        <v>0</v>
      </c>
      <c r="N183" s="773">
        <v>3673812</v>
      </c>
      <c r="O183" s="773">
        <v>0</v>
      </c>
      <c r="P183" s="773">
        <v>0</v>
      </c>
      <c r="Q183" s="773">
        <v>0</v>
      </c>
      <c r="R183" s="773">
        <v>0</v>
      </c>
      <c r="S183" s="773">
        <v>0</v>
      </c>
      <c r="T183" s="773">
        <v>0</v>
      </c>
      <c r="U183" s="773">
        <v>0</v>
      </c>
      <c r="V183" s="773">
        <v>0</v>
      </c>
      <c r="W183" s="773">
        <v>0</v>
      </c>
      <c r="X183" s="773">
        <v>86269</v>
      </c>
      <c r="Y183" s="773">
        <v>0</v>
      </c>
      <c r="Z183" s="773">
        <v>0</v>
      </c>
      <c r="AA183" s="773">
        <v>0</v>
      </c>
      <c r="AB183" s="772">
        <v>0</v>
      </c>
      <c r="AC183" s="772">
        <v>8724</v>
      </c>
      <c r="AD183" s="772">
        <v>660000</v>
      </c>
      <c r="AE183" s="772">
        <v>0</v>
      </c>
      <c r="AF183" s="772">
        <v>0</v>
      </c>
      <c r="AG183" s="772">
        <v>0</v>
      </c>
      <c r="AH183" s="772">
        <v>0</v>
      </c>
      <c r="AI183" s="772">
        <v>0</v>
      </c>
      <c r="AJ183" s="772">
        <v>0</v>
      </c>
      <c r="AK183" s="772">
        <v>0</v>
      </c>
      <c r="AL183" s="772">
        <v>0</v>
      </c>
      <c r="AM183" s="772">
        <v>2328000</v>
      </c>
      <c r="AN183" s="772">
        <v>0</v>
      </c>
      <c r="AO183" s="772">
        <v>0</v>
      </c>
      <c r="AP183" s="772">
        <v>0</v>
      </c>
      <c r="AQ183" s="772">
        <v>0</v>
      </c>
      <c r="AR183" s="772">
        <v>0</v>
      </c>
      <c r="AS183" s="772">
        <v>0</v>
      </c>
      <c r="AT183" s="772">
        <v>0</v>
      </c>
      <c r="AU183" s="772">
        <v>0</v>
      </c>
      <c r="AV183" s="772">
        <v>0</v>
      </c>
      <c r="AW183" s="772">
        <v>0</v>
      </c>
      <c r="AX183" s="772">
        <v>0</v>
      </c>
      <c r="AY183" s="772">
        <v>0</v>
      </c>
      <c r="AZ183" s="772">
        <v>0</v>
      </c>
      <c r="BA183" s="772">
        <v>0</v>
      </c>
      <c r="BB183" s="772">
        <v>0</v>
      </c>
      <c r="BC183" s="772">
        <v>241000</v>
      </c>
      <c r="BD183" s="772">
        <v>0</v>
      </c>
      <c r="BE183" s="772">
        <v>0</v>
      </c>
      <c r="BF183" s="772">
        <v>0</v>
      </c>
      <c r="BG183" s="772">
        <v>0</v>
      </c>
      <c r="BH183" s="772">
        <v>0</v>
      </c>
      <c r="BI183" s="772">
        <v>0</v>
      </c>
      <c r="BJ183" s="772">
        <v>0</v>
      </c>
      <c r="BK183" s="772">
        <v>0</v>
      </c>
      <c r="BL183" s="772">
        <v>0</v>
      </c>
      <c r="BM183" s="772">
        <v>287965</v>
      </c>
      <c r="BN183" s="772">
        <v>0</v>
      </c>
      <c r="BO183" s="772">
        <v>0</v>
      </c>
      <c r="BP183" s="772">
        <v>0</v>
      </c>
      <c r="BQ183" s="772">
        <v>0</v>
      </c>
      <c r="BR183" s="772">
        <v>0</v>
      </c>
      <c r="BS183" s="772">
        <v>0</v>
      </c>
      <c r="BT183" s="772">
        <v>0</v>
      </c>
      <c r="BU183" s="772">
        <v>948441</v>
      </c>
      <c r="BV183" s="772">
        <v>0</v>
      </c>
      <c r="BW183" s="772">
        <v>0</v>
      </c>
      <c r="BX183" s="772">
        <v>20471</v>
      </c>
      <c r="BY183" s="772">
        <v>0</v>
      </c>
      <c r="BZ183" s="772">
        <v>0</v>
      </c>
      <c r="CA183" s="772">
        <v>25836</v>
      </c>
      <c r="CB183" s="772">
        <v>1000000</v>
      </c>
      <c r="CC183" s="772">
        <v>275000</v>
      </c>
      <c r="CD183" s="772">
        <v>0</v>
      </c>
      <c r="CE183" s="772">
        <v>0</v>
      </c>
    </row>
    <row r="184" spans="1:83" ht="30" x14ac:dyDescent="0.25">
      <c r="B184" s="752">
        <v>534</v>
      </c>
      <c r="C184" s="768" t="s">
        <v>340</v>
      </c>
      <c r="D184" s="635" t="s">
        <v>566</v>
      </c>
      <c r="E184" s="769"/>
      <c r="F184" s="770"/>
      <c r="G184" s="770"/>
      <c r="H184" s="770"/>
      <c r="I184" s="770"/>
      <c r="J184" s="770"/>
      <c r="K184" s="771"/>
      <c r="L184" s="772"/>
      <c r="M184" s="772"/>
      <c r="N184" s="773"/>
      <c r="O184" s="773"/>
      <c r="P184" s="773"/>
      <c r="Q184" s="773"/>
      <c r="R184" s="773"/>
      <c r="S184" s="773"/>
      <c r="T184" s="773"/>
      <c r="U184" s="773"/>
      <c r="V184" s="773"/>
      <c r="W184" s="773"/>
      <c r="X184" s="773"/>
      <c r="Y184" s="773"/>
      <c r="Z184" s="773"/>
      <c r="AA184" s="773"/>
      <c r="AB184" s="772"/>
      <c r="AC184" s="772"/>
      <c r="AD184" s="772"/>
      <c r="AE184" s="772"/>
      <c r="AF184" s="772"/>
      <c r="AG184" s="772"/>
      <c r="AH184" s="772"/>
      <c r="AI184" s="772"/>
      <c r="AJ184" s="772"/>
      <c r="AK184" s="772"/>
      <c r="AL184" s="772"/>
      <c r="AM184" s="772"/>
      <c r="AN184" s="772"/>
      <c r="AO184" s="772"/>
      <c r="AP184" s="772"/>
      <c r="AQ184" s="772"/>
      <c r="AR184" s="772"/>
      <c r="AS184" s="772"/>
      <c r="AT184" s="772"/>
      <c r="AU184" s="772"/>
      <c r="AV184" s="772"/>
      <c r="AW184" s="772"/>
      <c r="AX184" s="772"/>
      <c r="AY184" s="772"/>
      <c r="AZ184" s="772"/>
      <c r="BA184" s="772"/>
      <c r="BB184" s="772"/>
      <c r="BC184" s="772"/>
      <c r="BD184" s="772"/>
      <c r="BE184" s="772"/>
      <c r="BF184" s="772"/>
      <c r="BG184" s="772"/>
      <c r="BH184" s="772"/>
      <c r="BI184" s="772"/>
      <c r="BJ184" s="772"/>
      <c r="BK184" s="772"/>
      <c r="BL184" s="772"/>
      <c r="BM184" s="772"/>
      <c r="BN184" s="772"/>
      <c r="BO184" s="772"/>
      <c r="BP184" s="772"/>
      <c r="BQ184" s="772"/>
      <c r="BR184" s="772"/>
      <c r="BS184" s="772"/>
      <c r="BT184" s="772"/>
      <c r="BU184" s="772"/>
      <c r="BV184" s="772"/>
      <c r="BW184" s="772"/>
      <c r="BX184" s="772"/>
      <c r="BY184" s="772"/>
      <c r="BZ184" s="772"/>
      <c r="CA184" s="772"/>
      <c r="CB184" s="772"/>
      <c r="CC184" s="772"/>
      <c r="CD184" s="772"/>
      <c r="CE184" s="772"/>
    </row>
    <row r="185" spans="1:83" x14ac:dyDescent="0.25">
      <c r="A185" s="767">
        <v>535</v>
      </c>
      <c r="B185" s="752">
        <v>535</v>
      </c>
      <c r="C185" s="768" t="s">
        <v>318</v>
      </c>
      <c r="D185" s="635" t="s">
        <v>567</v>
      </c>
      <c r="E185" s="769">
        <v>0</v>
      </c>
      <c r="F185" s="770">
        <v>0</v>
      </c>
      <c r="G185" s="770">
        <v>0</v>
      </c>
      <c r="H185" s="770">
        <v>0</v>
      </c>
      <c r="I185" s="770">
        <v>0</v>
      </c>
      <c r="J185" s="770">
        <v>0</v>
      </c>
      <c r="K185" s="771">
        <v>0</v>
      </c>
      <c r="L185" s="772">
        <v>0</v>
      </c>
      <c r="M185" s="772">
        <v>0</v>
      </c>
      <c r="N185" s="773">
        <v>50429728</v>
      </c>
      <c r="O185" s="773">
        <v>0</v>
      </c>
      <c r="P185" s="773">
        <v>0</v>
      </c>
      <c r="Q185" s="773">
        <v>0</v>
      </c>
      <c r="R185" s="773">
        <v>260261</v>
      </c>
      <c r="S185" s="773">
        <v>0</v>
      </c>
      <c r="T185" s="773">
        <v>0</v>
      </c>
      <c r="U185" s="773">
        <v>0</v>
      </c>
      <c r="V185" s="773">
        <v>0</v>
      </c>
      <c r="W185" s="773">
        <v>0</v>
      </c>
      <c r="X185" s="773">
        <v>0</v>
      </c>
      <c r="Y185" s="773">
        <v>0</v>
      </c>
      <c r="Z185" s="773">
        <v>0</v>
      </c>
      <c r="AA185" s="773">
        <v>6563541</v>
      </c>
      <c r="AB185" s="772">
        <v>0</v>
      </c>
      <c r="AC185" s="772">
        <v>0</v>
      </c>
      <c r="AD185" s="772">
        <v>934509</v>
      </c>
      <c r="AE185" s="772">
        <v>0</v>
      </c>
      <c r="AF185" s="772">
        <v>0</v>
      </c>
      <c r="AG185" s="772">
        <v>17641467</v>
      </c>
      <c r="AH185" s="772">
        <v>0</v>
      </c>
      <c r="AI185" s="772">
        <v>0</v>
      </c>
      <c r="AJ185" s="772">
        <v>0</v>
      </c>
      <c r="AK185" s="772">
        <v>0</v>
      </c>
      <c r="AL185" s="772">
        <v>0</v>
      </c>
      <c r="AM185" s="772">
        <v>4942510</v>
      </c>
      <c r="AN185" s="772">
        <v>3695</v>
      </c>
      <c r="AO185" s="772">
        <v>58429</v>
      </c>
      <c r="AP185" s="772">
        <v>0</v>
      </c>
      <c r="AQ185" s="772">
        <v>0</v>
      </c>
      <c r="AR185" s="772">
        <v>0</v>
      </c>
      <c r="AS185" s="772">
        <v>0</v>
      </c>
      <c r="AT185" s="772">
        <v>0</v>
      </c>
      <c r="AU185" s="772">
        <v>0</v>
      </c>
      <c r="AV185" s="772">
        <v>52644716</v>
      </c>
      <c r="AW185" s="772">
        <v>13819265</v>
      </c>
      <c r="AX185" s="772">
        <v>75179</v>
      </c>
      <c r="AY185" s="772">
        <v>0</v>
      </c>
      <c r="AZ185" s="772">
        <v>1</v>
      </c>
      <c r="BA185" s="772">
        <v>0</v>
      </c>
      <c r="BB185" s="772">
        <v>0</v>
      </c>
      <c r="BC185" s="772">
        <v>0</v>
      </c>
      <c r="BD185" s="772">
        <v>0</v>
      </c>
      <c r="BE185" s="772">
        <v>0</v>
      </c>
      <c r="BF185" s="772">
        <v>0</v>
      </c>
      <c r="BG185" s="772">
        <v>5364045</v>
      </c>
      <c r="BH185" s="772">
        <v>0</v>
      </c>
      <c r="BI185" s="772">
        <v>0</v>
      </c>
      <c r="BJ185" s="772">
        <v>0</v>
      </c>
      <c r="BK185" s="772">
        <v>0</v>
      </c>
      <c r="BL185" s="772">
        <v>0</v>
      </c>
      <c r="BM185" s="772">
        <v>0</v>
      </c>
      <c r="BN185" s="772">
        <v>0</v>
      </c>
      <c r="BO185" s="772">
        <v>0</v>
      </c>
      <c r="BP185" s="772">
        <v>3056424</v>
      </c>
      <c r="BQ185" s="772">
        <v>36470963</v>
      </c>
      <c r="BR185" s="772">
        <v>0</v>
      </c>
      <c r="BS185" s="772">
        <v>0</v>
      </c>
      <c r="BT185" s="772">
        <v>0</v>
      </c>
      <c r="BU185" s="772">
        <v>11018530</v>
      </c>
      <c r="BV185" s="772">
        <v>0</v>
      </c>
      <c r="BW185" s="772">
        <v>0</v>
      </c>
      <c r="BX185" s="772">
        <v>0</v>
      </c>
      <c r="BY185" s="772">
        <v>0</v>
      </c>
      <c r="BZ185" s="772">
        <v>0</v>
      </c>
      <c r="CA185" s="772">
        <v>0</v>
      </c>
      <c r="CB185" s="772">
        <v>0</v>
      </c>
      <c r="CC185" s="772">
        <v>0</v>
      </c>
      <c r="CD185" s="772">
        <v>0</v>
      </c>
      <c r="CE185" s="772">
        <v>4677448</v>
      </c>
    </row>
    <row r="186" spans="1:83" x14ac:dyDescent="0.25">
      <c r="A186" s="767">
        <v>536</v>
      </c>
      <c r="B186" s="752">
        <v>536</v>
      </c>
      <c r="C186" s="768" t="s">
        <v>264</v>
      </c>
      <c r="D186" s="635" t="s">
        <v>568</v>
      </c>
      <c r="E186" s="769">
        <v>0</v>
      </c>
      <c r="F186" s="770">
        <v>60748</v>
      </c>
      <c r="G186" s="770">
        <v>0</v>
      </c>
      <c r="H186" s="770">
        <v>30760</v>
      </c>
      <c r="I186" s="770">
        <v>179289</v>
      </c>
      <c r="J186" s="770">
        <v>22664</v>
      </c>
      <c r="K186" s="771">
        <v>31118</v>
      </c>
      <c r="L186" s="772">
        <v>191417</v>
      </c>
      <c r="M186" s="772">
        <v>566785</v>
      </c>
      <c r="N186" s="773">
        <v>6201476</v>
      </c>
      <c r="O186" s="773">
        <v>0</v>
      </c>
      <c r="P186" s="773">
        <v>591578</v>
      </c>
      <c r="Q186" s="773">
        <v>15076</v>
      </c>
      <c r="R186" s="773">
        <v>425047</v>
      </c>
      <c r="S186" s="773">
        <v>2941</v>
      </c>
      <c r="T186" s="773">
        <v>76779</v>
      </c>
      <c r="U186" s="773">
        <v>74691</v>
      </c>
      <c r="V186" s="773">
        <v>0</v>
      </c>
      <c r="W186" s="773">
        <v>641448</v>
      </c>
      <c r="X186" s="773">
        <v>152167</v>
      </c>
      <c r="Y186" s="773">
        <v>27872</v>
      </c>
      <c r="Z186" s="773">
        <v>99162</v>
      </c>
      <c r="AA186" s="773">
        <v>2004028</v>
      </c>
      <c r="AB186" s="772">
        <v>3052524</v>
      </c>
      <c r="AC186" s="772">
        <v>46402</v>
      </c>
      <c r="AD186" s="772">
        <v>970174</v>
      </c>
      <c r="AE186" s="772">
        <v>67807</v>
      </c>
      <c r="AF186" s="772">
        <v>8434</v>
      </c>
      <c r="AG186" s="772">
        <v>1977426</v>
      </c>
      <c r="AH186" s="772">
        <v>39520</v>
      </c>
      <c r="AI186" s="772">
        <v>0</v>
      </c>
      <c r="AJ186" s="772">
        <v>360849</v>
      </c>
      <c r="AK186" s="772">
        <v>60392</v>
      </c>
      <c r="AL186" s="772">
        <v>16466</v>
      </c>
      <c r="AM186" s="772">
        <v>1285452</v>
      </c>
      <c r="AN186" s="772">
        <v>103551</v>
      </c>
      <c r="AO186" s="772">
        <v>35720</v>
      </c>
      <c r="AP186" s="772">
        <v>0</v>
      </c>
      <c r="AQ186" s="772">
        <v>295659</v>
      </c>
      <c r="AR186" s="772">
        <v>10289</v>
      </c>
      <c r="AS186" s="772">
        <v>0</v>
      </c>
      <c r="AT186" s="772">
        <v>116186</v>
      </c>
      <c r="AU186" s="772">
        <v>149547</v>
      </c>
      <c r="AV186" s="772">
        <v>1513540</v>
      </c>
      <c r="AW186" s="772">
        <v>1518820</v>
      </c>
      <c r="AX186" s="772">
        <v>22935</v>
      </c>
      <c r="AY186" s="772">
        <v>33246</v>
      </c>
      <c r="AZ186" s="772">
        <v>163496</v>
      </c>
      <c r="BA186" s="772">
        <v>31974</v>
      </c>
      <c r="BB186" s="772">
        <v>49248</v>
      </c>
      <c r="BC186" s="772">
        <v>10983</v>
      </c>
      <c r="BD186" s="772">
        <v>0</v>
      </c>
      <c r="BE186" s="772">
        <v>32581</v>
      </c>
      <c r="BF186" s="772">
        <v>13641</v>
      </c>
      <c r="BG186" s="772">
        <v>440393</v>
      </c>
      <c r="BH186" s="772">
        <v>32284</v>
      </c>
      <c r="BI186" s="772">
        <v>633338</v>
      </c>
      <c r="BJ186" s="772">
        <v>609866</v>
      </c>
      <c r="BK186" s="772">
        <v>71495</v>
      </c>
      <c r="BL186" s="772">
        <v>0</v>
      </c>
      <c r="BM186" s="772">
        <v>1078925</v>
      </c>
      <c r="BN186" s="772">
        <v>0</v>
      </c>
      <c r="BO186" s="772">
        <v>309977</v>
      </c>
      <c r="BP186" s="772">
        <v>57215</v>
      </c>
      <c r="BQ186" s="772">
        <v>451324</v>
      </c>
      <c r="BR186" s="772">
        <v>55001</v>
      </c>
      <c r="BS186" s="772">
        <v>57010</v>
      </c>
      <c r="BT186" s="772">
        <v>348694</v>
      </c>
      <c r="BU186" s="772">
        <v>59838</v>
      </c>
      <c r="BV186" s="772">
        <v>68375</v>
      </c>
      <c r="BW186" s="772">
        <v>132259</v>
      </c>
      <c r="BX186" s="772">
        <v>0</v>
      </c>
      <c r="BY186" s="772">
        <v>163397</v>
      </c>
      <c r="BZ186" s="772">
        <v>4669164</v>
      </c>
      <c r="CA186" s="772">
        <v>23925</v>
      </c>
      <c r="CB186" s="772">
        <v>29194</v>
      </c>
      <c r="CC186" s="772">
        <v>98023</v>
      </c>
      <c r="CD186" s="772">
        <v>299738</v>
      </c>
      <c r="CE186" s="772">
        <v>11248254</v>
      </c>
    </row>
    <row r="187" spans="1:83" s="791" customFormat="1" ht="30" x14ac:dyDescent="0.25">
      <c r="A187" s="767">
        <v>537</v>
      </c>
      <c r="B187" s="783">
        <v>537</v>
      </c>
      <c r="C187" s="784" t="s">
        <v>1180</v>
      </c>
      <c r="D187" s="785" t="s">
        <v>569</v>
      </c>
      <c r="E187" s="786">
        <v>2</v>
      </c>
      <c r="F187" s="787">
        <v>2</v>
      </c>
      <c r="G187" s="787">
        <v>0</v>
      </c>
      <c r="H187" s="787">
        <v>2</v>
      </c>
      <c r="I187" s="787">
        <v>2</v>
      </c>
      <c r="J187" s="787">
        <v>2</v>
      </c>
      <c r="K187" s="788">
        <v>0</v>
      </c>
      <c r="L187" s="789">
        <v>2</v>
      </c>
      <c r="M187" s="789">
        <v>1</v>
      </c>
      <c r="N187" s="790">
        <v>0</v>
      </c>
      <c r="O187" s="790">
        <v>0</v>
      </c>
      <c r="P187" s="790">
        <v>0</v>
      </c>
      <c r="Q187" s="790">
        <v>0</v>
      </c>
      <c r="R187" s="790">
        <v>2</v>
      </c>
      <c r="S187" s="790">
        <v>2</v>
      </c>
      <c r="T187" s="790">
        <v>2</v>
      </c>
      <c r="U187" s="790">
        <v>2</v>
      </c>
      <c r="V187" s="790">
        <v>2</v>
      </c>
      <c r="W187" s="790">
        <v>1</v>
      </c>
      <c r="X187" s="790">
        <v>0</v>
      </c>
      <c r="Y187" s="790">
        <v>1</v>
      </c>
      <c r="Z187" s="790">
        <v>2</v>
      </c>
      <c r="AA187" s="790">
        <v>0</v>
      </c>
      <c r="AB187" s="789">
        <v>2</v>
      </c>
      <c r="AC187" s="789">
        <v>1</v>
      </c>
      <c r="AD187" s="789">
        <v>0</v>
      </c>
      <c r="AE187" s="789">
        <v>0</v>
      </c>
      <c r="AF187" s="789">
        <v>0</v>
      </c>
      <c r="AG187" s="789">
        <v>2</v>
      </c>
      <c r="AH187" s="789">
        <v>2</v>
      </c>
      <c r="AI187" s="789">
        <v>2</v>
      </c>
      <c r="AJ187" s="789">
        <v>2</v>
      </c>
      <c r="AK187" s="789">
        <v>2</v>
      </c>
      <c r="AL187" s="789">
        <v>2</v>
      </c>
      <c r="AM187" s="789">
        <v>2</v>
      </c>
      <c r="AN187" s="789">
        <v>2</v>
      </c>
      <c r="AO187" s="789">
        <v>2</v>
      </c>
      <c r="AP187" s="789">
        <v>2</v>
      </c>
      <c r="AQ187" s="789">
        <v>1</v>
      </c>
      <c r="AR187" s="789">
        <v>0</v>
      </c>
      <c r="AS187" s="789">
        <v>2</v>
      </c>
      <c r="AT187" s="789">
        <v>2</v>
      </c>
      <c r="AU187" s="789">
        <v>2</v>
      </c>
      <c r="AV187" s="789">
        <v>1</v>
      </c>
      <c r="AW187" s="789">
        <v>2</v>
      </c>
      <c r="AX187" s="789">
        <v>1</v>
      </c>
      <c r="AY187" s="789">
        <v>2</v>
      </c>
      <c r="AZ187" s="789">
        <v>2</v>
      </c>
      <c r="BA187" s="789">
        <v>0</v>
      </c>
      <c r="BB187" s="789">
        <v>2</v>
      </c>
      <c r="BC187" s="789">
        <v>2</v>
      </c>
      <c r="BD187" s="789">
        <v>2</v>
      </c>
      <c r="BE187" s="789">
        <v>1</v>
      </c>
      <c r="BF187" s="789">
        <v>0</v>
      </c>
      <c r="BG187" s="789">
        <v>2</v>
      </c>
      <c r="BH187" s="789">
        <v>2</v>
      </c>
      <c r="BI187" s="789">
        <v>1</v>
      </c>
      <c r="BJ187" s="789">
        <v>1</v>
      </c>
      <c r="BK187" s="789">
        <v>2</v>
      </c>
      <c r="BL187" s="789">
        <v>0</v>
      </c>
      <c r="BM187" s="789">
        <v>2</v>
      </c>
      <c r="BN187" s="789">
        <v>1</v>
      </c>
      <c r="BO187" s="789">
        <v>2</v>
      </c>
      <c r="BP187" s="789">
        <v>1</v>
      </c>
      <c r="BQ187" s="789">
        <v>1</v>
      </c>
      <c r="BR187" s="789">
        <v>1</v>
      </c>
      <c r="BS187" s="789">
        <v>1</v>
      </c>
      <c r="BT187" s="789">
        <v>2</v>
      </c>
      <c r="BU187" s="789">
        <v>1</v>
      </c>
      <c r="BV187" s="789">
        <v>2</v>
      </c>
      <c r="BW187" s="789">
        <v>2</v>
      </c>
      <c r="BX187" s="789">
        <v>2</v>
      </c>
      <c r="BY187" s="789">
        <v>2</v>
      </c>
      <c r="BZ187" s="789">
        <v>2</v>
      </c>
      <c r="CA187" s="789">
        <v>2</v>
      </c>
      <c r="CB187" s="789">
        <v>0</v>
      </c>
      <c r="CC187" s="789">
        <v>1</v>
      </c>
      <c r="CD187" s="789">
        <v>2</v>
      </c>
      <c r="CE187" s="789">
        <v>2</v>
      </c>
    </row>
    <row r="188" spans="1:83" s="791" customFormat="1" ht="45" x14ac:dyDescent="0.25">
      <c r="A188" s="767">
        <v>538</v>
      </c>
      <c r="B188" s="783">
        <v>538</v>
      </c>
      <c r="C188" s="784" t="s">
        <v>1181</v>
      </c>
      <c r="D188" s="785" t="s">
        <v>570</v>
      </c>
      <c r="E188" s="786">
        <v>2</v>
      </c>
      <c r="F188" s="787">
        <v>2</v>
      </c>
      <c r="G188" s="787">
        <v>0</v>
      </c>
      <c r="H188" s="787">
        <v>2</v>
      </c>
      <c r="I188" s="787">
        <v>2</v>
      </c>
      <c r="J188" s="787">
        <v>2</v>
      </c>
      <c r="K188" s="788">
        <v>0</v>
      </c>
      <c r="L188" s="789">
        <v>2</v>
      </c>
      <c r="M188" s="789">
        <v>1</v>
      </c>
      <c r="N188" s="790">
        <v>0</v>
      </c>
      <c r="O188" s="790">
        <v>0</v>
      </c>
      <c r="P188" s="790">
        <v>0</v>
      </c>
      <c r="Q188" s="790">
        <v>2</v>
      </c>
      <c r="R188" s="790">
        <v>2</v>
      </c>
      <c r="S188" s="790">
        <v>0</v>
      </c>
      <c r="T188" s="790">
        <v>1</v>
      </c>
      <c r="U188" s="790">
        <v>2</v>
      </c>
      <c r="V188" s="790">
        <v>2</v>
      </c>
      <c r="W188" s="790">
        <v>1</v>
      </c>
      <c r="X188" s="790">
        <v>0</v>
      </c>
      <c r="Y188" s="790">
        <v>2</v>
      </c>
      <c r="Z188" s="790">
        <v>2</v>
      </c>
      <c r="AA188" s="790">
        <v>1</v>
      </c>
      <c r="AB188" s="789">
        <v>2</v>
      </c>
      <c r="AC188" s="789">
        <v>2</v>
      </c>
      <c r="AD188" s="789">
        <v>0</v>
      </c>
      <c r="AE188" s="789">
        <v>0</v>
      </c>
      <c r="AF188" s="789">
        <v>0</v>
      </c>
      <c r="AG188" s="789">
        <v>2</v>
      </c>
      <c r="AH188" s="789">
        <v>2</v>
      </c>
      <c r="AI188" s="789">
        <v>2</v>
      </c>
      <c r="AJ188" s="789">
        <v>2</v>
      </c>
      <c r="AK188" s="789">
        <v>2</v>
      </c>
      <c r="AL188" s="789">
        <v>2</v>
      </c>
      <c r="AM188" s="789">
        <v>2</v>
      </c>
      <c r="AN188" s="789">
        <v>2</v>
      </c>
      <c r="AO188" s="789">
        <v>2</v>
      </c>
      <c r="AP188" s="789">
        <v>2</v>
      </c>
      <c r="AQ188" s="789">
        <v>1</v>
      </c>
      <c r="AR188" s="789">
        <v>0</v>
      </c>
      <c r="AS188" s="789">
        <v>2</v>
      </c>
      <c r="AT188" s="789">
        <v>2</v>
      </c>
      <c r="AU188" s="789">
        <v>2</v>
      </c>
      <c r="AV188" s="789">
        <v>1</v>
      </c>
      <c r="AW188" s="789">
        <v>1</v>
      </c>
      <c r="AX188" s="789">
        <v>2</v>
      </c>
      <c r="AY188" s="789">
        <v>2</v>
      </c>
      <c r="AZ188" s="789">
        <v>2</v>
      </c>
      <c r="BA188" s="789">
        <v>0</v>
      </c>
      <c r="BB188" s="789">
        <v>2</v>
      </c>
      <c r="BC188" s="789">
        <v>2</v>
      </c>
      <c r="BD188" s="789">
        <v>2</v>
      </c>
      <c r="BE188" s="789">
        <v>2</v>
      </c>
      <c r="BF188" s="789">
        <v>0</v>
      </c>
      <c r="BG188" s="789">
        <v>2</v>
      </c>
      <c r="BH188" s="789">
        <v>2</v>
      </c>
      <c r="BI188" s="789">
        <v>2</v>
      </c>
      <c r="BJ188" s="789">
        <v>1</v>
      </c>
      <c r="BK188" s="789">
        <v>2</v>
      </c>
      <c r="BL188" s="789">
        <v>0</v>
      </c>
      <c r="BM188" s="789">
        <v>2</v>
      </c>
      <c r="BN188" s="789">
        <v>2</v>
      </c>
      <c r="BO188" s="789">
        <v>2</v>
      </c>
      <c r="BP188" s="789">
        <v>1</v>
      </c>
      <c r="BQ188" s="789">
        <v>1</v>
      </c>
      <c r="BR188" s="789">
        <v>2</v>
      </c>
      <c r="BS188" s="789">
        <v>2</v>
      </c>
      <c r="BT188" s="789">
        <v>2</v>
      </c>
      <c r="BU188" s="789">
        <v>1</v>
      </c>
      <c r="BV188" s="789">
        <v>2</v>
      </c>
      <c r="BW188" s="789">
        <v>2</v>
      </c>
      <c r="BX188" s="789">
        <v>2</v>
      </c>
      <c r="BY188" s="789">
        <v>2</v>
      </c>
      <c r="BZ188" s="789">
        <v>1</v>
      </c>
      <c r="CA188" s="789">
        <v>2</v>
      </c>
      <c r="CB188" s="789">
        <v>0</v>
      </c>
      <c r="CC188" s="789">
        <v>1</v>
      </c>
      <c r="CD188" s="789">
        <v>2</v>
      </c>
      <c r="CE188" s="789">
        <v>2</v>
      </c>
    </row>
    <row r="189" spans="1:83" s="791" customFormat="1" ht="30" x14ac:dyDescent="0.25">
      <c r="A189" s="767">
        <v>539</v>
      </c>
      <c r="B189" s="783">
        <v>539</v>
      </c>
      <c r="C189" s="792" t="s">
        <v>1182</v>
      </c>
      <c r="D189" s="785" t="s">
        <v>571</v>
      </c>
      <c r="E189" s="786"/>
      <c r="F189" s="787"/>
      <c r="G189" s="787"/>
      <c r="H189" s="787"/>
      <c r="I189" s="787"/>
      <c r="J189" s="787"/>
      <c r="K189" s="788"/>
      <c r="L189" s="789"/>
      <c r="M189" s="789"/>
      <c r="N189" s="790"/>
      <c r="O189" s="790"/>
      <c r="P189" s="790"/>
      <c r="Q189" s="790"/>
      <c r="R189" s="790"/>
      <c r="S189" s="790"/>
      <c r="T189" s="790"/>
      <c r="U189" s="790"/>
      <c r="V189" s="790"/>
      <c r="W189" s="790"/>
      <c r="X189" s="790"/>
      <c r="Y189" s="790"/>
      <c r="Z189" s="790"/>
      <c r="AA189" s="790"/>
      <c r="AB189" s="789"/>
      <c r="AC189" s="789"/>
      <c r="AD189" s="789"/>
      <c r="AE189" s="789"/>
      <c r="AF189" s="789"/>
      <c r="AG189" s="789"/>
      <c r="AH189" s="789"/>
      <c r="AI189" s="789"/>
      <c r="AJ189" s="789"/>
      <c r="AK189" s="789"/>
      <c r="AL189" s="789"/>
      <c r="AM189" s="789"/>
      <c r="AN189" s="789"/>
      <c r="AO189" s="789"/>
      <c r="AP189" s="789"/>
      <c r="AQ189" s="789"/>
      <c r="AR189" s="789"/>
      <c r="AS189" s="789"/>
      <c r="AT189" s="789"/>
      <c r="AU189" s="789"/>
      <c r="AV189" s="789"/>
      <c r="AW189" s="789"/>
      <c r="AX189" s="789"/>
      <c r="AY189" s="789"/>
      <c r="AZ189" s="789"/>
      <c r="BA189" s="789"/>
      <c r="BB189" s="789"/>
      <c r="BC189" s="789"/>
      <c r="BD189" s="789"/>
      <c r="BE189" s="789"/>
      <c r="BF189" s="789"/>
      <c r="BG189" s="789"/>
      <c r="BH189" s="789"/>
      <c r="BI189" s="789"/>
      <c r="BJ189" s="789"/>
      <c r="BK189" s="789"/>
      <c r="BL189" s="789"/>
      <c r="BM189" s="789"/>
      <c r="BN189" s="789"/>
      <c r="BO189" s="789"/>
      <c r="BP189" s="789"/>
      <c r="BQ189" s="789"/>
      <c r="BR189" s="789"/>
      <c r="BS189" s="789"/>
      <c r="BT189" s="789"/>
      <c r="BU189" s="789"/>
      <c r="BV189" s="789"/>
      <c r="BW189" s="789"/>
      <c r="BX189" s="789"/>
      <c r="BY189" s="789"/>
      <c r="BZ189" s="789"/>
      <c r="CA189" s="789"/>
      <c r="CB189" s="789"/>
      <c r="CC189" s="789"/>
      <c r="CD189" s="789"/>
      <c r="CE189" s="789"/>
    </row>
    <row r="190" spans="1:83" ht="30" x14ac:dyDescent="0.25">
      <c r="A190" s="767">
        <v>540</v>
      </c>
      <c r="B190" s="793">
        <v>540</v>
      </c>
      <c r="C190" s="794" t="s">
        <v>1183</v>
      </c>
      <c r="D190" s="795" t="s">
        <v>572</v>
      </c>
      <c r="E190" s="769">
        <v>0</v>
      </c>
      <c r="F190" s="770">
        <v>0</v>
      </c>
      <c r="G190" s="770">
        <v>0</v>
      </c>
      <c r="H190" s="770">
        <v>0</v>
      </c>
      <c r="I190" s="770">
        <v>19000</v>
      </c>
      <c r="J190" s="770">
        <v>0</v>
      </c>
      <c r="K190" s="771">
        <v>0</v>
      </c>
      <c r="L190" s="772">
        <v>17875</v>
      </c>
      <c r="M190" s="772">
        <v>0</v>
      </c>
      <c r="N190" s="773">
        <v>5033560</v>
      </c>
      <c r="O190" s="773">
        <v>323880</v>
      </c>
      <c r="P190" s="773">
        <v>0</v>
      </c>
      <c r="Q190" s="773">
        <v>0</v>
      </c>
      <c r="R190" s="773">
        <v>4758817</v>
      </c>
      <c r="S190" s="773">
        <v>0</v>
      </c>
      <c r="T190" s="773">
        <v>0</v>
      </c>
      <c r="U190" s="773">
        <v>0</v>
      </c>
      <c r="V190" s="773">
        <v>0</v>
      </c>
      <c r="W190" s="773">
        <v>456000</v>
      </c>
      <c r="X190" s="773">
        <v>0</v>
      </c>
      <c r="Y190" s="773">
        <v>0</v>
      </c>
      <c r="Z190" s="773">
        <v>0</v>
      </c>
      <c r="AA190" s="773">
        <v>0</v>
      </c>
      <c r="AB190" s="772">
        <v>0</v>
      </c>
      <c r="AC190" s="772">
        <v>46402</v>
      </c>
      <c r="AD190" s="772">
        <v>2145498</v>
      </c>
      <c r="AE190" s="772">
        <v>54432</v>
      </c>
      <c r="AF190" s="772">
        <v>0</v>
      </c>
      <c r="AG190" s="772">
        <v>1563000</v>
      </c>
      <c r="AH190" s="772">
        <v>20000</v>
      </c>
      <c r="AI190" s="772">
        <v>3000</v>
      </c>
      <c r="AJ190" s="772">
        <v>646721</v>
      </c>
      <c r="AK190" s="772">
        <v>63359</v>
      </c>
      <c r="AL190" s="772">
        <v>0</v>
      </c>
      <c r="AM190" s="772">
        <v>0</v>
      </c>
      <c r="AN190" s="772">
        <v>0</v>
      </c>
      <c r="AO190" s="772">
        <v>1477800</v>
      </c>
      <c r="AP190" s="772">
        <v>25650</v>
      </c>
      <c r="AQ190" s="772">
        <v>270350</v>
      </c>
      <c r="AR190" s="772">
        <v>77225</v>
      </c>
      <c r="AS190" s="772">
        <v>0</v>
      </c>
      <c r="AT190" s="772">
        <v>0</v>
      </c>
      <c r="AU190" s="772">
        <v>0</v>
      </c>
      <c r="AV190" s="772">
        <v>6237281</v>
      </c>
      <c r="AW190" s="772">
        <v>1379935</v>
      </c>
      <c r="AX190" s="772">
        <v>0</v>
      </c>
      <c r="AY190" s="772">
        <v>0</v>
      </c>
      <c r="AZ190" s="772">
        <v>0</v>
      </c>
      <c r="BA190" s="772">
        <v>0</v>
      </c>
      <c r="BB190" s="772">
        <v>33950</v>
      </c>
      <c r="BC190" s="772">
        <v>597525</v>
      </c>
      <c r="BD190" s="772">
        <v>0</v>
      </c>
      <c r="BE190" s="772">
        <v>12307</v>
      </c>
      <c r="BF190" s="772">
        <v>0</v>
      </c>
      <c r="BG190" s="772">
        <v>0</v>
      </c>
      <c r="BH190" s="772">
        <v>0</v>
      </c>
      <c r="BI190" s="772">
        <v>1015060</v>
      </c>
      <c r="BJ190" s="772">
        <v>100300</v>
      </c>
      <c r="BK190" s="772">
        <v>0</v>
      </c>
      <c r="BL190" s="772">
        <v>0</v>
      </c>
      <c r="BM190" s="772">
        <v>550000</v>
      </c>
      <c r="BN190" s="772">
        <v>612000</v>
      </c>
      <c r="BO190" s="772">
        <v>0</v>
      </c>
      <c r="BP190" s="772">
        <v>1792353</v>
      </c>
      <c r="BQ190" s="772">
        <v>3043012</v>
      </c>
      <c r="BR190" s="772">
        <v>0</v>
      </c>
      <c r="BS190" s="772">
        <v>0</v>
      </c>
      <c r="BT190" s="772">
        <v>553233</v>
      </c>
      <c r="BU190" s="772">
        <v>885388</v>
      </c>
      <c r="BV190" s="772">
        <v>0</v>
      </c>
      <c r="BW190" s="772">
        <v>285275</v>
      </c>
      <c r="BX190" s="772">
        <v>34977</v>
      </c>
      <c r="BY190" s="772">
        <v>0</v>
      </c>
      <c r="BZ190" s="772">
        <v>0</v>
      </c>
      <c r="CA190" s="772">
        <v>0</v>
      </c>
      <c r="CB190" s="772">
        <v>850000</v>
      </c>
      <c r="CC190" s="772">
        <v>12935</v>
      </c>
      <c r="CD190" s="772">
        <v>152000</v>
      </c>
      <c r="CE190" s="772">
        <v>0</v>
      </c>
    </row>
    <row r="191" spans="1:83" ht="45" x14ac:dyDescent="0.25">
      <c r="A191" s="767">
        <v>541</v>
      </c>
      <c r="B191" s="793">
        <v>541</v>
      </c>
      <c r="C191" s="794" t="s">
        <v>1184</v>
      </c>
      <c r="D191" s="795" t="s">
        <v>573</v>
      </c>
      <c r="E191" s="769">
        <v>-1894</v>
      </c>
      <c r="F191" s="770">
        <v>-42420</v>
      </c>
      <c r="G191" s="770">
        <v>0</v>
      </c>
      <c r="H191" s="770">
        <v>95184</v>
      </c>
      <c r="I191" s="770">
        <v>70837</v>
      </c>
      <c r="J191" s="770">
        <v>-7793</v>
      </c>
      <c r="K191" s="771">
        <v>0</v>
      </c>
      <c r="L191" s="772">
        <v>-100682</v>
      </c>
      <c r="M191" s="772">
        <v>422899</v>
      </c>
      <c r="N191" s="773">
        <v>0</v>
      </c>
      <c r="O191" s="773">
        <v>0</v>
      </c>
      <c r="P191" s="773">
        <v>0</v>
      </c>
      <c r="Q191" s="773">
        <v>-168</v>
      </c>
      <c r="R191" s="773">
        <v>1116777</v>
      </c>
      <c r="S191" s="773">
        <v>0</v>
      </c>
      <c r="T191" s="773">
        <v>22117</v>
      </c>
      <c r="U191" s="773">
        <v>148091</v>
      </c>
      <c r="V191" s="773">
        <v>85700</v>
      </c>
      <c r="W191" s="773">
        <v>433512</v>
      </c>
      <c r="X191" s="773">
        <v>0</v>
      </c>
      <c r="Y191" s="773">
        <v>19162</v>
      </c>
      <c r="Z191" s="773">
        <v>-177197</v>
      </c>
      <c r="AA191" s="773">
        <v>1181060</v>
      </c>
      <c r="AB191" s="772">
        <v>-26309</v>
      </c>
      <c r="AC191" s="772">
        <v>30156</v>
      </c>
      <c r="AD191" s="772">
        <v>0</v>
      </c>
      <c r="AE191" s="772">
        <v>0</v>
      </c>
      <c r="AF191" s="772">
        <v>0</v>
      </c>
      <c r="AG191" s="772">
        <v>3611059</v>
      </c>
      <c r="AH191" s="772">
        <v>-298</v>
      </c>
      <c r="AI191" s="772">
        <v>6017</v>
      </c>
      <c r="AJ191" s="772">
        <v>645188</v>
      </c>
      <c r="AK191" s="772">
        <v>-3515</v>
      </c>
      <c r="AL191" s="772">
        <v>6407</v>
      </c>
      <c r="AM191" s="772">
        <v>-2491885</v>
      </c>
      <c r="AN191" s="772">
        <v>31806</v>
      </c>
      <c r="AO191" s="772">
        <v>1291956</v>
      </c>
      <c r="AP191" s="772">
        <v>0</v>
      </c>
      <c r="AQ191" s="772">
        <v>208758</v>
      </c>
      <c r="AR191" s="772">
        <v>0</v>
      </c>
      <c r="AS191" s="772">
        <v>0</v>
      </c>
      <c r="AT191" s="772">
        <v>326595</v>
      </c>
      <c r="AU191" s="772">
        <v>-25912</v>
      </c>
      <c r="AV191" s="772">
        <v>29678842</v>
      </c>
      <c r="AW191" s="772">
        <v>4933656</v>
      </c>
      <c r="AX191" s="772">
        <v>83529</v>
      </c>
      <c r="AY191" s="772">
        <v>-23804</v>
      </c>
      <c r="AZ191" s="772">
        <v>-10274</v>
      </c>
      <c r="BA191" s="772">
        <v>-3660</v>
      </c>
      <c r="BB191" s="772">
        <v>-7896</v>
      </c>
      <c r="BC191" s="772">
        <v>-95696</v>
      </c>
      <c r="BD191" s="772">
        <v>29218</v>
      </c>
      <c r="BE191" s="772">
        <v>0</v>
      </c>
      <c r="BF191" s="772">
        <v>33408</v>
      </c>
      <c r="BG191" s="772">
        <v>894927</v>
      </c>
      <c r="BH191" s="772">
        <v>0</v>
      </c>
      <c r="BI191" s="772">
        <v>121633</v>
      </c>
      <c r="BJ191" s="772">
        <v>53531</v>
      </c>
      <c r="BK191" s="772">
        <v>0</v>
      </c>
      <c r="BL191" s="772">
        <v>0</v>
      </c>
      <c r="BM191" s="772">
        <v>4873357</v>
      </c>
      <c r="BN191" s="772">
        <v>-212247</v>
      </c>
      <c r="BO191" s="772">
        <v>97733</v>
      </c>
      <c r="BP191" s="772">
        <v>3207306</v>
      </c>
      <c r="BQ191" s="772">
        <v>10516097</v>
      </c>
      <c r="BR191" s="772">
        <v>13612</v>
      </c>
      <c r="BS191" s="772">
        <v>-553887</v>
      </c>
      <c r="BT191" s="772">
        <v>508235</v>
      </c>
      <c r="BU191" s="772">
        <v>407670</v>
      </c>
      <c r="BV191" s="772">
        <v>989</v>
      </c>
      <c r="BW191" s="772">
        <v>0</v>
      </c>
      <c r="BX191" s="772">
        <v>296724</v>
      </c>
      <c r="BY191" s="772">
        <v>0</v>
      </c>
      <c r="BZ191" s="772">
        <v>3672971</v>
      </c>
      <c r="CA191" s="772">
        <v>-2994</v>
      </c>
      <c r="CB191" s="772">
        <v>0</v>
      </c>
      <c r="CC191" s="772">
        <v>-331</v>
      </c>
      <c r="CD191" s="772">
        <v>0</v>
      </c>
      <c r="CE191" s="772">
        <v>0</v>
      </c>
    </row>
    <row r="192" spans="1:83" ht="30" x14ac:dyDescent="0.25">
      <c r="A192" s="767">
        <v>542</v>
      </c>
      <c r="B192" s="793">
        <v>542</v>
      </c>
      <c r="C192" s="794" t="s">
        <v>1185</v>
      </c>
      <c r="D192" s="795" t="s">
        <v>574</v>
      </c>
      <c r="E192" s="769">
        <v>0</v>
      </c>
      <c r="F192" s="770">
        <v>0</v>
      </c>
      <c r="G192" s="770">
        <v>0</v>
      </c>
      <c r="H192" s="770">
        <v>0</v>
      </c>
      <c r="I192" s="770">
        <v>0</v>
      </c>
      <c r="J192" s="770">
        <v>0</v>
      </c>
      <c r="K192" s="771">
        <v>0</v>
      </c>
      <c r="L192" s="772">
        <v>9884</v>
      </c>
      <c r="M192" s="772">
        <v>0</v>
      </c>
      <c r="N192" s="773">
        <v>0</v>
      </c>
      <c r="O192" s="773">
        <v>0</v>
      </c>
      <c r="P192" s="773">
        <v>0</v>
      </c>
      <c r="Q192" s="773">
        <v>0</v>
      </c>
      <c r="R192" s="773">
        <v>679850</v>
      </c>
      <c r="S192" s="773">
        <v>0</v>
      </c>
      <c r="T192" s="773">
        <v>0</v>
      </c>
      <c r="U192" s="773">
        <v>0</v>
      </c>
      <c r="V192" s="773">
        <v>0</v>
      </c>
      <c r="W192" s="773">
        <v>0</v>
      </c>
      <c r="X192" s="773">
        <v>0</v>
      </c>
      <c r="Y192" s="773">
        <v>0</v>
      </c>
      <c r="Z192" s="773">
        <v>120000</v>
      </c>
      <c r="AA192" s="773">
        <v>0</v>
      </c>
      <c r="AB192" s="772">
        <v>0</v>
      </c>
      <c r="AC192" s="772">
        <v>0</v>
      </c>
      <c r="AD192" s="772">
        <v>0</v>
      </c>
      <c r="AE192" s="772">
        <v>0</v>
      </c>
      <c r="AF192" s="772">
        <v>0</v>
      </c>
      <c r="AG192" s="772">
        <v>0</v>
      </c>
      <c r="AH192" s="772">
        <v>0</v>
      </c>
      <c r="AI192" s="772">
        <v>0</v>
      </c>
      <c r="AJ192" s="772">
        <v>0</v>
      </c>
      <c r="AK192" s="772">
        <v>0</v>
      </c>
      <c r="AL192" s="772">
        <v>0</v>
      </c>
      <c r="AM192" s="772">
        <v>0</v>
      </c>
      <c r="AN192" s="772">
        <v>0</v>
      </c>
      <c r="AO192" s="772">
        <v>350000</v>
      </c>
      <c r="AP192" s="772">
        <v>0</v>
      </c>
      <c r="AQ192" s="772">
        <v>0</v>
      </c>
      <c r="AR192" s="772">
        <v>0</v>
      </c>
      <c r="AS192" s="772">
        <v>0</v>
      </c>
      <c r="AT192" s="772">
        <v>0</v>
      </c>
      <c r="AU192" s="772">
        <v>0</v>
      </c>
      <c r="AV192" s="772">
        <v>14025289</v>
      </c>
      <c r="AW192" s="772">
        <v>0</v>
      </c>
      <c r="AX192" s="772">
        <v>0</v>
      </c>
      <c r="AY192" s="772">
        <v>0</v>
      </c>
      <c r="AZ192" s="772">
        <v>0</v>
      </c>
      <c r="BA192" s="772">
        <v>0</v>
      </c>
      <c r="BB192" s="772">
        <v>42350</v>
      </c>
      <c r="BC192" s="772">
        <v>0</v>
      </c>
      <c r="BD192" s="772">
        <v>0</v>
      </c>
      <c r="BE192" s="772">
        <v>0</v>
      </c>
      <c r="BF192" s="772">
        <v>0</v>
      </c>
      <c r="BG192" s="772">
        <v>0</v>
      </c>
      <c r="BH192" s="772">
        <v>0</v>
      </c>
      <c r="BI192" s="772">
        <v>0</v>
      </c>
      <c r="BJ192" s="772">
        <v>0</v>
      </c>
      <c r="BK192" s="772">
        <v>0</v>
      </c>
      <c r="BL192" s="772">
        <v>0</v>
      </c>
      <c r="BM192" s="772">
        <v>0</v>
      </c>
      <c r="BN192" s="772">
        <v>471937</v>
      </c>
      <c r="BO192" s="772">
        <v>0</v>
      </c>
      <c r="BP192" s="772">
        <v>0</v>
      </c>
      <c r="BQ192" s="772">
        <v>1089482</v>
      </c>
      <c r="BR192" s="772">
        <v>0</v>
      </c>
      <c r="BS192" s="772">
        <v>0</v>
      </c>
      <c r="BT192" s="772">
        <v>0</v>
      </c>
      <c r="BU192" s="772">
        <v>1688114</v>
      </c>
      <c r="BV192" s="772">
        <v>0</v>
      </c>
      <c r="BW192" s="772">
        <v>0</v>
      </c>
      <c r="BX192" s="772">
        <v>0</v>
      </c>
      <c r="BY192" s="772">
        <v>0</v>
      </c>
      <c r="BZ192" s="772">
        <v>0</v>
      </c>
      <c r="CA192" s="772">
        <v>0</v>
      </c>
      <c r="CB192" s="772">
        <v>0</v>
      </c>
      <c r="CC192" s="772">
        <v>0</v>
      </c>
      <c r="CD192" s="772">
        <v>0</v>
      </c>
      <c r="CE192" s="772">
        <v>0</v>
      </c>
    </row>
    <row r="193" spans="1:83" ht="45" x14ac:dyDescent="0.25">
      <c r="B193" s="793">
        <v>543</v>
      </c>
      <c r="C193" s="796" t="s">
        <v>1186</v>
      </c>
      <c r="D193" s="795" t="s">
        <v>575</v>
      </c>
      <c r="E193" s="769"/>
      <c r="F193" s="770"/>
      <c r="G193" s="770"/>
      <c r="H193" s="770"/>
      <c r="I193" s="770"/>
      <c r="J193" s="770"/>
      <c r="K193" s="771"/>
      <c r="L193" s="772"/>
      <c r="M193" s="772"/>
      <c r="N193" s="773"/>
      <c r="O193" s="773"/>
      <c r="P193" s="773"/>
      <c r="Q193" s="773"/>
      <c r="R193" s="773"/>
      <c r="S193" s="773"/>
      <c r="T193" s="773"/>
      <c r="U193" s="773"/>
      <c r="V193" s="773"/>
      <c r="W193" s="773"/>
      <c r="X193" s="773"/>
      <c r="Y193" s="773"/>
      <c r="Z193" s="773"/>
      <c r="AA193" s="773"/>
      <c r="AB193" s="772"/>
      <c r="AC193" s="772"/>
      <c r="AD193" s="772"/>
      <c r="AE193" s="772"/>
      <c r="AF193" s="772"/>
      <c r="AG193" s="772"/>
      <c r="AH193" s="772"/>
      <c r="AI193" s="772"/>
      <c r="AJ193" s="772"/>
      <c r="AK193" s="772"/>
      <c r="AL193" s="772"/>
      <c r="AM193" s="772"/>
      <c r="AN193" s="772"/>
      <c r="AO193" s="772"/>
      <c r="AP193" s="772"/>
      <c r="AQ193" s="772"/>
      <c r="AR193" s="772"/>
      <c r="AS193" s="772"/>
      <c r="AT193" s="772"/>
      <c r="AU193" s="772"/>
      <c r="AV193" s="772"/>
      <c r="AW193" s="772"/>
      <c r="AX193" s="772"/>
      <c r="AY193" s="772"/>
      <c r="AZ193" s="772"/>
      <c r="BA193" s="772"/>
      <c r="BB193" s="772"/>
      <c r="BC193" s="772"/>
      <c r="BD193" s="772"/>
      <c r="BE193" s="772"/>
      <c r="BF193" s="772"/>
      <c r="BG193" s="772"/>
      <c r="BH193" s="772"/>
      <c r="BI193" s="772"/>
      <c r="BJ193" s="772"/>
      <c r="BK193" s="772"/>
      <c r="BL193" s="772"/>
      <c r="BM193" s="772"/>
      <c r="BN193" s="772"/>
      <c r="BO193" s="772"/>
      <c r="BP193" s="772"/>
      <c r="BQ193" s="772"/>
      <c r="BR193" s="772"/>
      <c r="BS193" s="772"/>
      <c r="BT193" s="772"/>
      <c r="BU193" s="772"/>
      <c r="BV193" s="772"/>
      <c r="BW193" s="772"/>
      <c r="BX193" s="772"/>
      <c r="BY193" s="772"/>
      <c r="BZ193" s="772"/>
      <c r="CA193" s="772"/>
      <c r="CB193" s="772"/>
      <c r="CC193" s="772"/>
      <c r="CD193" s="772"/>
      <c r="CE193" s="772"/>
    </row>
    <row r="194" spans="1:83" x14ac:dyDescent="0.25">
      <c r="A194" s="767">
        <v>544</v>
      </c>
      <c r="B194" s="793">
        <v>544</v>
      </c>
      <c r="C194" s="796" t="s">
        <v>60</v>
      </c>
      <c r="D194" s="795" t="s">
        <v>576</v>
      </c>
      <c r="E194" s="777">
        <v>0.02</v>
      </c>
      <c r="F194" s="778">
        <v>0</v>
      </c>
      <c r="G194" s="778">
        <v>0</v>
      </c>
      <c r="H194" s="778">
        <v>0</v>
      </c>
      <c r="I194" s="778">
        <v>0</v>
      </c>
      <c r="J194" s="778">
        <v>0</v>
      </c>
      <c r="K194" s="779">
        <v>0</v>
      </c>
      <c r="L194" s="780">
        <v>0</v>
      </c>
      <c r="M194" s="780">
        <v>0</v>
      </c>
      <c r="N194" s="781">
        <v>0</v>
      </c>
      <c r="O194" s="781">
        <v>0</v>
      </c>
      <c r="P194" s="781">
        <v>0</v>
      </c>
      <c r="Q194" s="781">
        <v>0</v>
      </c>
      <c r="R194" s="781">
        <v>0</v>
      </c>
      <c r="S194" s="781">
        <v>0</v>
      </c>
      <c r="T194" s="781">
        <v>0</v>
      </c>
      <c r="U194" s="781">
        <v>0</v>
      </c>
      <c r="V194" s="781">
        <v>0</v>
      </c>
      <c r="W194" s="781">
        <v>0</v>
      </c>
      <c r="X194" s="781">
        <v>0</v>
      </c>
      <c r="Y194" s="781">
        <v>0</v>
      </c>
      <c r="Z194" s="781">
        <v>0</v>
      </c>
      <c r="AA194" s="781">
        <v>0</v>
      </c>
      <c r="AB194" s="780">
        <v>0</v>
      </c>
      <c r="AC194" s="780">
        <v>0</v>
      </c>
      <c r="AD194" s="780">
        <v>0</v>
      </c>
      <c r="AE194" s="780">
        <v>0</v>
      </c>
      <c r="AF194" s="780">
        <v>0</v>
      </c>
      <c r="AG194" s="780">
        <v>0</v>
      </c>
      <c r="AH194" s="780">
        <v>0</v>
      </c>
      <c r="AI194" s="780">
        <v>0</v>
      </c>
      <c r="AJ194" s="780">
        <v>0.02</v>
      </c>
      <c r="AK194" s="780">
        <v>-0.03</v>
      </c>
      <c r="AL194" s="780">
        <v>0</v>
      </c>
      <c r="AM194" s="780">
        <v>0</v>
      </c>
      <c r="AN194" s="780">
        <v>0</v>
      </c>
      <c r="AO194" s="780">
        <v>0</v>
      </c>
      <c r="AP194" s="780">
        <v>0</v>
      </c>
      <c r="AQ194" s="780">
        <v>0.01</v>
      </c>
      <c r="AR194" s="780">
        <v>0</v>
      </c>
      <c r="AS194" s="780">
        <v>0</v>
      </c>
      <c r="AT194" s="780">
        <v>0</v>
      </c>
      <c r="AU194" s="780">
        <v>0</v>
      </c>
      <c r="AV194" s="780">
        <v>0</v>
      </c>
      <c r="AW194" s="780">
        <v>0</v>
      </c>
      <c r="AX194" s="780">
        <v>0</v>
      </c>
      <c r="AY194" s="780">
        <v>0</v>
      </c>
      <c r="AZ194" s="780">
        <v>0</v>
      </c>
      <c r="BA194" s="780">
        <v>0</v>
      </c>
      <c r="BB194" s="780">
        <v>0.05</v>
      </c>
      <c r="BC194" s="780">
        <v>0</v>
      </c>
      <c r="BD194" s="780">
        <v>0</v>
      </c>
      <c r="BE194" s="780">
        <v>0</v>
      </c>
      <c r="BF194" s="780">
        <v>0</v>
      </c>
      <c r="BG194" s="780">
        <v>0</v>
      </c>
      <c r="BH194" s="780">
        <v>0</v>
      </c>
      <c r="BI194" s="780">
        <v>0</v>
      </c>
      <c r="BJ194" s="780">
        <v>0</v>
      </c>
      <c r="BK194" s="780">
        <v>0</v>
      </c>
      <c r="BL194" s="780">
        <v>0</v>
      </c>
      <c r="BM194" s="780">
        <v>0</v>
      </c>
      <c r="BN194" s="780">
        <v>0.01</v>
      </c>
      <c r="BO194" s="780">
        <v>0</v>
      </c>
      <c r="BP194" s="780">
        <v>0</v>
      </c>
      <c r="BQ194" s="780">
        <v>0</v>
      </c>
      <c r="BR194" s="780">
        <v>0</v>
      </c>
      <c r="BS194" s="780">
        <v>0</v>
      </c>
      <c r="BT194" s="780">
        <v>0</v>
      </c>
      <c r="BU194" s="780">
        <v>-0.06</v>
      </c>
      <c r="BV194" s="780">
        <v>0</v>
      </c>
      <c r="BW194" s="780">
        <v>0</v>
      </c>
      <c r="BX194" s="780">
        <v>0</v>
      </c>
      <c r="BY194" s="780">
        <v>-0.02</v>
      </c>
      <c r="BZ194" s="780">
        <v>0</v>
      </c>
      <c r="CA194" s="780">
        <v>0</v>
      </c>
      <c r="CB194" s="780">
        <v>0</v>
      </c>
      <c r="CC194" s="780">
        <v>0</v>
      </c>
      <c r="CD194" s="780">
        <v>0</v>
      </c>
      <c r="CE194" s="780">
        <v>0</v>
      </c>
    </row>
    <row r="195" spans="1:83" ht="30" x14ac:dyDescent="0.25">
      <c r="A195" s="767">
        <v>545</v>
      </c>
      <c r="B195" s="793">
        <v>545</v>
      </c>
      <c r="C195" s="796" t="s">
        <v>61</v>
      </c>
      <c r="D195" s="795" t="s">
        <v>577</v>
      </c>
      <c r="E195" s="777">
        <v>0</v>
      </c>
      <c r="F195" s="778">
        <v>0</v>
      </c>
      <c r="G195" s="778">
        <v>0</v>
      </c>
      <c r="H195" s="778">
        <v>0</v>
      </c>
      <c r="I195" s="778">
        <v>0</v>
      </c>
      <c r="J195" s="778">
        <v>0</v>
      </c>
      <c r="K195" s="779">
        <v>0</v>
      </c>
      <c r="L195" s="780">
        <v>0</v>
      </c>
      <c r="M195" s="780">
        <v>0</v>
      </c>
      <c r="N195" s="781">
        <v>0</v>
      </c>
      <c r="O195" s="781">
        <v>0</v>
      </c>
      <c r="P195" s="781">
        <v>0</v>
      </c>
      <c r="Q195" s="781">
        <v>0</v>
      </c>
      <c r="R195" s="781">
        <v>0</v>
      </c>
      <c r="S195" s="781">
        <v>0</v>
      </c>
      <c r="T195" s="781">
        <v>0</v>
      </c>
      <c r="U195" s="781">
        <v>0</v>
      </c>
      <c r="V195" s="781">
        <v>0</v>
      </c>
      <c r="W195" s="781">
        <v>0</v>
      </c>
      <c r="X195" s="781">
        <v>0</v>
      </c>
      <c r="Y195" s="781">
        <v>0</v>
      </c>
      <c r="Z195" s="781">
        <v>0</v>
      </c>
      <c r="AA195" s="781">
        <v>0</v>
      </c>
      <c r="AB195" s="780">
        <v>0</v>
      </c>
      <c r="AC195" s="780">
        <v>0</v>
      </c>
      <c r="AD195" s="780">
        <v>0</v>
      </c>
      <c r="AE195" s="780">
        <v>0</v>
      </c>
      <c r="AF195" s="780">
        <v>0</v>
      </c>
      <c r="AG195" s="780">
        <v>0</v>
      </c>
      <c r="AH195" s="780">
        <v>0</v>
      </c>
      <c r="AI195" s="780">
        <v>0</v>
      </c>
      <c r="AJ195" s="780">
        <v>0</v>
      </c>
      <c r="AK195" s="780">
        <v>-0.01</v>
      </c>
      <c r="AL195" s="780">
        <v>0</v>
      </c>
      <c r="AM195" s="780">
        <v>0</v>
      </c>
      <c r="AN195" s="780">
        <v>0</v>
      </c>
      <c r="AO195" s="780">
        <v>0</v>
      </c>
      <c r="AP195" s="780">
        <v>0</v>
      </c>
      <c r="AQ195" s="780">
        <v>0</v>
      </c>
      <c r="AR195" s="780">
        <v>0</v>
      </c>
      <c r="AS195" s="780">
        <v>0</v>
      </c>
      <c r="AT195" s="780">
        <v>0</v>
      </c>
      <c r="AU195" s="780">
        <v>0</v>
      </c>
      <c r="AV195" s="780">
        <v>0</v>
      </c>
      <c r="AW195" s="780">
        <v>0</v>
      </c>
      <c r="AX195" s="780">
        <v>0</v>
      </c>
      <c r="AY195" s="780">
        <v>0</v>
      </c>
      <c r="AZ195" s="780">
        <v>0</v>
      </c>
      <c r="BA195" s="780">
        <v>0</v>
      </c>
      <c r="BB195" s="780">
        <v>0</v>
      </c>
      <c r="BC195" s="780">
        <v>0</v>
      </c>
      <c r="BD195" s="780">
        <v>0</v>
      </c>
      <c r="BE195" s="780">
        <v>0</v>
      </c>
      <c r="BF195" s="780">
        <v>0</v>
      </c>
      <c r="BG195" s="780">
        <v>7.0000000000000007E-2</v>
      </c>
      <c r="BH195" s="780">
        <v>0</v>
      </c>
      <c r="BI195" s="780">
        <v>0</v>
      </c>
      <c r="BJ195" s="780">
        <v>0</v>
      </c>
      <c r="BK195" s="780">
        <v>0</v>
      </c>
      <c r="BL195" s="780">
        <v>0</v>
      </c>
      <c r="BM195" s="780">
        <v>0</v>
      </c>
      <c r="BN195" s="780">
        <v>0.02</v>
      </c>
      <c r="BO195" s="780">
        <v>0</v>
      </c>
      <c r="BP195" s="780">
        <v>0</v>
      </c>
      <c r="BQ195" s="780">
        <v>0</v>
      </c>
      <c r="BR195" s="780">
        <v>0</v>
      </c>
      <c r="BS195" s="780">
        <v>0</v>
      </c>
      <c r="BT195" s="780">
        <v>0</v>
      </c>
      <c r="BU195" s="780">
        <v>0</v>
      </c>
      <c r="BV195" s="780">
        <v>0</v>
      </c>
      <c r="BW195" s="780">
        <v>0</v>
      </c>
      <c r="BX195" s="780">
        <v>0</v>
      </c>
      <c r="BY195" s="780">
        <v>0</v>
      </c>
      <c r="BZ195" s="780">
        <v>0</v>
      </c>
      <c r="CA195" s="780">
        <v>0</v>
      </c>
      <c r="CB195" s="780">
        <v>0</v>
      </c>
      <c r="CC195" s="780">
        <v>0</v>
      </c>
      <c r="CD195" s="780">
        <v>0</v>
      </c>
      <c r="CE195" s="780">
        <v>0</v>
      </c>
    </row>
    <row r="196" spans="1:83" x14ac:dyDescent="0.25">
      <c r="B196" s="793">
        <v>546</v>
      </c>
      <c r="C196" s="796" t="s">
        <v>1187</v>
      </c>
      <c r="D196" s="795" t="s">
        <v>578</v>
      </c>
      <c r="E196" s="769">
        <v>0</v>
      </c>
      <c r="F196" s="770">
        <v>0</v>
      </c>
      <c r="G196" s="770">
        <v>0</v>
      </c>
      <c r="H196" s="770">
        <v>0</v>
      </c>
      <c r="I196" s="770">
        <v>0</v>
      </c>
      <c r="J196" s="770">
        <v>0</v>
      </c>
      <c r="K196" s="771">
        <v>0</v>
      </c>
      <c r="L196" s="772">
        <v>0</v>
      </c>
      <c r="M196" s="772">
        <v>0</v>
      </c>
      <c r="N196" s="773">
        <v>0</v>
      </c>
      <c r="O196" s="773">
        <v>0</v>
      </c>
      <c r="P196" s="773">
        <v>0</v>
      </c>
      <c r="Q196" s="773">
        <v>0</v>
      </c>
      <c r="R196" s="773">
        <v>0</v>
      </c>
      <c r="S196" s="773">
        <v>0</v>
      </c>
      <c r="T196" s="773">
        <v>0</v>
      </c>
      <c r="U196" s="773">
        <v>0</v>
      </c>
      <c r="V196" s="773">
        <v>0</v>
      </c>
      <c r="W196" s="773">
        <v>0</v>
      </c>
      <c r="X196" s="773">
        <v>0</v>
      </c>
      <c r="Y196" s="773">
        <v>0</v>
      </c>
      <c r="Z196" s="773">
        <v>0</v>
      </c>
      <c r="AA196" s="773">
        <v>0</v>
      </c>
      <c r="AB196" s="772">
        <v>0</v>
      </c>
      <c r="AC196" s="772">
        <v>0</v>
      </c>
      <c r="AD196" s="772">
        <v>0</v>
      </c>
      <c r="AE196" s="772">
        <v>0</v>
      </c>
      <c r="AF196" s="772">
        <v>0</v>
      </c>
      <c r="AG196" s="772">
        <v>0</v>
      </c>
      <c r="AH196" s="772">
        <v>0</v>
      </c>
      <c r="AI196" s="772">
        <v>0</v>
      </c>
      <c r="AJ196" s="772">
        <v>0</v>
      </c>
      <c r="AK196" s="772">
        <v>0</v>
      </c>
      <c r="AL196" s="772">
        <v>0</v>
      </c>
      <c r="AM196" s="772">
        <v>0</v>
      </c>
      <c r="AN196" s="772">
        <v>0</v>
      </c>
      <c r="AO196" s="772">
        <v>0</v>
      </c>
      <c r="AP196" s="772">
        <v>0</v>
      </c>
      <c r="AQ196" s="772">
        <v>0</v>
      </c>
      <c r="AR196" s="772">
        <v>0</v>
      </c>
      <c r="AS196" s="772">
        <v>0</v>
      </c>
      <c r="AT196" s="772">
        <v>0</v>
      </c>
      <c r="AU196" s="772">
        <v>0</v>
      </c>
      <c r="AV196" s="772">
        <v>0</v>
      </c>
      <c r="AW196" s="772">
        <v>0</v>
      </c>
      <c r="AX196" s="772">
        <v>0</v>
      </c>
      <c r="AY196" s="772">
        <v>0</v>
      </c>
      <c r="AZ196" s="772">
        <v>0</v>
      </c>
      <c r="BA196" s="772">
        <v>0</v>
      </c>
      <c r="BB196" s="772">
        <v>0</v>
      </c>
      <c r="BC196" s="772">
        <v>0</v>
      </c>
      <c r="BD196" s="772">
        <v>0</v>
      </c>
      <c r="BE196" s="772">
        <v>0</v>
      </c>
      <c r="BF196" s="772">
        <v>0</v>
      </c>
      <c r="BG196" s="772">
        <v>0</v>
      </c>
      <c r="BH196" s="772">
        <v>0</v>
      </c>
      <c r="BI196" s="772">
        <v>0</v>
      </c>
      <c r="BJ196" s="772">
        <v>0</v>
      </c>
      <c r="BK196" s="772">
        <v>0</v>
      </c>
      <c r="BL196" s="772">
        <v>0</v>
      </c>
      <c r="BM196" s="772">
        <v>0</v>
      </c>
      <c r="BN196" s="772">
        <v>0</v>
      </c>
      <c r="BO196" s="772">
        <v>0</v>
      </c>
      <c r="BP196" s="772">
        <v>0</v>
      </c>
      <c r="BQ196" s="772">
        <v>0</v>
      </c>
      <c r="BR196" s="772">
        <v>0</v>
      </c>
      <c r="BS196" s="772">
        <v>0</v>
      </c>
      <c r="BT196" s="772">
        <v>0</v>
      </c>
      <c r="BU196" s="772">
        <v>0</v>
      </c>
      <c r="BV196" s="772">
        <v>0</v>
      </c>
      <c r="BW196" s="772">
        <v>0</v>
      </c>
      <c r="BX196" s="772">
        <v>0</v>
      </c>
      <c r="BY196" s="772">
        <v>0</v>
      </c>
      <c r="BZ196" s="772">
        <v>0</v>
      </c>
      <c r="CA196" s="772">
        <v>0</v>
      </c>
      <c r="CB196" s="772">
        <v>0</v>
      </c>
      <c r="CC196" s="772">
        <v>0</v>
      </c>
      <c r="CD196" s="772">
        <v>0</v>
      </c>
      <c r="CE196" s="772">
        <v>0</v>
      </c>
    </row>
    <row r="197" spans="1:83" ht="90" x14ac:dyDescent="0.25">
      <c r="A197" s="767">
        <v>547</v>
      </c>
      <c r="B197" s="793">
        <v>547</v>
      </c>
      <c r="C197" s="796" t="s">
        <v>1196</v>
      </c>
      <c r="D197" s="795" t="s">
        <v>579</v>
      </c>
      <c r="E197" s="769">
        <v>2</v>
      </c>
      <c r="F197" s="770">
        <v>3</v>
      </c>
      <c r="G197" s="770">
        <v>2</v>
      </c>
      <c r="H197" s="770">
        <v>3</v>
      </c>
      <c r="I197" s="770">
        <v>2</v>
      </c>
      <c r="J197" s="770">
        <v>2</v>
      </c>
      <c r="K197" s="771">
        <v>2</v>
      </c>
      <c r="L197" s="772">
        <v>2</v>
      </c>
      <c r="M197" s="772">
        <v>3</v>
      </c>
      <c r="N197" s="773">
        <v>3</v>
      </c>
      <c r="O197" s="773">
        <v>2</v>
      </c>
      <c r="P197" s="773">
        <v>1</v>
      </c>
      <c r="Q197" s="773">
        <v>2</v>
      </c>
      <c r="R197" s="773">
        <v>4</v>
      </c>
      <c r="S197" s="773">
        <v>2</v>
      </c>
      <c r="T197" s="773">
        <v>2</v>
      </c>
      <c r="U197" s="773">
        <v>2</v>
      </c>
      <c r="V197" s="773">
        <v>2</v>
      </c>
      <c r="W197" s="773">
        <v>3</v>
      </c>
      <c r="X197" s="773">
        <v>2</v>
      </c>
      <c r="Y197" s="773">
        <v>2</v>
      </c>
      <c r="Z197" s="773">
        <v>3</v>
      </c>
      <c r="AA197" s="773">
        <v>3</v>
      </c>
      <c r="AB197" s="772">
        <v>2</v>
      </c>
      <c r="AC197" s="772">
        <v>2</v>
      </c>
      <c r="AD197" s="772">
        <v>3</v>
      </c>
      <c r="AE197" s="772">
        <v>2</v>
      </c>
      <c r="AF197" s="772">
        <v>3</v>
      </c>
      <c r="AG197" s="772">
        <v>3</v>
      </c>
      <c r="AH197" s="772">
        <v>2</v>
      </c>
      <c r="AI197" s="772">
        <v>2</v>
      </c>
      <c r="AJ197" s="772">
        <v>3</v>
      </c>
      <c r="AK197" s="772">
        <v>2</v>
      </c>
      <c r="AL197" s="772">
        <v>2</v>
      </c>
      <c r="AM197" s="772">
        <v>1</v>
      </c>
      <c r="AN197" s="772">
        <v>2</v>
      </c>
      <c r="AO197" s="772">
        <v>3</v>
      </c>
      <c r="AP197" s="772">
        <v>2</v>
      </c>
      <c r="AQ197" s="772">
        <v>3</v>
      </c>
      <c r="AR197" s="772">
        <v>2</v>
      </c>
      <c r="AS197" s="772">
        <v>2</v>
      </c>
      <c r="AT197" s="772">
        <v>2</v>
      </c>
      <c r="AU197" s="772">
        <v>2</v>
      </c>
      <c r="AV197" s="772">
        <v>3</v>
      </c>
      <c r="AW197" s="772">
        <v>3</v>
      </c>
      <c r="AX197" s="772">
        <v>2</v>
      </c>
      <c r="AY197" s="772">
        <v>2</v>
      </c>
      <c r="AZ197" s="772">
        <v>2</v>
      </c>
      <c r="BA197" s="772">
        <v>2</v>
      </c>
      <c r="BB197" s="772">
        <v>2</v>
      </c>
      <c r="BC197" s="772">
        <v>3</v>
      </c>
      <c r="BD197" s="772">
        <v>2</v>
      </c>
      <c r="BE197" s="772">
        <v>2</v>
      </c>
      <c r="BF197" s="772">
        <v>0</v>
      </c>
      <c r="BG197" s="772">
        <v>2</v>
      </c>
      <c r="BH197" s="772">
        <v>2</v>
      </c>
      <c r="BI197" s="772">
        <v>1</v>
      </c>
      <c r="BJ197" s="772">
        <v>3</v>
      </c>
      <c r="BK197" s="772">
        <v>2</v>
      </c>
      <c r="BL197" s="772">
        <v>2</v>
      </c>
      <c r="BM197" s="772">
        <v>3</v>
      </c>
      <c r="BN197" s="772">
        <v>3</v>
      </c>
      <c r="BO197" s="772">
        <v>2</v>
      </c>
      <c r="BP197" s="772">
        <v>3</v>
      </c>
      <c r="BQ197" s="772">
        <v>3</v>
      </c>
      <c r="BR197" s="772">
        <v>2</v>
      </c>
      <c r="BS197" s="772">
        <v>3</v>
      </c>
      <c r="BT197" s="772">
        <v>2</v>
      </c>
      <c r="BU197" s="772">
        <v>3</v>
      </c>
      <c r="BV197" s="772">
        <v>3</v>
      </c>
      <c r="BW197" s="772">
        <v>2</v>
      </c>
      <c r="BX197" s="772">
        <v>2</v>
      </c>
      <c r="BY197" s="772">
        <v>2</v>
      </c>
      <c r="BZ197" s="772">
        <v>3</v>
      </c>
      <c r="CA197" s="772">
        <v>2</v>
      </c>
      <c r="CB197" s="772">
        <v>3</v>
      </c>
      <c r="CC197" s="772">
        <v>2</v>
      </c>
      <c r="CD197" s="772">
        <v>2</v>
      </c>
      <c r="CE197" s="772">
        <v>3</v>
      </c>
    </row>
    <row r="198" spans="1:83" s="791" customFormat="1" x14ac:dyDescent="0.25">
      <c r="A198" s="635"/>
      <c r="B198" s="783">
        <v>548</v>
      </c>
      <c r="C198" s="792" t="s">
        <v>627</v>
      </c>
      <c r="D198" s="785" t="s">
        <v>666</v>
      </c>
      <c r="E198" s="786">
        <v>0</v>
      </c>
      <c r="F198" s="787">
        <v>0</v>
      </c>
      <c r="G198" s="787">
        <v>0</v>
      </c>
      <c r="H198" s="787">
        <v>0</v>
      </c>
      <c r="I198" s="787">
        <v>0</v>
      </c>
      <c r="J198" s="787">
        <v>0</v>
      </c>
      <c r="K198" s="788">
        <v>0</v>
      </c>
      <c r="L198" s="789">
        <v>0</v>
      </c>
      <c r="M198" s="789">
        <v>0</v>
      </c>
      <c r="N198" s="790">
        <v>0</v>
      </c>
      <c r="O198" s="790">
        <v>0</v>
      </c>
      <c r="P198" s="790">
        <v>0</v>
      </c>
      <c r="Q198" s="790">
        <v>0</v>
      </c>
      <c r="R198" s="790">
        <v>0</v>
      </c>
      <c r="S198" s="790">
        <v>0</v>
      </c>
      <c r="T198" s="790">
        <v>0</v>
      </c>
      <c r="U198" s="790">
        <v>0</v>
      </c>
      <c r="V198" s="790">
        <v>0</v>
      </c>
      <c r="W198" s="790">
        <v>0</v>
      </c>
      <c r="X198" s="790">
        <v>0</v>
      </c>
      <c r="Y198" s="790">
        <v>0</v>
      </c>
      <c r="Z198" s="790">
        <v>0</v>
      </c>
      <c r="AA198" s="790">
        <v>0</v>
      </c>
      <c r="AB198" s="789">
        <v>0</v>
      </c>
      <c r="AC198" s="789">
        <v>0</v>
      </c>
      <c r="AD198" s="789">
        <v>0</v>
      </c>
      <c r="AE198" s="789">
        <v>0</v>
      </c>
      <c r="AF198" s="789">
        <v>0</v>
      </c>
      <c r="AG198" s="789">
        <v>0</v>
      </c>
      <c r="AH198" s="789">
        <v>0</v>
      </c>
      <c r="AI198" s="789">
        <v>0</v>
      </c>
      <c r="AJ198" s="789">
        <v>0</v>
      </c>
      <c r="AK198" s="789">
        <v>0</v>
      </c>
      <c r="AL198" s="789">
        <v>0</v>
      </c>
      <c r="AM198" s="789">
        <v>0</v>
      </c>
      <c r="AN198" s="789">
        <v>0</v>
      </c>
      <c r="AO198" s="789">
        <v>0</v>
      </c>
      <c r="AP198" s="789">
        <v>0</v>
      </c>
      <c r="AQ198" s="789">
        <v>0</v>
      </c>
      <c r="AR198" s="789">
        <v>0</v>
      </c>
      <c r="AS198" s="789">
        <v>0</v>
      </c>
      <c r="AT198" s="789">
        <v>0</v>
      </c>
      <c r="AU198" s="789">
        <v>0</v>
      </c>
      <c r="AV198" s="789">
        <v>0</v>
      </c>
      <c r="AW198" s="789">
        <v>0</v>
      </c>
      <c r="AX198" s="789">
        <v>0</v>
      </c>
      <c r="AY198" s="789">
        <v>0</v>
      </c>
      <c r="AZ198" s="789">
        <v>0</v>
      </c>
      <c r="BA198" s="789">
        <v>0</v>
      </c>
      <c r="BB198" s="789">
        <v>0</v>
      </c>
      <c r="BC198" s="789">
        <v>0</v>
      </c>
      <c r="BD198" s="789">
        <v>0</v>
      </c>
      <c r="BE198" s="789">
        <v>0</v>
      </c>
      <c r="BF198" s="789">
        <v>0</v>
      </c>
      <c r="BG198" s="789">
        <v>0</v>
      </c>
      <c r="BH198" s="789">
        <v>0</v>
      </c>
      <c r="BI198" s="789">
        <v>0</v>
      </c>
      <c r="BJ198" s="789">
        <v>0</v>
      </c>
      <c r="BK198" s="789">
        <v>0</v>
      </c>
      <c r="BL198" s="789">
        <v>0</v>
      </c>
      <c r="BM198" s="789">
        <v>0</v>
      </c>
      <c r="BN198" s="789">
        <v>0</v>
      </c>
      <c r="BO198" s="789">
        <v>0</v>
      </c>
      <c r="BP198" s="789">
        <v>0</v>
      </c>
      <c r="BQ198" s="789">
        <v>0</v>
      </c>
      <c r="BR198" s="789">
        <v>0</v>
      </c>
      <c r="BS198" s="789">
        <v>0</v>
      </c>
      <c r="BT198" s="789">
        <v>0</v>
      </c>
      <c r="BU198" s="789">
        <v>0</v>
      </c>
      <c r="BV198" s="789">
        <v>0</v>
      </c>
      <c r="BW198" s="789">
        <v>0</v>
      </c>
      <c r="BX198" s="789">
        <v>0</v>
      </c>
      <c r="BY198" s="789">
        <v>0</v>
      </c>
      <c r="BZ198" s="789">
        <v>0</v>
      </c>
      <c r="CA198" s="789">
        <v>0</v>
      </c>
      <c r="CB198" s="789">
        <v>0</v>
      </c>
      <c r="CC198" s="789">
        <v>0</v>
      </c>
      <c r="CD198" s="789">
        <v>0</v>
      </c>
      <c r="CE198" s="789">
        <v>0</v>
      </c>
    </row>
    <row r="199" spans="1:83" s="791" customFormat="1" ht="30" x14ac:dyDescent="0.25">
      <c r="A199" s="635"/>
      <c r="B199" s="783">
        <v>549</v>
      </c>
      <c r="C199" s="792" t="s">
        <v>1189</v>
      </c>
      <c r="D199" s="785" t="s">
        <v>667</v>
      </c>
      <c r="E199" s="786">
        <v>0</v>
      </c>
      <c r="F199" s="787">
        <v>0</v>
      </c>
      <c r="G199" s="787">
        <v>0</v>
      </c>
      <c r="H199" s="787">
        <v>0</v>
      </c>
      <c r="I199" s="787">
        <v>0</v>
      </c>
      <c r="J199" s="787">
        <v>0</v>
      </c>
      <c r="K199" s="788">
        <v>0</v>
      </c>
      <c r="L199" s="789">
        <v>0</v>
      </c>
      <c r="M199" s="789">
        <v>0</v>
      </c>
      <c r="N199" s="790">
        <v>0</v>
      </c>
      <c r="O199" s="790">
        <v>0</v>
      </c>
      <c r="P199" s="790">
        <v>0</v>
      </c>
      <c r="Q199" s="790">
        <v>0</v>
      </c>
      <c r="R199" s="790">
        <v>0</v>
      </c>
      <c r="S199" s="790">
        <v>0</v>
      </c>
      <c r="T199" s="790">
        <v>0</v>
      </c>
      <c r="U199" s="790">
        <v>0</v>
      </c>
      <c r="V199" s="790">
        <v>0</v>
      </c>
      <c r="W199" s="790">
        <v>0</v>
      </c>
      <c r="X199" s="790">
        <v>0</v>
      </c>
      <c r="Y199" s="790">
        <v>0</v>
      </c>
      <c r="Z199" s="790">
        <v>0</v>
      </c>
      <c r="AA199" s="790">
        <v>0</v>
      </c>
      <c r="AB199" s="789">
        <v>0</v>
      </c>
      <c r="AC199" s="789">
        <v>0</v>
      </c>
      <c r="AD199" s="789">
        <v>0</v>
      </c>
      <c r="AE199" s="789">
        <v>0</v>
      </c>
      <c r="AF199" s="789">
        <v>0</v>
      </c>
      <c r="AG199" s="789">
        <v>0</v>
      </c>
      <c r="AH199" s="789">
        <v>0</v>
      </c>
      <c r="AI199" s="789">
        <v>0</v>
      </c>
      <c r="AJ199" s="789">
        <v>0</v>
      </c>
      <c r="AK199" s="789">
        <v>0</v>
      </c>
      <c r="AL199" s="789">
        <v>0</v>
      </c>
      <c r="AM199" s="789">
        <v>0</v>
      </c>
      <c r="AN199" s="789">
        <v>0</v>
      </c>
      <c r="AO199" s="789">
        <v>0</v>
      </c>
      <c r="AP199" s="789">
        <v>0</v>
      </c>
      <c r="AQ199" s="789">
        <v>0</v>
      </c>
      <c r="AR199" s="789">
        <v>0</v>
      </c>
      <c r="AS199" s="789">
        <v>0</v>
      </c>
      <c r="AT199" s="789">
        <v>0</v>
      </c>
      <c r="AU199" s="789">
        <v>0</v>
      </c>
      <c r="AV199" s="789">
        <v>0</v>
      </c>
      <c r="AW199" s="789">
        <v>0</v>
      </c>
      <c r="AX199" s="789">
        <v>0</v>
      </c>
      <c r="AY199" s="789">
        <v>0</v>
      </c>
      <c r="AZ199" s="789">
        <v>0</v>
      </c>
      <c r="BA199" s="789">
        <v>0</v>
      </c>
      <c r="BB199" s="789">
        <v>0</v>
      </c>
      <c r="BC199" s="789">
        <v>0</v>
      </c>
      <c r="BD199" s="789">
        <v>0</v>
      </c>
      <c r="BE199" s="789">
        <v>0</v>
      </c>
      <c r="BF199" s="789">
        <v>0</v>
      </c>
      <c r="BG199" s="789">
        <v>0</v>
      </c>
      <c r="BH199" s="789">
        <v>0</v>
      </c>
      <c r="BI199" s="789">
        <v>0</v>
      </c>
      <c r="BJ199" s="789">
        <v>0</v>
      </c>
      <c r="BK199" s="789">
        <v>0</v>
      </c>
      <c r="BL199" s="789">
        <v>0</v>
      </c>
      <c r="BM199" s="789">
        <v>0</v>
      </c>
      <c r="BN199" s="789">
        <v>0</v>
      </c>
      <c r="BO199" s="789">
        <v>0</v>
      </c>
      <c r="BP199" s="789">
        <v>0</v>
      </c>
      <c r="BQ199" s="789">
        <v>0</v>
      </c>
      <c r="BR199" s="789">
        <v>0</v>
      </c>
      <c r="BS199" s="789">
        <v>0</v>
      </c>
      <c r="BT199" s="789">
        <v>0</v>
      </c>
      <c r="BU199" s="789">
        <v>0</v>
      </c>
      <c r="BV199" s="789">
        <v>0</v>
      </c>
      <c r="BW199" s="789">
        <v>0</v>
      </c>
      <c r="BX199" s="789">
        <v>0</v>
      </c>
      <c r="BY199" s="789">
        <v>0</v>
      </c>
      <c r="BZ199" s="789">
        <v>0</v>
      </c>
      <c r="CA199" s="789">
        <v>0</v>
      </c>
      <c r="CB199" s="789">
        <v>0</v>
      </c>
      <c r="CC199" s="789">
        <v>0</v>
      </c>
      <c r="CD199" s="789">
        <v>0</v>
      </c>
      <c r="CE199" s="789">
        <v>0</v>
      </c>
    </row>
    <row r="200" spans="1:83" ht="30" x14ac:dyDescent="0.25">
      <c r="B200" s="793">
        <v>550</v>
      </c>
      <c r="C200" s="796" t="s">
        <v>668</v>
      </c>
      <c r="D200" s="795" t="s">
        <v>669</v>
      </c>
      <c r="E200" s="769">
        <v>0</v>
      </c>
      <c r="F200" s="770">
        <v>0</v>
      </c>
      <c r="G200" s="770">
        <v>0</v>
      </c>
      <c r="H200" s="770">
        <v>0</v>
      </c>
      <c r="I200" s="770">
        <v>0</v>
      </c>
      <c r="J200" s="770">
        <v>0</v>
      </c>
      <c r="K200" s="771">
        <v>0</v>
      </c>
      <c r="L200" s="772">
        <v>0</v>
      </c>
      <c r="M200" s="772">
        <v>0</v>
      </c>
      <c r="N200" s="773">
        <v>0</v>
      </c>
      <c r="O200" s="773">
        <v>0</v>
      </c>
      <c r="P200" s="773">
        <v>0</v>
      </c>
      <c r="Q200" s="773">
        <v>0</v>
      </c>
      <c r="R200" s="773">
        <v>0</v>
      </c>
      <c r="S200" s="773">
        <v>0</v>
      </c>
      <c r="T200" s="773">
        <v>0</v>
      </c>
      <c r="U200" s="773">
        <v>0</v>
      </c>
      <c r="V200" s="773">
        <v>0</v>
      </c>
      <c r="W200" s="773">
        <v>0</v>
      </c>
      <c r="X200" s="773">
        <v>0</v>
      </c>
      <c r="Y200" s="773">
        <v>0</v>
      </c>
      <c r="Z200" s="773">
        <v>0</v>
      </c>
      <c r="AA200" s="773">
        <v>0</v>
      </c>
      <c r="AB200" s="772">
        <v>0</v>
      </c>
      <c r="AC200" s="772">
        <v>0</v>
      </c>
      <c r="AD200" s="772">
        <v>0</v>
      </c>
      <c r="AE200" s="772">
        <v>0</v>
      </c>
      <c r="AF200" s="772">
        <v>0</v>
      </c>
      <c r="AG200" s="772">
        <v>0</v>
      </c>
      <c r="AH200" s="772">
        <v>0</v>
      </c>
      <c r="AI200" s="772">
        <v>0</v>
      </c>
      <c r="AJ200" s="772">
        <v>0</v>
      </c>
      <c r="AK200" s="772">
        <v>0</v>
      </c>
      <c r="AL200" s="772">
        <v>0</v>
      </c>
      <c r="AM200" s="772">
        <v>0</v>
      </c>
      <c r="AN200" s="772">
        <v>0</v>
      </c>
      <c r="AO200" s="772">
        <v>0</v>
      </c>
      <c r="AP200" s="772">
        <v>0</v>
      </c>
      <c r="AQ200" s="772">
        <v>0</v>
      </c>
      <c r="AR200" s="772">
        <v>0</v>
      </c>
      <c r="AS200" s="772">
        <v>0</v>
      </c>
      <c r="AT200" s="772">
        <v>0</v>
      </c>
      <c r="AU200" s="772">
        <v>0</v>
      </c>
      <c r="AV200" s="772">
        <v>0</v>
      </c>
      <c r="AW200" s="772">
        <v>0</v>
      </c>
      <c r="AX200" s="772">
        <v>0</v>
      </c>
      <c r="AY200" s="772">
        <v>0</v>
      </c>
      <c r="AZ200" s="772">
        <v>0</v>
      </c>
      <c r="BA200" s="772">
        <v>0</v>
      </c>
      <c r="BB200" s="772">
        <v>0</v>
      </c>
      <c r="BC200" s="772">
        <v>0</v>
      </c>
      <c r="BD200" s="772">
        <v>0</v>
      </c>
      <c r="BE200" s="772">
        <v>0</v>
      </c>
      <c r="BF200" s="772">
        <v>0</v>
      </c>
      <c r="BG200" s="772">
        <v>0</v>
      </c>
      <c r="BH200" s="772">
        <v>0</v>
      </c>
      <c r="BI200" s="772">
        <v>0</v>
      </c>
      <c r="BJ200" s="772">
        <v>0</v>
      </c>
      <c r="BK200" s="772">
        <v>0</v>
      </c>
      <c r="BL200" s="772">
        <v>0</v>
      </c>
      <c r="BM200" s="772">
        <v>0</v>
      </c>
      <c r="BN200" s="772">
        <v>0</v>
      </c>
      <c r="BO200" s="772">
        <v>0</v>
      </c>
      <c r="BP200" s="772">
        <v>0</v>
      </c>
      <c r="BQ200" s="772">
        <v>0</v>
      </c>
      <c r="BR200" s="772">
        <v>0</v>
      </c>
      <c r="BS200" s="772">
        <v>0</v>
      </c>
      <c r="BT200" s="772">
        <v>0</v>
      </c>
      <c r="BU200" s="772">
        <v>0</v>
      </c>
      <c r="BV200" s="772">
        <v>0</v>
      </c>
      <c r="BW200" s="772">
        <v>0</v>
      </c>
      <c r="BX200" s="772">
        <v>0</v>
      </c>
      <c r="BY200" s="772">
        <v>0</v>
      </c>
      <c r="BZ200" s="772">
        <v>0</v>
      </c>
      <c r="CA200" s="772">
        <v>0</v>
      </c>
      <c r="CB200" s="772">
        <v>0</v>
      </c>
      <c r="CC200" s="772">
        <v>0</v>
      </c>
      <c r="CD200" s="772">
        <v>0</v>
      </c>
      <c r="CE200" s="772">
        <v>0</v>
      </c>
    </row>
    <row r="201" spans="1:83" ht="75" x14ac:dyDescent="0.25">
      <c r="A201" s="797"/>
      <c r="B201" s="793">
        <v>551</v>
      </c>
      <c r="C201" s="796" t="s">
        <v>1190</v>
      </c>
      <c r="D201" s="795" t="s">
        <v>670</v>
      </c>
      <c r="E201" s="769"/>
      <c r="F201" s="770"/>
      <c r="G201" s="770"/>
      <c r="H201" s="770"/>
      <c r="I201" s="770"/>
      <c r="J201" s="770"/>
      <c r="K201" s="771"/>
      <c r="L201" s="772"/>
      <c r="M201" s="772"/>
      <c r="N201" s="773"/>
      <c r="O201" s="773"/>
      <c r="P201" s="773"/>
      <c r="Q201" s="773"/>
      <c r="R201" s="773"/>
      <c r="S201" s="773"/>
      <c r="T201" s="773"/>
      <c r="U201" s="773"/>
      <c r="V201" s="773"/>
      <c r="W201" s="773"/>
      <c r="X201" s="773"/>
      <c r="Y201" s="773"/>
      <c r="Z201" s="773"/>
      <c r="AA201" s="773"/>
      <c r="AB201" s="772"/>
      <c r="AC201" s="772"/>
      <c r="AD201" s="772"/>
      <c r="AE201" s="772"/>
      <c r="AF201" s="772"/>
      <c r="AG201" s="772"/>
      <c r="AH201" s="772"/>
      <c r="AI201" s="772"/>
      <c r="AJ201" s="772"/>
      <c r="AK201" s="772"/>
      <c r="AL201" s="772"/>
      <c r="AM201" s="772"/>
      <c r="AN201" s="772"/>
      <c r="AO201" s="772"/>
      <c r="AP201" s="772"/>
      <c r="AQ201" s="772"/>
      <c r="AR201" s="772"/>
      <c r="AS201" s="772"/>
      <c r="AT201" s="772"/>
      <c r="AU201" s="772"/>
      <c r="AV201" s="772"/>
      <c r="AW201" s="772"/>
      <c r="AX201" s="772"/>
      <c r="AY201" s="772"/>
      <c r="AZ201" s="772"/>
      <c r="BA201" s="772"/>
      <c r="BB201" s="772"/>
      <c r="BC201" s="772"/>
      <c r="BD201" s="772"/>
      <c r="BE201" s="772"/>
      <c r="BF201" s="772"/>
      <c r="BG201" s="772"/>
      <c r="BH201" s="772"/>
      <c r="BI201" s="772"/>
      <c r="BJ201" s="772"/>
      <c r="BK201" s="772"/>
      <c r="BL201" s="772"/>
      <c r="BM201" s="772"/>
      <c r="BN201" s="772"/>
      <c r="BO201" s="772"/>
      <c r="BP201" s="772"/>
      <c r="BQ201" s="772"/>
      <c r="BR201" s="772"/>
      <c r="BS201" s="772"/>
      <c r="BT201" s="772"/>
      <c r="BU201" s="772"/>
      <c r="BV201" s="772"/>
      <c r="BW201" s="772"/>
      <c r="BX201" s="772"/>
      <c r="BY201" s="772"/>
      <c r="BZ201" s="772"/>
      <c r="CA201" s="772"/>
      <c r="CB201" s="772"/>
      <c r="CC201" s="772"/>
      <c r="CD201" s="772"/>
      <c r="CE201" s="772"/>
    </row>
    <row r="202" spans="1:83" ht="30" x14ac:dyDescent="0.25">
      <c r="B202" s="793">
        <v>552</v>
      </c>
      <c r="C202" s="796" t="s">
        <v>630</v>
      </c>
      <c r="D202" s="795" t="s">
        <v>671</v>
      </c>
      <c r="E202" s="769"/>
      <c r="F202" s="770"/>
      <c r="G202" s="770"/>
      <c r="H202" s="770"/>
      <c r="I202" s="770"/>
      <c r="J202" s="770"/>
      <c r="K202" s="771"/>
      <c r="L202" s="772"/>
      <c r="M202" s="772"/>
      <c r="N202" s="773"/>
      <c r="O202" s="773"/>
      <c r="P202" s="773"/>
      <c r="Q202" s="773"/>
      <c r="R202" s="773"/>
      <c r="S202" s="773"/>
      <c r="T202" s="773"/>
      <c r="U202" s="773"/>
      <c r="V202" s="773"/>
      <c r="W202" s="773"/>
      <c r="X202" s="773"/>
      <c r="Y202" s="773"/>
      <c r="Z202" s="773"/>
      <c r="AA202" s="773"/>
      <c r="AB202" s="772"/>
      <c r="AC202" s="772"/>
      <c r="AD202" s="772"/>
      <c r="AE202" s="772"/>
      <c r="AF202" s="772"/>
      <c r="AG202" s="772"/>
      <c r="AH202" s="772"/>
      <c r="AI202" s="772"/>
      <c r="AJ202" s="772"/>
      <c r="AK202" s="772"/>
      <c r="AL202" s="772"/>
      <c r="AM202" s="772"/>
      <c r="AN202" s="772"/>
      <c r="AO202" s="772"/>
      <c r="AP202" s="772"/>
      <c r="AQ202" s="772"/>
      <c r="AR202" s="772"/>
      <c r="AS202" s="772"/>
      <c r="AT202" s="772"/>
      <c r="AU202" s="772"/>
      <c r="AV202" s="772"/>
      <c r="AW202" s="772"/>
      <c r="AX202" s="772"/>
      <c r="AY202" s="772"/>
      <c r="AZ202" s="772"/>
      <c r="BA202" s="772"/>
      <c r="BB202" s="772"/>
      <c r="BC202" s="772"/>
      <c r="BD202" s="772"/>
      <c r="BE202" s="772"/>
      <c r="BF202" s="772"/>
      <c r="BG202" s="772"/>
      <c r="BH202" s="772"/>
      <c r="BI202" s="772"/>
      <c r="BJ202" s="772"/>
      <c r="BK202" s="772"/>
      <c r="BL202" s="772"/>
      <c r="BM202" s="772"/>
      <c r="BN202" s="772"/>
      <c r="BO202" s="772"/>
      <c r="BP202" s="772"/>
      <c r="BQ202" s="772"/>
      <c r="BR202" s="772"/>
      <c r="BS202" s="772"/>
      <c r="BT202" s="772"/>
      <c r="BU202" s="772"/>
      <c r="BV202" s="772"/>
      <c r="BW202" s="772"/>
      <c r="BX202" s="772"/>
      <c r="BY202" s="772"/>
      <c r="BZ202" s="772"/>
      <c r="CA202" s="772"/>
      <c r="CB202" s="772"/>
      <c r="CC202" s="772"/>
      <c r="CD202" s="772"/>
      <c r="CE202" s="772"/>
    </row>
    <row r="203" spans="1:83" x14ac:dyDescent="0.25">
      <c r="B203" s="793">
        <v>553</v>
      </c>
      <c r="C203" s="796"/>
      <c r="D203" s="795" t="s">
        <v>672</v>
      </c>
      <c r="E203" s="769"/>
      <c r="F203" s="770"/>
      <c r="G203" s="770"/>
      <c r="H203" s="770"/>
      <c r="I203" s="770"/>
      <c r="J203" s="770"/>
      <c r="K203" s="771"/>
      <c r="L203" s="772"/>
      <c r="M203" s="772"/>
      <c r="N203" s="773"/>
      <c r="O203" s="773"/>
      <c r="P203" s="773"/>
      <c r="Q203" s="773"/>
      <c r="R203" s="773"/>
      <c r="S203" s="773"/>
      <c r="T203" s="773"/>
      <c r="U203" s="773"/>
      <c r="V203" s="773"/>
      <c r="W203" s="773"/>
      <c r="X203" s="773"/>
      <c r="Y203" s="773"/>
      <c r="Z203" s="773"/>
      <c r="AA203" s="773"/>
      <c r="AB203" s="772"/>
      <c r="AC203" s="772"/>
      <c r="AD203" s="772"/>
      <c r="AE203" s="772"/>
      <c r="AF203" s="772"/>
      <c r="AG203" s="772"/>
      <c r="AH203" s="772"/>
      <c r="AI203" s="772"/>
      <c r="AJ203" s="772"/>
      <c r="AK203" s="772"/>
      <c r="AL203" s="772"/>
      <c r="AM203" s="772"/>
      <c r="AN203" s="772"/>
      <c r="AO203" s="772"/>
      <c r="AP203" s="772"/>
      <c r="AQ203" s="772"/>
      <c r="AR203" s="772"/>
      <c r="AS203" s="772"/>
      <c r="AT203" s="772"/>
      <c r="AU203" s="772"/>
      <c r="AV203" s="772"/>
      <c r="AW203" s="772"/>
      <c r="AX203" s="772"/>
      <c r="AY203" s="772"/>
      <c r="AZ203" s="772"/>
      <c r="BA203" s="772"/>
      <c r="BB203" s="772"/>
      <c r="BC203" s="772"/>
      <c r="BD203" s="772"/>
      <c r="BE203" s="772"/>
      <c r="BF203" s="772"/>
      <c r="BG203" s="772"/>
      <c r="BH203" s="772"/>
      <c r="BI203" s="772"/>
      <c r="BJ203" s="772"/>
      <c r="BK203" s="772"/>
      <c r="BL203" s="772"/>
      <c r="BM203" s="772"/>
      <c r="BN203" s="772"/>
      <c r="BO203" s="772"/>
      <c r="BP203" s="772"/>
      <c r="BQ203" s="772"/>
      <c r="BR203" s="772"/>
      <c r="BS203" s="772"/>
      <c r="BT203" s="772"/>
      <c r="BU203" s="772"/>
      <c r="BV203" s="772"/>
      <c r="BW203" s="772"/>
      <c r="BX203" s="772"/>
      <c r="BY203" s="772"/>
      <c r="BZ203" s="772"/>
      <c r="CA203" s="772"/>
      <c r="CB203" s="772"/>
      <c r="CC203" s="772"/>
      <c r="CD203" s="772"/>
      <c r="CE203" s="772"/>
    </row>
    <row r="204" spans="1:83" s="791" customFormat="1" ht="44.25" x14ac:dyDescent="0.25">
      <c r="A204" s="798">
        <v>554</v>
      </c>
      <c r="B204" s="783">
        <v>554</v>
      </c>
      <c r="C204" s="792" t="s">
        <v>1197</v>
      </c>
      <c r="D204" s="785" t="s">
        <v>674</v>
      </c>
      <c r="E204" s="786">
        <v>3198831</v>
      </c>
      <c r="F204" s="787">
        <v>1263163</v>
      </c>
      <c r="G204" s="787">
        <v>0</v>
      </c>
      <c r="H204" s="787">
        <v>0</v>
      </c>
      <c r="I204" s="787">
        <v>0</v>
      </c>
      <c r="J204" s="787">
        <v>0</v>
      </c>
      <c r="K204" s="788">
        <v>0</v>
      </c>
      <c r="L204" s="789">
        <v>0</v>
      </c>
      <c r="M204" s="789">
        <v>1618052</v>
      </c>
      <c r="N204" s="790">
        <v>15026560</v>
      </c>
      <c r="O204" s="790">
        <v>0</v>
      </c>
      <c r="P204" s="790">
        <v>0</v>
      </c>
      <c r="Q204" s="790">
        <v>151465</v>
      </c>
      <c r="R204" s="790">
        <v>0</v>
      </c>
      <c r="S204" s="790">
        <v>0</v>
      </c>
      <c r="T204" s="790">
        <v>0</v>
      </c>
      <c r="U204" s="790">
        <v>0</v>
      </c>
      <c r="V204" s="790">
        <v>0</v>
      </c>
      <c r="W204" s="790">
        <v>0</v>
      </c>
      <c r="X204" s="790">
        <v>0</v>
      </c>
      <c r="Y204" s="790">
        <v>0</v>
      </c>
      <c r="Z204" s="790">
        <v>0</v>
      </c>
      <c r="AA204" s="790">
        <v>3854852</v>
      </c>
      <c r="AB204" s="789">
        <v>0</v>
      </c>
      <c r="AC204" s="789">
        <v>1093481</v>
      </c>
      <c r="AD204" s="789">
        <v>126934</v>
      </c>
      <c r="AE204" s="789">
        <v>0</v>
      </c>
      <c r="AF204" s="789">
        <v>0</v>
      </c>
      <c r="AG204" s="789">
        <v>5723628</v>
      </c>
      <c r="AH204" s="789">
        <v>0</v>
      </c>
      <c r="AI204" s="789">
        <v>0</v>
      </c>
      <c r="AJ204" s="789">
        <v>0</v>
      </c>
      <c r="AK204" s="789">
        <v>0</v>
      </c>
      <c r="AL204" s="789">
        <v>0</v>
      </c>
      <c r="AM204" s="789">
        <v>3440178</v>
      </c>
      <c r="AN204" s="789">
        <v>0</v>
      </c>
      <c r="AO204" s="789">
        <v>88279</v>
      </c>
      <c r="AP204" s="789">
        <v>0</v>
      </c>
      <c r="AQ204" s="789">
        <v>0</v>
      </c>
      <c r="AR204" s="789">
        <v>0</v>
      </c>
      <c r="AS204" s="789">
        <v>0</v>
      </c>
      <c r="AT204" s="789">
        <v>0</v>
      </c>
      <c r="AU204" s="789">
        <v>0</v>
      </c>
      <c r="AV204" s="789">
        <v>21240111</v>
      </c>
      <c r="AW204" s="789">
        <v>12872193</v>
      </c>
      <c r="AX204" s="789">
        <v>0</v>
      </c>
      <c r="AY204" s="789">
        <v>0</v>
      </c>
      <c r="AZ204" s="789">
        <v>0</v>
      </c>
      <c r="BA204" s="789">
        <v>0</v>
      </c>
      <c r="BB204" s="789">
        <v>0</v>
      </c>
      <c r="BC204" s="789">
        <v>0</v>
      </c>
      <c r="BD204" s="789">
        <v>0</v>
      </c>
      <c r="BE204" s="789">
        <v>0</v>
      </c>
      <c r="BF204" s="789">
        <v>0</v>
      </c>
      <c r="BG204" s="789">
        <v>0</v>
      </c>
      <c r="BH204" s="789">
        <v>0</v>
      </c>
      <c r="BI204" s="789">
        <v>2921256</v>
      </c>
      <c r="BJ204" s="789">
        <v>0</v>
      </c>
      <c r="BK204" s="789">
        <v>0</v>
      </c>
      <c r="BL204" s="789">
        <v>0</v>
      </c>
      <c r="BM204" s="789">
        <v>1363633</v>
      </c>
      <c r="BN204" s="789">
        <v>318604</v>
      </c>
      <c r="BO204" s="789">
        <v>0</v>
      </c>
      <c r="BP204" s="789">
        <v>5132662</v>
      </c>
      <c r="BQ204" s="789">
        <v>5884498</v>
      </c>
      <c r="BR204" s="789">
        <v>0</v>
      </c>
      <c r="BS204" s="789">
        <v>0</v>
      </c>
      <c r="BT204" s="789">
        <v>0</v>
      </c>
      <c r="BU204" s="789">
        <v>0</v>
      </c>
      <c r="BV204" s="789">
        <v>0</v>
      </c>
      <c r="BW204" s="789">
        <v>786802</v>
      </c>
      <c r="BX204" s="789">
        <v>0</v>
      </c>
      <c r="BY204" s="789">
        <v>0</v>
      </c>
      <c r="BZ204" s="789">
        <v>1226961</v>
      </c>
      <c r="CA204" s="789">
        <v>0</v>
      </c>
      <c r="CB204" s="789">
        <v>449671</v>
      </c>
      <c r="CC204" s="789">
        <v>0</v>
      </c>
      <c r="CD204" s="789">
        <v>0</v>
      </c>
      <c r="CE204" s="789">
        <v>265852</v>
      </c>
    </row>
    <row r="205" spans="1:83" s="791" customFormat="1" ht="44.25" x14ac:dyDescent="0.25">
      <c r="A205" s="798">
        <v>555</v>
      </c>
      <c r="B205" s="783">
        <v>555</v>
      </c>
      <c r="C205" s="792" t="s">
        <v>1198</v>
      </c>
      <c r="D205" s="785" t="s">
        <v>676</v>
      </c>
      <c r="E205" s="786">
        <v>2729561</v>
      </c>
      <c r="F205" s="787">
        <v>1197653</v>
      </c>
      <c r="G205" s="787">
        <v>0</v>
      </c>
      <c r="H205" s="787">
        <v>0</v>
      </c>
      <c r="I205" s="787">
        <v>0</v>
      </c>
      <c r="J205" s="787">
        <v>0</v>
      </c>
      <c r="K205" s="788">
        <v>0</v>
      </c>
      <c r="L205" s="789">
        <v>0</v>
      </c>
      <c r="M205" s="789">
        <v>1527527</v>
      </c>
      <c r="N205" s="790">
        <v>7786004</v>
      </c>
      <c r="O205" s="790">
        <v>0</v>
      </c>
      <c r="P205" s="790">
        <v>0</v>
      </c>
      <c r="Q205" s="790">
        <v>0</v>
      </c>
      <c r="R205" s="790">
        <v>0</v>
      </c>
      <c r="S205" s="790">
        <v>0</v>
      </c>
      <c r="T205" s="790">
        <v>0</v>
      </c>
      <c r="U205" s="790">
        <v>0</v>
      </c>
      <c r="V205" s="790">
        <v>0</v>
      </c>
      <c r="W205" s="790">
        <v>0</v>
      </c>
      <c r="X205" s="790">
        <v>0</v>
      </c>
      <c r="Y205" s="790">
        <v>0</v>
      </c>
      <c r="Z205" s="790">
        <v>0</v>
      </c>
      <c r="AA205" s="790">
        <v>3768169</v>
      </c>
      <c r="AB205" s="789">
        <v>0</v>
      </c>
      <c r="AC205" s="789">
        <v>1093481</v>
      </c>
      <c r="AD205" s="789">
        <v>0</v>
      </c>
      <c r="AE205" s="789">
        <v>0</v>
      </c>
      <c r="AF205" s="789">
        <v>0</v>
      </c>
      <c r="AG205" s="789">
        <v>4014188</v>
      </c>
      <c r="AH205" s="789">
        <v>0</v>
      </c>
      <c r="AI205" s="789">
        <v>0</v>
      </c>
      <c r="AJ205" s="789">
        <v>0</v>
      </c>
      <c r="AK205" s="789">
        <v>0</v>
      </c>
      <c r="AL205" s="789">
        <v>0</v>
      </c>
      <c r="AM205" s="789">
        <v>2116254</v>
      </c>
      <c r="AN205" s="789">
        <v>0</v>
      </c>
      <c r="AO205" s="789">
        <v>0</v>
      </c>
      <c r="AP205" s="789">
        <v>0</v>
      </c>
      <c r="AQ205" s="789">
        <v>0</v>
      </c>
      <c r="AR205" s="789">
        <v>0</v>
      </c>
      <c r="AS205" s="789">
        <v>0</v>
      </c>
      <c r="AT205" s="789">
        <v>0</v>
      </c>
      <c r="AU205" s="789">
        <v>0</v>
      </c>
      <c r="AV205" s="789">
        <v>12728580</v>
      </c>
      <c r="AW205" s="789">
        <v>6274959</v>
      </c>
      <c r="AX205" s="789">
        <v>0</v>
      </c>
      <c r="AY205" s="789">
        <v>0</v>
      </c>
      <c r="AZ205" s="789">
        <v>0</v>
      </c>
      <c r="BA205" s="789">
        <v>0</v>
      </c>
      <c r="BB205" s="789">
        <v>0</v>
      </c>
      <c r="BC205" s="789">
        <v>0</v>
      </c>
      <c r="BD205" s="789">
        <v>0</v>
      </c>
      <c r="BE205" s="789">
        <v>0</v>
      </c>
      <c r="BF205" s="789">
        <v>0</v>
      </c>
      <c r="BG205" s="789">
        <v>0</v>
      </c>
      <c r="BH205" s="789">
        <v>0</v>
      </c>
      <c r="BI205" s="789">
        <v>2921256</v>
      </c>
      <c r="BJ205" s="789">
        <v>0</v>
      </c>
      <c r="BK205" s="789">
        <v>0</v>
      </c>
      <c r="BL205" s="789">
        <v>0</v>
      </c>
      <c r="BM205" s="789">
        <v>879051</v>
      </c>
      <c r="BN205" s="789">
        <v>0</v>
      </c>
      <c r="BO205" s="789">
        <v>0</v>
      </c>
      <c r="BP205" s="789">
        <v>4319048</v>
      </c>
      <c r="BQ205" s="789">
        <v>3032706</v>
      </c>
      <c r="BR205" s="789">
        <v>0</v>
      </c>
      <c r="BS205" s="789">
        <v>0</v>
      </c>
      <c r="BT205" s="789">
        <v>0</v>
      </c>
      <c r="BU205" s="789">
        <v>0</v>
      </c>
      <c r="BV205" s="789">
        <v>0</v>
      </c>
      <c r="BW205" s="789">
        <v>786802</v>
      </c>
      <c r="BX205" s="789">
        <v>0</v>
      </c>
      <c r="BY205" s="789">
        <v>0</v>
      </c>
      <c r="BZ205" s="789">
        <v>1156404</v>
      </c>
      <c r="CA205" s="789">
        <v>0</v>
      </c>
      <c r="CB205" s="789">
        <v>0</v>
      </c>
      <c r="CC205" s="789">
        <v>0</v>
      </c>
      <c r="CD205" s="789">
        <v>0</v>
      </c>
      <c r="CE205" s="789">
        <v>0</v>
      </c>
    </row>
    <row r="206" spans="1:83" s="791" customFormat="1" ht="44.25" x14ac:dyDescent="0.25">
      <c r="A206" s="798">
        <v>556</v>
      </c>
      <c r="B206" s="783">
        <v>556</v>
      </c>
      <c r="C206" s="792" t="s">
        <v>1199</v>
      </c>
      <c r="D206" s="785" t="s">
        <v>678</v>
      </c>
      <c r="E206" s="786">
        <v>371484</v>
      </c>
      <c r="F206" s="787">
        <v>98191</v>
      </c>
      <c r="G206" s="787">
        <v>0</v>
      </c>
      <c r="H206" s="787">
        <v>0</v>
      </c>
      <c r="I206" s="787">
        <v>0</v>
      </c>
      <c r="J206" s="787">
        <v>0</v>
      </c>
      <c r="K206" s="788">
        <v>0</v>
      </c>
      <c r="L206" s="789">
        <v>0</v>
      </c>
      <c r="M206" s="789">
        <v>159584</v>
      </c>
      <c r="N206" s="790">
        <v>10421587</v>
      </c>
      <c r="O206" s="790">
        <v>0</v>
      </c>
      <c r="P206" s="790">
        <v>0</v>
      </c>
      <c r="Q206" s="790">
        <v>681899</v>
      </c>
      <c r="R206" s="790">
        <v>0</v>
      </c>
      <c r="S206" s="790">
        <v>0</v>
      </c>
      <c r="T206" s="790">
        <v>0</v>
      </c>
      <c r="U206" s="790">
        <v>0</v>
      </c>
      <c r="V206" s="790">
        <v>0</v>
      </c>
      <c r="W206" s="790">
        <v>0</v>
      </c>
      <c r="X206" s="790">
        <v>0</v>
      </c>
      <c r="Y206" s="790">
        <v>0</v>
      </c>
      <c r="Z206" s="790">
        <v>0</v>
      </c>
      <c r="AA206" s="790">
        <v>549012</v>
      </c>
      <c r="AB206" s="789">
        <v>0</v>
      </c>
      <c r="AC206" s="789">
        <v>17836</v>
      </c>
      <c r="AD206" s="789">
        <v>849659</v>
      </c>
      <c r="AE206" s="789">
        <v>0</v>
      </c>
      <c r="AF206" s="789">
        <v>0</v>
      </c>
      <c r="AG206" s="789">
        <v>3389963</v>
      </c>
      <c r="AH206" s="789">
        <v>0</v>
      </c>
      <c r="AI206" s="789">
        <v>0</v>
      </c>
      <c r="AJ206" s="789">
        <v>0</v>
      </c>
      <c r="AK206" s="789">
        <v>0</v>
      </c>
      <c r="AL206" s="789">
        <v>0</v>
      </c>
      <c r="AM206" s="789">
        <v>1255822</v>
      </c>
      <c r="AN206" s="789">
        <v>0</v>
      </c>
      <c r="AO206" s="789">
        <v>557476</v>
      </c>
      <c r="AP206" s="789">
        <v>0</v>
      </c>
      <c r="AQ206" s="789">
        <v>0</v>
      </c>
      <c r="AR206" s="789">
        <v>0</v>
      </c>
      <c r="AS206" s="789">
        <v>0</v>
      </c>
      <c r="AT206" s="789">
        <v>0</v>
      </c>
      <c r="AU206" s="789">
        <v>0</v>
      </c>
      <c r="AV206" s="789">
        <v>10470590</v>
      </c>
      <c r="AW206" s="789">
        <v>3529220</v>
      </c>
      <c r="AX206" s="789">
        <v>0</v>
      </c>
      <c r="AY206" s="789">
        <v>0</v>
      </c>
      <c r="AZ206" s="789">
        <v>0</v>
      </c>
      <c r="BA206" s="789">
        <v>0</v>
      </c>
      <c r="BB206" s="789">
        <v>0</v>
      </c>
      <c r="BC206" s="789">
        <v>0</v>
      </c>
      <c r="BD206" s="789">
        <v>0</v>
      </c>
      <c r="BE206" s="789">
        <v>0</v>
      </c>
      <c r="BF206" s="789">
        <v>0</v>
      </c>
      <c r="BG206" s="789">
        <v>0</v>
      </c>
      <c r="BH206" s="789">
        <v>0</v>
      </c>
      <c r="BI206" s="789">
        <v>765635</v>
      </c>
      <c r="BJ206" s="789">
        <v>0</v>
      </c>
      <c r="BK206" s="789">
        <v>0</v>
      </c>
      <c r="BL206" s="789">
        <v>0</v>
      </c>
      <c r="BM206" s="789">
        <v>306570</v>
      </c>
      <c r="BN206" s="789">
        <v>890101</v>
      </c>
      <c r="BO206" s="789">
        <v>0</v>
      </c>
      <c r="BP206" s="789">
        <v>2183378</v>
      </c>
      <c r="BQ206" s="789">
        <v>5629567</v>
      </c>
      <c r="BR206" s="789">
        <v>0</v>
      </c>
      <c r="BS206" s="789">
        <v>0</v>
      </c>
      <c r="BT206" s="789">
        <v>0</v>
      </c>
      <c r="BU206" s="789">
        <v>0</v>
      </c>
      <c r="BV206" s="789">
        <v>0</v>
      </c>
      <c r="BW206" s="789">
        <v>32503</v>
      </c>
      <c r="BX206" s="789">
        <v>0</v>
      </c>
      <c r="BY206" s="789">
        <v>0</v>
      </c>
      <c r="BZ206" s="789">
        <v>994517</v>
      </c>
      <c r="CA206" s="789">
        <v>0</v>
      </c>
      <c r="CB206" s="789">
        <v>974648</v>
      </c>
      <c r="CC206" s="789">
        <v>0</v>
      </c>
      <c r="CD206" s="789">
        <v>0</v>
      </c>
      <c r="CE206" s="789">
        <v>2272717</v>
      </c>
    </row>
    <row r="207" spans="1:83" s="791" customFormat="1" ht="44.25" x14ac:dyDescent="0.25">
      <c r="A207" s="798">
        <v>557</v>
      </c>
      <c r="B207" s="783">
        <v>557</v>
      </c>
      <c r="C207" s="792" t="s">
        <v>1200</v>
      </c>
      <c r="D207" s="785" t="s">
        <v>680</v>
      </c>
      <c r="E207" s="786">
        <v>0</v>
      </c>
      <c r="F207" s="787">
        <v>0</v>
      </c>
      <c r="G207" s="787">
        <v>0</v>
      </c>
      <c r="H207" s="787">
        <v>0</v>
      </c>
      <c r="I207" s="787">
        <v>0</v>
      </c>
      <c r="J207" s="787">
        <v>0</v>
      </c>
      <c r="K207" s="788">
        <v>0</v>
      </c>
      <c r="L207" s="789">
        <v>0</v>
      </c>
      <c r="M207" s="789">
        <v>0</v>
      </c>
      <c r="N207" s="790">
        <v>8274905</v>
      </c>
      <c r="O207" s="790">
        <v>0</v>
      </c>
      <c r="P207" s="790">
        <v>0</v>
      </c>
      <c r="Q207" s="790">
        <v>647327</v>
      </c>
      <c r="R207" s="790">
        <v>0</v>
      </c>
      <c r="S207" s="790">
        <v>0</v>
      </c>
      <c r="T207" s="790">
        <v>0</v>
      </c>
      <c r="U207" s="790">
        <v>0</v>
      </c>
      <c r="V207" s="790">
        <v>0</v>
      </c>
      <c r="W207" s="790">
        <v>0</v>
      </c>
      <c r="X207" s="790">
        <v>0</v>
      </c>
      <c r="Y207" s="790">
        <v>0</v>
      </c>
      <c r="Z207" s="790">
        <v>0</v>
      </c>
      <c r="AA207" s="790">
        <v>520597</v>
      </c>
      <c r="AB207" s="789">
        <v>0</v>
      </c>
      <c r="AC207" s="789">
        <v>0</v>
      </c>
      <c r="AD207" s="789">
        <v>814220</v>
      </c>
      <c r="AE207" s="789">
        <v>0</v>
      </c>
      <c r="AF207" s="789">
        <v>0</v>
      </c>
      <c r="AG207" s="789">
        <v>2923596</v>
      </c>
      <c r="AH207" s="789">
        <v>0</v>
      </c>
      <c r="AI207" s="789">
        <v>0</v>
      </c>
      <c r="AJ207" s="789">
        <v>0</v>
      </c>
      <c r="AK207" s="789">
        <v>0</v>
      </c>
      <c r="AL207" s="789">
        <v>0</v>
      </c>
      <c r="AM207" s="789">
        <v>961840</v>
      </c>
      <c r="AN207" s="789">
        <v>0</v>
      </c>
      <c r="AO207" s="789">
        <v>396173</v>
      </c>
      <c r="AP207" s="789">
        <v>0</v>
      </c>
      <c r="AQ207" s="789">
        <v>0</v>
      </c>
      <c r="AR207" s="789">
        <v>0</v>
      </c>
      <c r="AS207" s="789">
        <v>0</v>
      </c>
      <c r="AT207" s="789">
        <v>0</v>
      </c>
      <c r="AU207" s="789">
        <v>0</v>
      </c>
      <c r="AV207" s="789">
        <v>8028384</v>
      </c>
      <c r="AW207" s="789">
        <v>2185760</v>
      </c>
      <c r="AX207" s="789">
        <v>0</v>
      </c>
      <c r="AY207" s="789">
        <v>0</v>
      </c>
      <c r="AZ207" s="789">
        <v>0</v>
      </c>
      <c r="BA207" s="789">
        <v>0</v>
      </c>
      <c r="BB207" s="789">
        <v>0</v>
      </c>
      <c r="BC207" s="789">
        <v>0</v>
      </c>
      <c r="BD207" s="789">
        <v>0</v>
      </c>
      <c r="BE207" s="789">
        <v>0</v>
      </c>
      <c r="BF207" s="789">
        <v>0</v>
      </c>
      <c r="BG207" s="789">
        <v>0</v>
      </c>
      <c r="BH207" s="789">
        <v>0</v>
      </c>
      <c r="BI207" s="789">
        <v>364704</v>
      </c>
      <c r="BJ207" s="789">
        <v>0</v>
      </c>
      <c r="BK207" s="789">
        <v>0</v>
      </c>
      <c r="BL207" s="789">
        <v>0</v>
      </c>
      <c r="BM207" s="789">
        <v>0</v>
      </c>
      <c r="BN207" s="789">
        <v>385769</v>
      </c>
      <c r="BO207" s="789">
        <v>0</v>
      </c>
      <c r="BP207" s="789">
        <v>1209320</v>
      </c>
      <c r="BQ207" s="789">
        <v>4567532</v>
      </c>
      <c r="BR207" s="789">
        <v>0</v>
      </c>
      <c r="BS207" s="789">
        <v>0</v>
      </c>
      <c r="BT207" s="789">
        <v>0</v>
      </c>
      <c r="BU207" s="789">
        <v>0</v>
      </c>
      <c r="BV207" s="789">
        <v>0</v>
      </c>
      <c r="BW207" s="789">
        <v>0</v>
      </c>
      <c r="BX207" s="789">
        <v>0</v>
      </c>
      <c r="BY207" s="789">
        <v>0</v>
      </c>
      <c r="BZ207" s="789">
        <v>994517</v>
      </c>
      <c r="CA207" s="789">
        <v>0</v>
      </c>
      <c r="CB207" s="789">
        <v>974648</v>
      </c>
      <c r="CC207" s="789">
        <v>0</v>
      </c>
      <c r="CD207" s="789">
        <v>0</v>
      </c>
      <c r="CE207" s="789">
        <v>2180695</v>
      </c>
    </row>
    <row r="208" spans="1:83" x14ac:dyDescent="0.25">
      <c r="B208" s="799">
        <v>558</v>
      </c>
      <c r="C208" s="796"/>
      <c r="D208" s="800" t="s">
        <v>681</v>
      </c>
      <c r="E208" s="769"/>
      <c r="F208" s="770"/>
      <c r="G208" s="770"/>
      <c r="H208" s="770"/>
      <c r="I208" s="770"/>
      <c r="J208" s="770"/>
      <c r="K208" s="771"/>
      <c r="L208" s="772"/>
      <c r="M208" s="772"/>
      <c r="N208" s="773"/>
      <c r="O208" s="773"/>
      <c r="P208" s="773"/>
      <c r="Q208" s="773"/>
      <c r="R208" s="773"/>
      <c r="S208" s="773"/>
      <c r="T208" s="773"/>
      <c r="U208" s="773"/>
      <c r="V208" s="773"/>
      <c r="W208" s="773"/>
      <c r="X208" s="773"/>
      <c r="Y208" s="773"/>
      <c r="Z208" s="773"/>
      <c r="AA208" s="773"/>
      <c r="AB208" s="772"/>
      <c r="AC208" s="772"/>
      <c r="AD208" s="772"/>
      <c r="AE208" s="772"/>
      <c r="AF208" s="772"/>
      <c r="AG208" s="772"/>
      <c r="AH208" s="772"/>
      <c r="AI208" s="772"/>
      <c r="AJ208" s="772"/>
      <c r="AK208" s="772"/>
      <c r="AL208" s="772"/>
      <c r="AM208" s="772"/>
      <c r="AN208" s="772"/>
      <c r="AO208" s="772"/>
      <c r="AP208" s="772"/>
      <c r="AQ208" s="772"/>
      <c r="AR208" s="772"/>
      <c r="AS208" s="772"/>
      <c r="AT208" s="772"/>
      <c r="AU208" s="772"/>
      <c r="AV208" s="772"/>
      <c r="AW208" s="772"/>
      <c r="AX208" s="772"/>
      <c r="AY208" s="772"/>
      <c r="AZ208" s="772"/>
      <c r="BA208" s="772"/>
      <c r="BB208" s="772"/>
      <c r="BC208" s="772"/>
      <c r="BD208" s="772"/>
      <c r="BE208" s="772"/>
      <c r="BF208" s="772"/>
      <c r="BG208" s="772"/>
      <c r="BH208" s="772"/>
      <c r="BI208" s="772"/>
      <c r="BJ208" s="772"/>
      <c r="BK208" s="772"/>
      <c r="BL208" s="772"/>
      <c r="BM208" s="772"/>
      <c r="BN208" s="772"/>
      <c r="BO208" s="772"/>
      <c r="BP208" s="772"/>
      <c r="BQ208" s="772"/>
      <c r="BR208" s="772"/>
      <c r="BS208" s="772"/>
      <c r="BT208" s="772"/>
      <c r="BU208" s="772"/>
      <c r="BV208" s="772"/>
      <c r="BW208" s="772"/>
      <c r="BX208" s="772"/>
      <c r="BY208" s="772"/>
      <c r="BZ208" s="772"/>
      <c r="CA208" s="772"/>
      <c r="CB208" s="772"/>
      <c r="CC208" s="772"/>
      <c r="CD208" s="772"/>
      <c r="CE208" s="772"/>
    </row>
    <row r="209" spans="1:83" x14ac:dyDescent="0.25">
      <c r="B209" s="799">
        <v>559</v>
      </c>
      <c r="C209" s="796"/>
      <c r="D209" s="800" t="s">
        <v>682</v>
      </c>
      <c r="E209" s="769"/>
      <c r="F209" s="770"/>
      <c r="G209" s="770"/>
      <c r="H209" s="770"/>
      <c r="I209" s="770"/>
      <c r="J209" s="770"/>
      <c r="K209" s="771"/>
      <c r="L209" s="772"/>
      <c r="M209" s="772"/>
      <c r="N209" s="773"/>
      <c r="O209" s="773"/>
      <c r="P209" s="773"/>
      <c r="Q209" s="773"/>
      <c r="R209" s="773"/>
      <c r="S209" s="773"/>
      <c r="T209" s="773"/>
      <c r="U209" s="773"/>
      <c r="V209" s="773"/>
      <c r="W209" s="773"/>
      <c r="X209" s="773"/>
      <c r="Y209" s="773"/>
      <c r="Z209" s="773"/>
      <c r="AA209" s="773"/>
      <c r="AB209" s="772"/>
      <c r="AC209" s="772"/>
      <c r="AD209" s="772"/>
      <c r="AE209" s="772"/>
      <c r="AF209" s="772"/>
      <c r="AG209" s="772"/>
      <c r="AH209" s="772"/>
      <c r="AI209" s="772"/>
      <c r="AJ209" s="772"/>
      <c r="AK209" s="772"/>
      <c r="AL209" s="772"/>
      <c r="AM209" s="772"/>
      <c r="AN209" s="772"/>
      <c r="AO209" s="772"/>
      <c r="AP209" s="772"/>
      <c r="AQ209" s="772"/>
      <c r="AR209" s="772"/>
      <c r="AS209" s="772"/>
      <c r="AT209" s="772"/>
      <c r="AU209" s="772"/>
      <c r="AV209" s="772"/>
      <c r="AW209" s="772"/>
      <c r="AX209" s="772"/>
      <c r="AY209" s="772"/>
      <c r="AZ209" s="772"/>
      <c r="BA209" s="772"/>
      <c r="BB209" s="772"/>
      <c r="BC209" s="772"/>
      <c r="BD209" s="772"/>
      <c r="BE209" s="772"/>
      <c r="BF209" s="772"/>
      <c r="BG209" s="772"/>
      <c r="BH209" s="772"/>
      <c r="BI209" s="772"/>
      <c r="BJ209" s="772"/>
      <c r="BK209" s="772"/>
      <c r="BL209" s="772"/>
      <c r="BM209" s="772"/>
      <c r="BN209" s="772"/>
      <c r="BO209" s="772"/>
      <c r="BP209" s="772"/>
      <c r="BQ209" s="772"/>
      <c r="BR209" s="772"/>
      <c r="BS209" s="772"/>
      <c r="BT209" s="772"/>
      <c r="BU209" s="772"/>
      <c r="BV209" s="772"/>
      <c r="BW209" s="772"/>
      <c r="BX209" s="772"/>
      <c r="BY209" s="772"/>
      <c r="BZ209" s="772"/>
      <c r="CA209" s="772"/>
      <c r="CB209" s="772"/>
      <c r="CC209" s="772"/>
      <c r="CD209" s="772"/>
      <c r="CE209" s="772"/>
    </row>
    <row r="210" spans="1:83" x14ac:dyDescent="0.25">
      <c r="B210" s="799">
        <v>560</v>
      </c>
      <c r="C210" s="796"/>
      <c r="D210" s="800" t="s">
        <v>683</v>
      </c>
      <c r="E210" s="769"/>
      <c r="F210" s="770"/>
      <c r="G210" s="770"/>
      <c r="H210" s="770"/>
      <c r="I210" s="770"/>
      <c r="J210" s="770"/>
      <c r="K210" s="771"/>
      <c r="L210" s="772"/>
      <c r="M210" s="772"/>
      <c r="N210" s="773"/>
      <c r="O210" s="773"/>
      <c r="P210" s="773"/>
      <c r="Q210" s="773"/>
      <c r="R210" s="773"/>
      <c r="S210" s="773"/>
      <c r="T210" s="773"/>
      <c r="U210" s="773"/>
      <c r="V210" s="773"/>
      <c r="W210" s="773"/>
      <c r="X210" s="773"/>
      <c r="Y210" s="773"/>
      <c r="Z210" s="773"/>
      <c r="AA210" s="773"/>
      <c r="AB210" s="772"/>
      <c r="AC210" s="772"/>
      <c r="AD210" s="772"/>
      <c r="AE210" s="772"/>
      <c r="AF210" s="772"/>
      <c r="AG210" s="772"/>
      <c r="AH210" s="772"/>
      <c r="AI210" s="772"/>
      <c r="AJ210" s="772"/>
      <c r="AK210" s="772"/>
      <c r="AL210" s="772"/>
      <c r="AM210" s="772"/>
      <c r="AN210" s="772"/>
      <c r="AO210" s="772"/>
      <c r="AP210" s="772"/>
      <c r="AQ210" s="772"/>
      <c r="AR210" s="772"/>
      <c r="AS210" s="772"/>
      <c r="AT210" s="772"/>
      <c r="AU210" s="772"/>
      <c r="AV210" s="772"/>
      <c r="AW210" s="772"/>
      <c r="AX210" s="772"/>
      <c r="AY210" s="772"/>
      <c r="AZ210" s="772"/>
      <c r="BA210" s="772"/>
      <c r="BB210" s="772"/>
      <c r="BC210" s="772"/>
      <c r="BD210" s="772"/>
      <c r="BE210" s="772"/>
      <c r="BF210" s="772"/>
      <c r="BG210" s="772"/>
      <c r="BH210" s="772"/>
      <c r="BI210" s="772"/>
      <c r="BJ210" s="772"/>
      <c r="BK210" s="772"/>
      <c r="BL210" s="772"/>
      <c r="BM210" s="772"/>
      <c r="BN210" s="772"/>
      <c r="BO210" s="772"/>
      <c r="BP210" s="772"/>
      <c r="BQ210" s="772"/>
      <c r="BR210" s="772"/>
      <c r="BS210" s="772"/>
      <c r="BT210" s="772"/>
      <c r="BU210" s="772"/>
      <c r="BV210" s="772"/>
      <c r="BW210" s="772"/>
      <c r="BX210" s="772"/>
      <c r="BY210" s="772"/>
      <c r="BZ210" s="772"/>
      <c r="CA210" s="772"/>
      <c r="CB210" s="772"/>
      <c r="CC210" s="772"/>
      <c r="CD210" s="772"/>
      <c r="CE210" s="772"/>
    </row>
    <row r="211" spans="1:83" x14ac:dyDescent="0.25">
      <c r="A211" s="755"/>
      <c r="B211" s="799">
        <v>561</v>
      </c>
      <c r="C211" s="796"/>
      <c r="D211" s="800" t="s">
        <v>684</v>
      </c>
      <c r="E211" s="769"/>
      <c r="F211" s="770"/>
      <c r="G211" s="770"/>
      <c r="H211" s="770"/>
      <c r="I211" s="770"/>
      <c r="J211" s="770"/>
      <c r="K211" s="771"/>
      <c r="L211" s="772"/>
      <c r="M211" s="772"/>
      <c r="N211" s="773"/>
      <c r="O211" s="773"/>
      <c r="P211" s="773"/>
      <c r="Q211" s="773"/>
      <c r="R211" s="773"/>
      <c r="S211" s="773"/>
      <c r="T211" s="773"/>
      <c r="U211" s="773"/>
      <c r="V211" s="773"/>
      <c r="W211" s="773"/>
      <c r="X211" s="773"/>
      <c r="Y211" s="773"/>
      <c r="Z211" s="773"/>
      <c r="AA211" s="773"/>
      <c r="AB211" s="772"/>
      <c r="AC211" s="772"/>
      <c r="AD211" s="772"/>
      <c r="AE211" s="772"/>
      <c r="AF211" s="772"/>
      <c r="AG211" s="772"/>
      <c r="AH211" s="772"/>
      <c r="AI211" s="772"/>
      <c r="AJ211" s="772"/>
      <c r="AK211" s="772"/>
      <c r="AL211" s="772"/>
      <c r="AM211" s="772"/>
      <c r="AN211" s="772"/>
      <c r="AO211" s="772"/>
      <c r="AP211" s="772"/>
      <c r="AQ211" s="772"/>
      <c r="AR211" s="772"/>
      <c r="AS211" s="772"/>
      <c r="AT211" s="772"/>
      <c r="AU211" s="772"/>
      <c r="AV211" s="772"/>
      <c r="AW211" s="772"/>
      <c r="AX211" s="772"/>
      <c r="AY211" s="772"/>
      <c r="AZ211" s="772"/>
      <c r="BA211" s="772"/>
      <c r="BB211" s="772"/>
      <c r="BC211" s="772"/>
      <c r="BD211" s="772"/>
      <c r="BE211" s="772"/>
      <c r="BF211" s="772"/>
      <c r="BG211" s="772"/>
      <c r="BH211" s="772"/>
      <c r="BI211" s="772"/>
      <c r="BJ211" s="772"/>
      <c r="BK211" s="772"/>
      <c r="BL211" s="772"/>
      <c r="BM211" s="772"/>
      <c r="BN211" s="772"/>
      <c r="BO211" s="772"/>
      <c r="BP211" s="772"/>
      <c r="BQ211" s="772"/>
      <c r="BR211" s="772"/>
      <c r="BS211" s="772"/>
      <c r="BT211" s="772"/>
      <c r="BU211" s="772"/>
      <c r="BV211" s="772"/>
      <c r="BW211" s="772"/>
      <c r="BX211" s="772"/>
      <c r="BY211" s="772"/>
      <c r="BZ211" s="772"/>
      <c r="CA211" s="772"/>
      <c r="CB211" s="772"/>
      <c r="CC211" s="772"/>
      <c r="CD211" s="772"/>
      <c r="CE211" s="772"/>
    </row>
    <row r="212" spans="1:83" x14ac:dyDescent="0.25">
      <c r="A212" s="755"/>
      <c r="B212" s="799">
        <v>562</v>
      </c>
      <c r="C212" s="796"/>
      <c r="D212" s="800" t="s">
        <v>685</v>
      </c>
      <c r="E212" s="769"/>
      <c r="F212" s="770"/>
      <c r="G212" s="770"/>
      <c r="H212" s="770"/>
      <c r="I212" s="770"/>
      <c r="J212" s="770"/>
      <c r="K212" s="771"/>
      <c r="L212" s="772"/>
      <c r="M212" s="772"/>
      <c r="N212" s="773"/>
      <c r="O212" s="773"/>
      <c r="P212" s="773"/>
      <c r="Q212" s="773"/>
      <c r="R212" s="773"/>
      <c r="S212" s="773"/>
      <c r="T212" s="773"/>
      <c r="U212" s="773"/>
      <c r="V212" s="773"/>
      <c r="W212" s="773"/>
      <c r="X212" s="773"/>
      <c r="Y212" s="773"/>
      <c r="Z212" s="773"/>
      <c r="AA212" s="773"/>
      <c r="AB212" s="772"/>
      <c r="AC212" s="772"/>
      <c r="AD212" s="772"/>
      <c r="AE212" s="772"/>
      <c r="AF212" s="772"/>
      <c r="AG212" s="772"/>
      <c r="AH212" s="772"/>
      <c r="AI212" s="772"/>
      <c r="AJ212" s="772"/>
      <c r="AK212" s="772"/>
      <c r="AL212" s="772"/>
      <c r="AM212" s="772"/>
      <c r="AN212" s="772"/>
      <c r="AO212" s="772"/>
      <c r="AP212" s="772"/>
      <c r="AQ212" s="772"/>
      <c r="AR212" s="772"/>
      <c r="AS212" s="772"/>
      <c r="AT212" s="772"/>
      <c r="AU212" s="772"/>
      <c r="AV212" s="772"/>
      <c r="AW212" s="772"/>
      <c r="AX212" s="772"/>
      <c r="AY212" s="772"/>
      <c r="AZ212" s="772"/>
      <c r="BA212" s="772"/>
      <c r="BB212" s="772"/>
      <c r="BC212" s="772"/>
      <c r="BD212" s="772"/>
      <c r="BE212" s="772"/>
      <c r="BF212" s="772"/>
      <c r="BG212" s="772"/>
      <c r="BH212" s="772"/>
      <c r="BI212" s="772"/>
      <c r="BJ212" s="772"/>
      <c r="BK212" s="772"/>
      <c r="BL212" s="772"/>
      <c r="BM212" s="772"/>
      <c r="BN212" s="772"/>
      <c r="BO212" s="772"/>
      <c r="BP212" s="772"/>
      <c r="BQ212" s="772"/>
      <c r="BR212" s="772"/>
      <c r="BS212" s="772"/>
      <c r="BT212" s="772"/>
      <c r="BU212" s="772"/>
      <c r="BV212" s="772"/>
      <c r="BW212" s="772"/>
      <c r="BX212" s="772"/>
      <c r="BY212" s="772"/>
      <c r="BZ212" s="772"/>
      <c r="CA212" s="772"/>
      <c r="CB212" s="772"/>
      <c r="CC212" s="772"/>
      <c r="CD212" s="772"/>
      <c r="CE212" s="772"/>
    </row>
    <row r="213" spans="1:83" x14ac:dyDescent="0.25">
      <c r="B213" s="799">
        <v>563</v>
      </c>
      <c r="C213" s="796"/>
      <c r="D213" s="800" t="s">
        <v>686</v>
      </c>
      <c r="E213" s="769"/>
      <c r="F213" s="770"/>
      <c r="G213" s="770"/>
      <c r="H213" s="770"/>
      <c r="I213" s="770"/>
      <c r="J213" s="770"/>
      <c r="K213" s="771"/>
      <c r="L213" s="772"/>
      <c r="M213" s="772"/>
      <c r="N213" s="773"/>
      <c r="O213" s="773"/>
      <c r="P213" s="773"/>
      <c r="Q213" s="773"/>
      <c r="R213" s="773"/>
      <c r="S213" s="773"/>
      <c r="T213" s="773"/>
      <c r="U213" s="773"/>
      <c r="V213" s="773"/>
      <c r="W213" s="773"/>
      <c r="X213" s="773"/>
      <c r="Y213" s="773"/>
      <c r="Z213" s="773"/>
      <c r="AA213" s="773"/>
      <c r="AB213" s="772"/>
      <c r="AC213" s="772"/>
      <c r="AD213" s="772"/>
      <c r="AE213" s="772"/>
      <c r="AF213" s="772"/>
      <c r="AG213" s="772"/>
      <c r="AH213" s="772"/>
      <c r="AI213" s="772"/>
      <c r="AJ213" s="772"/>
      <c r="AK213" s="772"/>
      <c r="AL213" s="772"/>
      <c r="AM213" s="772"/>
      <c r="AN213" s="772"/>
      <c r="AO213" s="772"/>
      <c r="AP213" s="772"/>
      <c r="AQ213" s="772"/>
      <c r="AR213" s="772"/>
      <c r="AS213" s="772"/>
      <c r="AT213" s="772"/>
      <c r="AU213" s="772"/>
      <c r="AV213" s="772"/>
      <c r="AW213" s="772"/>
      <c r="AX213" s="772"/>
      <c r="AY213" s="772"/>
      <c r="AZ213" s="772"/>
      <c r="BA213" s="772"/>
      <c r="BB213" s="772"/>
      <c r="BC213" s="772"/>
      <c r="BD213" s="772"/>
      <c r="BE213" s="772"/>
      <c r="BF213" s="772"/>
      <c r="BG213" s="772"/>
      <c r="BH213" s="772"/>
      <c r="BI213" s="772"/>
      <c r="BJ213" s="772"/>
      <c r="BK213" s="772"/>
      <c r="BL213" s="772"/>
      <c r="BM213" s="772"/>
      <c r="BN213" s="772"/>
      <c r="BO213" s="772"/>
      <c r="BP213" s="772"/>
      <c r="BQ213" s="772"/>
      <c r="BR213" s="772"/>
      <c r="BS213" s="772"/>
      <c r="BT213" s="772"/>
      <c r="BU213" s="772"/>
      <c r="BV213" s="772"/>
      <c r="BW213" s="772"/>
      <c r="BX213" s="772"/>
      <c r="BY213" s="772"/>
      <c r="BZ213" s="772"/>
      <c r="CA213" s="772"/>
      <c r="CB213" s="772"/>
      <c r="CC213" s="772"/>
      <c r="CD213" s="772"/>
      <c r="CE213" s="772"/>
    </row>
    <row r="214" spans="1:83" x14ac:dyDescent="0.25">
      <c r="A214" s="755"/>
      <c r="B214" s="799">
        <v>564</v>
      </c>
      <c r="C214" s="796"/>
      <c r="D214" s="800" t="s">
        <v>687</v>
      </c>
      <c r="E214" s="769"/>
      <c r="F214" s="770"/>
      <c r="G214" s="770"/>
      <c r="H214" s="770"/>
      <c r="I214" s="770"/>
      <c r="J214" s="770"/>
      <c r="K214" s="771"/>
      <c r="L214" s="772"/>
      <c r="M214" s="772"/>
      <c r="N214" s="773"/>
      <c r="O214" s="773"/>
      <c r="P214" s="773"/>
      <c r="Q214" s="773"/>
      <c r="R214" s="773"/>
      <c r="S214" s="773"/>
      <c r="T214" s="773"/>
      <c r="U214" s="773"/>
      <c r="V214" s="773"/>
      <c r="W214" s="773"/>
      <c r="X214" s="773"/>
      <c r="Y214" s="773"/>
      <c r="Z214" s="773"/>
      <c r="AA214" s="773"/>
      <c r="AB214" s="772"/>
      <c r="AC214" s="772"/>
      <c r="AD214" s="772"/>
      <c r="AE214" s="772"/>
      <c r="AF214" s="772"/>
      <c r="AG214" s="772"/>
      <c r="AH214" s="772"/>
      <c r="AI214" s="772"/>
      <c r="AJ214" s="772"/>
      <c r="AK214" s="772"/>
      <c r="AL214" s="772"/>
      <c r="AM214" s="772"/>
      <c r="AN214" s="772"/>
      <c r="AO214" s="772"/>
      <c r="AP214" s="772"/>
      <c r="AQ214" s="772"/>
      <c r="AR214" s="772"/>
      <c r="AS214" s="772"/>
      <c r="AT214" s="772"/>
      <c r="AU214" s="772"/>
      <c r="AV214" s="772"/>
      <c r="AW214" s="772"/>
      <c r="AX214" s="772"/>
      <c r="AY214" s="772"/>
      <c r="AZ214" s="772"/>
      <c r="BA214" s="772"/>
      <c r="BB214" s="772"/>
      <c r="BC214" s="772"/>
      <c r="BD214" s="772"/>
      <c r="BE214" s="772"/>
      <c r="BF214" s="772"/>
      <c r="BG214" s="772"/>
      <c r="BH214" s="772"/>
      <c r="BI214" s="772"/>
      <c r="BJ214" s="772"/>
      <c r="BK214" s="772"/>
      <c r="BL214" s="772"/>
      <c r="BM214" s="772"/>
      <c r="BN214" s="772"/>
      <c r="BO214" s="772"/>
      <c r="BP214" s="772"/>
      <c r="BQ214" s="772"/>
      <c r="BR214" s="772"/>
      <c r="BS214" s="772"/>
      <c r="BT214" s="772"/>
      <c r="BU214" s="772"/>
      <c r="BV214" s="772"/>
      <c r="BW214" s="772"/>
      <c r="BX214" s="772"/>
      <c r="BY214" s="772"/>
      <c r="BZ214" s="772"/>
      <c r="CA214" s="772"/>
      <c r="CB214" s="772"/>
      <c r="CC214" s="772"/>
      <c r="CD214" s="772"/>
      <c r="CE214" s="772"/>
    </row>
    <row r="215" spans="1:83" x14ac:dyDescent="0.25">
      <c r="B215" s="799">
        <v>565</v>
      </c>
      <c r="C215" s="796"/>
      <c r="D215" s="800" t="s">
        <v>688</v>
      </c>
      <c r="E215" s="769"/>
      <c r="F215" s="770"/>
      <c r="G215" s="770"/>
      <c r="H215" s="770"/>
      <c r="I215" s="770"/>
      <c r="J215" s="770"/>
      <c r="K215" s="771"/>
      <c r="L215" s="772"/>
      <c r="M215" s="772"/>
      <c r="N215" s="773"/>
      <c r="O215" s="773"/>
      <c r="P215" s="773"/>
      <c r="Q215" s="773"/>
      <c r="R215" s="773"/>
      <c r="S215" s="773"/>
      <c r="T215" s="773"/>
      <c r="U215" s="773"/>
      <c r="V215" s="773"/>
      <c r="W215" s="773"/>
      <c r="X215" s="773"/>
      <c r="Y215" s="773"/>
      <c r="Z215" s="773"/>
      <c r="AA215" s="773"/>
      <c r="AB215" s="772"/>
      <c r="AC215" s="772"/>
      <c r="AD215" s="772"/>
      <c r="AE215" s="772"/>
      <c r="AF215" s="772"/>
      <c r="AG215" s="772"/>
      <c r="AH215" s="772"/>
      <c r="AI215" s="772"/>
      <c r="AJ215" s="772"/>
      <c r="AK215" s="772"/>
      <c r="AL215" s="772"/>
      <c r="AM215" s="772"/>
      <c r="AN215" s="772"/>
      <c r="AO215" s="772"/>
      <c r="AP215" s="772"/>
      <c r="AQ215" s="772"/>
      <c r="AR215" s="772"/>
      <c r="AS215" s="772"/>
      <c r="AT215" s="772"/>
      <c r="AU215" s="772"/>
      <c r="AV215" s="772"/>
      <c r="AW215" s="772"/>
      <c r="AX215" s="772"/>
      <c r="AY215" s="772"/>
      <c r="AZ215" s="772"/>
      <c r="BA215" s="772"/>
      <c r="BB215" s="772"/>
      <c r="BC215" s="772"/>
      <c r="BD215" s="772"/>
      <c r="BE215" s="772"/>
      <c r="BF215" s="772"/>
      <c r="BG215" s="772"/>
      <c r="BH215" s="772"/>
      <c r="BI215" s="772"/>
      <c r="BJ215" s="772"/>
      <c r="BK215" s="772"/>
      <c r="BL215" s="772"/>
      <c r="BM215" s="772"/>
      <c r="BN215" s="772"/>
      <c r="BO215" s="772"/>
      <c r="BP215" s="772"/>
      <c r="BQ215" s="772"/>
      <c r="BR215" s="772"/>
      <c r="BS215" s="772"/>
      <c r="BT215" s="772"/>
      <c r="BU215" s="772"/>
      <c r="BV215" s="772"/>
      <c r="BW215" s="772"/>
      <c r="BX215" s="772"/>
      <c r="BY215" s="772"/>
      <c r="BZ215" s="772"/>
      <c r="CA215" s="772"/>
      <c r="CB215" s="772"/>
      <c r="CC215" s="772"/>
      <c r="CD215" s="772"/>
      <c r="CE215" s="772"/>
    </row>
    <row r="216" spans="1:83" x14ac:dyDescent="0.25">
      <c r="B216" s="799">
        <v>566</v>
      </c>
      <c r="C216" s="796"/>
      <c r="D216" s="800" t="s">
        <v>689</v>
      </c>
      <c r="E216" s="769"/>
      <c r="F216" s="770"/>
      <c r="G216" s="770"/>
      <c r="H216" s="770"/>
      <c r="I216" s="770"/>
      <c r="J216" s="770"/>
      <c r="K216" s="771"/>
      <c r="L216" s="772"/>
      <c r="M216" s="772"/>
      <c r="N216" s="773"/>
      <c r="O216" s="773"/>
      <c r="P216" s="773"/>
      <c r="Q216" s="773"/>
      <c r="R216" s="773"/>
      <c r="S216" s="773"/>
      <c r="T216" s="773"/>
      <c r="U216" s="773"/>
      <c r="V216" s="773"/>
      <c r="W216" s="773"/>
      <c r="X216" s="773"/>
      <c r="Y216" s="773"/>
      <c r="Z216" s="773"/>
      <c r="AA216" s="773"/>
      <c r="AB216" s="772"/>
      <c r="AC216" s="772"/>
      <c r="AD216" s="772"/>
      <c r="AE216" s="772"/>
      <c r="AF216" s="772"/>
      <c r="AG216" s="772"/>
      <c r="AH216" s="772"/>
      <c r="AI216" s="772"/>
      <c r="AJ216" s="772"/>
      <c r="AK216" s="772"/>
      <c r="AL216" s="772"/>
      <c r="AM216" s="772"/>
      <c r="AN216" s="772"/>
      <c r="AO216" s="772"/>
      <c r="AP216" s="772"/>
      <c r="AQ216" s="772"/>
      <c r="AR216" s="772"/>
      <c r="AS216" s="772"/>
      <c r="AT216" s="772"/>
      <c r="AU216" s="772"/>
      <c r="AV216" s="772"/>
      <c r="AW216" s="772"/>
      <c r="AX216" s="772"/>
      <c r="AY216" s="772"/>
      <c r="AZ216" s="772"/>
      <c r="BA216" s="772"/>
      <c r="BB216" s="772"/>
      <c r="BC216" s="772"/>
      <c r="BD216" s="772"/>
      <c r="BE216" s="772"/>
      <c r="BF216" s="772"/>
      <c r="BG216" s="772"/>
      <c r="BH216" s="772"/>
      <c r="BI216" s="772"/>
      <c r="BJ216" s="772"/>
      <c r="BK216" s="772"/>
      <c r="BL216" s="772"/>
      <c r="BM216" s="772"/>
      <c r="BN216" s="772"/>
      <c r="BO216" s="772"/>
      <c r="BP216" s="772"/>
      <c r="BQ216" s="772"/>
      <c r="BR216" s="772"/>
      <c r="BS216" s="772"/>
      <c r="BT216" s="772"/>
      <c r="BU216" s="772"/>
      <c r="BV216" s="772"/>
      <c r="BW216" s="772"/>
      <c r="BX216" s="772"/>
      <c r="BY216" s="772"/>
      <c r="BZ216" s="772"/>
      <c r="CA216" s="772"/>
      <c r="CB216" s="772"/>
      <c r="CC216" s="772"/>
      <c r="CD216" s="772"/>
      <c r="CE216" s="772"/>
    </row>
    <row r="217" spans="1:83" x14ac:dyDescent="0.25">
      <c r="B217" s="799">
        <v>567</v>
      </c>
      <c r="C217" s="796"/>
      <c r="D217" s="800" t="s">
        <v>690</v>
      </c>
      <c r="E217" s="769"/>
      <c r="F217" s="770"/>
      <c r="G217" s="770"/>
      <c r="H217" s="770"/>
      <c r="I217" s="770"/>
      <c r="J217" s="770"/>
      <c r="K217" s="771"/>
      <c r="L217" s="772"/>
      <c r="M217" s="772"/>
      <c r="N217" s="773"/>
      <c r="O217" s="773"/>
      <c r="P217" s="773"/>
      <c r="Q217" s="773"/>
      <c r="R217" s="773"/>
      <c r="S217" s="773"/>
      <c r="T217" s="773"/>
      <c r="U217" s="773"/>
      <c r="V217" s="773"/>
      <c r="W217" s="773"/>
      <c r="X217" s="773"/>
      <c r="Y217" s="773"/>
      <c r="Z217" s="773"/>
      <c r="AA217" s="773"/>
      <c r="AB217" s="772"/>
      <c r="AC217" s="772"/>
      <c r="AD217" s="772"/>
      <c r="AE217" s="772"/>
      <c r="AF217" s="772"/>
      <c r="AG217" s="772"/>
      <c r="AH217" s="772"/>
      <c r="AI217" s="772"/>
      <c r="AJ217" s="772"/>
      <c r="AK217" s="772"/>
      <c r="AL217" s="772"/>
      <c r="AM217" s="772"/>
      <c r="AN217" s="772"/>
      <c r="AO217" s="772"/>
      <c r="AP217" s="772"/>
      <c r="AQ217" s="772"/>
      <c r="AR217" s="772"/>
      <c r="AS217" s="772"/>
      <c r="AT217" s="772"/>
      <c r="AU217" s="772"/>
      <c r="AV217" s="772"/>
      <c r="AW217" s="772"/>
      <c r="AX217" s="772"/>
      <c r="AY217" s="772"/>
      <c r="AZ217" s="772"/>
      <c r="BA217" s="772"/>
      <c r="BB217" s="772"/>
      <c r="BC217" s="772"/>
      <c r="BD217" s="772"/>
      <c r="BE217" s="772"/>
      <c r="BF217" s="772"/>
      <c r="BG217" s="772"/>
      <c r="BH217" s="772"/>
      <c r="BI217" s="772"/>
      <c r="BJ217" s="772"/>
      <c r="BK217" s="772"/>
      <c r="BL217" s="772"/>
      <c r="BM217" s="772"/>
      <c r="BN217" s="772"/>
      <c r="BO217" s="772"/>
      <c r="BP217" s="772"/>
      <c r="BQ217" s="772"/>
      <c r="BR217" s="772"/>
      <c r="BS217" s="772"/>
      <c r="BT217" s="772"/>
      <c r="BU217" s="772"/>
      <c r="BV217" s="772"/>
      <c r="BW217" s="772"/>
      <c r="BX217" s="772"/>
      <c r="BY217" s="772"/>
      <c r="BZ217" s="772"/>
      <c r="CA217" s="772"/>
      <c r="CB217" s="772"/>
      <c r="CC217" s="772"/>
      <c r="CD217" s="772"/>
      <c r="CE217" s="772"/>
    </row>
    <row r="218" spans="1:83" x14ac:dyDescent="0.25">
      <c r="B218" s="799">
        <v>568</v>
      </c>
      <c r="C218" s="796"/>
      <c r="D218" s="800" t="s">
        <v>691</v>
      </c>
      <c r="E218" s="769"/>
      <c r="F218" s="770"/>
      <c r="G218" s="770"/>
      <c r="H218" s="770"/>
      <c r="I218" s="770"/>
      <c r="J218" s="770"/>
      <c r="K218" s="771"/>
      <c r="L218" s="772"/>
      <c r="M218" s="772"/>
      <c r="N218" s="773"/>
      <c r="O218" s="773"/>
      <c r="P218" s="773"/>
      <c r="Q218" s="773"/>
      <c r="R218" s="773"/>
      <c r="S218" s="773"/>
      <c r="T218" s="773"/>
      <c r="U218" s="773"/>
      <c r="V218" s="773"/>
      <c r="W218" s="773"/>
      <c r="X218" s="773"/>
      <c r="Y218" s="773"/>
      <c r="Z218" s="773"/>
      <c r="AA218" s="773"/>
      <c r="AB218" s="772"/>
      <c r="AC218" s="772"/>
      <c r="AD218" s="772"/>
      <c r="AE218" s="772"/>
      <c r="AF218" s="772"/>
      <c r="AG218" s="772"/>
      <c r="AH218" s="772"/>
      <c r="AI218" s="772"/>
      <c r="AJ218" s="772"/>
      <c r="AK218" s="772"/>
      <c r="AL218" s="772"/>
      <c r="AM218" s="772"/>
      <c r="AN218" s="772"/>
      <c r="AO218" s="772"/>
      <c r="AP218" s="772"/>
      <c r="AQ218" s="772"/>
      <c r="AR218" s="772"/>
      <c r="AS218" s="772"/>
      <c r="AT218" s="772"/>
      <c r="AU218" s="772"/>
      <c r="AV218" s="772"/>
      <c r="AW218" s="772"/>
      <c r="AX218" s="772"/>
      <c r="AY218" s="772"/>
      <c r="AZ218" s="772"/>
      <c r="BA218" s="772"/>
      <c r="BB218" s="772"/>
      <c r="BC218" s="772"/>
      <c r="BD218" s="772"/>
      <c r="BE218" s="772"/>
      <c r="BF218" s="772"/>
      <c r="BG218" s="772"/>
      <c r="BH218" s="772"/>
      <c r="BI218" s="772"/>
      <c r="BJ218" s="772"/>
      <c r="BK218" s="772"/>
      <c r="BL218" s="772"/>
      <c r="BM218" s="772"/>
      <c r="BN218" s="772"/>
      <c r="BO218" s="772"/>
      <c r="BP218" s="772"/>
      <c r="BQ218" s="772"/>
      <c r="BR218" s="772"/>
      <c r="BS218" s="772"/>
      <c r="BT218" s="772"/>
      <c r="BU218" s="772"/>
      <c r="BV218" s="772"/>
      <c r="BW218" s="772"/>
      <c r="BX218" s="772"/>
      <c r="BY218" s="772"/>
      <c r="BZ218" s="772"/>
      <c r="CA218" s="772"/>
      <c r="CB218" s="772"/>
      <c r="CC218" s="772"/>
      <c r="CD218" s="772"/>
      <c r="CE218" s="772"/>
    </row>
    <row r="219" spans="1:83" x14ac:dyDescent="0.25">
      <c r="B219" s="799">
        <v>569</v>
      </c>
      <c r="C219" s="796"/>
      <c r="D219" s="800" t="s">
        <v>692</v>
      </c>
      <c r="E219" s="769"/>
      <c r="F219" s="770"/>
      <c r="G219" s="770"/>
      <c r="H219" s="770"/>
      <c r="I219" s="770"/>
      <c r="J219" s="770"/>
      <c r="K219" s="771"/>
      <c r="L219" s="772"/>
      <c r="M219" s="772"/>
      <c r="N219" s="773"/>
      <c r="O219" s="773"/>
      <c r="P219" s="773"/>
      <c r="Q219" s="773"/>
      <c r="R219" s="773"/>
      <c r="S219" s="773"/>
      <c r="T219" s="773"/>
      <c r="U219" s="773"/>
      <c r="V219" s="773"/>
      <c r="W219" s="773"/>
      <c r="X219" s="773"/>
      <c r="Y219" s="773"/>
      <c r="Z219" s="773"/>
      <c r="AA219" s="773"/>
      <c r="AB219" s="772"/>
      <c r="AC219" s="772"/>
      <c r="AD219" s="772"/>
      <c r="AE219" s="772"/>
      <c r="AF219" s="772"/>
      <c r="AG219" s="772"/>
      <c r="AH219" s="772"/>
      <c r="AI219" s="772"/>
      <c r="AJ219" s="772"/>
      <c r="AK219" s="772"/>
      <c r="AL219" s="772"/>
      <c r="AM219" s="772"/>
      <c r="AN219" s="772"/>
      <c r="AO219" s="772"/>
      <c r="AP219" s="772"/>
      <c r="AQ219" s="772"/>
      <c r="AR219" s="772"/>
      <c r="AS219" s="772"/>
      <c r="AT219" s="772"/>
      <c r="AU219" s="772"/>
      <c r="AV219" s="772"/>
      <c r="AW219" s="772"/>
      <c r="AX219" s="772"/>
      <c r="AY219" s="772"/>
      <c r="AZ219" s="772"/>
      <c r="BA219" s="772"/>
      <c r="BB219" s="772"/>
      <c r="BC219" s="772"/>
      <c r="BD219" s="772"/>
      <c r="BE219" s="772"/>
      <c r="BF219" s="772"/>
      <c r="BG219" s="772"/>
      <c r="BH219" s="772"/>
      <c r="BI219" s="772"/>
      <c r="BJ219" s="772"/>
      <c r="BK219" s="772"/>
      <c r="BL219" s="772"/>
      <c r="BM219" s="772"/>
      <c r="BN219" s="772"/>
      <c r="BO219" s="772"/>
      <c r="BP219" s="772"/>
      <c r="BQ219" s="772"/>
      <c r="BR219" s="772"/>
      <c r="BS219" s="772"/>
      <c r="BT219" s="772"/>
      <c r="BU219" s="772"/>
      <c r="BV219" s="772"/>
      <c r="BW219" s="772"/>
      <c r="BX219" s="772"/>
      <c r="BY219" s="772"/>
      <c r="BZ219" s="772"/>
      <c r="CA219" s="772"/>
      <c r="CB219" s="772"/>
      <c r="CC219" s="772"/>
      <c r="CD219" s="772"/>
      <c r="CE219" s="772"/>
    </row>
    <row r="220" spans="1:83" x14ac:dyDescent="0.25">
      <c r="B220" s="799">
        <v>570</v>
      </c>
      <c r="C220" s="796"/>
      <c r="D220" s="800" t="s">
        <v>693</v>
      </c>
      <c r="E220" s="769"/>
      <c r="F220" s="770"/>
      <c r="G220" s="770"/>
      <c r="H220" s="770"/>
      <c r="I220" s="770"/>
      <c r="J220" s="770"/>
      <c r="K220" s="771"/>
      <c r="L220" s="772"/>
      <c r="M220" s="772"/>
      <c r="N220" s="773"/>
      <c r="O220" s="773"/>
      <c r="P220" s="773"/>
      <c r="Q220" s="773"/>
      <c r="R220" s="773"/>
      <c r="S220" s="773"/>
      <c r="T220" s="773"/>
      <c r="U220" s="773"/>
      <c r="V220" s="773"/>
      <c r="W220" s="773"/>
      <c r="X220" s="773"/>
      <c r="Y220" s="773"/>
      <c r="Z220" s="773"/>
      <c r="AA220" s="773"/>
      <c r="AB220" s="772"/>
      <c r="AC220" s="772"/>
      <c r="AD220" s="772"/>
      <c r="AE220" s="772"/>
      <c r="AF220" s="772"/>
      <c r="AG220" s="772"/>
      <c r="AH220" s="772"/>
      <c r="AI220" s="772"/>
      <c r="AJ220" s="772"/>
      <c r="AK220" s="772"/>
      <c r="AL220" s="772"/>
      <c r="AM220" s="772"/>
      <c r="AN220" s="772"/>
      <c r="AO220" s="772"/>
      <c r="AP220" s="772"/>
      <c r="AQ220" s="772"/>
      <c r="AR220" s="772"/>
      <c r="AS220" s="772"/>
      <c r="AT220" s="772"/>
      <c r="AU220" s="772"/>
      <c r="AV220" s="772"/>
      <c r="AW220" s="772"/>
      <c r="AX220" s="772"/>
      <c r="AY220" s="772"/>
      <c r="AZ220" s="772"/>
      <c r="BA220" s="772"/>
      <c r="BB220" s="772"/>
      <c r="BC220" s="772"/>
      <c r="BD220" s="772"/>
      <c r="BE220" s="772"/>
      <c r="BF220" s="772"/>
      <c r="BG220" s="772"/>
      <c r="BH220" s="772"/>
      <c r="BI220" s="772"/>
      <c r="BJ220" s="772"/>
      <c r="BK220" s="772"/>
      <c r="BL220" s="772"/>
      <c r="BM220" s="772"/>
      <c r="BN220" s="772"/>
      <c r="BO220" s="772"/>
      <c r="BP220" s="772"/>
      <c r="BQ220" s="772"/>
      <c r="BR220" s="772"/>
      <c r="BS220" s="772"/>
      <c r="BT220" s="772"/>
      <c r="BU220" s="772"/>
      <c r="BV220" s="772"/>
      <c r="BW220" s="772"/>
      <c r="BX220" s="772"/>
      <c r="BY220" s="772"/>
      <c r="BZ220" s="772"/>
      <c r="CA220" s="772"/>
      <c r="CB220" s="772"/>
      <c r="CC220" s="772"/>
      <c r="CD220" s="772"/>
      <c r="CE220" s="772"/>
    </row>
    <row r="221" spans="1:83" x14ac:dyDescent="0.25">
      <c r="B221" s="799">
        <v>571</v>
      </c>
      <c r="C221" s="796"/>
      <c r="D221" s="800" t="s">
        <v>694</v>
      </c>
      <c r="E221" s="769"/>
      <c r="F221" s="770"/>
      <c r="G221" s="770"/>
      <c r="H221" s="770"/>
      <c r="I221" s="770"/>
      <c r="J221" s="770"/>
      <c r="K221" s="771"/>
      <c r="L221" s="772"/>
      <c r="M221" s="772"/>
      <c r="N221" s="773"/>
      <c r="O221" s="773"/>
      <c r="P221" s="773"/>
      <c r="Q221" s="773"/>
      <c r="R221" s="773"/>
      <c r="S221" s="773"/>
      <c r="T221" s="773"/>
      <c r="U221" s="773"/>
      <c r="V221" s="773"/>
      <c r="W221" s="773"/>
      <c r="X221" s="773"/>
      <c r="Y221" s="773"/>
      <c r="Z221" s="773"/>
      <c r="AA221" s="773"/>
      <c r="AB221" s="772"/>
      <c r="AC221" s="772"/>
      <c r="AD221" s="772"/>
      <c r="AE221" s="772"/>
      <c r="AF221" s="772"/>
      <c r="AG221" s="772"/>
      <c r="AH221" s="772"/>
      <c r="AI221" s="772"/>
      <c r="AJ221" s="772"/>
      <c r="AK221" s="772"/>
      <c r="AL221" s="772"/>
      <c r="AM221" s="772"/>
      <c r="AN221" s="772"/>
      <c r="AO221" s="772"/>
      <c r="AP221" s="772"/>
      <c r="AQ221" s="772"/>
      <c r="AR221" s="772"/>
      <c r="AS221" s="772"/>
      <c r="AT221" s="772"/>
      <c r="AU221" s="772"/>
      <c r="AV221" s="772"/>
      <c r="AW221" s="772"/>
      <c r="AX221" s="772"/>
      <c r="AY221" s="772"/>
      <c r="AZ221" s="772"/>
      <c r="BA221" s="772"/>
      <c r="BB221" s="772"/>
      <c r="BC221" s="772"/>
      <c r="BD221" s="772"/>
      <c r="BE221" s="772"/>
      <c r="BF221" s="772"/>
      <c r="BG221" s="772"/>
      <c r="BH221" s="772"/>
      <c r="BI221" s="772"/>
      <c r="BJ221" s="772"/>
      <c r="BK221" s="772"/>
      <c r="BL221" s="772"/>
      <c r="BM221" s="772"/>
      <c r="BN221" s="772"/>
      <c r="BO221" s="772"/>
      <c r="BP221" s="772"/>
      <c r="BQ221" s="772"/>
      <c r="BR221" s="772"/>
      <c r="BS221" s="772"/>
      <c r="BT221" s="772"/>
      <c r="BU221" s="772"/>
      <c r="BV221" s="772"/>
      <c r="BW221" s="772"/>
      <c r="BX221" s="772"/>
      <c r="BY221" s="772"/>
      <c r="BZ221" s="772"/>
      <c r="CA221" s="772"/>
      <c r="CB221" s="772"/>
      <c r="CC221" s="772"/>
      <c r="CD221" s="772"/>
      <c r="CE221" s="772"/>
    </row>
    <row r="222" spans="1:83" x14ac:dyDescent="0.25">
      <c r="B222" s="799">
        <v>572</v>
      </c>
      <c r="C222" s="796"/>
      <c r="D222" s="800" t="s">
        <v>695</v>
      </c>
      <c r="E222" s="769"/>
      <c r="F222" s="770"/>
      <c r="G222" s="770"/>
      <c r="H222" s="770"/>
      <c r="I222" s="770"/>
      <c r="J222" s="770"/>
      <c r="K222" s="771"/>
      <c r="L222" s="772"/>
      <c r="M222" s="772"/>
      <c r="N222" s="773"/>
      <c r="O222" s="773"/>
      <c r="P222" s="773"/>
      <c r="Q222" s="773"/>
      <c r="R222" s="773"/>
      <c r="S222" s="773"/>
      <c r="T222" s="773"/>
      <c r="U222" s="773"/>
      <c r="V222" s="773"/>
      <c r="W222" s="773"/>
      <c r="X222" s="773"/>
      <c r="Y222" s="773"/>
      <c r="Z222" s="773"/>
      <c r="AA222" s="773"/>
      <c r="AB222" s="772"/>
      <c r="AC222" s="772"/>
      <c r="AD222" s="772"/>
      <c r="AE222" s="772"/>
      <c r="AF222" s="772"/>
      <c r="AG222" s="772"/>
      <c r="AH222" s="772"/>
      <c r="AI222" s="772"/>
      <c r="AJ222" s="772"/>
      <c r="AK222" s="772"/>
      <c r="AL222" s="772"/>
      <c r="AM222" s="772"/>
      <c r="AN222" s="772"/>
      <c r="AO222" s="772"/>
      <c r="AP222" s="772"/>
      <c r="AQ222" s="772"/>
      <c r="AR222" s="772"/>
      <c r="AS222" s="772"/>
      <c r="AT222" s="772"/>
      <c r="AU222" s="772"/>
      <c r="AV222" s="772"/>
      <c r="AW222" s="772"/>
      <c r="AX222" s="772"/>
      <c r="AY222" s="772"/>
      <c r="AZ222" s="772"/>
      <c r="BA222" s="772"/>
      <c r="BB222" s="772"/>
      <c r="BC222" s="772"/>
      <c r="BD222" s="772"/>
      <c r="BE222" s="772"/>
      <c r="BF222" s="772"/>
      <c r="BG222" s="772"/>
      <c r="BH222" s="772"/>
      <c r="BI222" s="772"/>
      <c r="BJ222" s="772"/>
      <c r="BK222" s="772"/>
      <c r="BL222" s="772"/>
      <c r="BM222" s="772"/>
      <c r="BN222" s="772"/>
      <c r="BO222" s="772"/>
      <c r="BP222" s="772"/>
      <c r="BQ222" s="772"/>
      <c r="BR222" s="772"/>
      <c r="BS222" s="772"/>
      <c r="BT222" s="772"/>
      <c r="BU222" s="772"/>
      <c r="BV222" s="772"/>
      <c r="BW222" s="772"/>
      <c r="BX222" s="772"/>
      <c r="BY222" s="772"/>
      <c r="BZ222" s="772"/>
      <c r="CA222" s="772"/>
      <c r="CB222" s="772"/>
      <c r="CC222" s="772"/>
      <c r="CD222" s="772"/>
      <c r="CE222" s="772"/>
    </row>
    <row r="223" spans="1:83" x14ac:dyDescent="0.25">
      <c r="B223" s="799">
        <v>573</v>
      </c>
      <c r="C223" s="796"/>
      <c r="D223" s="800" t="s">
        <v>696</v>
      </c>
      <c r="E223" s="769"/>
      <c r="F223" s="770"/>
      <c r="G223" s="770"/>
      <c r="H223" s="770"/>
      <c r="I223" s="770"/>
      <c r="J223" s="770"/>
      <c r="K223" s="771"/>
      <c r="L223" s="772"/>
      <c r="M223" s="772"/>
      <c r="N223" s="773"/>
      <c r="O223" s="773"/>
      <c r="P223" s="773"/>
      <c r="Q223" s="773"/>
      <c r="R223" s="773"/>
      <c r="S223" s="773"/>
      <c r="T223" s="773"/>
      <c r="U223" s="773"/>
      <c r="V223" s="773"/>
      <c r="W223" s="773"/>
      <c r="X223" s="773"/>
      <c r="Y223" s="773"/>
      <c r="Z223" s="773"/>
      <c r="AA223" s="773"/>
      <c r="AB223" s="772"/>
      <c r="AC223" s="772"/>
      <c r="AD223" s="772"/>
      <c r="AE223" s="772"/>
      <c r="AF223" s="772"/>
      <c r="AG223" s="772"/>
      <c r="AH223" s="772"/>
      <c r="AI223" s="772"/>
      <c r="AJ223" s="772"/>
      <c r="AK223" s="772"/>
      <c r="AL223" s="772"/>
      <c r="AM223" s="772"/>
      <c r="AN223" s="772"/>
      <c r="AO223" s="772"/>
      <c r="AP223" s="772"/>
      <c r="AQ223" s="772"/>
      <c r="AR223" s="772"/>
      <c r="AS223" s="772"/>
      <c r="AT223" s="772"/>
      <c r="AU223" s="772"/>
      <c r="AV223" s="772"/>
      <c r="AW223" s="772"/>
      <c r="AX223" s="772"/>
      <c r="AY223" s="772"/>
      <c r="AZ223" s="772"/>
      <c r="BA223" s="772"/>
      <c r="BB223" s="772"/>
      <c r="BC223" s="772"/>
      <c r="BD223" s="772"/>
      <c r="BE223" s="772"/>
      <c r="BF223" s="772"/>
      <c r="BG223" s="772"/>
      <c r="BH223" s="772"/>
      <c r="BI223" s="772"/>
      <c r="BJ223" s="772"/>
      <c r="BK223" s="772"/>
      <c r="BL223" s="772"/>
      <c r="BM223" s="772"/>
      <c r="BN223" s="772"/>
      <c r="BO223" s="772"/>
      <c r="BP223" s="772"/>
      <c r="BQ223" s="772"/>
      <c r="BR223" s="772"/>
      <c r="BS223" s="772"/>
      <c r="BT223" s="772"/>
      <c r="BU223" s="772"/>
      <c r="BV223" s="772"/>
      <c r="BW223" s="772"/>
      <c r="BX223" s="772"/>
      <c r="BY223" s="772"/>
      <c r="BZ223" s="772"/>
      <c r="CA223" s="772"/>
      <c r="CB223" s="772"/>
      <c r="CC223" s="772"/>
      <c r="CD223" s="772"/>
      <c r="CE223" s="772"/>
    </row>
    <row r="224" spans="1:83" x14ac:dyDescent="0.25">
      <c r="B224" s="799">
        <v>574</v>
      </c>
      <c r="C224" s="796"/>
      <c r="D224" s="800" t="s">
        <v>697</v>
      </c>
      <c r="E224" s="769"/>
      <c r="F224" s="770"/>
      <c r="G224" s="770"/>
      <c r="H224" s="770"/>
      <c r="I224" s="770"/>
      <c r="J224" s="770"/>
      <c r="K224" s="771"/>
      <c r="L224" s="772"/>
      <c r="M224" s="772"/>
      <c r="N224" s="773"/>
      <c r="O224" s="773"/>
      <c r="P224" s="773"/>
      <c r="Q224" s="773"/>
      <c r="R224" s="773"/>
      <c r="S224" s="773"/>
      <c r="T224" s="773"/>
      <c r="U224" s="773"/>
      <c r="V224" s="773"/>
      <c r="W224" s="773"/>
      <c r="X224" s="773"/>
      <c r="Y224" s="773"/>
      <c r="Z224" s="773"/>
      <c r="AA224" s="773"/>
      <c r="AB224" s="772"/>
      <c r="AC224" s="772"/>
      <c r="AD224" s="772"/>
      <c r="AE224" s="772"/>
      <c r="AF224" s="772"/>
      <c r="AG224" s="772"/>
      <c r="AH224" s="772"/>
      <c r="AI224" s="772"/>
      <c r="AJ224" s="772"/>
      <c r="AK224" s="772"/>
      <c r="AL224" s="772"/>
      <c r="AM224" s="772"/>
      <c r="AN224" s="772"/>
      <c r="AO224" s="772"/>
      <c r="AP224" s="772"/>
      <c r="AQ224" s="772"/>
      <c r="AR224" s="772"/>
      <c r="AS224" s="772"/>
      <c r="AT224" s="772"/>
      <c r="AU224" s="772"/>
      <c r="AV224" s="772"/>
      <c r="AW224" s="772"/>
      <c r="AX224" s="772"/>
      <c r="AY224" s="772"/>
      <c r="AZ224" s="772"/>
      <c r="BA224" s="772"/>
      <c r="BB224" s="772"/>
      <c r="BC224" s="772"/>
      <c r="BD224" s="772"/>
      <c r="BE224" s="772"/>
      <c r="BF224" s="772"/>
      <c r="BG224" s="772"/>
      <c r="BH224" s="772"/>
      <c r="BI224" s="772"/>
      <c r="BJ224" s="772"/>
      <c r="BK224" s="772"/>
      <c r="BL224" s="772"/>
      <c r="BM224" s="772"/>
      <c r="BN224" s="772"/>
      <c r="BO224" s="772"/>
      <c r="BP224" s="772"/>
      <c r="BQ224" s="772"/>
      <c r="BR224" s="772"/>
      <c r="BS224" s="772"/>
      <c r="BT224" s="772"/>
      <c r="BU224" s="772"/>
      <c r="BV224" s="772"/>
      <c r="BW224" s="772"/>
      <c r="BX224" s="772"/>
      <c r="BY224" s="772"/>
      <c r="BZ224" s="772"/>
      <c r="CA224" s="772"/>
      <c r="CB224" s="772"/>
      <c r="CC224" s="772"/>
      <c r="CD224" s="772"/>
      <c r="CE224" s="772"/>
    </row>
    <row r="225" spans="1:83" x14ac:dyDescent="0.25">
      <c r="A225" s="767">
        <v>575</v>
      </c>
      <c r="B225" s="801">
        <v>575</v>
      </c>
      <c r="C225" s="801" t="s">
        <v>639</v>
      </c>
      <c r="D225" s="801" t="s">
        <v>739</v>
      </c>
      <c r="E225" s="769">
        <v>142729</v>
      </c>
      <c r="F225" s="770">
        <v>0</v>
      </c>
      <c r="G225" s="770">
        <v>0</v>
      </c>
      <c r="H225" s="770">
        <v>0</v>
      </c>
      <c r="I225" s="770">
        <v>0</v>
      </c>
      <c r="J225" s="770">
        <v>7311</v>
      </c>
      <c r="K225" s="771">
        <v>0</v>
      </c>
      <c r="L225" s="772">
        <v>0</v>
      </c>
      <c r="M225" s="772">
        <v>0</v>
      </c>
      <c r="N225" s="773">
        <v>0</v>
      </c>
      <c r="O225" s="773">
        <v>0</v>
      </c>
      <c r="P225" s="773">
        <v>0</v>
      </c>
      <c r="Q225" s="773">
        <v>11904</v>
      </c>
      <c r="R225" s="773">
        <v>0</v>
      </c>
      <c r="S225" s="773">
        <v>0</v>
      </c>
      <c r="T225" s="773">
        <v>0</v>
      </c>
      <c r="U225" s="773">
        <v>505</v>
      </c>
      <c r="V225" s="773">
        <v>0</v>
      </c>
      <c r="W225" s="773">
        <v>0</v>
      </c>
      <c r="X225" s="773">
        <v>0</v>
      </c>
      <c r="Y225" s="773">
        <v>0</v>
      </c>
      <c r="Z225" s="773">
        <v>0</v>
      </c>
      <c r="AA225" s="773">
        <v>0</v>
      </c>
      <c r="AB225" s="772">
        <v>0</v>
      </c>
      <c r="AC225" s="772">
        <v>0</v>
      </c>
      <c r="AD225" s="772">
        <v>0</v>
      </c>
      <c r="AE225" s="772">
        <v>0</v>
      </c>
      <c r="AF225" s="772">
        <v>0</v>
      </c>
      <c r="AG225" s="772">
        <v>0</v>
      </c>
      <c r="AH225" s="772">
        <v>0</v>
      </c>
      <c r="AI225" s="772">
        <v>0</v>
      </c>
      <c r="AJ225" s="772">
        <v>0</v>
      </c>
      <c r="AK225" s="772">
        <v>0</v>
      </c>
      <c r="AL225" s="772">
        <v>76100</v>
      </c>
      <c r="AM225" s="772">
        <v>0</v>
      </c>
      <c r="AN225" s="772">
        <v>0</v>
      </c>
      <c r="AO225" s="772">
        <v>0</v>
      </c>
      <c r="AP225" s="772">
        <v>0</v>
      </c>
      <c r="AQ225" s="772">
        <v>0</v>
      </c>
      <c r="AR225" s="772">
        <v>0</v>
      </c>
      <c r="AS225" s="772">
        <v>0</v>
      </c>
      <c r="AT225" s="772">
        <v>211888</v>
      </c>
      <c r="AU225" s="772">
        <v>0</v>
      </c>
      <c r="AV225" s="772">
        <v>0</v>
      </c>
      <c r="AW225" s="772">
        <v>317649</v>
      </c>
      <c r="AX225" s="772">
        <v>0</v>
      </c>
      <c r="AY225" s="772">
        <v>0</v>
      </c>
      <c r="AZ225" s="772">
        <v>0</v>
      </c>
      <c r="BA225" s="772">
        <v>0</v>
      </c>
      <c r="BB225" s="772">
        <v>50467</v>
      </c>
      <c r="BC225" s="772">
        <v>1931</v>
      </c>
      <c r="BD225" s="772">
        <v>0</v>
      </c>
      <c r="BE225" s="772">
        <v>0</v>
      </c>
      <c r="BF225" s="772">
        <v>4689</v>
      </c>
      <c r="BG225" s="772">
        <v>0</v>
      </c>
      <c r="BH225" s="772">
        <v>0</v>
      </c>
      <c r="BI225" s="772">
        <v>0</v>
      </c>
      <c r="BJ225" s="772">
        <v>0</v>
      </c>
      <c r="BK225" s="772">
        <v>0</v>
      </c>
      <c r="BL225" s="772">
        <v>0</v>
      </c>
      <c r="BM225" s="772">
        <v>0</v>
      </c>
      <c r="BN225" s="772">
        <v>0</v>
      </c>
      <c r="BO225" s="772">
        <v>0</v>
      </c>
      <c r="BP225" s="772">
        <v>1073154</v>
      </c>
      <c r="BQ225" s="772">
        <v>0</v>
      </c>
      <c r="BR225" s="772">
        <v>0</v>
      </c>
      <c r="BS225" s="772">
        <v>0</v>
      </c>
      <c r="BT225" s="772">
        <v>0</v>
      </c>
      <c r="BU225" s="772">
        <v>0</v>
      </c>
      <c r="BV225" s="772">
        <v>0</v>
      </c>
      <c r="BW225" s="772">
        <v>0</v>
      </c>
      <c r="BX225" s="772">
        <v>0</v>
      </c>
      <c r="BY225" s="772">
        <v>0</v>
      </c>
      <c r="BZ225" s="772">
        <v>0</v>
      </c>
      <c r="CA225" s="772">
        <v>0</v>
      </c>
      <c r="CB225" s="772">
        <v>0</v>
      </c>
      <c r="CC225" s="772">
        <v>79300</v>
      </c>
      <c r="CD225" s="772">
        <v>0</v>
      </c>
      <c r="CE225" s="772">
        <v>5090809</v>
      </c>
    </row>
    <row r="226" spans="1:83" x14ac:dyDescent="0.25">
      <c r="A226" s="767">
        <v>576</v>
      </c>
      <c r="B226" s="801">
        <v>576</v>
      </c>
      <c r="C226" s="801" t="s">
        <v>640</v>
      </c>
      <c r="D226" s="801" t="s">
        <v>740</v>
      </c>
      <c r="E226" s="769">
        <v>0</v>
      </c>
      <c r="F226" s="770">
        <v>0</v>
      </c>
      <c r="G226" s="770">
        <v>0</v>
      </c>
      <c r="H226" s="770">
        <v>40582</v>
      </c>
      <c r="I226" s="770">
        <v>110905</v>
      </c>
      <c r="J226" s="770">
        <v>0</v>
      </c>
      <c r="K226" s="771">
        <v>0</v>
      </c>
      <c r="L226" s="772">
        <v>283</v>
      </c>
      <c r="M226" s="772">
        <v>90000</v>
      </c>
      <c r="N226" s="773">
        <v>0</v>
      </c>
      <c r="O226" s="773">
        <v>0</v>
      </c>
      <c r="P226" s="773">
        <v>0</v>
      </c>
      <c r="Q226" s="773">
        <v>0</v>
      </c>
      <c r="R226" s="773">
        <v>0</v>
      </c>
      <c r="S226" s="773">
        <v>0</v>
      </c>
      <c r="T226" s="773">
        <v>0</v>
      </c>
      <c r="U226" s="773">
        <v>0</v>
      </c>
      <c r="V226" s="773">
        <v>0</v>
      </c>
      <c r="W226" s="773">
        <v>0</v>
      </c>
      <c r="X226" s="773">
        <v>0</v>
      </c>
      <c r="Y226" s="773">
        <v>0</v>
      </c>
      <c r="Z226" s="773">
        <v>138249</v>
      </c>
      <c r="AA226" s="773">
        <v>0</v>
      </c>
      <c r="AB226" s="772">
        <v>0</v>
      </c>
      <c r="AC226" s="772">
        <v>0</v>
      </c>
      <c r="AD226" s="772">
        <v>0</v>
      </c>
      <c r="AE226" s="772">
        <v>0</v>
      </c>
      <c r="AF226" s="772">
        <v>0</v>
      </c>
      <c r="AG226" s="772">
        <v>1212974</v>
      </c>
      <c r="AH226" s="772">
        <v>386</v>
      </c>
      <c r="AI226" s="772">
        <v>0</v>
      </c>
      <c r="AJ226" s="772">
        <v>0</v>
      </c>
      <c r="AK226" s="772">
        <v>0</v>
      </c>
      <c r="AL226" s="772">
        <v>0</v>
      </c>
      <c r="AM226" s="772">
        <v>290592</v>
      </c>
      <c r="AN226" s="772">
        <v>0</v>
      </c>
      <c r="AO226" s="772">
        <v>15193</v>
      </c>
      <c r="AP226" s="772">
        <v>0</v>
      </c>
      <c r="AQ226" s="772">
        <v>0</v>
      </c>
      <c r="AR226" s="772">
        <v>0</v>
      </c>
      <c r="AS226" s="772">
        <v>0</v>
      </c>
      <c r="AT226" s="772">
        <v>0</v>
      </c>
      <c r="AU226" s="772">
        <v>11713</v>
      </c>
      <c r="AV226" s="772">
        <v>7196577</v>
      </c>
      <c r="AW226" s="772">
        <v>0</v>
      </c>
      <c r="AX226" s="772">
        <v>0</v>
      </c>
      <c r="AY226" s="772">
        <v>0</v>
      </c>
      <c r="AZ226" s="772">
        <v>9160</v>
      </c>
      <c r="BA226" s="772">
        <v>0</v>
      </c>
      <c r="BB226" s="772">
        <v>0</v>
      </c>
      <c r="BC226" s="772">
        <v>0</v>
      </c>
      <c r="BD226" s="772">
        <v>0</v>
      </c>
      <c r="BE226" s="772">
        <v>0</v>
      </c>
      <c r="BF226" s="772">
        <v>0</v>
      </c>
      <c r="BG226" s="772">
        <v>0</v>
      </c>
      <c r="BH226" s="772">
        <v>0</v>
      </c>
      <c r="BI226" s="772">
        <v>0</v>
      </c>
      <c r="BJ226" s="772">
        <v>0</v>
      </c>
      <c r="BK226" s="772">
        <v>0</v>
      </c>
      <c r="BL226" s="772">
        <v>0</v>
      </c>
      <c r="BM226" s="772">
        <v>0</v>
      </c>
      <c r="BN226" s="772">
        <v>0</v>
      </c>
      <c r="BO226" s="772">
        <v>69950</v>
      </c>
      <c r="BP226" s="772">
        <v>0</v>
      </c>
      <c r="BQ226" s="772">
        <v>12440513</v>
      </c>
      <c r="BR226" s="772">
        <v>0</v>
      </c>
      <c r="BS226" s="772">
        <v>0</v>
      </c>
      <c r="BT226" s="772">
        <v>0</v>
      </c>
      <c r="BU226" s="772">
        <v>0</v>
      </c>
      <c r="BV226" s="772">
        <v>0</v>
      </c>
      <c r="BW226" s="772">
        <v>0</v>
      </c>
      <c r="BX226" s="772">
        <v>0</v>
      </c>
      <c r="BY226" s="772">
        <v>0</v>
      </c>
      <c r="BZ226" s="772">
        <v>274234</v>
      </c>
      <c r="CA226" s="772">
        <v>169470</v>
      </c>
      <c r="CB226" s="772">
        <v>0</v>
      </c>
      <c r="CC226" s="772">
        <v>0</v>
      </c>
      <c r="CD226" s="772">
        <v>0</v>
      </c>
      <c r="CE226" s="772">
        <v>0</v>
      </c>
    </row>
    <row r="227" spans="1:83" s="791" customFormat="1" x14ac:dyDescent="0.25">
      <c r="A227" s="802">
        <v>577</v>
      </c>
      <c r="B227" s="803">
        <v>577</v>
      </c>
      <c r="C227" s="803" t="s">
        <v>741</v>
      </c>
      <c r="D227" s="803" t="s">
        <v>742</v>
      </c>
      <c r="E227" s="786">
        <v>2</v>
      </c>
      <c r="F227" s="787">
        <v>2</v>
      </c>
      <c r="G227" s="787">
        <v>2</v>
      </c>
      <c r="H227" s="787">
        <v>2</v>
      </c>
      <c r="I227" s="787">
        <v>0</v>
      </c>
      <c r="J227" s="787">
        <v>2</v>
      </c>
      <c r="K227" s="788">
        <v>2</v>
      </c>
      <c r="L227" s="789">
        <v>2</v>
      </c>
      <c r="M227" s="789">
        <v>2</v>
      </c>
      <c r="N227" s="790">
        <v>2</v>
      </c>
      <c r="O227" s="790">
        <v>2</v>
      </c>
      <c r="P227" s="790">
        <v>0</v>
      </c>
      <c r="Q227" s="790">
        <v>2</v>
      </c>
      <c r="R227" s="790">
        <v>2</v>
      </c>
      <c r="S227" s="790">
        <v>2</v>
      </c>
      <c r="T227" s="790">
        <v>2</v>
      </c>
      <c r="U227" s="790">
        <v>2</v>
      </c>
      <c r="V227" s="790">
        <v>0</v>
      </c>
      <c r="W227" s="790">
        <v>2</v>
      </c>
      <c r="X227" s="790">
        <v>1</v>
      </c>
      <c r="Y227" s="790">
        <v>2</v>
      </c>
      <c r="Z227" s="790">
        <v>2</v>
      </c>
      <c r="AA227" s="790">
        <v>2</v>
      </c>
      <c r="AB227" s="789">
        <v>2</v>
      </c>
      <c r="AC227" s="789">
        <v>2</v>
      </c>
      <c r="AD227" s="789">
        <v>2</v>
      </c>
      <c r="AE227" s="789">
        <v>0</v>
      </c>
      <c r="AF227" s="789">
        <v>2</v>
      </c>
      <c r="AG227" s="789">
        <v>2</v>
      </c>
      <c r="AH227" s="789">
        <v>2</v>
      </c>
      <c r="AI227" s="789">
        <v>0</v>
      </c>
      <c r="AJ227" s="789">
        <v>2</v>
      </c>
      <c r="AK227" s="789">
        <v>2</v>
      </c>
      <c r="AL227" s="789">
        <v>2</v>
      </c>
      <c r="AM227" s="789">
        <v>2</v>
      </c>
      <c r="AN227" s="789">
        <v>2</v>
      </c>
      <c r="AO227" s="789">
        <v>2</v>
      </c>
      <c r="AP227" s="789">
        <v>2</v>
      </c>
      <c r="AQ227" s="789">
        <v>2</v>
      </c>
      <c r="AR227" s="789">
        <v>2</v>
      </c>
      <c r="AS227" s="789">
        <v>2</v>
      </c>
      <c r="AT227" s="789">
        <v>2</v>
      </c>
      <c r="AU227" s="789">
        <v>2</v>
      </c>
      <c r="AV227" s="789">
        <v>2</v>
      </c>
      <c r="AW227" s="789">
        <v>1</v>
      </c>
      <c r="AX227" s="789">
        <v>2</v>
      </c>
      <c r="AY227" s="789">
        <v>2</v>
      </c>
      <c r="AZ227" s="789">
        <v>2</v>
      </c>
      <c r="BA227" s="789">
        <v>0</v>
      </c>
      <c r="BB227" s="789">
        <v>2</v>
      </c>
      <c r="BC227" s="789">
        <v>1</v>
      </c>
      <c r="BD227" s="789">
        <v>2</v>
      </c>
      <c r="BE227" s="789">
        <v>2</v>
      </c>
      <c r="BF227" s="789">
        <v>0</v>
      </c>
      <c r="BG227" s="789">
        <v>2</v>
      </c>
      <c r="BH227" s="789">
        <v>2</v>
      </c>
      <c r="BI227" s="789">
        <v>2</v>
      </c>
      <c r="BJ227" s="789">
        <v>2</v>
      </c>
      <c r="BK227" s="789">
        <v>2</v>
      </c>
      <c r="BL227" s="789">
        <v>2</v>
      </c>
      <c r="BM227" s="789">
        <v>2</v>
      </c>
      <c r="BN227" s="789">
        <v>2</v>
      </c>
      <c r="BO227" s="789">
        <v>2</v>
      </c>
      <c r="BP227" s="789">
        <v>2</v>
      </c>
      <c r="BQ227" s="789">
        <v>2</v>
      </c>
      <c r="BR227" s="789">
        <v>2</v>
      </c>
      <c r="BS227" s="789">
        <v>2</v>
      </c>
      <c r="BT227" s="789">
        <v>2</v>
      </c>
      <c r="BU227" s="789">
        <v>2</v>
      </c>
      <c r="BV227" s="789">
        <v>2</v>
      </c>
      <c r="BW227" s="789">
        <v>2</v>
      </c>
      <c r="BX227" s="789">
        <v>2</v>
      </c>
      <c r="BY227" s="789">
        <v>2</v>
      </c>
      <c r="BZ227" s="789">
        <v>2</v>
      </c>
      <c r="CA227" s="789">
        <v>2</v>
      </c>
      <c r="CB227" s="789">
        <v>2</v>
      </c>
      <c r="CC227" s="789">
        <v>2</v>
      </c>
      <c r="CD227" s="789">
        <v>2</v>
      </c>
      <c r="CE227" s="789">
        <v>2</v>
      </c>
    </row>
    <row r="228" spans="1:83" x14ac:dyDescent="0.25">
      <c r="A228" s="767">
        <v>578</v>
      </c>
      <c r="B228" s="801">
        <v>578</v>
      </c>
      <c r="C228" s="801" t="s">
        <v>743</v>
      </c>
      <c r="D228" s="801" t="s">
        <v>744</v>
      </c>
      <c r="E228" s="769">
        <v>0</v>
      </c>
      <c r="F228" s="770">
        <v>0</v>
      </c>
      <c r="G228" s="770">
        <v>0</v>
      </c>
      <c r="H228" s="770">
        <v>0</v>
      </c>
      <c r="I228" s="770">
        <v>0</v>
      </c>
      <c r="J228" s="770">
        <v>0</v>
      </c>
      <c r="K228" s="771">
        <v>0</v>
      </c>
      <c r="L228" s="772">
        <v>0</v>
      </c>
      <c r="M228" s="772">
        <v>0</v>
      </c>
      <c r="N228" s="773">
        <v>0</v>
      </c>
      <c r="O228" s="773">
        <v>0</v>
      </c>
      <c r="P228" s="773">
        <v>0</v>
      </c>
      <c r="Q228" s="773">
        <v>0</v>
      </c>
      <c r="R228" s="773">
        <v>0</v>
      </c>
      <c r="S228" s="773">
        <v>0</v>
      </c>
      <c r="T228" s="773">
        <v>0</v>
      </c>
      <c r="U228" s="773">
        <v>0</v>
      </c>
      <c r="V228" s="773">
        <v>0</v>
      </c>
      <c r="W228" s="773">
        <v>0</v>
      </c>
      <c r="X228" s="773">
        <v>0</v>
      </c>
      <c r="Y228" s="773">
        <v>0</v>
      </c>
      <c r="Z228" s="773">
        <v>0</v>
      </c>
      <c r="AA228" s="773">
        <v>0</v>
      </c>
      <c r="AB228" s="772">
        <v>0</v>
      </c>
      <c r="AC228" s="772">
        <v>0</v>
      </c>
      <c r="AD228" s="772">
        <v>0</v>
      </c>
      <c r="AE228" s="772">
        <v>0</v>
      </c>
      <c r="AF228" s="772">
        <v>0</v>
      </c>
      <c r="AG228" s="772">
        <v>0</v>
      </c>
      <c r="AH228" s="772">
        <v>0</v>
      </c>
      <c r="AI228" s="772">
        <v>0</v>
      </c>
      <c r="AJ228" s="772">
        <v>0</v>
      </c>
      <c r="AK228" s="772">
        <v>0</v>
      </c>
      <c r="AL228" s="772">
        <v>0</v>
      </c>
      <c r="AM228" s="772">
        <v>0</v>
      </c>
      <c r="AN228" s="772">
        <v>0</v>
      </c>
      <c r="AO228" s="772">
        <v>0</v>
      </c>
      <c r="AP228" s="772">
        <v>0</v>
      </c>
      <c r="AQ228" s="772">
        <v>0</v>
      </c>
      <c r="AR228" s="772">
        <v>0</v>
      </c>
      <c r="AS228" s="772">
        <v>0</v>
      </c>
      <c r="AT228" s="772">
        <v>0</v>
      </c>
      <c r="AU228" s="772">
        <v>0</v>
      </c>
      <c r="AV228" s="772">
        <v>0</v>
      </c>
      <c r="AW228" s="772">
        <v>0</v>
      </c>
      <c r="AX228" s="772">
        <v>0</v>
      </c>
      <c r="AY228" s="772">
        <v>0</v>
      </c>
      <c r="AZ228" s="772">
        <v>0</v>
      </c>
      <c r="BA228" s="772">
        <v>0</v>
      </c>
      <c r="BB228" s="772">
        <v>0</v>
      </c>
      <c r="BC228" s="772">
        <v>0</v>
      </c>
      <c r="BD228" s="772">
        <v>0</v>
      </c>
      <c r="BE228" s="772">
        <v>0</v>
      </c>
      <c r="BF228" s="772">
        <v>0</v>
      </c>
      <c r="BG228" s="772">
        <v>0</v>
      </c>
      <c r="BH228" s="772">
        <v>0</v>
      </c>
      <c r="BI228" s="772">
        <v>0</v>
      </c>
      <c r="BJ228" s="772">
        <v>0</v>
      </c>
      <c r="BK228" s="772">
        <v>0</v>
      </c>
      <c r="BL228" s="772">
        <v>0</v>
      </c>
      <c r="BM228" s="772">
        <v>0</v>
      </c>
      <c r="BN228" s="772">
        <v>0</v>
      </c>
      <c r="BO228" s="772">
        <v>0</v>
      </c>
      <c r="BP228" s="772">
        <v>0</v>
      </c>
      <c r="BQ228" s="772">
        <v>0</v>
      </c>
      <c r="BR228" s="772">
        <v>0</v>
      </c>
      <c r="BS228" s="772">
        <v>0</v>
      </c>
      <c r="BT228" s="772">
        <v>0</v>
      </c>
      <c r="BU228" s="772">
        <v>0</v>
      </c>
      <c r="BV228" s="772">
        <v>0</v>
      </c>
      <c r="BW228" s="772">
        <v>0</v>
      </c>
      <c r="BX228" s="772">
        <v>0</v>
      </c>
      <c r="BY228" s="772">
        <v>0</v>
      </c>
      <c r="BZ228" s="772">
        <v>0</v>
      </c>
      <c r="CA228" s="772">
        <v>0</v>
      </c>
      <c r="CB228" s="772">
        <v>0</v>
      </c>
      <c r="CC228" s="772">
        <v>0</v>
      </c>
      <c r="CD228" s="772">
        <v>0</v>
      </c>
      <c r="CE228" s="772">
        <v>0</v>
      </c>
    </row>
    <row r="229" spans="1:83" x14ac:dyDescent="0.25">
      <c r="A229" s="767">
        <v>579</v>
      </c>
      <c r="B229" s="801">
        <v>579</v>
      </c>
      <c r="C229" s="801" t="s">
        <v>745</v>
      </c>
      <c r="D229" s="801" t="s">
        <v>746</v>
      </c>
      <c r="E229" s="769">
        <v>0</v>
      </c>
      <c r="F229" s="770">
        <v>0</v>
      </c>
      <c r="G229" s="770">
        <v>0</v>
      </c>
      <c r="H229" s="770">
        <v>0</v>
      </c>
      <c r="I229" s="770">
        <v>0</v>
      </c>
      <c r="J229" s="770">
        <v>0</v>
      </c>
      <c r="K229" s="771">
        <v>0</v>
      </c>
      <c r="L229" s="772">
        <v>0</v>
      </c>
      <c r="M229" s="772">
        <v>0</v>
      </c>
      <c r="N229" s="773">
        <v>0</v>
      </c>
      <c r="O229" s="773">
        <v>0</v>
      </c>
      <c r="P229" s="773">
        <v>0</v>
      </c>
      <c r="Q229" s="773">
        <v>0</v>
      </c>
      <c r="R229" s="773">
        <v>0</v>
      </c>
      <c r="S229" s="773">
        <v>0</v>
      </c>
      <c r="T229" s="773">
        <v>0</v>
      </c>
      <c r="U229" s="773">
        <v>0</v>
      </c>
      <c r="V229" s="773">
        <v>0</v>
      </c>
      <c r="W229" s="773">
        <v>0</v>
      </c>
      <c r="X229" s="773">
        <v>0</v>
      </c>
      <c r="Y229" s="773">
        <v>0</v>
      </c>
      <c r="Z229" s="773">
        <v>0</v>
      </c>
      <c r="AA229" s="773">
        <v>0</v>
      </c>
      <c r="AB229" s="772">
        <v>0</v>
      </c>
      <c r="AC229" s="772">
        <v>0</v>
      </c>
      <c r="AD229" s="772">
        <v>0</v>
      </c>
      <c r="AE229" s="772">
        <v>0</v>
      </c>
      <c r="AF229" s="772">
        <v>0</v>
      </c>
      <c r="AG229" s="772">
        <v>0</v>
      </c>
      <c r="AH229" s="772">
        <v>0</v>
      </c>
      <c r="AI229" s="772">
        <v>0</v>
      </c>
      <c r="AJ229" s="772">
        <v>0</v>
      </c>
      <c r="AK229" s="772">
        <v>0</v>
      </c>
      <c r="AL229" s="772">
        <v>0</v>
      </c>
      <c r="AM229" s="772">
        <v>290592</v>
      </c>
      <c r="AN229" s="772">
        <v>0</v>
      </c>
      <c r="AO229" s="772">
        <v>0</v>
      </c>
      <c r="AP229" s="772">
        <v>0</v>
      </c>
      <c r="AQ229" s="772">
        <v>0</v>
      </c>
      <c r="AR229" s="772">
        <v>0</v>
      </c>
      <c r="AS229" s="772">
        <v>0</v>
      </c>
      <c r="AT229" s="772">
        <v>0</v>
      </c>
      <c r="AU229" s="772">
        <v>0</v>
      </c>
      <c r="AV229" s="772">
        <v>0</v>
      </c>
      <c r="AW229" s="772">
        <v>0</v>
      </c>
      <c r="AX229" s="772">
        <v>0</v>
      </c>
      <c r="AY229" s="772">
        <v>0</v>
      </c>
      <c r="AZ229" s="772">
        <v>0</v>
      </c>
      <c r="BA229" s="772">
        <v>0</v>
      </c>
      <c r="BB229" s="772">
        <v>0</v>
      </c>
      <c r="BC229" s="772">
        <v>0</v>
      </c>
      <c r="BD229" s="772">
        <v>0</v>
      </c>
      <c r="BE229" s="772">
        <v>0</v>
      </c>
      <c r="BF229" s="772">
        <v>0</v>
      </c>
      <c r="BG229" s="772">
        <v>0</v>
      </c>
      <c r="BH229" s="772">
        <v>0</v>
      </c>
      <c r="BI229" s="772">
        <v>0</v>
      </c>
      <c r="BJ229" s="772">
        <v>0</v>
      </c>
      <c r="BK229" s="772">
        <v>0</v>
      </c>
      <c r="BL229" s="772">
        <v>0</v>
      </c>
      <c r="BM229" s="772">
        <v>0</v>
      </c>
      <c r="BN229" s="772">
        <v>0</v>
      </c>
      <c r="BO229" s="772">
        <v>0</v>
      </c>
      <c r="BP229" s="772">
        <v>0</v>
      </c>
      <c r="BQ229" s="772">
        <v>0</v>
      </c>
      <c r="BR229" s="772">
        <v>0</v>
      </c>
      <c r="BS229" s="772">
        <v>0</v>
      </c>
      <c r="BT229" s="772">
        <v>0</v>
      </c>
      <c r="BU229" s="772">
        <v>0</v>
      </c>
      <c r="BV229" s="772">
        <v>0</v>
      </c>
      <c r="BW229" s="772">
        <v>0</v>
      </c>
      <c r="BX229" s="772">
        <v>0</v>
      </c>
      <c r="BY229" s="772">
        <v>0</v>
      </c>
      <c r="BZ229" s="772">
        <v>0</v>
      </c>
      <c r="CA229" s="772">
        <v>0</v>
      </c>
      <c r="CB229" s="772">
        <v>0</v>
      </c>
      <c r="CC229" s="772">
        <v>0</v>
      </c>
      <c r="CD229" s="772">
        <v>0</v>
      </c>
      <c r="CE229" s="772">
        <v>0</v>
      </c>
    </row>
    <row r="230" spans="1:83" x14ac:dyDescent="0.25">
      <c r="A230" s="767">
        <v>580</v>
      </c>
      <c r="B230" s="801">
        <v>580</v>
      </c>
      <c r="C230" s="801" t="s">
        <v>747</v>
      </c>
      <c r="D230" s="801" t="s">
        <v>748</v>
      </c>
      <c r="E230" s="769">
        <v>0</v>
      </c>
      <c r="F230" s="770">
        <v>0</v>
      </c>
      <c r="G230" s="770">
        <v>0</v>
      </c>
      <c r="H230" s="770">
        <v>0</v>
      </c>
      <c r="I230" s="770">
        <v>0</v>
      </c>
      <c r="J230" s="770">
        <v>0</v>
      </c>
      <c r="K230" s="771">
        <v>0</v>
      </c>
      <c r="L230" s="772">
        <v>0</v>
      </c>
      <c r="M230" s="772">
        <v>0</v>
      </c>
      <c r="N230" s="773">
        <v>0</v>
      </c>
      <c r="O230" s="773">
        <v>0</v>
      </c>
      <c r="P230" s="773">
        <v>0</v>
      </c>
      <c r="Q230" s="773">
        <v>0</v>
      </c>
      <c r="R230" s="773">
        <v>0</v>
      </c>
      <c r="S230" s="773">
        <v>0</v>
      </c>
      <c r="T230" s="773">
        <v>0</v>
      </c>
      <c r="U230" s="773">
        <v>0</v>
      </c>
      <c r="V230" s="773">
        <v>0</v>
      </c>
      <c r="W230" s="773">
        <v>0</v>
      </c>
      <c r="X230" s="773">
        <v>0</v>
      </c>
      <c r="Y230" s="773">
        <v>0</v>
      </c>
      <c r="Z230" s="773">
        <v>0</v>
      </c>
      <c r="AA230" s="773">
        <v>0</v>
      </c>
      <c r="AB230" s="772">
        <v>0</v>
      </c>
      <c r="AC230" s="772">
        <v>0</v>
      </c>
      <c r="AD230" s="772">
        <v>0</v>
      </c>
      <c r="AE230" s="772">
        <v>0</v>
      </c>
      <c r="AF230" s="772">
        <v>0</v>
      </c>
      <c r="AG230" s="772">
        <v>0</v>
      </c>
      <c r="AH230" s="772">
        <v>0</v>
      </c>
      <c r="AI230" s="772">
        <v>0</v>
      </c>
      <c r="AJ230" s="772">
        <v>0</v>
      </c>
      <c r="AK230" s="772">
        <v>0</v>
      </c>
      <c r="AL230" s="772">
        <v>0</v>
      </c>
      <c r="AM230" s="772">
        <v>0</v>
      </c>
      <c r="AN230" s="772">
        <v>0</v>
      </c>
      <c r="AO230" s="772">
        <v>0</v>
      </c>
      <c r="AP230" s="772">
        <v>0</v>
      </c>
      <c r="AQ230" s="772">
        <v>0</v>
      </c>
      <c r="AR230" s="772">
        <v>0</v>
      </c>
      <c r="AS230" s="772">
        <v>0</v>
      </c>
      <c r="AT230" s="772">
        <v>0</v>
      </c>
      <c r="AU230" s="772">
        <v>0</v>
      </c>
      <c r="AV230" s="772">
        <v>0</v>
      </c>
      <c r="AW230" s="772">
        <v>0</v>
      </c>
      <c r="AX230" s="772">
        <v>0</v>
      </c>
      <c r="AY230" s="772">
        <v>0</v>
      </c>
      <c r="AZ230" s="772">
        <v>0</v>
      </c>
      <c r="BA230" s="772">
        <v>0</v>
      </c>
      <c r="BB230" s="772">
        <v>0</v>
      </c>
      <c r="BC230" s="772">
        <v>0</v>
      </c>
      <c r="BD230" s="772">
        <v>0</v>
      </c>
      <c r="BE230" s="772">
        <v>0</v>
      </c>
      <c r="BF230" s="772">
        <v>0</v>
      </c>
      <c r="BG230" s="772">
        <v>0</v>
      </c>
      <c r="BH230" s="772">
        <v>0</v>
      </c>
      <c r="BI230" s="772">
        <v>0</v>
      </c>
      <c r="BJ230" s="772">
        <v>0</v>
      </c>
      <c r="BK230" s="772">
        <v>0</v>
      </c>
      <c r="BL230" s="772">
        <v>0</v>
      </c>
      <c r="BM230" s="772">
        <v>0</v>
      </c>
      <c r="BN230" s="772">
        <v>0</v>
      </c>
      <c r="BO230" s="772">
        <v>0</v>
      </c>
      <c r="BP230" s="772">
        <v>0</v>
      </c>
      <c r="BQ230" s="772">
        <v>0</v>
      </c>
      <c r="BR230" s="772">
        <v>0</v>
      </c>
      <c r="BS230" s="772">
        <v>0</v>
      </c>
      <c r="BT230" s="772">
        <v>0</v>
      </c>
      <c r="BU230" s="772">
        <v>0</v>
      </c>
      <c r="BV230" s="772">
        <v>0</v>
      </c>
      <c r="BW230" s="772">
        <v>0</v>
      </c>
      <c r="BX230" s="772">
        <v>0</v>
      </c>
      <c r="BY230" s="772">
        <v>0</v>
      </c>
      <c r="BZ230" s="772">
        <v>0</v>
      </c>
      <c r="CA230" s="772">
        <v>0</v>
      </c>
      <c r="CB230" s="772">
        <v>0</v>
      </c>
      <c r="CC230" s="772">
        <v>0</v>
      </c>
      <c r="CD230" s="772">
        <v>0</v>
      </c>
      <c r="CE230" s="772">
        <v>0</v>
      </c>
    </row>
    <row r="231" spans="1:83" x14ac:dyDescent="0.25">
      <c r="A231" s="767">
        <v>581</v>
      </c>
      <c r="B231" s="801">
        <v>581</v>
      </c>
      <c r="C231" s="801" t="s">
        <v>749</v>
      </c>
      <c r="D231" s="801" t="s">
        <v>750</v>
      </c>
      <c r="E231" s="769">
        <v>0</v>
      </c>
      <c r="F231" s="770">
        <v>0</v>
      </c>
      <c r="G231" s="770">
        <v>0</v>
      </c>
      <c r="H231" s="770">
        <v>0</v>
      </c>
      <c r="I231" s="770">
        <v>0</v>
      </c>
      <c r="J231" s="770">
        <v>0</v>
      </c>
      <c r="K231" s="771">
        <v>0</v>
      </c>
      <c r="L231" s="772">
        <v>0</v>
      </c>
      <c r="M231" s="772">
        <v>0</v>
      </c>
      <c r="N231" s="773">
        <v>0</v>
      </c>
      <c r="O231" s="773">
        <v>0</v>
      </c>
      <c r="P231" s="773">
        <v>0</v>
      </c>
      <c r="Q231" s="773">
        <v>0</v>
      </c>
      <c r="R231" s="773">
        <v>0</v>
      </c>
      <c r="S231" s="773">
        <v>0</v>
      </c>
      <c r="T231" s="773">
        <v>0</v>
      </c>
      <c r="U231" s="773">
        <v>0</v>
      </c>
      <c r="V231" s="773">
        <v>0</v>
      </c>
      <c r="W231" s="773">
        <v>0</v>
      </c>
      <c r="X231" s="773">
        <v>0</v>
      </c>
      <c r="Y231" s="773">
        <v>0</v>
      </c>
      <c r="Z231" s="773">
        <v>0</v>
      </c>
      <c r="AA231" s="773">
        <v>0</v>
      </c>
      <c r="AB231" s="772">
        <v>0</v>
      </c>
      <c r="AC231" s="772">
        <v>0</v>
      </c>
      <c r="AD231" s="772">
        <v>0</v>
      </c>
      <c r="AE231" s="772">
        <v>0</v>
      </c>
      <c r="AF231" s="772">
        <v>0</v>
      </c>
      <c r="AG231" s="772">
        <v>0</v>
      </c>
      <c r="AH231" s="772">
        <v>0</v>
      </c>
      <c r="AI231" s="772">
        <v>0</v>
      </c>
      <c r="AJ231" s="772">
        <v>0</v>
      </c>
      <c r="AK231" s="772">
        <v>0</v>
      </c>
      <c r="AL231" s="772">
        <v>0</v>
      </c>
      <c r="AM231" s="772">
        <v>0</v>
      </c>
      <c r="AN231" s="772">
        <v>0</v>
      </c>
      <c r="AO231" s="772">
        <v>0</v>
      </c>
      <c r="AP231" s="772">
        <v>0</v>
      </c>
      <c r="AQ231" s="772">
        <v>0</v>
      </c>
      <c r="AR231" s="772">
        <v>0</v>
      </c>
      <c r="AS231" s="772">
        <v>0</v>
      </c>
      <c r="AT231" s="772">
        <v>0</v>
      </c>
      <c r="AU231" s="772">
        <v>0</v>
      </c>
      <c r="AV231" s="772">
        <v>0</v>
      </c>
      <c r="AW231" s="772">
        <v>0</v>
      </c>
      <c r="AX231" s="772">
        <v>0</v>
      </c>
      <c r="AY231" s="772">
        <v>0</v>
      </c>
      <c r="AZ231" s="772">
        <v>0</v>
      </c>
      <c r="BA231" s="772">
        <v>0</v>
      </c>
      <c r="BB231" s="772">
        <v>0</v>
      </c>
      <c r="BC231" s="772">
        <v>0</v>
      </c>
      <c r="BD231" s="772">
        <v>0</v>
      </c>
      <c r="BE231" s="772">
        <v>0</v>
      </c>
      <c r="BF231" s="772">
        <v>0</v>
      </c>
      <c r="BG231" s="772">
        <v>0</v>
      </c>
      <c r="BH231" s="772">
        <v>0</v>
      </c>
      <c r="BI231" s="772">
        <v>0</v>
      </c>
      <c r="BJ231" s="772">
        <v>0</v>
      </c>
      <c r="BK231" s="772">
        <v>0</v>
      </c>
      <c r="BL231" s="772">
        <v>0</v>
      </c>
      <c r="BM231" s="772">
        <v>0</v>
      </c>
      <c r="BN231" s="772">
        <v>0</v>
      </c>
      <c r="BO231" s="772">
        <v>0</v>
      </c>
      <c r="BP231" s="772">
        <v>0</v>
      </c>
      <c r="BQ231" s="772">
        <v>0</v>
      </c>
      <c r="BR231" s="772">
        <v>0</v>
      </c>
      <c r="BS231" s="772">
        <v>0</v>
      </c>
      <c r="BT231" s="772">
        <v>0</v>
      </c>
      <c r="BU231" s="772">
        <v>0</v>
      </c>
      <c r="BV231" s="772">
        <v>0</v>
      </c>
      <c r="BW231" s="772">
        <v>0</v>
      </c>
      <c r="BX231" s="772">
        <v>0</v>
      </c>
      <c r="BY231" s="772">
        <v>0</v>
      </c>
      <c r="BZ231" s="772">
        <v>0</v>
      </c>
      <c r="CA231" s="772">
        <v>0</v>
      </c>
      <c r="CB231" s="772">
        <v>0</v>
      </c>
      <c r="CC231" s="772">
        <v>0</v>
      </c>
      <c r="CD231" s="772">
        <v>0</v>
      </c>
      <c r="CE231" s="772">
        <v>0</v>
      </c>
    </row>
    <row r="232" spans="1:83" x14ac:dyDescent="0.25">
      <c r="B232" s="801">
        <v>582</v>
      </c>
      <c r="C232" s="801" t="s">
        <v>751</v>
      </c>
      <c r="D232" s="801" t="s">
        <v>752</v>
      </c>
      <c r="E232" s="769"/>
      <c r="F232" s="770"/>
      <c r="G232" s="770"/>
      <c r="H232" s="770"/>
      <c r="I232" s="770"/>
      <c r="J232" s="770"/>
      <c r="K232" s="771"/>
      <c r="L232" s="772"/>
      <c r="M232" s="772"/>
      <c r="N232" s="773"/>
      <c r="O232" s="773"/>
      <c r="P232" s="773"/>
      <c r="Q232" s="773"/>
      <c r="R232" s="773"/>
      <c r="S232" s="773"/>
      <c r="T232" s="773"/>
      <c r="U232" s="773"/>
      <c r="V232" s="773"/>
      <c r="W232" s="773"/>
      <c r="X232" s="773"/>
      <c r="Y232" s="773"/>
      <c r="Z232" s="773"/>
      <c r="AA232" s="773"/>
      <c r="AB232" s="772"/>
      <c r="AC232" s="772"/>
      <c r="AD232" s="772"/>
      <c r="AE232" s="772"/>
      <c r="AF232" s="772"/>
      <c r="AG232" s="772"/>
      <c r="AH232" s="772"/>
      <c r="AI232" s="772"/>
      <c r="AJ232" s="772"/>
      <c r="AK232" s="772"/>
      <c r="AL232" s="772"/>
      <c r="AM232" s="772"/>
      <c r="AN232" s="772"/>
      <c r="AO232" s="772"/>
      <c r="AP232" s="772"/>
      <c r="AQ232" s="772"/>
      <c r="AR232" s="772"/>
      <c r="AS232" s="772"/>
      <c r="AT232" s="772"/>
      <c r="AU232" s="772"/>
      <c r="AV232" s="772"/>
      <c r="AW232" s="772"/>
      <c r="AX232" s="772"/>
      <c r="AY232" s="772"/>
      <c r="AZ232" s="772"/>
      <c r="BA232" s="772"/>
      <c r="BB232" s="772"/>
      <c r="BC232" s="772"/>
      <c r="BD232" s="772"/>
      <c r="BE232" s="772"/>
      <c r="BF232" s="772"/>
      <c r="BG232" s="772"/>
      <c r="BH232" s="772"/>
      <c r="BI232" s="772"/>
      <c r="BJ232" s="772"/>
      <c r="BK232" s="772"/>
      <c r="BL232" s="772"/>
      <c r="BM232" s="772"/>
      <c r="BN232" s="772"/>
      <c r="BO232" s="772"/>
      <c r="BP232" s="772"/>
      <c r="BQ232" s="772"/>
      <c r="BR232" s="772"/>
      <c r="BS232" s="772"/>
      <c r="BT232" s="772"/>
      <c r="BU232" s="772"/>
      <c r="BV232" s="772"/>
      <c r="BW232" s="772"/>
      <c r="BX232" s="772"/>
      <c r="BY232" s="772"/>
      <c r="BZ232" s="772"/>
      <c r="CA232" s="772"/>
      <c r="CB232" s="772"/>
      <c r="CC232" s="772"/>
      <c r="CD232" s="772"/>
      <c r="CE232" s="772"/>
    </row>
    <row r="233" spans="1:83" x14ac:dyDescent="0.25">
      <c r="B233" s="801">
        <v>583</v>
      </c>
      <c r="C233" s="801" t="s">
        <v>753</v>
      </c>
      <c r="D233" s="801" t="s">
        <v>754</v>
      </c>
      <c r="E233" s="769"/>
      <c r="F233" s="770"/>
      <c r="G233" s="770"/>
      <c r="H233" s="770"/>
      <c r="I233" s="770"/>
      <c r="J233" s="770"/>
      <c r="K233" s="771"/>
      <c r="L233" s="772"/>
      <c r="M233" s="772"/>
      <c r="N233" s="773"/>
      <c r="O233" s="773"/>
      <c r="P233" s="773"/>
      <c r="Q233" s="773"/>
      <c r="R233" s="773"/>
      <c r="S233" s="773"/>
      <c r="T233" s="773"/>
      <c r="U233" s="773"/>
      <c r="V233" s="773"/>
      <c r="W233" s="773"/>
      <c r="X233" s="773"/>
      <c r="Y233" s="773"/>
      <c r="Z233" s="773"/>
      <c r="AA233" s="773"/>
      <c r="AB233" s="772"/>
      <c r="AC233" s="772"/>
      <c r="AD233" s="772"/>
      <c r="AE233" s="772"/>
      <c r="AF233" s="772"/>
      <c r="AG233" s="772"/>
      <c r="AH233" s="772"/>
      <c r="AI233" s="772"/>
      <c r="AJ233" s="772"/>
      <c r="AK233" s="772"/>
      <c r="AL233" s="772"/>
      <c r="AM233" s="772"/>
      <c r="AN233" s="772"/>
      <c r="AO233" s="772"/>
      <c r="AP233" s="772"/>
      <c r="AQ233" s="772"/>
      <c r="AR233" s="772"/>
      <c r="AS233" s="772"/>
      <c r="AT233" s="772"/>
      <c r="AU233" s="772"/>
      <c r="AV233" s="772"/>
      <c r="AW233" s="772"/>
      <c r="AX233" s="772"/>
      <c r="AY233" s="772"/>
      <c r="AZ233" s="772"/>
      <c r="BA233" s="772"/>
      <c r="BB233" s="772"/>
      <c r="BC233" s="772"/>
      <c r="BD233" s="772"/>
      <c r="BE233" s="772"/>
      <c r="BF233" s="772"/>
      <c r="BG233" s="772"/>
      <c r="BH233" s="772"/>
      <c r="BI233" s="772"/>
      <c r="BJ233" s="772"/>
      <c r="BK233" s="772"/>
      <c r="BL233" s="772"/>
      <c r="BM233" s="772"/>
      <c r="BN233" s="772"/>
      <c r="BO233" s="772"/>
      <c r="BP233" s="772"/>
      <c r="BQ233" s="772"/>
      <c r="BR233" s="772"/>
      <c r="BS233" s="772"/>
      <c r="BT233" s="772"/>
      <c r="BU233" s="772"/>
      <c r="BV233" s="772"/>
      <c r="BW233" s="772"/>
      <c r="BX233" s="772"/>
      <c r="BY233" s="772"/>
      <c r="BZ233" s="772"/>
      <c r="CA233" s="772"/>
      <c r="CB233" s="772"/>
      <c r="CC233" s="772"/>
      <c r="CD233" s="772"/>
      <c r="CE233" s="772"/>
    </row>
    <row r="234" spans="1:83" x14ac:dyDescent="0.25">
      <c r="B234" s="801">
        <v>584</v>
      </c>
      <c r="C234" s="801" t="s">
        <v>755</v>
      </c>
      <c r="D234" s="801" t="s">
        <v>756</v>
      </c>
      <c r="E234" s="769"/>
      <c r="F234" s="770"/>
      <c r="G234" s="770"/>
      <c r="H234" s="770"/>
      <c r="I234" s="770"/>
      <c r="J234" s="770"/>
      <c r="K234" s="771"/>
      <c r="L234" s="772"/>
      <c r="M234" s="772"/>
      <c r="N234" s="773"/>
      <c r="O234" s="773"/>
      <c r="P234" s="773"/>
      <c r="Q234" s="773"/>
      <c r="R234" s="773"/>
      <c r="S234" s="773"/>
      <c r="T234" s="773"/>
      <c r="U234" s="773"/>
      <c r="V234" s="773"/>
      <c r="W234" s="773"/>
      <c r="X234" s="773"/>
      <c r="Y234" s="773"/>
      <c r="Z234" s="773"/>
      <c r="AA234" s="773"/>
      <c r="AB234" s="772"/>
      <c r="AC234" s="772"/>
      <c r="AD234" s="772"/>
      <c r="AE234" s="772"/>
      <c r="AF234" s="772"/>
      <c r="AG234" s="772"/>
      <c r="AH234" s="772"/>
      <c r="AI234" s="772"/>
      <c r="AJ234" s="772"/>
      <c r="AK234" s="772"/>
      <c r="AL234" s="772"/>
      <c r="AM234" s="772"/>
      <c r="AN234" s="772"/>
      <c r="AO234" s="772"/>
      <c r="AP234" s="772"/>
      <c r="AQ234" s="772"/>
      <c r="AR234" s="772"/>
      <c r="AS234" s="772"/>
      <c r="AT234" s="772"/>
      <c r="AU234" s="772"/>
      <c r="AV234" s="772"/>
      <c r="AW234" s="772"/>
      <c r="AX234" s="772"/>
      <c r="AY234" s="772"/>
      <c r="AZ234" s="772"/>
      <c r="BA234" s="772"/>
      <c r="BB234" s="772"/>
      <c r="BC234" s="772"/>
      <c r="BD234" s="772"/>
      <c r="BE234" s="772"/>
      <c r="BF234" s="772"/>
      <c r="BG234" s="772"/>
      <c r="BH234" s="772"/>
      <c r="BI234" s="772"/>
      <c r="BJ234" s="772"/>
      <c r="BK234" s="772"/>
      <c r="BL234" s="772"/>
      <c r="BM234" s="772"/>
      <c r="BN234" s="772"/>
      <c r="BO234" s="772"/>
      <c r="BP234" s="772"/>
      <c r="BQ234" s="772"/>
      <c r="BR234" s="772"/>
      <c r="BS234" s="772"/>
      <c r="BT234" s="772"/>
      <c r="BU234" s="772"/>
      <c r="BV234" s="772"/>
      <c r="BW234" s="772"/>
      <c r="BX234" s="772"/>
      <c r="BY234" s="772"/>
      <c r="BZ234" s="772"/>
      <c r="CA234" s="772"/>
      <c r="CB234" s="772"/>
      <c r="CC234" s="772"/>
      <c r="CD234" s="772"/>
      <c r="CE234" s="772"/>
    </row>
    <row r="235" spans="1:83" x14ac:dyDescent="0.25">
      <c r="B235" s="801">
        <v>585</v>
      </c>
      <c r="C235" s="801" t="s">
        <v>757</v>
      </c>
      <c r="D235" s="801" t="s">
        <v>758</v>
      </c>
      <c r="E235" s="769"/>
      <c r="F235" s="770"/>
      <c r="G235" s="770"/>
      <c r="H235" s="770"/>
      <c r="I235" s="770"/>
      <c r="J235" s="770"/>
      <c r="K235" s="771"/>
      <c r="L235" s="772"/>
      <c r="M235" s="772"/>
      <c r="N235" s="773"/>
      <c r="O235" s="773"/>
      <c r="P235" s="773"/>
      <c r="Q235" s="773"/>
      <c r="R235" s="773"/>
      <c r="S235" s="773"/>
      <c r="T235" s="773"/>
      <c r="U235" s="773"/>
      <c r="V235" s="773"/>
      <c r="W235" s="773"/>
      <c r="X235" s="773"/>
      <c r="Y235" s="773"/>
      <c r="Z235" s="773"/>
      <c r="AA235" s="773"/>
      <c r="AB235" s="772"/>
      <c r="AC235" s="772"/>
      <c r="AD235" s="772"/>
      <c r="AE235" s="772"/>
      <c r="AF235" s="772"/>
      <c r="AG235" s="772"/>
      <c r="AH235" s="772"/>
      <c r="AI235" s="772"/>
      <c r="AJ235" s="772"/>
      <c r="AK235" s="772"/>
      <c r="AL235" s="772"/>
      <c r="AM235" s="772"/>
      <c r="AN235" s="772"/>
      <c r="AO235" s="772"/>
      <c r="AP235" s="772"/>
      <c r="AQ235" s="772"/>
      <c r="AR235" s="772"/>
      <c r="AS235" s="772"/>
      <c r="AT235" s="772"/>
      <c r="AU235" s="772"/>
      <c r="AV235" s="772"/>
      <c r="AW235" s="772"/>
      <c r="AX235" s="772"/>
      <c r="AY235" s="772"/>
      <c r="AZ235" s="772"/>
      <c r="BA235" s="772"/>
      <c r="BB235" s="772"/>
      <c r="BC235" s="772"/>
      <c r="BD235" s="772"/>
      <c r="BE235" s="772"/>
      <c r="BF235" s="772"/>
      <c r="BG235" s="772"/>
      <c r="BH235" s="772"/>
      <c r="BI235" s="772"/>
      <c r="BJ235" s="772"/>
      <c r="BK235" s="772"/>
      <c r="BL235" s="772"/>
      <c r="BM235" s="772"/>
      <c r="BN235" s="772"/>
      <c r="BO235" s="772"/>
      <c r="BP235" s="772"/>
      <c r="BQ235" s="772"/>
      <c r="BR235" s="772"/>
      <c r="BS235" s="772"/>
      <c r="BT235" s="772"/>
      <c r="BU235" s="772"/>
      <c r="BV235" s="772"/>
      <c r="BW235" s="772"/>
      <c r="BX235" s="772"/>
      <c r="BY235" s="772"/>
      <c r="BZ235" s="772"/>
      <c r="CA235" s="772"/>
      <c r="CB235" s="772"/>
      <c r="CC235" s="772"/>
      <c r="CD235" s="772"/>
      <c r="CE235" s="772"/>
    </row>
    <row r="236" spans="1:83" x14ac:dyDescent="0.25">
      <c r="A236" s="767">
        <v>586</v>
      </c>
      <c r="B236" s="801">
        <v>586</v>
      </c>
      <c r="C236" s="801" t="s">
        <v>759</v>
      </c>
      <c r="D236" s="801" t="s">
        <v>760</v>
      </c>
      <c r="E236" s="769">
        <v>0</v>
      </c>
      <c r="F236" s="770">
        <v>0</v>
      </c>
      <c r="G236" s="770">
        <v>0</v>
      </c>
      <c r="H236" s="770">
        <v>0</v>
      </c>
      <c r="I236" s="770">
        <v>0</v>
      </c>
      <c r="J236" s="770">
        <v>0</v>
      </c>
      <c r="K236" s="771">
        <v>0</v>
      </c>
      <c r="L236" s="772">
        <v>0</v>
      </c>
      <c r="M236" s="772">
        <v>0</v>
      </c>
      <c r="N236" s="773">
        <v>0</v>
      </c>
      <c r="O236" s="773">
        <v>0</v>
      </c>
      <c r="P236" s="773">
        <v>0</v>
      </c>
      <c r="Q236" s="773">
        <v>0</v>
      </c>
      <c r="R236" s="773">
        <v>1123</v>
      </c>
      <c r="S236" s="773">
        <v>0</v>
      </c>
      <c r="T236" s="773">
        <v>0</v>
      </c>
      <c r="U236" s="773">
        <v>0</v>
      </c>
      <c r="V236" s="773">
        <v>0</v>
      </c>
      <c r="W236" s="773">
        <v>0</v>
      </c>
      <c r="X236" s="773">
        <v>0</v>
      </c>
      <c r="Y236" s="773">
        <v>0</v>
      </c>
      <c r="Z236" s="773">
        <v>0</v>
      </c>
      <c r="AA236" s="773">
        <v>0</v>
      </c>
      <c r="AB236" s="772">
        <v>0</v>
      </c>
      <c r="AC236" s="772">
        <v>0</v>
      </c>
      <c r="AD236" s="772">
        <v>0</v>
      </c>
      <c r="AE236" s="772">
        <v>0</v>
      </c>
      <c r="AF236" s="772">
        <v>0</v>
      </c>
      <c r="AG236" s="772">
        <v>0</v>
      </c>
      <c r="AH236" s="772">
        <v>0</v>
      </c>
      <c r="AI236" s="772">
        <v>0</v>
      </c>
      <c r="AJ236" s="772">
        <v>0</v>
      </c>
      <c r="AK236" s="772">
        <v>0</v>
      </c>
      <c r="AL236" s="772">
        <v>0</v>
      </c>
      <c r="AM236" s="772">
        <v>0</v>
      </c>
      <c r="AN236" s="772">
        <v>0</v>
      </c>
      <c r="AO236" s="772">
        <v>0</v>
      </c>
      <c r="AP236" s="772">
        <v>0</v>
      </c>
      <c r="AQ236" s="772">
        <v>0</v>
      </c>
      <c r="AR236" s="772">
        <v>0</v>
      </c>
      <c r="AS236" s="772">
        <v>0</v>
      </c>
      <c r="AT236" s="772">
        <v>0</v>
      </c>
      <c r="AU236" s="772">
        <v>0</v>
      </c>
      <c r="AV236" s="772">
        <v>0</v>
      </c>
      <c r="AW236" s="772">
        <v>0</v>
      </c>
      <c r="AX236" s="772">
        <v>0</v>
      </c>
      <c r="AY236" s="772">
        <v>0</v>
      </c>
      <c r="AZ236" s="772">
        <v>0</v>
      </c>
      <c r="BA236" s="772">
        <v>0</v>
      </c>
      <c r="BB236" s="772">
        <v>0</v>
      </c>
      <c r="BC236" s="772">
        <v>0</v>
      </c>
      <c r="BD236" s="772">
        <v>0</v>
      </c>
      <c r="BE236" s="772">
        <v>0</v>
      </c>
      <c r="BF236" s="772">
        <v>0</v>
      </c>
      <c r="BG236" s="772">
        <v>0</v>
      </c>
      <c r="BH236" s="772">
        <v>0</v>
      </c>
      <c r="BI236" s="772">
        <v>0</v>
      </c>
      <c r="BJ236" s="772">
        <v>0</v>
      </c>
      <c r="BK236" s="772">
        <v>0</v>
      </c>
      <c r="BL236" s="772">
        <v>0</v>
      </c>
      <c r="BM236" s="772">
        <v>0</v>
      </c>
      <c r="BN236" s="772">
        <v>0</v>
      </c>
      <c r="BO236" s="772">
        <v>0</v>
      </c>
      <c r="BP236" s="772">
        <v>0</v>
      </c>
      <c r="BQ236" s="772">
        <v>0</v>
      </c>
      <c r="BR236" s="772">
        <v>0</v>
      </c>
      <c r="BS236" s="772">
        <v>0</v>
      </c>
      <c r="BT236" s="772">
        <v>0</v>
      </c>
      <c r="BU236" s="772">
        <v>0</v>
      </c>
      <c r="BV236" s="772">
        <v>0</v>
      </c>
      <c r="BW236" s="772">
        <v>0</v>
      </c>
      <c r="BX236" s="772">
        <v>0</v>
      </c>
      <c r="BY236" s="772">
        <v>0</v>
      </c>
      <c r="BZ236" s="772">
        <v>0</v>
      </c>
      <c r="CA236" s="772">
        <v>0</v>
      </c>
      <c r="CB236" s="772">
        <v>0</v>
      </c>
      <c r="CC236" s="772">
        <v>0</v>
      </c>
      <c r="CD236" s="772">
        <v>0</v>
      </c>
      <c r="CE236" s="772">
        <v>0</v>
      </c>
    </row>
    <row r="237" spans="1:83" x14ac:dyDescent="0.25">
      <c r="B237" s="801">
        <v>587</v>
      </c>
      <c r="C237" s="801" t="s">
        <v>761</v>
      </c>
      <c r="D237" s="801" t="s">
        <v>762</v>
      </c>
      <c r="E237" s="769"/>
      <c r="F237" s="770"/>
      <c r="G237" s="770"/>
      <c r="H237" s="770"/>
      <c r="I237" s="770"/>
      <c r="J237" s="770"/>
      <c r="K237" s="771"/>
      <c r="L237" s="772"/>
      <c r="M237" s="772"/>
      <c r="N237" s="773"/>
      <c r="O237" s="773"/>
      <c r="P237" s="773"/>
      <c r="Q237" s="773"/>
      <c r="R237" s="773"/>
      <c r="S237" s="773"/>
      <c r="T237" s="773"/>
      <c r="U237" s="773"/>
      <c r="V237" s="773"/>
      <c r="W237" s="773"/>
      <c r="X237" s="773"/>
      <c r="Y237" s="773"/>
      <c r="Z237" s="773"/>
      <c r="AA237" s="773"/>
      <c r="AB237" s="772"/>
      <c r="AC237" s="772"/>
      <c r="AD237" s="772"/>
      <c r="AE237" s="772"/>
      <c r="AF237" s="772"/>
      <c r="AG237" s="772"/>
      <c r="AH237" s="772"/>
      <c r="AI237" s="772"/>
      <c r="AJ237" s="772"/>
      <c r="AK237" s="772"/>
      <c r="AL237" s="772"/>
      <c r="AM237" s="772"/>
      <c r="AN237" s="772"/>
      <c r="AO237" s="772"/>
      <c r="AP237" s="772"/>
      <c r="AQ237" s="772"/>
      <c r="AR237" s="772"/>
      <c r="AS237" s="772"/>
      <c r="AT237" s="772"/>
      <c r="AU237" s="772"/>
      <c r="AV237" s="772"/>
      <c r="AW237" s="772"/>
      <c r="AX237" s="772"/>
      <c r="AY237" s="772"/>
      <c r="AZ237" s="772"/>
      <c r="BA237" s="772"/>
      <c r="BB237" s="772"/>
      <c r="BC237" s="772"/>
      <c r="BD237" s="772"/>
      <c r="BE237" s="772"/>
      <c r="BF237" s="772"/>
      <c r="BG237" s="772"/>
      <c r="BH237" s="772"/>
      <c r="BI237" s="772"/>
      <c r="BJ237" s="772"/>
      <c r="BK237" s="772"/>
      <c r="BL237" s="772"/>
      <c r="BM237" s="772"/>
      <c r="BN237" s="772"/>
      <c r="BO237" s="772"/>
      <c r="BP237" s="772"/>
      <c r="BQ237" s="772"/>
      <c r="BR237" s="772"/>
      <c r="BS237" s="772"/>
      <c r="BT237" s="772"/>
      <c r="BU237" s="772"/>
      <c r="BV237" s="772"/>
      <c r="BW237" s="772"/>
      <c r="BX237" s="772"/>
      <c r="BY237" s="772"/>
      <c r="BZ237" s="772"/>
      <c r="CA237" s="772"/>
      <c r="CB237" s="772"/>
      <c r="CC237" s="772"/>
      <c r="CD237" s="772"/>
      <c r="CE237" s="772"/>
    </row>
    <row r="238" spans="1:83" x14ac:dyDescent="0.25">
      <c r="B238" s="801">
        <v>588</v>
      </c>
      <c r="C238" s="801" t="s">
        <v>763</v>
      </c>
      <c r="D238" s="801" t="s">
        <v>764</v>
      </c>
      <c r="E238" s="769"/>
      <c r="F238" s="770"/>
      <c r="G238" s="770"/>
      <c r="H238" s="770"/>
      <c r="I238" s="770"/>
      <c r="J238" s="770"/>
      <c r="K238" s="771"/>
      <c r="L238" s="772"/>
      <c r="M238" s="772"/>
      <c r="N238" s="773"/>
      <c r="O238" s="773"/>
      <c r="P238" s="773"/>
      <c r="Q238" s="773"/>
      <c r="R238" s="773"/>
      <c r="S238" s="773"/>
      <c r="T238" s="773"/>
      <c r="U238" s="773"/>
      <c r="V238" s="773"/>
      <c r="W238" s="773"/>
      <c r="X238" s="773"/>
      <c r="Y238" s="773"/>
      <c r="Z238" s="773"/>
      <c r="AA238" s="773"/>
      <c r="AB238" s="772"/>
      <c r="AC238" s="772"/>
      <c r="AD238" s="772"/>
      <c r="AE238" s="772"/>
      <c r="AF238" s="772"/>
      <c r="AG238" s="772"/>
      <c r="AH238" s="772"/>
      <c r="AI238" s="772"/>
      <c r="AJ238" s="772"/>
      <c r="AK238" s="772"/>
      <c r="AL238" s="772"/>
      <c r="AM238" s="772"/>
      <c r="AN238" s="772"/>
      <c r="AO238" s="772"/>
      <c r="AP238" s="772"/>
      <c r="AQ238" s="772"/>
      <c r="AR238" s="772"/>
      <c r="AS238" s="772"/>
      <c r="AT238" s="772"/>
      <c r="AU238" s="772"/>
      <c r="AV238" s="772"/>
      <c r="AW238" s="772"/>
      <c r="AX238" s="772"/>
      <c r="AY238" s="772"/>
      <c r="AZ238" s="772"/>
      <c r="BA238" s="772"/>
      <c r="BB238" s="772"/>
      <c r="BC238" s="772"/>
      <c r="BD238" s="772"/>
      <c r="BE238" s="772"/>
      <c r="BF238" s="772"/>
      <c r="BG238" s="772"/>
      <c r="BH238" s="772"/>
      <c r="BI238" s="772"/>
      <c r="BJ238" s="772"/>
      <c r="BK238" s="772"/>
      <c r="BL238" s="772"/>
      <c r="BM238" s="772"/>
      <c r="BN238" s="772"/>
      <c r="BO238" s="772"/>
      <c r="BP238" s="772"/>
      <c r="BQ238" s="772"/>
      <c r="BR238" s="772"/>
      <c r="BS238" s="772"/>
      <c r="BT238" s="772"/>
      <c r="BU238" s="772"/>
      <c r="BV238" s="772"/>
      <c r="BW238" s="772"/>
      <c r="BX238" s="772"/>
      <c r="BY238" s="772"/>
      <c r="BZ238" s="772"/>
      <c r="CA238" s="772"/>
      <c r="CB238" s="772"/>
      <c r="CC238" s="772"/>
      <c r="CD238" s="772"/>
      <c r="CE238" s="772"/>
    </row>
    <row r="239" spans="1:83" x14ac:dyDescent="0.25">
      <c r="B239" s="801">
        <v>589</v>
      </c>
      <c r="C239" s="801" t="s">
        <v>765</v>
      </c>
      <c r="D239" s="801" t="s">
        <v>766</v>
      </c>
      <c r="E239" s="769"/>
      <c r="F239" s="770"/>
      <c r="G239" s="770"/>
      <c r="H239" s="770"/>
      <c r="I239" s="770"/>
      <c r="J239" s="770"/>
      <c r="K239" s="771"/>
      <c r="L239" s="772"/>
      <c r="M239" s="772"/>
      <c r="N239" s="773"/>
      <c r="O239" s="773"/>
      <c r="P239" s="773"/>
      <c r="Q239" s="773"/>
      <c r="R239" s="773"/>
      <c r="S239" s="773"/>
      <c r="T239" s="773"/>
      <c r="U239" s="773"/>
      <c r="V239" s="773"/>
      <c r="W239" s="773"/>
      <c r="X239" s="773"/>
      <c r="Y239" s="773"/>
      <c r="Z239" s="773"/>
      <c r="AA239" s="773"/>
      <c r="AB239" s="772"/>
      <c r="AC239" s="772"/>
      <c r="AD239" s="772"/>
      <c r="AE239" s="772"/>
      <c r="AF239" s="772"/>
      <c r="AG239" s="772"/>
      <c r="AH239" s="772"/>
      <c r="AI239" s="772"/>
      <c r="AJ239" s="772"/>
      <c r="AK239" s="772"/>
      <c r="AL239" s="772"/>
      <c r="AM239" s="772"/>
      <c r="AN239" s="772"/>
      <c r="AO239" s="772"/>
      <c r="AP239" s="772"/>
      <c r="AQ239" s="772"/>
      <c r="AR239" s="772"/>
      <c r="AS239" s="772"/>
      <c r="AT239" s="772"/>
      <c r="AU239" s="772"/>
      <c r="AV239" s="772"/>
      <c r="AW239" s="772"/>
      <c r="AX239" s="772"/>
      <c r="AY239" s="772"/>
      <c r="AZ239" s="772"/>
      <c r="BA239" s="772"/>
      <c r="BB239" s="772"/>
      <c r="BC239" s="772"/>
      <c r="BD239" s="772"/>
      <c r="BE239" s="772"/>
      <c r="BF239" s="772"/>
      <c r="BG239" s="772"/>
      <c r="BH239" s="772"/>
      <c r="BI239" s="772"/>
      <c r="BJ239" s="772"/>
      <c r="BK239" s="772"/>
      <c r="BL239" s="772"/>
      <c r="BM239" s="772"/>
      <c r="BN239" s="772"/>
      <c r="BO239" s="772"/>
      <c r="BP239" s="772"/>
      <c r="BQ239" s="772"/>
      <c r="BR239" s="772"/>
      <c r="BS239" s="772"/>
      <c r="BT239" s="772"/>
      <c r="BU239" s="772"/>
      <c r="BV239" s="772"/>
      <c r="BW239" s="772"/>
      <c r="BX239" s="772"/>
      <c r="BY239" s="772"/>
      <c r="BZ239" s="772"/>
      <c r="CA239" s="772"/>
      <c r="CB239" s="772"/>
      <c r="CC239" s="772"/>
      <c r="CD239" s="772"/>
      <c r="CE239" s="772"/>
    </row>
    <row r="240" spans="1:83" x14ac:dyDescent="0.25">
      <c r="B240" s="801">
        <v>590</v>
      </c>
      <c r="C240" s="804" t="s">
        <v>767</v>
      </c>
      <c r="D240" s="801" t="s">
        <v>768</v>
      </c>
      <c r="E240" s="769"/>
      <c r="F240" s="770"/>
      <c r="G240" s="770"/>
      <c r="H240" s="770"/>
      <c r="I240" s="770"/>
      <c r="J240" s="770"/>
      <c r="K240" s="771"/>
      <c r="L240" s="772"/>
      <c r="M240" s="772"/>
      <c r="N240" s="773"/>
      <c r="O240" s="773"/>
      <c r="P240" s="773"/>
      <c r="Q240" s="773"/>
      <c r="R240" s="773"/>
      <c r="S240" s="773"/>
      <c r="T240" s="773"/>
      <c r="U240" s="773"/>
      <c r="V240" s="773"/>
      <c r="W240" s="773"/>
      <c r="X240" s="773"/>
      <c r="Y240" s="773"/>
      <c r="Z240" s="773"/>
      <c r="AA240" s="773"/>
      <c r="AB240" s="772"/>
      <c r="AC240" s="772"/>
      <c r="AD240" s="772"/>
      <c r="AE240" s="772"/>
      <c r="AF240" s="772"/>
      <c r="AG240" s="772"/>
      <c r="AH240" s="772"/>
      <c r="AI240" s="772"/>
      <c r="AJ240" s="772"/>
      <c r="AK240" s="772"/>
      <c r="AL240" s="772"/>
      <c r="AM240" s="772"/>
      <c r="AN240" s="772"/>
      <c r="AO240" s="772"/>
      <c r="AP240" s="772"/>
      <c r="AQ240" s="772"/>
      <c r="AR240" s="772"/>
      <c r="AS240" s="772"/>
      <c r="AT240" s="772"/>
      <c r="AU240" s="772"/>
      <c r="AV240" s="772"/>
      <c r="AW240" s="772"/>
      <c r="AX240" s="772"/>
      <c r="AY240" s="772"/>
      <c r="AZ240" s="772"/>
      <c r="BA240" s="772"/>
      <c r="BB240" s="772"/>
      <c r="BC240" s="772"/>
      <c r="BD240" s="772"/>
      <c r="BE240" s="772"/>
      <c r="BF240" s="772"/>
      <c r="BG240" s="772"/>
      <c r="BH240" s="772"/>
      <c r="BI240" s="772"/>
      <c r="BJ240" s="772"/>
      <c r="BK240" s="772"/>
      <c r="BL240" s="772"/>
      <c r="BM240" s="772"/>
      <c r="BN240" s="772"/>
      <c r="BO240" s="772"/>
      <c r="BP240" s="772"/>
      <c r="BQ240" s="772"/>
      <c r="BR240" s="772"/>
      <c r="BS240" s="772"/>
      <c r="BT240" s="772"/>
      <c r="BU240" s="772"/>
      <c r="BV240" s="772"/>
      <c r="BW240" s="772"/>
      <c r="BX240" s="772"/>
      <c r="BY240" s="772"/>
      <c r="BZ240" s="772"/>
      <c r="CA240" s="772"/>
      <c r="CB240" s="772"/>
      <c r="CC240" s="772"/>
      <c r="CD240" s="772"/>
      <c r="CE240" s="772"/>
    </row>
    <row r="241" spans="1:83" x14ac:dyDescent="0.25">
      <c r="B241" s="799">
        <v>992</v>
      </c>
      <c r="C241" s="796"/>
      <c r="D241" s="795" t="s">
        <v>698</v>
      </c>
      <c r="E241" s="769"/>
      <c r="F241" s="770"/>
      <c r="G241" s="770"/>
      <c r="H241" s="770"/>
      <c r="I241" s="770"/>
      <c r="J241" s="770"/>
      <c r="K241" s="771"/>
      <c r="L241" s="772"/>
      <c r="M241" s="772"/>
      <c r="N241" s="773"/>
      <c r="O241" s="773"/>
      <c r="P241" s="773"/>
      <c r="Q241" s="773"/>
      <c r="R241" s="773"/>
      <c r="S241" s="773"/>
      <c r="T241" s="773"/>
      <c r="U241" s="773"/>
      <c r="V241" s="773"/>
      <c r="W241" s="773"/>
      <c r="X241" s="773"/>
      <c r="Y241" s="773"/>
      <c r="Z241" s="773"/>
      <c r="AA241" s="773"/>
      <c r="AB241" s="772"/>
      <c r="AC241" s="772"/>
      <c r="AD241" s="772"/>
      <c r="AE241" s="772"/>
      <c r="AF241" s="772"/>
      <c r="AG241" s="772"/>
      <c r="AH241" s="772"/>
      <c r="AI241" s="772"/>
      <c r="AJ241" s="772"/>
      <c r="AK241" s="772"/>
      <c r="AL241" s="772"/>
      <c r="AM241" s="772"/>
      <c r="AN241" s="772"/>
      <c r="AO241" s="772"/>
      <c r="AP241" s="772"/>
      <c r="AQ241" s="772"/>
      <c r="AR241" s="772"/>
      <c r="AS241" s="772"/>
      <c r="AT241" s="772"/>
      <c r="AU241" s="772"/>
      <c r="AV241" s="772"/>
      <c r="AW241" s="772"/>
      <c r="AX241" s="772"/>
      <c r="AY241" s="772"/>
      <c r="AZ241" s="772"/>
      <c r="BA241" s="772"/>
      <c r="BB241" s="772"/>
      <c r="BC241" s="772"/>
      <c r="BD241" s="772"/>
      <c r="BE241" s="772"/>
      <c r="BF241" s="772"/>
      <c r="BG241" s="772"/>
      <c r="BH241" s="772"/>
      <c r="BI241" s="772"/>
      <c r="BJ241" s="772"/>
      <c r="BK241" s="772"/>
      <c r="BL241" s="772"/>
      <c r="BM241" s="772"/>
      <c r="BN241" s="772"/>
      <c r="BO241" s="772"/>
      <c r="BP241" s="772"/>
      <c r="BQ241" s="772"/>
      <c r="BR241" s="772"/>
      <c r="BS241" s="772"/>
      <c r="BT241" s="772"/>
      <c r="BU241" s="772"/>
      <c r="BV241" s="772"/>
      <c r="BW241" s="772"/>
      <c r="BX241" s="772"/>
      <c r="BY241" s="772"/>
      <c r="BZ241" s="772"/>
      <c r="CA241" s="772"/>
      <c r="CB241" s="772"/>
      <c r="CC241" s="772"/>
      <c r="CD241" s="772"/>
      <c r="CE241" s="772"/>
    </row>
    <row r="242" spans="1:83" x14ac:dyDescent="0.25">
      <c r="B242" s="752">
        <v>993</v>
      </c>
      <c r="C242" s="768" t="s">
        <v>580</v>
      </c>
      <c r="D242" s="635" t="s">
        <v>581</v>
      </c>
      <c r="E242" s="769"/>
      <c r="F242" s="770"/>
      <c r="G242" s="770"/>
      <c r="H242" s="770"/>
      <c r="I242" s="770"/>
      <c r="J242" s="770"/>
      <c r="K242" s="771"/>
      <c r="L242" s="772"/>
      <c r="M242" s="772"/>
      <c r="N242" s="773"/>
      <c r="O242" s="773"/>
      <c r="P242" s="773"/>
      <c r="Q242" s="773"/>
      <c r="R242" s="773"/>
      <c r="S242" s="773"/>
      <c r="T242" s="773"/>
      <c r="U242" s="773"/>
      <c r="V242" s="773"/>
      <c r="W242" s="773"/>
      <c r="X242" s="773"/>
      <c r="Y242" s="773"/>
      <c r="Z242" s="773"/>
      <c r="AA242" s="773"/>
      <c r="AB242" s="772"/>
      <c r="AC242" s="772"/>
      <c r="AD242" s="772"/>
      <c r="AE242" s="772"/>
      <c r="AF242" s="772"/>
      <c r="AG242" s="772"/>
      <c r="AH242" s="772"/>
      <c r="AI242" s="772"/>
      <c r="AJ242" s="772"/>
      <c r="AK242" s="772"/>
      <c r="AL242" s="772"/>
      <c r="AM242" s="772"/>
      <c r="AN242" s="772"/>
      <c r="AO242" s="772"/>
      <c r="AP242" s="772"/>
      <c r="AQ242" s="772"/>
      <c r="AR242" s="772"/>
      <c r="AS242" s="772"/>
      <c r="AT242" s="772"/>
      <c r="AU242" s="772"/>
      <c r="AV242" s="772"/>
      <c r="AW242" s="772"/>
      <c r="AX242" s="772"/>
      <c r="AY242" s="772"/>
      <c r="AZ242" s="772"/>
      <c r="BA242" s="772"/>
      <c r="BB242" s="772"/>
      <c r="BC242" s="772"/>
      <c r="BD242" s="772"/>
      <c r="BE242" s="772"/>
      <c r="BF242" s="772"/>
      <c r="BG242" s="772"/>
      <c r="BH242" s="772"/>
      <c r="BI242" s="772"/>
      <c r="BJ242" s="772"/>
      <c r="BK242" s="772"/>
      <c r="BL242" s="772"/>
      <c r="BM242" s="772"/>
      <c r="BN242" s="772"/>
      <c r="BO242" s="772"/>
      <c r="BP242" s="772"/>
      <c r="BQ242" s="772"/>
      <c r="BR242" s="772"/>
      <c r="BS242" s="772"/>
      <c r="BT242" s="772"/>
      <c r="BU242" s="772"/>
      <c r="BV242" s="772"/>
      <c r="BW242" s="772"/>
      <c r="BX242" s="772"/>
      <c r="BY242" s="772"/>
      <c r="BZ242" s="772"/>
      <c r="CA242" s="772"/>
      <c r="CB242" s="772"/>
      <c r="CC242" s="772"/>
      <c r="CD242" s="772"/>
      <c r="CE242" s="772"/>
    </row>
    <row r="243" spans="1:83" x14ac:dyDescent="0.25">
      <c r="B243" s="752">
        <v>994</v>
      </c>
      <c r="C243" s="768" t="s">
        <v>582</v>
      </c>
      <c r="D243" s="635" t="s">
        <v>583</v>
      </c>
      <c r="E243" s="769"/>
      <c r="F243" s="770"/>
      <c r="G243" s="770"/>
      <c r="H243" s="770"/>
      <c r="I243" s="770"/>
      <c r="J243" s="770"/>
      <c r="K243" s="771"/>
      <c r="L243" s="772"/>
      <c r="M243" s="772"/>
      <c r="N243" s="773"/>
      <c r="O243" s="773"/>
      <c r="P243" s="773"/>
      <c r="Q243" s="773"/>
      <c r="R243" s="773"/>
      <c r="S243" s="773"/>
      <c r="T243" s="773"/>
      <c r="U243" s="773"/>
      <c r="V243" s="773"/>
      <c r="W243" s="773"/>
      <c r="X243" s="773"/>
      <c r="Y243" s="773"/>
      <c r="Z243" s="773"/>
      <c r="AA243" s="773"/>
      <c r="AB243" s="772"/>
      <c r="AC243" s="772"/>
      <c r="AD243" s="772"/>
      <c r="AE243" s="772"/>
      <c r="AF243" s="772"/>
      <c r="AG243" s="772"/>
      <c r="AH243" s="772"/>
      <c r="AI243" s="772"/>
      <c r="AJ243" s="772"/>
      <c r="AK243" s="772"/>
      <c r="AL243" s="772"/>
      <c r="AM243" s="772"/>
      <c r="AN243" s="772"/>
      <c r="AO243" s="772"/>
      <c r="AP243" s="772"/>
      <c r="AQ243" s="772"/>
      <c r="AR243" s="772"/>
      <c r="AS243" s="772"/>
      <c r="AT243" s="772"/>
      <c r="AU243" s="772"/>
      <c r="AV243" s="772"/>
      <c r="AW243" s="772"/>
      <c r="AX243" s="772"/>
      <c r="AY243" s="772"/>
      <c r="AZ243" s="772"/>
      <c r="BA243" s="772"/>
      <c r="BB243" s="772"/>
      <c r="BC243" s="772"/>
      <c r="BD243" s="772"/>
      <c r="BE243" s="772"/>
      <c r="BF243" s="772"/>
      <c r="BG243" s="772"/>
      <c r="BH243" s="772"/>
      <c r="BI243" s="772"/>
      <c r="BJ243" s="772"/>
      <c r="BK243" s="772"/>
      <c r="BL243" s="772"/>
      <c r="BM243" s="772"/>
      <c r="BN243" s="772"/>
      <c r="BO243" s="772"/>
      <c r="BP243" s="772"/>
      <c r="BQ243" s="772"/>
      <c r="BR243" s="772"/>
      <c r="BS243" s="772"/>
      <c r="BT243" s="772"/>
      <c r="BU243" s="772"/>
      <c r="BV243" s="772"/>
      <c r="BW243" s="772"/>
      <c r="BX243" s="772"/>
      <c r="BY243" s="772"/>
      <c r="BZ243" s="772"/>
      <c r="CA243" s="772"/>
      <c r="CB243" s="772"/>
      <c r="CC243" s="772"/>
      <c r="CD243" s="772"/>
      <c r="CE243" s="772"/>
    </row>
    <row r="244" spans="1:83" s="791" customFormat="1" x14ac:dyDescent="0.25">
      <c r="A244" s="802" t="s">
        <v>605</v>
      </c>
      <c r="B244" s="805">
        <v>995</v>
      </c>
      <c r="C244" s="806" t="s">
        <v>584</v>
      </c>
      <c r="D244" s="791" t="s">
        <v>585</v>
      </c>
      <c r="E244" s="807">
        <v>0</v>
      </c>
      <c r="F244" s="808">
        <v>0</v>
      </c>
      <c r="G244" s="808">
        <v>0</v>
      </c>
      <c r="H244" s="808">
        <v>0</v>
      </c>
      <c r="I244" s="808">
        <v>0</v>
      </c>
      <c r="J244" s="808">
        <v>0</v>
      </c>
      <c r="K244" s="809">
        <v>0</v>
      </c>
      <c r="L244" s="810">
        <v>0</v>
      </c>
      <c r="M244" s="810">
        <v>0.08</v>
      </c>
      <c r="N244" s="811">
        <v>0.09</v>
      </c>
      <c r="O244" s="811">
        <v>0</v>
      </c>
      <c r="P244" s="811">
        <v>0</v>
      </c>
      <c r="Q244" s="811">
        <v>0</v>
      </c>
      <c r="R244" s="811">
        <v>0.09</v>
      </c>
      <c r="S244" s="811">
        <v>0</v>
      </c>
      <c r="T244" s="811">
        <v>0.09</v>
      </c>
      <c r="U244" s="811">
        <v>0</v>
      </c>
      <c r="V244" s="811">
        <v>0</v>
      </c>
      <c r="W244" s="811">
        <v>0</v>
      </c>
      <c r="X244" s="811">
        <v>0</v>
      </c>
      <c r="Y244" s="811">
        <v>0</v>
      </c>
      <c r="Z244" s="811">
        <v>0.08</v>
      </c>
      <c r="AA244" s="811">
        <v>0</v>
      </c>
      <c r="AB244" s="810">
        <v>0</v>
      </c>
      <c r="AC244" s="810">
        <v>0</v>
      </c>
      <c r="AD244" s="810">
        <v>0</v>
      </c>
      <c r="AE244" s="810">
        <v>0</v>
      </c>
      <c r="AF244" s="810">
        <v>0</v>
      </c>
      <c r="AG244" s="810">
        <v>7.0000000000000007E-2</v>
      </c>
      <c r="AH244" s="810">
        <v>0</v>
      </c>
      <c r="AI244" s="810">
        <v>0</v>
      </c>
      <c r="AJ244" s="810">
        <v>0</v>
      </c>
      <c r="AK244" s="810">
        <v>0</v>
      </c>
      <c r="AL244" s="810">
        <v>0</v>
      </c>
      <c r="AM244" s="810">
        <v>0</v>
      </c>
      <c r="AN244" s="810">
        <v>0</v>
      </c>
      <c r="AO244" s="810">
        <v>0</v>
      </c>
      <c r="AP244" s="810">
        <v>0</v>
      </c>
      <c r="AQ244" s="810">
        <v>7.0000000000000007E-2</v>
      </c>
      <c r="AR244" s="810">
        <v>0</v>
      </c>
      <c r="AS244" s="810">
        <v>0</v>
      </c>
      <c r="AT244" s="810">
        <v>0</v>
      </c>
      <c r="AU244" s="810">
        <v>0</v>
      </c>
      <c r="AV244" s="810">
        <v>0</v>
      </c>
      <c r="AW244" s="810">
        <v>0.08</v>
      </c>
      <c r="AX244" s="810">
        <v>0</v>
      </c>
      <c r="AY244" s="810">
        <v>0</v>
      </c>
      <c r="AZ244" s="810">
        <v>0</v>
      </c>
      <c r="BA244" s="810">
        <v>0</v>
      </c>
      <c r="BB244" s="810">
        <v>0.08</v>
      </c>
      <c r="BC244" s="810">
        <v>0</v>
      </c>
      <c r="BD244" s="810">
        <v>0</v>
      </c>
      <c r="BE244" s="810">
        <v>0</v>
      </c>
      <c r="BF244" s="810">
        <v>0</v>
      </c>
      <c r="BG244" s="810">
        <v>0</v>
      </c>
      <c r="BH244" s="810">
        <v>0</v>
      </c>
      <c r="BI244" s="810">
        <v>0</v>
      </c>
      <c r="BJ244" s="810">
        <v>0</v>
      </c>
      <c r="BK244" s="810">
        <v>0</v>
      </c>
      <c r="BL244" s="810">
        <v>0</v>
      </c>
      <c r="BM244" s="810">
        <v>0</v>
      </c>
      <c r="BN244" s="810">
        <v>0</v>
      </c>
      <c r="BO244" s="810">
        <v>0.08</v>
      </c>
      <c r="BP244" s="810">
        <v>0</v>
      </c>
      <c r="BQ244" s="810">
        <v>7.0000000000000007E-2</v>
      </c>
      <c r="BR244" s="810">
        <v>0</v>
      </c>
      <c r="BS244" s="810">
        <v>0.09</v>
      </c>
      <c r="BT244" s="810">
        <v>0</v>
      </c>
      <c r="BU244" s="810">
        <v>0</v>
      </c>
      <c r="BV244" s="810">
        <v>0.08</v>
      </c>
      <c r="BW244" s="810">
        <v>0</v>
      </c>
      <c r="BX244" s="810">
        <v>0</v>
      </c>
      <c r="BY244" s="810">
        <v>0</v>
      </c>
      <c r="BZ244" s="810">
        <v>0</v>
      </c>
      <c r="CA244" s="810">
        <v>0.08</v>
      </c>
      <c r="CB244" s="810">
        <v>0</v>
      </c>
      <c r="CC244" s="810">
        <v>0</v>
      </c>
      <c r="CD244" s="810">
        <v>0</v>
      </c>
      <c r="CE244" s="810">
        <v>7.0000000000000007E-2</v>
      </c>
    </row>
    <row r="245" spans="1:83" s="791" customFormat="1" x14ac:dyDescent="0.25">
      <c r="A245" s="802" t="s">
        <v>606</v>
      </c>
      <c r="B245" s="805">
        <v>996</v>
      </c>
      <c r="C245" s="806" t="s">
        <v>586</v>
      </c>
      <c r="D245" s="791" t="s">
        <v>587</v>
      </c>
      <c r="E245" s="807">
        <v>0.01</v>
      </c>
      <c r="F245" s="808">
        <v>0.01</v>
      </c>
      <c r="G245" s="808">
        <v>0</v>
      </c>
      <c r="H245" s="808">
        <v>0.01</v>
      </c>
      <c r="I245" s="808">
        <v>0.01</v>
      </c>
      <c r="J245" s="808">
        <v>0.01</v>
      </c>
      <c r="K245" s="809">
        <v>0</v>
      </c>
      <c r="L245" s="810">
        <v>0.01</v>
      </c>
      <c r="M245" s="810">
        <v>0.01</v>
      </c>
      <c r="N245" s="811">
        <v>0</v>
      </c>
      <c r="O245" s="811">
        <v>0</v>
      </c>
      <c r="P245" s="811">
        <v>0</v>
      </c>
      <c r="Q245" s="811">
        <v>0.01</v>
      </c>
      <c r="R245" s="811">
        <v>0.01</v>
      </c>
      <c r="S245" s="811">
        <v>0</v>
      </c>
      <c r="T245" s="811">
        <v>0.01</v>
      </c>
      <c r="U245" s="811">
        <v>0.01</v>
      </c>
      <c r="V245" s="811">
        <v>0.01</v>
      </c>
      <c r="W245" s="811">
        <v>0.01</v>
      </c>
      <c r="X245" s="811">
        <v>0</v>
      </c>
      <c r="Y245" s="811">
        <v>0.01</v>
      </c>
      <c r="Z245" s="811">
        <v>0.01</v>
      </c>
      <c r="AA245" s="811">
        <v>0.01</v>
      </c>
      <c r="AB245" s="810">
        <v>0.01</v>
      </c>
      <c r="AC245" s="810">
        <v>0.01</v>
      </c>
      <c r="AD245" s="810">
        <v>0</v>
      </c>
      <c r="AE245" s="810">
        <v>0</v>
      </c>
      <c r="AF245" s="810">
        <v>0</v>
      </c>
      <c r="AG245" s="810">
        <v>0.01</v>
      </c>
      <c r="AH245" s="810">
        <v>0</v>
      </c>
      <c r="AI245" s="810">
        <v>0.01</v>
      </c>
      <c r="AJ245" s="810">
        <v>0.01</v>
      </c>
      <c r="AK245" s="810">
        <v>0.01</v>
      </c>
      <c r="AL245" s="810">
        <v>0.01</v>
      </c>
      <c r="AM245" s="810">
        <v>0.01</v>
      </c>
      <c r="AN245" s="810">
        <v>0.01</v>
      </c>
      <c r="AO245" s="810">
        <v>0.01</v>
      </c>
      <c r="AP245" s="810">
        <v>0</v>
      </c>
      <c r="AQ245" s="810">
        <v>0.01</v>
      </c>
      <c r="AR245" s="810">
        <v>0</v>
      </c>
      <c r="AS245" s="810">
        <v>0</v>
      </c>
      <c r="AT245" s="810">
        <v>0.01</v>
      </c>
      <c r="AU245" s="810">
        <v>0.01</v>
      </c>
      <c r="AV245" s="810">
        <v>0.01</v>
      </c>
      <c r="AW245" s="810">
        <v>0.01</v>
      </c>
      <c r="AX245" s="810">
        <v>0.01</v>
      </c>
      <c r="AY245" s="810">
        <v>0.01</v>
      </c>
      <c r="AZ245" s="810">
        <v>0.01</v>
      </c>
      <c r="BA245" s="810">
        <v>0.01</v>
      </c>
      <c r="BB245" s="810">
        <v>0.01</v>
      </c>
      <c r="BC245" s="810">
        <v>0.01</v>
      </c>
      <c r="BD245" s="810">
        <v>0.01</v>
      </c>
      <c r="BE245" s="810">
        <v>0</v>
      </c>
      <c r="BF245" s="810">
        <v>0.01</v>
      </c>
      <c r="BG245" s="810">
        <v>0.01</v>
      </c>
      <c r="BH245" s="810">
        <v>0</v>
      </c>
      <c r="BI245" s="810">
        <v>0.01</v>
      </c>
      <c r="BJ245" s="810">
        <v>0.01</v>
      </c>
      <c r="BK245" s="810">
        <v>0</v>
      </c>
      <c r="BL245" s="810">
        <v>0</v>
      </c>
      <c r="BM245" s="810">
        <v>0.01</v>
      </c>
      <c r="BN245" s="810">
        <v>0.01</v>
      </c>
      <c r="BO245" s="810">
        <v>0.01</v>
      </c>
      <c r="BP245" s="810">
        <v>0.01</v>
      </c>
      <c r="BQ245" s="810">
        <v>0.01</v>
      </c>
      <c r="BR245" s="810">
        <v>0.01</v>
      </c>
      <c r="BS245" s="810">
        <v>0.01</v>
      </c>
      <c r="BT245" s="810">
        <v>0</v>
      </c>
      <c r="BU245" s="810">
        <v>0.01</v>
      </c>
      <c r="BV245" s="810">
        <v>0.01</v>
      </c>
      <c r="BW245" s="810">
        <v>0</v>
      </c>
      <c r="BX245" s="810">
        <v>0.01</v>
      </c>
      <c r="BY245" s="810">
        <v>0</v>
      </c>
      <c r="BZ245" s="810">
        <v>0.01</v>
      </c>
      <c r="CA245" s="810">
        <v>0.01</v>
      </c>
      <c r="CB245" s="810">
        <v>0</v>
      </c>
      <c r="CC245" s="810">
        <v>0.01</v>
      </c>
      <c r="CD245" s="810">
        <v>0</v>
      </c>
      <c r="CE245" s="810">
        <v>0</v>
      </c>
    </row>
    <row r="246" spans="1:83" s="791" customFormat="1" x14ac:dyDescent="0.25">
      <c r="A246" s="802"/>
      <c r="B246" s="805">
        <v>997</v>
      </c>
      <c r="C246" s="806"/>
      <c r="E246" s="807"/>
      <c r="F246" s="808"/>
      <c r="G246" s="808"/>
      <c r="H246" s="808"/>
      <c r="I246" s="808"/>
      <c r="J246" s="808"/>
      <c r="K246" s="809"/>
      <c r="L246" s="810"/>
      <c r="M246" s="810"/>
      <c r="N246" s="811"/>
      <c r="O246" s="811"/>
      <c r="P246" s="811"/>
      <c r="Q246" s="811"/>
      <c r="R246" s="811"/>
      <c r="S246" s="811"/>
      <c r="T246" s="811"/>
      <c r="U246" s="811"/>
      <c r="V246" s="811"/>
      <c r="W246" s="811"/>
      <c r="X246" s="811"/>
      <c r="Y246" s="811"/>
      <c r="Z246" s="811"/>
      <c r="AA246" s="811"/>
      <c r="AB246" s="810"/>
      <c r="AC246" s="810"/>
      <c r="AD246" s="810"/>
      <c r="AE246" s="810"/>
      <c r="AF246" s="810"/>
      <c r="AG246" s="810"/>
      <c r="AH246" s="810"/>
      <c r="AI246" s="810"/>
      <c r="AJ246" s="810"/>
      <c r="AK246" s="810"/>
      <c r="AL246" s="810"/>
      <c r="AM246" s="810"/>
      <c r="AN246" s="810"/>
      <c r="AO246" s="810"/>
      <c r="AP246" s="810"/>
      <c r="AQ246" s="810"/>
      <c r="AR246" s="810"/>
      <c r="AS246" s="810"/>
      <c r="AT246" s="810"/>
      <c r="AU246" s="810"/>
      <c r="AV246" s="810"/>
      <c r="AW246" s="810"/>
      <c r="AX246" s="810"/>
      <c r="AY246" s="810"/>
      <c r="AZ246" s="810"/>
      <c r="BA246" s="810"/>
      <c r="BB246" s="810"/>
      <c r="BC246" s="810"/>
      <c r="BD246" s="810"/>
      <c r="BE246" s="810"/>
      <c r="BF246" s="810"/>
      <c r="BG246" s="810"/>
      <c r="BH246" s="810"/>
      <c r="BI246" s="810"/>
      <c r="BJ246" s="810"/>
      <c r="BK246" s="810"/>
      <c r="BL246" s="810"/>
      <c r="BM246" s="810"/>
      <c r="BN246" s="810"/>
      <c r="BO246" s="810"/>
      <c r="BP246" s="810"/>
      <c r="BQ246" s="810"/>
      <c r="BR246" s="810"/>
      <c r="BS246" s="810"/>
      <c r="BT246" s="810"/>
      <c r="BU246" s="810"/>
      <c r="BV246" s="810"/>
      <c r="BW246" s="810"/>
      <c r="BX246" s="810"/>
      <c r="BY246" s="810"/>
      <c r="BZ246" s="810"/>
      <c r="CA246" s="810"/>
      <c r="CB246" s="810"/>
      <c r="CC246" s="810"/>
      <c r="CD246" s="810"/>
      <c r="CE246" s="810"/>
    </row>
    <row r="247" spans="1:83" s="791" customFormat="1" x14ac:dyDescent="0.25">
      <c r="A247" s="802" t="s">
        <v>607</v>
      </c>
      <c r="B247" s="805">
        <v>998</v>
      </c>
      <c r="C247" s="806" t="s">
        <v>357</v>
      </c>
      <c r="D247" s="791" t="s">
        <v>588</v>
      </c>
      <c r="E247" s="786">
        <v>50</v>
      </c>
      <c r="F247" s="787">
        <v>50</v>
      </c>
      <c r="G247" s="787">
        <v>50</v>
      </c>
      <c r="H247" s="787">
        <v>50</v>
      </c>
      <c r="I247" s="787">
        <v>50</v>
      </c>
      <c r="J247" s="787">
        <v>50</v>
      </c>
      <c r="K247" s="788">
        <v>50</v>
      </c>
      <c r="L247" s="789">
        <v>50</v>
      </c>
      <c r="M247" s="789">
        <v>50</v>
      </c>
      <c r="N247" s="790">
        <v>50</v>
      </c>
      <c r="O247" s="790">
        <v>50</v>
      </c>
      <c r="P247" s="790">
        <v>50</v>
      </c>
      <c r="Q247" s="790">
        <v>50</v>
      </c>
      <c r="R247" s="790">
        <v>50</v>
      </c>
      <c r="S247" s="790">
        <v>50</v>
      </c>
      <c r="T247" s="790">
        <v>50</v>
      </c>
      <c r="U247" s="790">
        <v>50</v>
      </c>
      <c r="V247" s="790">
        <v>50</v>
      </c>
      <c r="W247" s="790">
        <v>50</v>
      </c>
      <c r="X247" s="790">
        <v>50</v>
      </c>
      <c r="Y247" s="790">
        <v>50</v>
      </c>
      <c r="Z247" s="790">
        <v>50</v>
      </c>
      <c r="AA247" s="790">
        <v>50</v>
      </c>
      <c r="AB247" s="789">
        <v>50</v>
      </c>
      <c r="AC247" s="789">
        <v>50</v>
      </c>
      <c r="AD247" s="789">
        <v>50</v>
      </c>
      <c r="AE247" s="789">
        <v>50</v>
      </c>
      <c r="AF247" s="789">
        <v>50</v>
      </c>
      <c r="AG247" s="789">
        <v>50</v>
      </c>
      <c r="AH247" s="789">
        <v>50</v>
      </c>
      <c r="AI247" s="789">
        <v>50</v>
      </c>
      <c r="AJ247" s="789">
        <v>50</v>
      </c>
      <c r="AK247" s="789">
        <v>50</v>
      </c>
      <c r="AL247" s="789">
        <v>50</v>
      </c>
      <c r="AM247" s="789">
        <v>50</v>
      </c>
      <c r="AN247" s="789">
        <v>50</v>
      </c>
      <c r="AO247" s="789">
        <v>50</v>
      </c>
      <c r="AP247" s="789">
        <v>50</v>
      </c>
      <c r="AQ247" s="789">
        <v>50</v>
      </c>
      <c r="AR247" s="789">
        <v>50</v>
      </c>
      <c r="AS247" s="789">
        <v>50</v>
      </c>
      <c r="AT247" s="789">
        <v>50</v>
      </c>
      <c r="AU247" s="789">
        <v>50</v>
      </c>
      <c r="AV247" s="789">
        <v>50</v>
      </c>
      <c r="AW247" s="789">
        <v>50</v>
      </c>
      <c r="AX247" s="789">
        <v>50</v>
      </c>
      <c r="AY247" s="789">
        <v>50</v>
      </c>
      <c r="AZ247" s="789">
        <v>50</v>
      </c>
      <c r="BA247" s="789">
        <v>50</v>
      </c>
      <c r="BB247" s="789">
        <v>50</v>
      </c>
      <c r="BC247" s="789">
        <v>50</v>
      </c>
      <c r="BD247" s="789">
        <v>50</v>
      </c>
      <c r="BE247" s="789">
        <v>50</v>
      </c>
      <c r="BF247" s="789">
        <v>50</v>
      </c>
      <c r="BG247" s="789">
        <v>50</v>
      </c>
      <c r="BH247" s="789">
        <v>50</v>
      </c>
      <c r="BI247" s="789">
        <v>50</v>
      </c>
      <c r="BJ247" s="789">
        <v>50</v>
      </c>
      <c r="BK247" s="789">
        <v>50</v>
      </c>
      <c r="BL247" s="789">
        <v>50</v>
      </c>
      <c r="BM247" s="789">
        <v>50</v>
      </c>
      <c r="BN247" s="789">
        <v>50</v>
      </c>
      <c r="BO247" s="789">
        <v>50</v>
      </c>
      <c r="BP247" s="789">
        <v>50</v>
      </c>
      <c r="BQ247" s="789">
        <v>50</v>
      </c>
      <c r="BR247" s="789">
        <v>50</v>
      </c>
      <c r="BS247" s="789">
        <v>50</v>
      </c>
      <c r="BT247" s="789">
        <v>50</v>
      </c>
      <c r="BU247" s="789">
        <v>50</v>
      </c>
      <c r="BV247" s="789">
        <v>50</v>
      </c>
      <c r="BW247" s="789">
        <v>50</v>
      </c>
      <c r="BX247" s="789">
        <v>50</v>
      </c>
      <c r="BY247" s="789">
        <v>50</v>
      </c>
      <c r="BZ247" s="789">
        <v>50</v>
      </c>
      <c r="CA247" s="789">
        <v>50</v>
      </c>
      <c r="CB247" s="789">
        <v>50</v>
      </c>
      <c r="CC247" s="789">
        <v>50</v>
      </c>
      <c r="CD247" s="789">
        <v>50</v>
      </c>
      <c r="CE247" s="789">
        <v>50</v>
      </c>
    </row>
    <row r="248" spans="1:83" s="791" customFormat="1" x14ac:dyDescent="0.25">
      <c r="A248" s="802" t="s">
        <v>608</v>
      </c>
      <c r="B248" s="805">
        <v>999</v>
      </c>
      <c r="C248" s="806" t="s">
        <v>358</v>
      </c>
      <c r="D248" s="791" t="s">
        <v>589</v>
      </c>
      <c r="E248" s="786">
        <v>50129</v>
      </c>
      <c r="F248" s="787">
        <v>50130</v>
      </c>
      <c r="G248" s="787">
        <v>50560</v>
      </c>
      <c r="H248" s="787">
        <v>50131</v>
      </c>
      <c r="I248" s="787">
        <v>50132</v>
      </c>
      <c r="J248" s="787">
        <v>50133</v>
      </c>
      <c r="K248" s="788">
        <v>50134</v>
      </c>
      <c r="L248" s="789">
        <v>50473</v>
      </c>
      <c r="M248" s="789">
        <v>50135</v>
      </c>
      <c r="N248" s="790">
        <v>50136</v>
      </c>
      <c r="O248" s="790">
        <v>50514</v>
      </c>
      <c r="P248" s="790">
        <v>50515</v>
      </c>
      <c r="Q248" s="790">
        <v>50570</v>
      </c>
      <c r="R248" s="790">
        <v>50137</v>
      </c>
      <c r="S248" s="790">
        <v>50549</v>
      </c>
      <c r="T248" s="790">
        <v>50138</v>
      </c>
      <c r="U248" s="790">
        <v>50139</v>
      </c>
      <c r="V248" s="790">
        <v>50474</v>
      </c>
      <c r="W248" s="790">
        <v>50140</v>
      </c>
      <c r="X248" s="790">
        <v>50141</v>
      </c>
      <c r="Y248" s="790">
        <v>50142</v>
      </c>
      <c r="Z248" s="790">
        <v>50143</v>
      </c>
      <c r="AA248" s="790">
        <v>50144</v>
      </c>
      <c r="AB248" s="789">
        <v>50492</v>
      </c>
      <c r="AC248" s="789">
        <v>50145</v>
      </c>
      <c r="AD248" s="789">
        <v>50146</v>
      </c>
      <c r="AE248" s="789">
        <v>50147</v>
      </c>
      <c r="AF248" s="789">
        <v>50148</v>
      </c>
      <c r="AG248" s="789">
        <v>50149</v>
      </c>
      <c r="AH248" s="789">
        <v>50150</v>
      </c>
      <c r="AI248" s="789">
        <v>50151</v>
      </c>
      <c r="AJ248" s="789">
        <v>50152</v>
      </c>
      <c r="AK248" s="789">
        <v>50153</v>
      </c>
      <c r="AL248" s="789">
        <v>50475</v>
      </c>
      <c r="AM248" s="789">
        <v>50154</v>
      </c>
      <c r="AN248" s="789">
        <v>50155</v>
      </c>
      <c r="AO248" s="789">
        <v>50156</v>
      </c>
      <c r="AP248" s="789">
        <v>50516</v>
      </c>
      <c r="AQ248" s="789">
        <v>50157</v>
      </c>
      <c r="AR248" s="789">
        <v>50158</v>
      </c>
      <c r="AS248" s="789">
        <v>50545</v>
      </c>
      <c r="AT248" s="789">
        <v>50517</v>
      </c>
      <c r="AU248" s="789">
        <v>50448</v>
      </c>
      <c r="AV248" s="789">
        <v>50159</v>
      </c>
      <c r="AW248" s="789">
        <v>50160</v>
      </c>
      <c r="AX248" s="789">
        <v>50161</v>
      </c>
      <c r="AY248" s="789">
        <v>50162</v>
      </c>
      <c r="AZ248" s="789">
        <v>50163</v>
      </c>
      <c r="BA248" s="789">
        <v>50165</v>
      </c>
      <c r="BB248" s="789">
        <v>50166</v>
      </c>
      <c r="BC248" s="789">
        <v>50167</v>
      </c>
      <c r="BD248" s="789">
        <v>50168</v>
      </c>
      <c r="BE248" s="789">
        <v>50169</v>
      </c>
      <c r="BF248" s="789">
        <v>50170</v>
      </c>
      <c r="BG248" s="789">
        <v>50451</v>
      </c>
      <c r="BH248" s="789">
        <v>50171</v>
      </c>
      <c r="BI248" s="789">
        <v>50172</v>
      </c>
      <c r="BJ248" s="789">
        <v>50440</v>
      </c>
      <c r="BK248" s="789">
        <v>50173</v>
      </c>
      <c r="BL248" s="789">
        <v>50547</v>
      </c>
      <c r="BM248" s="789">
        <v>50175</v>
      </c>
      <c r="BN248" s="789">
        <v>50176</v>
      </c>
      <c r="BO248" s="789">
        <v>50177</v>
      </c>
      <c r="BP248" s="789">
        <v>50178</v>
      </c>
      <c r="BQ248" s="789">
        <v>50180</v>
      </c>
      <c r="BR248" s="789">
        <v>50447</v>
      </c>
      <c r="BS248" s="789">
        <v>50179</v>
      </c>
      <c r="BT248" s="789">
        <v>50462</v>
      </c>
      <c r="BU248" s="789">
        <v>50181</v>
      </c>
      <c r="BV248" s="789">
        <v>50182</v>
      </c>
      <c r="BW248" s="789">
        <v>50183</v>
      </c>
      <c r="BX248" s="789">
        <v>50446</v>
      </c>
      <c r="BY248" s="789">
        <v>50184</v>
      </c>
      <c r="BZ248" s="789">
        <v>50185</v>
      </c>
      <c r="CA248" s="789">
        <v>50186</v>
      </c>
      <c r="CB248" s="789">
        <v>50187</v>
      </c>
      <c r="CC248" s="789">
        <v>50188</v>
      </c>
      <c r="CD248" s="789">
        <v>50189</v>
      </c>
      <c r="CE248" s="789">
        <v>50190</v>
      </c>
    </row>
    <row r="249" spans="1:83" s="812" customFormat="1" x14ac:dyDescent="0.25">
      <c r="B249" s="813">
        <v>1000</v>
      </c>
      <c r="C249" s="814"/>
      <c r="E249" s="815" t="s">
        <v>1191</v>
      </c>
      <c r="F249" s="815" t="s">
        <v>1191</v>
      </c>
      <c r="G249" s="815" t="s">
        <v>810</v>
      </c>
      <c r="H249" s="815" t="s">
        <v>1191</v>
      </c>
      <c r="I249" s="815" t="s">
        <v>1191</v>
      </c>
      <c r="J249" s="815" t="s">
        <v>1191</v>
      </c>
      <c r="K249" s="815" t="s">
        <v>810</v>
      </c>
      <c r="L249" s="815" t="s">
        <v>1191</v>
      </c>
      <c r="M249" s="815" t="s">
        <v>1191</v>
      </c>
      <c r="N249" s="815" t="s">
        <v>810</v>
      </c>
      <c r="O249" s="815" t="s">
        <v>810</v>
      </c>
      <c r="P249" s="815" t="s">
        <v>810</v>
      </c>
      <c r="Q249" s="815" t="s">
        <v>1191</v>
      </c>
      <c r="R249" s="815" t="s">
        <v>1191</v>
      </c>
      <c r="S249" s="815" t="s">
        <v>810</v>
      </c>
      <c r="T249" s="815" t="s">
        <v>1191</v>
      </c>
      <c r="U249" s="815" t="s">
        <v>1191</v>
      </c>
      <c r="V249" s="815" t="s">
        <v>1191</v>
      </c>
      <c r="W249" s="815" t="s">
        <v>1191</v>
      </c>
      <c r="X249" s="815" t="s">
        <v>810</v>
      </c>
      <c r="Y249" s="815" t="s">
        <v>1191</v>
      </c>
      <c r="Z249" s="815" t="s">
        <v>1191</v>
      </c>
      <c r="AA249" s="815" t="s">
        <v>1191</v>
      </c>
      <c r="AB249" s="815" t="s">
        <v>1191</v>
      </c>
      <c r="AC249" s="815" t="s">
        <v>1191</v>
      </c>
      <c r="AD249" s="815" t="s">
        <v>810</v>
      </c>
      <c r="AE249" s="815" t="s">
        <v>810</v>
      </c>
      <c r="AF249" s="815" t="s">
        <v>810</v>
      </c>
      <c r="AG249" s="815" t="s">
        <v>1191</v>
      </c>
      <c r="AH249" s="815" t="s">
        <v>810</v>
      </c>
      <c r="AI249" s="815" t="s">
        <v>1191</v>
      </c>
      <c r="AJ249" s="815" t="s">
        <v>1191</v>
      </c>
      <c r="AK249" s="815" t="s">
        <v>1191</v>
      </c>
      <c r="AL249" s="815" t="s">
        <v>1191</v>
      </c>
      <c r="AM249" s="815" t="s">
        <v>1191</v>
      </c>
      <c r="AN249" s="815" t="s">
        <v>1191</v>
      </c>
      <c r="AO249" s="815" t="s">
        <v>1191</v>
      </c>
      <c r="AP249" s="815" t="s">
        <v>810</v>
      </c>
      <c r="AQ249" s="815" t="s">
        <v>1191</v>
      </c>
      <c r="AR249" s="815" t="s">
        <v>810</v>
      </c>
      <c r="AS249" s="815" t="s">
        <v>810</v>
      </c>
      <c r="AT249" s="815" t="s">
        <v>1191</v>
      </c>
      <c r="AU249" s="815" t="s">
        <v>1191</v>
      </c>
      <c r="AV249" s="815" t="s">
        <v>1191</v>
      </c>
      <c r="AW249" s="815" t="s">
        <v>1191</v>
      </c>
      <c r="AX249" s="815" t="s">
        <v>1191</v>
      </c>
      <c r="AY249" s="815" t="s">
        <v>1191</v>
      </c>
      <c r="AZ249" s="815" t="s">
        <v>1191</v>
      </c>
      <c r="BA249" s="815" t="s">
        <v>1191</v>
      </c>
      <c r="BB249" s="815" t="s">
        <v>1191</v>
      </c>
      <c r="BC249" s="815" t="s">
        <v>1191</v>
      </c>
      <c r="BD249" s="815" t="s">
        <v>1191</v>
      </c>
      <c r="BE249" s="815" t="s">
        <v>810</v>
      </c>
      <c r="BF249" s="815" t="s">
        <v>1191</v>
      </c>
      <c r="BG249" s="815" t="s">
        <v>1191</v>
      </c>
      <c r="BH249" s="815" t="s">
        <v>810</v>
      </c>
      <c r="BI249" s="815" t="s">
        <v>1191</v>
      </c>
      <c r="BJ249" s="815" t="s">
        <v>1191</v>
      </c>
      <c r="BK249" s="815" t="s">
        <v>810</v>
      </c>
      <c r="BL249" s="815" t="s">
        <v>810</v>
      </c>
      <c r="BM249" s="815" t="s">
        <v>1191</v>
      </c>
      <c r="BN249" s="815" t="s">
        <v>1191</v>
      </c>
      <c r="BO249" s="815" t="s">
        <v>1191</v>
      </c>
      <c r="BP249" s="815" t="s">
        <v>1191</v>
      </c>
      <c r="BQ249" s="815" t="s">
        <v>1191</v>
      </c>
      <c r="BR249" s="815" t="s">
        <v>1191</v>
      </c>
      <c r="BS249" s="815" t="s">
        <v>1191</v>
      </c>
      <c r="BT249" s="815" t="s">
        <v>810</v>
      </c>
      <c r="BU249" s="815" t="s">
        <v>1191</v>
      </c>
      <c r="BV249" s="815" t="s">
        <v>1191</v>
      </c>
      <c r="BW249" s="815" t="s">
        <v>810</v>
      </c>
      <c r="BX249" s="815" t="s">
        <v>1191</v>
      </c>
      <c r="BY249" s="815" t="s">
        <v>810</v>
      </c>
      <c r="BZ249" s="815" t="s">
        <v>1191</v>
      </c>
      <c r="CA249" s="815" t="s">
        <v>1191</v>
      </c>
      <c r="CB249" s="815" t="s">
        <v>810</v>
      </c>
      <c r="CC249" s="815" t="s">
        <v>1191</v>
      </c>
      <c r="CD249" s="815" t="s">
        <v>810</v>
      </c>
      <c r="CE249" s="815" t="s">
        <v>810</v>
      </c>
    </row>
    <row r="250" spans="1:83" s="812" customFormat="1" x14ac:dyDescent="0.25">
      <c r="A250" s="635"/>
      <c r="B250" s="813">
        <v>537</v>
      </c>
      <c r="C250" s="814"/>
      <c r="E250" s="816" t="s">
        <v>59</v>
      </c>
      <c r="F250" s="816" t="s">
        <v>59</v>
      </c>
      <c r="G250" s="816" t="s">
        <v>810</v>
      </c>
      <c r="H250" s="816" t="s">
        <v>59</v>
      </c>
      <c r="I250" s="816" t="s">
        <v>59</v>
      </c>
      <c r="J250" s="816" t="s">
        <v>59</v>
      </c>
      <c r="K250" s="816" t="s">
        <v>810</v>
      </c>
      <c r="L250" s="816" t="s">
        <v>59</v>
      </c>
      <c r="M250" s="816" t="s">
        <v>58</v>
      </c>
      <c r="N250" s="816" t="s">
        <v>810</v>
      </c>
      <c r="O250" s="816" t="s">
        <v>810</v>
      </c>
      <c r="P250" s="816" t="s">
        <v>810</v>
      </c>
      <c r="Q250" s="816" t="s">
        <v>810</v>
      </c>
      <c r="R250" s="816" t="s">
        <v>59</v>
      </c>
      <c r="S250" s="816" t="s">
        <v>59</v>
      </c>
      <c r="T250" s="816" t="s">
        <v>59</v>
      </c>
      <c r="U250" s="816" t="s">
        <v>59</v>
      </c>
      <c r="V250" s="816" t="s">
        <v>59</v>
      </c>
      <c r="W250" s="816" t="s">
        <v>58</v>
      </c>
      <c r="X250" s="816" t="s">
        <v>810</v>
      </c>
      <c r="Y250" s="816" t="s">
        <v>58</v>
      </c>
      <c r="Z250" s="816" t="s">
        <v>59</v>
      </c>
      <c r="AA250" s="816" t="s">
        <v>810</v>
      </c>
      <c r="AB250" s="816" t="s">
        <v>59</v>
      </c>
      <c r="AC250" s="816" t="s">
        <v>58</v>
      </c>
      <c r="AD250" s="816" t="s">
        <v>810</v>
      </c>
      <c r="AE250" s="816" t="s">
        <v>810</v>
      </c>
      <c r="AF250" s="816" t="s">
        <v>810</v>
      </c>
      <c r="AG250" s="816" t="s">
        <v>59</v>
      </c>
      <c r="AH250" s="816" t="s">
        <v>59</v>
      </c>
      <c r="AI250" s="816" t="s">
        <v>59</v>
      </c>
      <c r="AJ250" s="816" t="s">
        <v>59</v>
      </c>
      <c r="AK250" s="816" t="s">
        <v>59</v>
      </c>
      <c r="AL250" s="816" t="s">
        <v>59</v>
      </c>
      <c r="AM250" s="816" t="s">
        <v>59</v>
      </c>
      <c r="AN250" s="816" t="s">
        <v>59</v>
      </c>
      <c r="AO250" s="816" t="s">
        <v>59</v>
      </c>
      <c r="AP250" s="816" t="s">
        <v>59</v>
      </c>
      <c r="AQ250" s="816" t="s">
        <v>58</v>
      </c>
      <c r="AR250" s="816" t="s">
        <v>810</v>
      </c>
      <c r="AS250" s="816" t="s">
        <v>59</v>
      </c>
      <c r="AT250" s="816" t="s">
        <v>59</v>
      </c>
      <c r="AU250" s="816" t="s">
        <v>59</v>
      </c>
      <c r="AV250" s="816" t="s">
        <v>58</v>
      </c>
      <c r="AW250" s="816" t="s">
        <v>59</v>
      </c>
      <c r="AX250" s="816" t="s">
        <v>58</v>
      </c>
      <c r="AY250" s="816" t="s">
        <v>59</v>
      </c>
      <c r="AZ250" s="816" t="s">
        <v>59</v>
      </c>
      <c r="BA250" s="816" t="s">
        <v>810</v>
      </c>
      <c r="BB250" s="816" t="s">
        <v>59</v>
      </c>
      <c r="BC250" s="816" t="s">
        <v>59</v>
      </c>
      <c r="BD250" s="816" t="s">
        <v>59</v>
      </c>
      <c r="BE250" s="816" t="s">
        <v>58</v>
      </c>
      <c r="BF250" s="816" t="s">
        <v>810</v>
      </c>
      <c r="BG250" s="816" t="s">
        <v>59</v>
      </c>
      <c r="BH250" s="816" t="s">
        <v>59</v>
      </c>
      <c r="BI250" s="816" t="s">
        <v>58</v>
      </c>
      <c r="BJ250" s="816" t="s">
        <v>58</v>
      </c>
      <c r="BK250" s="816" t="s">
        <v>59</v>
      </c>
      <c r="BL250" s="816" t="s">
        <v>810</v>
      </c>
      <c r="BM250" s="816" t="s">
        <v>59</v>
      </c>
      <c r="BN250" s="816" t="s">
        <v>58</v>
      </c>
      <c r="BO250" s="816" t="s">
        <v>59</v>
      </c>
      <c r="BP250" s="816" t="s">
        <v>58</v>
      </c>
      <c r="BQ250" s="816" t="s">
        <v>58</v>
      </c>
      <c r="BR250" s="816" t="s">
        <v>58</v>
      </c>
      <c r="BS250" s="816" t="s">
        <v>58</v>
      </c>
      <c r="BT250" s="816" t="s">
        <v>59</v>
      </c>
      <c r="BU250" s="816" t="s">
        <v>58</v>
      </c>
      <c r="BV250" s="816" t="s">
        <v>59</v>
      </c>
      <c r="BW250" s="816" t="s">
        <v>59</v>
      </c>
      <c r="BX250" s="816" t="s">
        <v>59</v>
      </c>
      <c r="BY250" s="816" t="s">
        <v>59</v>
      </c>
      <c r="BZ250" s="816" t="s">
        <v>59</v>
      </c>
      <c r="CA250" s="816" t="s">
        <v>59</v>
      </c>
      <c r="CB250" s="816" t="s">
        <v>810</v>
      </c>
      <c r="CC250" s="816" t="s">
        <v>58</v>
      </c>
      <c r="CD250" s="816" t="s">
        <v>59</v>
      </c>
      <c r="CE250" s="816" t="s">
        <v>59</v>
      </c>
    </row>
    <row r="251" spans="1:83" s="812" customFormat="1" x14ac:dyDescent="0.25">
      <c r="A251" s="817"/>
      <c r="B251" s="813">
        <v>538</v>
      </c>
      <c r="C251" s="814"/>
      <c r="E251" s="816" t="s">
        <v>59</v>
      </c>
      <c r="F251" s="816" t="s">
        <v>59</v>
      </c>
      <c r="G251" s="816" t="s">
        <v>810</v>
      </c>
      <c r="H251" s="816" t="s">
        <v>59</v>
      </c>
      <c r="I251" s="816" t="s">
        <v>59</v>
      </c>
      <c r="J251" s="816" t="s">
        <v>59</v>
      </c>
      <c r="K251" s="816" t="s">
        <v>810</v>
      </c>
      <c r="L251" s="816" t="s">
        <v>59</v>
      </c>
      <c r="M251" s="816" t="s">
        <v>58</v>
      </c>
      <c r="N251" s="816" t="s">
        <v>810</v>
      </c>
      <c r="O251" s="816" t="s">
        <v>810</v>
      </c>
      <c r="P251" s="816" t="s">
        <v>810</v>
      </c>
      <c r="Q251" s="816" t="s">
        <v>59</v>
      </c>
      <c r="R251" s="816" t="s">
        <v>59</v>
      </c>
      <c r="S251" s="816" t="s">
        <v>810</v>
      </c>
      <c r="T251" s="816" t="s">
        <v>58</v>
      </c>
      <c r="U251" s="816" t="s">
        <v>59</v>
      </c>
      <c r="V251" s="816" t="s">
        <v>59</v>
      </c>
      <c r="W251" s="816" t="s">
        <v>58</v>
      </c>
      <c r="X251" s="816" t="s">
        <v>810</v>
      </c>
      <c r="Y251" s="816" t="s">
        <v>59</v>
      </c>
      <c r="Z251" s="816" t="s">
        <v>59</v>
      </c>
      <c r="AA251" s="816" t="s">
        <v>58</v>
      </c>
      <c r="AB251" s="816" t="s">
        <v>59</v>
      </c>
      <c r="AC251" s="816" t="s">
        <v>59</v>
      </c>
      <c r="AD251" s="816" t="s">
        <v>810</v>
      </c>
      <c r="AE251" s="816" t="s">
        <v>810</v>
      </c>
      <c r="AF251" s="816" t="s">
        <v>810</v>
      </c>
      <c r="AG251" s="816" t="s">
        <v>59</v>
      </c>
      <c r="AH251" s="816" t="s">
        <v>59</v>
      </c>
      <c r="AI251" s="816" t="s">
        <v>59</v>
      </c>
      <c r="AJ251" s="816" t="s">
        <v>59</v>
      </c>
      <c r="AK251" s="816" t="s">
        <v>59</v>
      </c>
      <c r="AL251" s="816" t="s">
        <v>59</v>
      </c>
      <c r="AM251" s="816" t="s">
        <v>59</v>
      </c>
      <c r="AN251" s="816" t="s">
        <v>59</v>
      </c>
      <c r="AO251" s="816" t="s">
        <v>59</v>
      </c>
      <c r="AP251" s="816" t="s">
        <v>59</v>
      </c>
      <c r="AQ251" s="816" t="s">
        <v>58</v>
      </c>
      <c r="AR251" s="816" t="s">
        <v>810</v>
      </c>
      <c r="AS251" s="816" t="s">
        <v>59</v>
      </c>
      <c r="AT251" s="816" t="s">
        <v>59</v>
      </c>
      <c r="AU251" s="816" t="s">
        <v>59</v>
      </c>
      <c r="AV251" s="816" t="s">
        <v>58</v>
      </c>
      <c r="AW251" s="816" t="s">
        <v>58</v>
      </c>
      <c r="AX251" s="816" t="s">
        <v>59</v>
      </c>
      <c r="AY251" s="816" t="s">
        <v>59</v>
      </c>
      <c r="AZ251" s="816" t="s">
        <v>59</v>
      </c>
      <c r="BA251" s="816" t="s">
        <v>810</v>
      </c>
      <c r="BB251" s="816" t="s">
        <v>59</v>
      </c>
      <c r="BC251" s="816" t="s">
        <v>59</v>
      </c>
      <c r="BD251" s="816" t="s">
        <v>59</v>
      </c>
      <c r="BE251" s="816" t="s">
        <v>59</v>
      </c>
      <c r="BF251" s="816" t="s">
        <v>810</v>
      </c>
      <c r="BG251" s="816" t="s">
        <v>59</v>
      </c>
      <c r="BH251" s="816" t="s">
        <v>59</v>
      </c>
      <c r="BI251" s="816" t="s">
        <v>59</v>
      </c>
      <c r="BJ251" s="816" t="s">
        <v>58</v>
      </c>
      <c r="BK251" s="816" t="s">
        <v>59</v>
      </c>
      <c r="BL251" s="816" t="s">
        <v>810</v>
      </c>
      <c r="BM251" s="816" t="s">
        <v>59</v>
      </c>
      <c r="BN251" s="816" t="s">
        <v>59</v>
      </c>
      <c r="BO251" s="816" t="s">
        <v>59</v>
      </c>
      <c r="BP251" s="816" t="s">
        <v>58</v>
      </c>
      <c r="BQ251" s="816" t="s">
        <v>58</v>
      </c>
      <c r="BR251" s="816" t="s">
        <v>59</v>
      </c>
      <c r="BS251" s="816" t="s">
        <v>59</v>
      </c>
      <c r="BT251" s="816" t="s">
        <v>59</v>
      </c>
      <c r="BU251" s="816" t="s">
        <v>58</v>
      </c>
      <c r="BV251" s="816" t="s">
        <v>59</v>
      </c>
      <c r="BW251" s="816" t="s">
        <v>59</v>
      </c>
      <c r="BX251" s="816" t="s">
        <v>59</v>
      </c>
      <c r="BY251" s="816" t="s">
        <v>59</v>
      </c>
      <c r="BZ251" s="816" t="s">
        <v>58</v>
      </c>
      <c r="CA251" s="816" t="s">
        <v>59</v>
      </c>
      <c r="CB251" s="816" t="s">
        <v>810</v>
      </c>
      <c r="CC251" s="816" t="s">
        <v>58</v>
      </c>
      <c r="CD251" s="816" t="s">
        <v>59</v>
      </c>
      <c r="CE251" s="816" t="s">
        <v>59</v>
      </c>
    </row>
    <row r="252" spans="1:83" x14ac:dyDescent="0.25">
      <c r="A252" s="767">
        <v>591</v>
      </c>
      <c r="B252" s="818">
        <v>591</v>
      </c>
      <c r="C252" s="819" t="s">
        <v>706</v>
      </c>
      <c r="D252" s="635"/>
      <c r="E252" s="769">
        <v>452269</v>
      </c>
      <c r="F252" s="770">
        <v>1272401</v>
      </c>
      <c r="G252" s="770">
        <v>0</v>
      </c>
      <c r="H252" s="770">
        <v>882021</v>
      </c>
      <c r="I252" s="770">
        <v>447184</v>
      </c>
      <c r="J252" s="770">
        <v>179167</v>
      </c>
      <c r="K252" s="771">
        <v>0</v>
      </c>
      <c r="L252" s="772">
        <v>292787</v>
      </c>
      <c r="M252" s="772">
        <v>10667894</v>
      </c>
      <c r="N252" s="773">
        <v>35469236</v>
      </c>
      <c r="O252" s="773">
        <v>0</v>
      </c>
      <c r="P252" s="773">
        <v>0</v>
      </c>
      <c r="Q252" s="773">
        <v>77676</v>
      </c>
      <c r="R252" s="773">
        <v>14159562</v>
      </c>
      <c r="S252" s="773">
        <v>0</v>
      </c>
      <c r="T252" s="773">
        <v>963793</v>
      </c>
      <c r="U252" s="773">
        <v>1049814</v>
      </c>
      <c r="V252" s="773">
        <v>168730</v>
      </c>
      <c r="W252" s="773">
        <v>3293977</v>
      </c>
      <c r="X252" s="773">
        <v>0</v>
      </c>
      <c r="Y252" s="773">
        <v>0</v>
      </c>
      <c r="Z252" s="773">
        <v>3070680</v>
      </c>
      <c r="AA252" s="773">
        <v>11461641</v>
      </c>
      <c r="AB252" s="772">
        <v>149885</v>
      </c>
      <c r="AC252" s="772">
        <v>263521</v>
      </c>
      <c r="AD252" s="772">
        <v>0</v>
      </c>
      <c r="AE252" s="772">
        <v>0</v>
      </c>
      <c r="AF252" s="772">
        <v>0</v>
      </c>
      <c r="AG252" s="772">
        <v>117676491</v>
      </c>
      <c r="AH252" s="772">
        <v>298</v>
      </c>
      <c r="AI252" s="772">
        <v>157488</v>
      </c>
      <c r="AJ252" s="772">
        <v>0</v>
      </c>
      <c r="AK252" s="772">
        <v>87970</v>
      </c>
      <c r="AL252" s="772">
        <v>87768</v>
      </c>
      <c r="AM252" s="772">
        <v>17647289</v>
      </c>
      <c r="AN252" s="772">
        <v>331112</v>
      </c>
      <c r="AO252" s="772">
        <v>5943872</v>
      </c>
      <c r="AP252" s="772">
        <v>0</v>
      </c>
      <c r="AQ252" s="772">
        <v>2821203</v>
      </c>
      <c r="AR252" s="772">
        <v>0</v>
      </c>
      <c r="AS252" s="772">
        <v>0</v>
      </c>
      <c r="AT252" s="772">
        <v>817116</v>
      </c>
      <c r="AU252" s="772">
        <v>348390</v>
      </c>
      <c r="AV252" s="772">
        <v>160358878</v>
      </c>
      <c r="AW252" s="772">
        <v>249739743</v>
      </c>
      <c r="AX252" s="772">
        <v>1154213</v>
      </c>
      <c r="AY252" s="772">
        <v>438944</v>
      </c>
      <c r="AZ252" s="772">
        <v>498592</v>
      </c>
      <c r="BA252" s="772">
        <v>246875</v>
      </c>
      <c r="BB252" s="772">
        <v>713912</v>
      </c>
      <c r="BC252" s="772">
        <v>3253108</v>
      </c>
      <c r="BD252" s="772">
        <v>271581</v>
      </c>
      <c r="BE252" s="772">
        <v>0</v>
      </c>
      <c r="BF252" s="772">
        <v>141640</v>
      </c>
      <c r="BG252" s="772">
        <v>7488550</v>
      </c>
      <c r="BH252" s="772">
        <v>0</v>
      </c>
      <c r="BI252" s="772">
        <v>7504728</v>
      </c>
      <c r="BJ252" s="772">
        <v>1628483</v>
      </c>
      <c r="BK252" s="772">
        <v>0</v>
      </c>
      <c r="BL252" s="772">
        <v>0</v>
      </c>
      <c r="BM252" s="772">
        <v>11489277</v>
      </c>
      <c r="BN252" s="772">
        <v>16569658</v>
      </c>
      <c r="BO252" s="772">
        <v>4476513</v>
      </c>
      <c r="BP252" s="772">
        <v>29814461</v>
      </c>
      <c r="BQ252" s="772">
        <v>189357985</v>
      </c>
      <c r="BR252" s="772">
        <v>0</v>
      </c>
      <c r="BS252" s="772">
        <v>8404218</v>
      </c>
      <c r="BT252" s="772">
        <v>355253</v>
      </c>
      <c r="BU252" s="772">
        <v>9407770</v>
      </c>
      <c r="BV252" s="772">
        <v>721095</v>
      </c>
      <c r="BW252" s="772">
        <v>0</v>
      </c>
      <c r="BX252" s="772">
        <v>3296155</v>
      </c>
      <c r="BY252" s="772">
        <v>0</v>
      </c>
      <c r="BZ252" s="772">
        <v>14461437</v>
      </c>
      <c r="CA252" s="772">
        <v>1219566</v>
      </c>
      <c r="CB252" s="772">
        <v>0</v>
      </c>
      <c r="CC252" s="772">
        <v>265374</v>
      </c>
      <c r="CD252" s="772">
        <v>0</v>
      </c>
      <c r="CE252" s="772">
        <v>0</v>
      </c>
    </row>
    <row r="253" spans="1:83" x14ac:dyDescent="0.25">
      <c r="A253" s="767">
        <v>592</v>
      </c>
      <c r="B253" s="818">
        <v>592</v>
      </c>
      <c r="C253" s="819" t="s">
        <v>707</v>
      </c>
      <c r="D253" s="635"/>
      <c r="E253" s="769">
        <v>3152713</v>
      </c>
      <c r="F253" s="770">
        <v>1053937</v>
      </c>
      <c r="G253" s="770">
        <v>0</v>
      </c>
      <c r="H253" s="770">
        <v>-269294</v>
      </c>
      <c r="I253" s="770">
        <v>-101595</v>
      </c>
      <c r="J253" s="770">
        <v>-31546</v>
      </c>
      <c r="K253" s="771">
        <v>0</v>
      </c>
      <c r="L253" s="772">
        <v>-83602</v>
      </c>
      <c r="M253" s="772">
        <v>1539691</v>
      </c>
      <c r="N253" s="773">
        <v>2931774</v>
      </c>
      <c r="O253" s="773">
        <v>0</v>
      </c>
      <c r="P253" s="773">
        <v>0</v>
      </c>
      <c r="Q253" s="773">
        <v>148439</v>
      </c>
      <c r="R253" s="773">
        <v>-5798537</v>
      </c>
      <c r="S253" s="773">
        <v>0</v>
      </c>
      <c r="T253" s="773">
        <v>-49792</v>
      </c>
      <c r="U253" s="773">
        <v>110776</v>
      </c>
      <c r="V253" s="773">
        <v>-24761</v>
      </c>
      <c r="W253" s="773">
        <v>663167</v>
      </c>
      <c r="X253" s="773">
        <v>0</v>
      </c>
      <c r="Y253" s="773">
        <v>0</v>
      </c>
      <c r="Z253" s="773">
        <v>-6009</v>
      </c>
      <c r="AA253" s="773">
        <v>6738199</v>
      </c>
      <c r="AB253" s="772">
        <v>-74601</v>
      </c>
      <c r="AC253" s="772">
        <v>1125492</v>
      </c>
      <c r="AD253" s="772">
        <v>0</v>
      </c>
      <c r="AE253" s="772">
        <v>0</v>
      </c>
      <c r="AF253" s="772">
        <v>0</v>
      </c>
      <c r="AG253" s="772">
        <v>8849743</v>
      </c>
      <c r="AH253" s="772">
        <v>-298</v>
      </c>
      <c r="AI253" s="772">
        <v>-40657</v>
      </c>
      <c r="AJ253" s="772">
        <v>0</v>
      </c>
      <c r="AK253" s="772">
        <v>-75297</v>
      </c>
      <c r="AL253" s="772">
        <v>1032</v>
      </c>
      <c r="AM253" s="772">
        <v>420188</v>
      </c>
      <c r="AN253" s="772">
        <v>-74962</v>
      </c>
      <c r="AO253" s="772">
        <v>592610</v>
      </c>
      <c r="AP253" s="772">
        <v>0</v>
      </c>
      <c r="AQ253" s="772">
        <v>-89815</v>
      </c>
      <c r="AR253" s="772">
        <v>0</v>
      </c>
      <c r="AS253" s="772">
        <v>0</v>
      </c>
      <c r="AT253" s="772">
        <v>408498</v>
      </c>
      <c r="AU253" s="772">
        <v>-99752</v>
      </c>
      <c r="AV253" s="772">
        <v>19004246</v>
      </c>
      <c r="AW253" s="772">
        <v>21116175</v>
      </c>
      <c r="AX253" s="772">
        <v>-50451</v>
      </c>
      <c r="AY253" s="772">
        <v>-132831</v>
      </c>
      <c r="AZ253" s="772">
        <v>-29492</v>
      </c>
      <c r="BA253" s="772">
        <v>-94292</v>
      </c>
      <c r="BB253" s="772">
        <v>-68450</v>
      </c>
      <c r="BC253" s="772">
        <v>-592226</v>
      </c>
      <c r="BD253" s="772">
        <v>-109224</v>
      </c>
      <c r="BE253" s="772">
        <v>0</v>
      </c>
      <c r="BF253" s="772">
        <v>9824</v>
      </c>
      <c r="BG253" s="772">
        <v>4116902</v>
      </c>
      <c r="BH253" s="772">
        <v>0</v>
      </c>
      <c r="BI253" s="772">
        <v>109540</v>
      </c>
      <c r="BJ253" s="772">
        <v>-35631</v>
      </c>
      <c r="BK253" s="772">
        <v>0</v>
      </c>
      <c r="BL253" s="772">
        <v>0</v>
      </c>
      <c r="BM253" s="772">
        <v>5721539</v>
      </c>
      <c r="BN253" s="772">
        <v>1702216</v>
      </c>
      <c r="BO253" s="772">
        <v>43629</v>
      </c>
      <c r="BP253" s="772">
        <v>4473154</v>
      </c>
      <c r="BQ253" s="772">
        <v>14696379</v>
      </c>
      <c r="BR253" s="772">
        <v>0</v>
      </c>
      <c r="BS253" s="772">
        <v>1048612</v>
      </c>
      <c r="BT253" s="772">
        <v>-3598296</v>
      </c>
      <c r="BU253" s="772">
        <v>1641525</v>
      </c>
      <c r="BV253" s="772">
        <v>-78118</v>
      </c>
      <c r="BW253" s="772">
        <v>786871</v>
      </c>
      <c r="BX253" s="772">
        <v>465208</v>
      </c>
      <c r="BY253" s="772">
        <v>0</v>
      </c>
      <c r="BZ253" s="772">
        <v>12152573</v>
      </c>
      <c r="CA253" s="772">
        <v>-26088</v>
      </c>
      <c r="CB253" s="772">
        <v>0</v>
      </c>
      <c r="CC253" s="772">
        <v>-46266</v>
      </c>
      <c r="CD253" s="772">
        <v>0</v>
      </c>
      <c r="CE253" s="772">
        <v>0</v>
      </c>
    </row>
    <row r="254" spans="1:83" x14ac:dyDescent="0.25">
      <c r="B254" s="820">
        <v>595</v>
      </c>
      <c r="C254" s="819" t="s">
        <v>785</v>
      </c>
      <c r="D254" s="635"/>
      <c r="E254" s="769"/>
      <c r="F254" s="770"/>
      <c r="G254" s="770"/>
      <c r="H254" s="770"/>
      <c r="I254" s="770"/>
      <c r="J254" s="770"/>
      <c r="K254" s="771"/>
      <c r="L254" s="772"/>
      <c r="M254" s="772"/>
      <c r="N254" s="773"/>
      <c r="O254" s="773"/>
      <c r="P254" s="773"/>
      <c r="Q254" s="773"/>
      <c r="R254" s="773"/>
      <c r="S254" s="773"/>
      <c r="T254" s="773"/>
      <c r="U254" s="773"/>
      <c r="V254" s="773"/>
      <c r="W254" s="773"/>
      <c r="X254" s="773"/>
      <c r="Y254" s="773"/>
      <c r="Z254" s="773"/>
      <c r="AA254" s="773"/>
      <c r="AB254" s="772"/>
      <c r="AC254" s="772"/>
      <c r="AD254" s="772"/>
      <c r="AE254" s="772"/>
      <c r="AF254" s="772"/>
      <c r="AG254" s="772"/>
      <c r="AH254" s="772"/>
      <c r="AI254" s="772"/>
      <c r="AJ254" s="772"/>
      <c r="AK254" s="772"/>
      <c r="AL254" s="772"/>
      <c r="AM254" s="772"/>
      <c r="AN254" s="772"/>
      <c r="AO254" s="772"/>
      <c r="AP254" s="772"/>
      <c r="AQ254" s="772"/>
      <c r="AR254" s="772"/>
      <c r="AS254" s="772"/>
      <c r="AT254" s="772"/>
      <c r="AU254" s="772"/>
      <c r="AV254" s="772"/>
      <c r="AW254" s="772"/>
      <c r="AX254" s="772"/>
      <c r="AY254" s="772"/>
      <c r="AZ254" s="772"/>
      <c r="BA254" s="772"/>
      <c r="BB254" s="772"/>
      <c r="BC254" s="772"/>
      <c r="BD254" s="772"/>
      <c r="BE254" s="772"/>
      <c r="BF254" s="772"/>
      <c r="BG254" s="772"/>
      <c r="BH254" s="772"/>
      <c r="BI254" s="772"/>
      <c r="BJ254" s="772"/>
      <c r="BK254" s="772"/>
      <c r="BL254" s="772"/>
      <c r="BM254" s="772"/>
      <c r="BN254" s="772"/>
      <c r="BO254" s="772"/>
      <c r="BP254" s="772"/>
      <c r="BQ254" s="772"/>
      <c r="BR254" s="772"/>
      <c r="BS254" s="772"/>
      <c r="BT254" s="772"/>
      <c r="BU254" s="772"/>
      <c r="BV254" s="772"/>
      <c r="BW254" s="772"/>
      <c r="BX254" s="772"/>
      <c r="BY254" s="772"/>
      <c r="BZ254" s="772"/>
      <c r="CA254" s="772"/>
      <c r="CB254" s="772"/>
      <c r="CC254" s="772"/>
      <c r="CD254" s="772"/>
      <c r="CE254" s="772"/>
    </row>
    <row r="255" spans="1:83" x14ac:dyDescent="0.25">
      <c r="A255" s="767">
        <v>596</v>
      </c>
      <c r="B255" s="818">
        <v>596</v>
      </c>
      <c r="C255" s="819" t="s">
        <v>713</v>
      </c>
      <c r="D255" s="635"/>
      <c r="E255" s="769">
        <v>52</v>
      </c>
      <c r="F255" s="770">
        <v>52</v>
      </c>
      <c r="G255" s="770">
        <v>0</v>
      </c>
      <c r="H255" s="770">
        <v>52</v>
      </c>
      <c r="I255" s="770">
        <v>52</v>
      </c>
      <c r="J255" s="770">
        <v>52</v>
      </c>
      <c r="K255" s="771">
        <v>0</v>
      </c>
      <c r="L255" s="772">
        <v>52</v>
      </c>
      <c r="M255" s="772">
        <v>52</v>
      </c>
      <c r="N255" s="773">
        <v>52</v>
      </c>
      <c r="O255" s="773">
        <v>0</v>
      </c>
      <c r="P255" s="773">
        <v>0</v>
      </c>
      <c r="Q255" s="773">
        <v>50</v>
      </c>
      <c r="R255" s="773">
        <v>52</v>
      </c>
      <c r="S255" s="773">
        <v>52</v>
      </c>
      <c r="T255" s="773">
        <v>52</v>
      </c>
      <c r="U255" s="773">
        <v>52</v>
      </c>
      <c r="V255" s="773">
        <v>52</v>
      </c>
      <c r="W255" s="773">
        <v>52</v>
      </c>
      <c r="X255" s="773">
        <v>51</v>
      </c>
      <c r="Y255" s="773">
        <v>52</v>
      </c>
      <c r="Z255" s="773">
        <v>52</v>
      </c>
      <c r="AA255" s="773">
        <v>52</v>
      </c>
      <c r="AB255" s="772">
        <v>52</v>
      </c>
      <c r="AC255" s="772">
        <v>52</v>
      </c>
      <c r="AD255" s="772">
        <v>0</v>
      </c>
      <c r="AE255" s="772">
        <v>0</v>
      </c>
      <c r="AF255" s="772">
        <v>0</v>
      </c>
      <c r="AG255" s="772">
        <v>52</v>
      </c>
      <c r="AH255" s="772">
        <v>52</v>
      </c>
      <c r="AI255" s="772">
        <v>52</v>
      </c>
      <c r="AJ255" s="772">
        <v>52</v>
      </c>
      <c r="AK255" s="772">
        <v>52</v>
      </c>
      <c r="AL255" s="772">
        <v>52</v>
      </c>
      <c r="AM255" s="772">
        <v>52</v>
      </c>
      <c r="AN255" s="772">
        <v>52</v>
      </c>
      <c r="AO255" s="772">
        <v>52</v>
      </c>
      <c r="AP255" s="772">
        <v>52</v>
      </c>
      <c r="AQ255" s="772">
        <v>52</v>
      </c>
      <c r="AR255" s="772">
        <v>0</v>
      </c>
      <c r="AS255" s="772">
        <v>52</v>
      </c>
      <c r="AT255" s="772">
        <v>52</v>
      </c>
      <c r="AU255" s="772">
        <v>52</v>
      </c>
      <c r="AV255" s="772">
        <v>52</v>
      </c>
      <c r="AW255" s="772">
        <v>52</v>
      </c>
      <c r="AX255" s="772">
        <v>52</v>
      </c>
      <c r="AY255" s="772">
        <v>52</v>
      </c>
      <c r="AZ255" s="772">
        <v>52</v>
      </c>
      <c r="BA255" s="772">
        <v>52</v>
      </c>
      <c r="BB255" s="772">
        <v>52</v>
      </c>
      <c r="BC255" s="772">
        <v>52</v>
      </c>
      <c r="BD255" s="772">
        <v>52</v>
      </c>
      <c r="BE255" s="772">
        <v>52</v>
      </c>
      <c r="BF255" s="772">
        <v>0</v>
      </c>
      <c r="BG255" s="772">
        <v>52</v>
      </c>
      <c r="BH255" s="772">
        <v>52</v>
      </c>
      <c r="BI255" s="772">
        <v>52</v>
      </c>
      <c r="BJ255" s="772">
        <v>52</v>
      </c>
      <c r="BK255" s="772">
        <v>52</v>
      </c>
      <c r="BL255" s="772">
        <v>0</v>
      </c>
      <c r="BM255" s="772">
        <v>52</v>
      </c>
      <c r="BN255" s="772">
        <v>52</v>
      </c>
      <c r="BO255" s="772">
        <v>52</v>
      </c>
      <c r="BP255" s="772">
        <v>52</v>
      </c>
      <c r="BQ255" s="772">
        <v>52</v>
      </c>
      <c r="BR255" s="772">
        <v>52</v>
      </c>
      <c r="BS255" s="772">
        <v>52</v>
      </c>
      <c r="BT255" s="772">
        <v>51</v>
      </c>
      <c r="BU255" s="772">
        <v>52</v>
      </c>
      <c r="BV255" s="772">
        <v>52</v>
      </c>
      <c r="BW255" s="772">
        <v>52</v>
      </c>
      <c r="BX255" s="772">
        <v>52</v>
      </c>
      <c r="BY255" s="772">
        <v>52</v>
      </c>
      <c r="BZ255" s="772">
        <v>52</v>
      </c>
      <c r="CA255" s="772">
        <v>52</v>
      </c>
      <c r="CB255" s="772">
        <v>52</v>
      </c>
      <c r="CC255" s="772">
        <v>52</v>
      </c>
      <c r="CD255" s="772">
        <v>52</v>
      </c>
      <c r="CE255" s="772">
        <v>52</v>
      </c>
    </row>
    <row r="256" spans="1:83" ht="28.5" x14ac:dyDescent="0.25">
      <c r="A256" s="767">
        <v>597</v>
      </c>
      <c r="B256" s="818">
        <v>597</v>
      </c>
      <c r="C256" s="819" t="s">
        <v>786</v>
      </c>
      <c r="D256" s="635"/>
      <c r="E256" s="769">
        <v>942</v>
      </c>
      <c r="F256" s="770">
        <v>616</v>
      </c>
      <c r="G256" s="770">
        <v>1918</v>
      </c>
      <c r="H256" s="770">
        <v>4438</v>
      </c>
      <c r="I256" s="770">
        <v>3926</v>
      </c>
      <c r="J256" s="770">
        <v>1811</v>
      </c>
      <c r="K256" s="771">
        <v>1246</v>
      </c>
      <c r="L256" s="772">
        <v>2244</v>
      </c>
      <c r="M256" s="772">
        <v>37836</v>
      </c>
      <c r="N256" s="773">
        <v>2009416</v>
      </c>
      <c r="O256" s="773">
        <v>32623</v>
      </c>
      <c r="P256" s="773">
        <v>26739</v>
      </c>
      <c r="Q256" s="773">
        <v>0</v>
      </c>
      <c r="R256" s="773">
        <v>122590</v>
      </c>
      <c r="S256" s="773">
        <v>536</v>
      </c>
      <c r="T256" s="773">
        <v>1481</v>
      </c>
      <c r="U256" s="773">
        <v>7386</v>
      </c>
      <c r="V256" s="773">
        <v>412</v>
      </c>
      <c r="W256" s="773">
        <v>44425</v>
      </c>
      <c r="X256" s="773">
        <v>4545</v>
      </c>
      <c r="Y256" s="773">
        <v>816</v>
      </c>
      <c r="Z256" s="773">
        <v>6345</v>
      </c>
      <c r="AA256" s="773">
        <v>596511</v>
      </c>
      <c r="AB256" s="772">
        <v>9405</v>
      </c>
      <c r="AC256" s="772">
        <v>1926</v>
      </c>
      <c r="AD256" s="772">
        <v>456212</v>
      </c>
      <c r="AE256" s="772">
        <v>1596</v>
      </c>
      <c r="AF256" s="772">
        <v>1169</v>
      </c>
      <c r="AG256" s="772">
        <v>1568255</v>
      </c>
      <c r="AH256" s="772">
        <v>1734</v>
      </c>
      <c r="AI256" s="772">
        <v>630</v>
      </c>
      <c r="AJ256" s="772">
        <v>25282</v>
      </c>
      <c r="AK256" s="772">
        <v>35</v>
      </c>
      <c r="AL256" s="772">
        <v>0</v>
      </c>
      <c r="AM256" s="772">
        <v>224746</v>
      </c>
      <c r="AN256" s="772">
        <v>1036</v>
      </c>
      <c r="AO256" s="772">
        <v>180978</v>
      </c>
      <c r="AP256" s="772">
        <v>510</v>
      </c>
      <c r="AQ256" s="772">
        <v>26937</v>
      </c>
      <c r="AR256" s="772">
        <v>3207</v>
      </c>
      <c r="AS256" s="772">
        <v>2261</v>
      </c>
      <c r="AT256" s="772">
        <v>0</v>
      </c>
      <c r="AU256" s="772">
        <v>5658</v>
      </c>
      <c r="AV256" s="772">
        <v>3676897</v>
      </c>
      <c r="AW256" s="772">
        <v>1857791</v>
      </c>
      <c r="AX256" s="772">
        <v>544</v>
      </c>
      <c r="AY256" s="772">
        <v>2688</v>
      </c>
      <c r="AZ256" s="772">
        <v>5172</v>
      </c>
      <c r="BA256" s="772">
        <v>6</v>
      </c>
      <c r="BB256" s="772">
        <v>2396</v>
      </c>
      <c r="BC256" s="772">
        <v>44538</v>
      </c>
      <c r="BD256" s="772">
        <v>9088</v>
      </c>
      <c r="BE256" s="772">
        <v>92</v>
      </c>
      <c r="BF256" s="772">
        <v>1712</v>
      </c>
      <c r="BG256" s="772">
        <v>239853</v>
      </c>
      <c r="BH256" s="772">
        <v>6</v>
      </c>
      <c r="BI256" s="772">
        <v>208437</v>
      </c>
      <c r="BJ256" s="772">
        <v>20955</v>
      </c>
      <c r="BK256" s="772">
        <v>4717</v>
      </c>
      <c r="BL256" s="772">
        <v>732</v>
      </c>
      <c r="BM256" s="772">
        <v>208948</v>
      </c>
      <c r="BN256" s="772">
        <v>167451</v>
      </c>
      <c r="BO256" s="772">
        <v>0</v>
      </c>
      <c r="BP256" s="772">
        <v>369324</v>
      </c>
      <c r="BQ256" s="772">
        <v>2249349</v>
      </c>
      <c r="BR256" s="772">
        <v>601</v>
      </c>
      <c r="BS256" s="772">
        <v>49745</v>
      </c>
      <c r="BT256" s="772">
        <v>936</v>
      </c>
      <c r="BU256" s="772">
        <v>165208</v>
      </c>
      <c r="BV256" s="772">
        <v>0</v>
      </c>
      <c r="BW256" s="772">
        <v>2661</v>
      </c>
      <c r="BX256" s="772">
        <v>32295</v>
      </c>
      <c r="BY256" s="772">
        <v>1552</v>
      </c>
      <c r="BZ256" s="772">
        <v>467808</v>
      </c>
      <c r="CA256" s="772">
        <v>3973</v>
      </c>
      <c r="CB256" s="772">
        <v>94290</v>
      </c>
      <c r="CC256" s="772">
        <v>0</v>
      </c>
      <c r="CD256" s="772">
        <v>15856</v>
      </c>
      <c r="CE256" s="772">
        <v>746393</v>
      </c>
    </row>
    <row r="257" spans="1:83" x14ac:dyDescent="0.25">
      <c r="C257" s="819"/>
      <c r="D257" s="635"/>
      <c r="E257" s="821" t="s">
        <v>1191</v>
      </c>
      <c r="F257" s="770"/>
      <c r="G257" s="770"/>
      <c r="H257" s="770"/>
      <c r="I257" s="770"/>
      <c r="J257" s="770"/>
      <c r="K257" s="771"/>
      <c r="L257" s="772"/>
      <c r="M257" s="772"/>
      <c r="N257" s="773"/>
      <c r="O257" s="773"/>
      <c r="P257" s="773"/>
      <c r="Q257" s="773"/>
      <c r="R257" s="773"/>
      <c r="S257" s="773"/>
      <c r="T257" s="773"/>
      <c r="U257" s="773"/>
      <c r="V257" s="773"/>
      <c r="W257" s="773"/>
      <c r="X257" s="773"/>
      <c r="Y257" s="773"/>
      <c r="Z257" s="773"/>
      <c r="AA257" s="773"/>
      <c r="AB257" s="772"/>
      <c r="AC257" s="772"/>
      <c r="AD257" s="772"/>
      <c r="AE257" s="772"/>
      <c r="AF257" s="772"/>
      <c r="AG257" s="772"/>
      <c r="AH257" s="772"/>
      <c r="AI257" s="772"/>
      <c r="AJ257" s="772"/>
      <c r="AK257" s="772"/>
      <c r="AL257" s="772"/>
      <c r="AM257" s="772"/>
      <c r="AN257" s="772"/>
      <c r="AO257" s="772"/>
      <c r="AP257" s="772"/>
      <c r="AQ257" s="772"/>
      <c r="AR257" s="772"/>
      <c r="AS257" s="772"/>
      <c r="AT257" s="772"/>
      <c r="AU257" s="772"/>
      <c r="AV257" s="772"/>
      <c r="AW257" s="772"/>
      <c r="AX257" s="772"/>
      <c r="AY257" s="772"/>
      <c r="AZ257" s="772"/>
      <c r="BA257" s="772"/>
      <c r="BB257" s="772"/>
      <c r="BC257" s="772"/>
      <c r="BD257" s="772"/>
      <c r="BE257" s="772"/>
      <c r="BF257" s="772"/>
      <c r="BG257" s="772"/>
      <c r="BH257" s="772"/>
      <c r="BI257" s="772"/>
      <c r="BJ257" s="772"/>
      <c r="BK257" s="772"/>
      <c r="BL257" s="772"/>
      <c r="BM257" s="772"/>
      <c r="BN257" s="772"/>
      <c r="BO257" s="772"/>
      <c r="BP257" s="772"/>
      <c r="BQ257" s="772"/>
      <c r="BR257" s="772"/>
      <c r="BS257" s="772"/>
      <c r="BT257" s="772"/>
      <c r="BU257" s="772"/>
      <c r="BV257" s="772"/>
      <c r="BW257" s="772"/>
      <c r="BX257" s="772"/>
      <c r="BY257" s="772"/>
      <c r="BZ257" s="772"/>
      <c r="CA257" s="772"/>
      <c r="CB257" s="772"/>
      <c r="CC257" s="772"/>
      <c r="CD257" s="772"/>
      <c r="CE257" s="772"/>
    </row>
    <row r="258" spans="1:83" ht="60" x14ac:dyDescent="0.25">
      <c r="A258" s="767">
        <v>598</v>
      </c>
      <c r="B258" s="822">
        <v>598</v>
      </c>
      <c r="C258" s="823" t="s">
        <v>780</v>
      </c>
      <c r="D258" s="635"/>
      <c r="E258" s="769">
        <v>0</v>
      </c>
      <c r="F258" s="770">
        <v>0</v>
      </c>
      <c r="G258" s="770">
        <v>0</v>
      </c>
      <c r="H258" s="770">
        <v>0</v>
      </c>
      <c r="I258" s="770">
        <v>0</v>
      </c>
      <c r="J258" s="770">
        <v>0</v>
      </c>
      <c r="K258" s="771">
        <v>0</v>
      </c>
      <c r="L258" s="772">
        <v>0</v>
      </c>
      <c r="M258" s="772">
        <v>15532</v>
      </c>
      <c r="N258" s="773">
        <v>738031</v>
      </c>
      <c r="O258" s="773">
        <v>0</v>
      </c>
      <c r="P258" s="773">
        <v>0</v>
      </c>
      <c r="Q258" s="773">
        <v>0</v>
      </c>
      <c r="R258" s="773">
        <v>13912</v>
      </c>
      <c r="S258" s="773">
        <v>0</v>
      </c>
      <c r="T258" s="773">
        <v>0</v>
      </c>
      <c r="U258" s="773">
        <v>0</v>
      </c>
      <c r="V258" s="773">
        <v>0</v>
      </c>
      <c r="W258" s="773">
        <v>31821</v>
      </c>
      <c r="X258" s="773">
        <v>0</v>
      </c>
      <c r="Y258" s="773">
        <v>0</v>
      </c>
      <c r="Z258" s="773">
        <v>0</v>
      </c>
      <c r="AA258" s="773">
        <v>35689</v>
      </c>
      <c r="AB258" s="772">
        <v>0</v>
      </c>
      <c r="AC258" s="772">
        <v>0</v>
      </c>
      <c r="AD258" s="772">
        <v>261641</v>
      </c>
      <c r="AE258" s="772">
        <v>0</v>
      </c>
      <c r="AF258" s="772">
        <v>0</v>
      </c>
      <c r="AG258" s="772">
        <v>1590451</v>
      </c>
      <c r="AH258" s="772">
        <v>0</v>
      </c>
      <c r="AI258" s="772">
        <v>0</v>
      </c>
      <c r="AJ258" s="772">
        <v>24028</v>
      </c>
      <c r="AK258" s="772">
        <v>0</v>
      </c>
      <c r="AL258" s="772">
        <v>0</v>
      </c>
      <c r="AM258" s="772">
        <v>207498</v>
      </c>
      <c r="AN258" s="772">
        <v>0</v>
      </c>
      <c r="AO258" s="772">
        <v>12881</v>
      </c>
      <c r="AP258" s="772">
        <v>0</v>
      </c>
      <c r="AQ258" s="772">
        <v>0</v>
      </c>
      <c r="AR258" s="772">
        <v>0</v>
      </c>
      <c r="AS258" s="772">
        <v>0</v>
      </c>
      <c r="AT258" s="772">
        <v>0</v>
      </c>
      <c r="AU258" s="772">
        <v>0</v>
      </c>
      <c r="AV258" s="772">
        <v>2610122</v>
      </c>
      <c r="AW258" s="772">
        <v>454346</v>
      </c>
      <c r="AX258" s="772">
        <v>4438</v>
      </c>
      <c r="AY258" s="772">
        <v>0</v>
      </c>
      <c r="AZ258" s="772">
        <v>0</v>
      </c>
      <c r="BA258" s="772">
        <v>0</v>
      </c>
      <c r="BB258" s="772">
        <v>0</v>
      </c>
      <c r="BC258" s="772">
        <v>21052</v>
      </c>
      <c r="BD258" s="772">
        <v>0</v>
      </c>
      <c r="BE258" s="772">
        <v>0</v>
      </c>
      <c r="BF258" s="772">
        <v>0</v>
      </c>
      <c r="BG258" s="772">
        <v>0</v>
      </c>
      <c r="BH258" s="772">
        <v>0</v>
      </c>
      <c r="BI258" s="772">
        <v>56865</v>
      </c>
      <c r="BJ258" s="772">
        <v>41226</v>
      </c>
      <c r="BK258" s="772">
        <v>0</v>
      </c>
      <c r="BL258" s="772">
        <v>0</v>
      </c>
      <c r="BM258" s="772">
        <v>110484</v>
      </c>
      <c r="BN258" s="772">
        <v>23771</v>
      </c>
      <c r="BO258" s="772">
        <v>0</v>
      </c>
      <c r="BP258" s="772">
        <v>309549</v>
      </c>
      <c r="BQ258" s="772">
        <v>753461</v>
      </c>
      <c r="BR258" s="772">
        <v>0</v>
      </c>
      <c r="BS258" s="772">
        <v>26611</v>
      </c>
      <c r="BT258" s="772">
        <v>0</v>
      </c>
      <c r="BU258" s="772">
        <v>28896</v>
      </c>
      <c r="BV258" s="772">
        <v>0</v>
      </c>
      <c r="BW258" s="772">
        <v>0</v>
      </c>
      <c r="BX258" s="772">
        <v>0</v>
      </c>
      <c r="BY258" s="772">
        <v>19559</v>
      </c>
      <c r="BZ258" s="772">
        <v>0</v>
      </c>
      <c r="CA258" s="772">
        <v>0</v>
      </c>
      <c r="CB258" s="772">
        <v>12828</v>
      </c>
      <c r="CC258" s="772">
        <v>0</v>
      </c>
      <c r="CD258" s="772">
        <v>14100</v>
      </c>
      <c r="CE258" s="772">
        <v>25962</v>
      </c>
    </row>
    <row r="259" spans="1:83" ht="30" x14ac:dyDescent="0.25">
      <c r="A259" s="767">
        <v>599</v>
      </c>
      <c r="B259" s="822">
        <v>599</v>
      </c>
      <c r="C259" s="823" t="s">
        <v>781</v>
      </c>
      <c r="D259" s="635"/>
      <c r="E259" s="769">
        <v>50588</v>
      </c>
      <c r="F259" s="770">
        <v>54985</v>
      </c>
      <c r="G259" s="770">
        <v>0</v>
      </c>
      <c r="H259" s="770">
        <v>0</v>
      </c>
      <c r="I259" s="770">
        <v>0</v>
      </c>
      <c r="J259" s="770">
        <v>0</v>
      </c>
      <c r="K259" s="771">
        <v>0</v>
      </c>
      <c r="L259" s="772">
        <v>0</v>
      </c>
      <c r="M259" s="772">
        <v>568362</v>
      </c>
      <c r="N259" s="773">
        <v>15352794</v>
      </c>
      <c r="O259" s="773">
        <v>0</v>
      </c>
      <c r="P259" s="773">
        <v>266543</v>
      </c>
      <c r="Q259" s="773">
        <v>0</v>
      </c>
      <c r="R259" s="773">
        <v>941539</v>
      </c>
      <c r="S259" s="773">
        <v>0</v>
      </c>
      <c r="T259" s="773">
        <v>0</v>
      </c>
      <c r="U259" s="773">
        <v>58248</v>
      </c>
      <c r="V259" s="773">
        <v>53740</v>
      </c>
      <c r="W259" s="773">
        <v>908912</v>
      </c>
      <c r="X259" s="773">
        <v>144573</v>
      </c>
      <c r="Y259" s="773">
        <v>0</v>
      </c>
      <c r="Z259" s="773">
        <v>126133</v>
      </c>
      <c r="AA259" s="773">
        <v>952702</v>
      </c>
      <c r="AB259" s="772">
        <v>0</v>
      </c>
      <c r="AC259" s="772">
        <v>0</v>
      </c>
      <c r="AD259" s="772">
        <v>3486839</v>
      </c>
      <c r="AE259" s="772">
        <v>0</v>
      </c>
      <c r="AF259" s="772">
        <v>35422</v>
      </c>
      <c r="AG259" s="772">
        <v>21000133</v>
      </c>
      <c r="AH259" s="772">
        <v>0</v>
      </c>
      <c r="AI259" s="772">
        <v>0</v>
      </c>
      <c r="AJ259" s="772">
        <v>196811</v>
      </c>
      <c r="AK259" s="772">
        <v>30304</v>
      </c>
      <c r="AL259" s="772">
        <v>0</v>
      </c>
      <c r="AM259" s="772">
        <v>3206564</v>
      </c>
      <c r="AN259" s="772">
        <v>0</v>
      </c>
      <c r="AO259" s="772">
        <v>986337</v>
      </c>
      <c r="AP259" s="772">
        <v>0</v>
      </c>
      <c r="AQ259" s="772">
        <v>338615</v>
      </c>
      <c r="AR259" s="772">
        <v>42449</v>
      </c>
      <c r="AS259" s="772">
        <v>0</v>
      </c>
      <c r="AT259" s="772">
        <v>0</v>
      </c>
      <c r="AU259" s="772">
        <v>0</v>
      </c>
      <c r="AV259" s="772">
        <v>31784546</v>
      </c>
      <c r="AW259" s="772">
        <v>8183588</v>
      </c>
      <c r="AX259" s="772">
        <v>69697</v>
      </c>
      <c r="AY259" s="772">
        <v>0</v>
      </c>
      <c r="AZ259" s="772">
        <v>0</v>
      </c>
      <c r="BA259" s="772">
        <v>0</v>
      </c>
      <c r="BB259" s="772">
        <v>0</v>
      </c>
      <c r="BC259" s="772">
        <v>428443</v>
      </c>
      <c r="BD259" s="772">
        <v>0</v>
      </c>
      <c r="BE259" s="772">
        <v>0</v>
      </c>
      <c r="BF259" s="772">
        <v>0</v>
      </c>
      <c r="BG259" s="772">
        <v>0</v>
      </c>
      <c r="BH259" s="772">
        <v>0</v>
      </c>
      <c r="BI259" s="772">
        <v>353995</v>
      </c>
      <c r="BJ259" s="772">
        <v>320959</v>
      </c>
      <c r="BK259" s="772">
        <v>0</v>
      </c>
      <c r="BL259" s="772">
        <v>0</v>
      </c>
      <c r="BM259" s="772">
        <v>1266437</v>
      </c>
      <c r="BN259" s="772">
        <v>970249</v>
      </c>
      <c r="BO259" s="772">
        <v>170095</v>
      </c>
      <c r="BP259" s="772">
        <v>3559244</v>
      </c>
      <c r="BQ259" s="772">
        <v>12538999</v>
      </c>
      <c r="BR259" s="772">
        <v>0</v>
      </c>
      <c r="BS259" s="772">
        <v>332528</v>
      </c>
      <c r="BT259" s="772">
        <v>0</v>
      </c>
      <c r="BU259" s="772">
        <v>641574</v>
      </c>
      <c r="BV259" s="772">
        <v>0</v>
      </c>
      <c r="BW259" s="772">
        <v>0</v>
      </c>
      <c r="BX259" s="772">
        <v>240004</v>
      </c>
      <c r="BY259" s="772">
        <v>185393</v>
      </c>
      <c r="BZ259" s="772">
        <v>1566107</v>
      </c>
      <c r="CA259" s="772">
        <v>0</v>
      </c>
      <c r="CB259" s="772">
        <v>569560</v>
      </c>
      <c r="CC259" s="772">
        <v>0</v>
      </c>
      <c r="CD259" s="772">
        <v>318494</v>
      </c>
      <c r="CE259" s="772">
        <v>2199257</v>
      </c>
    </row>
    <row r="260" spans="1:83" ht="105" x14ac:dyDescent="0.25">
      <c r="B260" s="824">
        <v>600</v>
      </c>
      <c r="C260" s="825" t="s">
        <v>1192</v>
      </c>
      <c r="D260" s="635"/>
      <c r="E260" s="769"/>
      <c r="F260" s="770"/>
      <c r="G260" s="770"/>
      <c r="H260" s="770"/>
      <c r="I260" s="770"/>
      <c r="J260" s="770"/>
      <c r="K260" s="771"/>
      <c r="L260" s="772"/>
      <c r="M260" s="772"/>
      <c r="N260" s="773"/>
      <c r="O260" s="773"/>
      <c r="P260" s="773"/>
      <c r="Q260" s="773"/>
      <c r="R260" s="773"/>
      <c r="S260" s="773"/>
      <c r="T260" s="773"/>
      <c r="U260" s="773"/>
      <c r="V260" s="773"/>
      <c r="W260" s="773"/>
      <c r="X260" s="773"/>
      <c r="Y260" s="773"/>
      <c r="Z260" s="773"/>
      <c r="AA260" s="773"/>
      <c r="AB260" s="772"/>
      <c r="AC260" s="772"/>
      <c r="AD260" s="772"/>
      <c r="AE260" s="772"/>
      <c r="AF260" s="772"/>
      <c r="AG260" s="772"/>
      <c r="AH260" s="772"/>
      <c r="AI260" s="772"/>
      <c r="AJ260" s="772"/>
      <c r="AK260" s="772"/>
      <c r="AL260" s="772"/>
      <c r="AM260" s="772"/>
      <c r="AN260" s="772"/>
      <c r="AO260" s="772"/>
      <c r="AP260" s="772"/>
      <c r="AQ260" s="772"/>
      <c r="AR260" s="772"/>
      <c r="AS260" s="772"/>
      <c r="AT260" s="772"/>
      <c r="AU260" s="772"/>
      <c r="AV260" s="772"/>
      <c r="AW260" s="772"/>
      <c r="AX260" s="772"/>
      <c r="AY260" s="772"/>
      <c r="AZ260" s="772"/>
      <c r="BA260" s="772"/>
      <c r="BB260" s="772"/>
      <c r="BC260" s="772"/>
      <c r="BD260" s="772"/>
      <c r="BE260" s="772"/>
      <c r="BF260" s="772"/>
      <c r="BG260" s="772"/>
      <c r="BH260" s="772"/>
      <c r="BI260" s="772"/>
      <c r="BJ260" s="772"/>
      <c r="BK260" s="772"/>
      <c r="BL260" s="772"/>
      <c r="BM260" s="772"/>
      <c r="BN260" s="772"/>
      <c r="BO260" s="772"/>
      <c r="BP260" s="772"/>
      <c r="BQ260" s="772"/>
      <c r="BR260" s="772"/>
      <c r="BS260" s="772"/>
      <c r="BT260" s="772"/>
      <c r="BU260" s="772"/>
      <c r="BV260" s="772"/>
      <c r="BW260" s="772"/>
      <c r="BX260" s="772"/>
      <c r="BY260" s="772"/>
      <c r="BZ260" s="772"/>
      <c r="CA260" s="772"/>
      <c r="CB260" s="772"/>
      <c r="CC260" s="772"/>
      <c r="CD260" s="772"/>
      <c r="CE260" s="772"/>
    </row>
    <row r="261" spans="1:83" ht="165" x14ac:dyDescent="0.25">
      <c r="A261" s="767"/>
      <c r="B261" s="824">
        <v>601</v>
      </c>
      <c r="C261" s="825" t="s">
        <v>1193</v>
      </c>
      <c r="D261" s="635"/>
      <c r="E261" s="769"/>
      <c r="F261" s="770"/>
      <c r="G261" s="770"/>
      <c r="H261" s="770"/>
      <c r="I261" s="770"/>
      <c r="J261" s="770"/>
      <c r="K261" s="771"/>
      <c r="L261" s="772"/>
      <c r="M261" s="772"/>
      <c r="N261" s="773"/>
      <c r="O261" s="773"/>
      <c r="P261" s="773"/>
      <c r="Q261" s="773"/>
      <c r="R261" s="773"/>
      <c r="S261" s="773"/>
      <c r="T261" s="773"/>
      <c r="U261" s="773"/>
      <c r="V261" s="773"/>
      <c r="W261" s="773"/>
      <c r="X261" s="773"/>
      <c r="Y261" s="773"/>
      <c r="Z261" s="773"/>
      <c r="AA261" s="773"/>
      <c r="AB261" s="772"/>
      <c r="AC261" s="772"/>
      <c r="AD261" s="772"/>
      <c r="AE261" s="772"/>
      <c r="AF261" s="772"/>
      <c r="AG261" s="772"/>
      <c r="AH261" s="772"/>
      <c r="AI261" s="772"/>
      <c r="AJ261" s="772"/>
      <c r="AK261" s="772"/>
      <c r="AL261" s="772"/>
      <c r="AM261" s="772"/>
      <c r="AN261" s="772"/>
      <c r="AO261" s="772"/>
      <c r="AP261" s="772"/>
      <c r="AQ261" s="772"/>
      <c r="AR261" s="772"/>
      <c r="AS261" s="772"/>
      <c r="AT261" s="772"/>
      <c r="AU261" s="772"/>
      <c r="AV261" s="772"/>
      <c r="AW261" s="772"/>
      <c r="AX261" s="772"/>
      <c r="AY261" s="772"/>
      <c r="AZ261" s="772"/>
      <c r="BA261" s="772"/>
      <c r="BB261" s="772"/>
      <c r="BC261" s="772"/>
      <c r="BD261" s="772"/>
      <c r="BE261" s="772"/>
      <c r="BF261" s="772"/>
      <c r="BG261" s="772"/>
      <c r="BH261" s="772"/>
      <c r="BI261" s="772"/>
      <c r="BJ261" s="772"/>
      <c r="BK261" s="772"/>
      <c r="BL261" s="772"/>
      <c r="BM261" s="772"/>
      <c r="BN261" s="772"/>
      <c r="BO261" s="772"/>
      <c r="BP261" s="772"/>
      <c r="BQ261" s="772"/>
      <c r="BR261" s="772"/>
      <c r="BS261" s="772"/>
      <c r="BT261" s="772"/>
      <c r="BU261" s="772"/>
      <c r="BV261" s="772"/>
      <c r="BW261" s="772"/>
      <c r="BX261" s="772"/>
      <c r="BY261" s="772"/>
      <c r="BZ261" s="772"/>
      <c r="CA261" s="772"/>
      <c r="CB261" s="772"/>
      <c r="CC261" s="772"/>
      <c r="CD261" s="772"/>
      <c r="CE261" s="772"/>
    </row>
    <row r="262" spans="1:83" ht="60" x14ac:dyDescent="0.25">
      <c r="A262" s="767">
        <v>602</v>
      </c>
      <c r="B262" s="822">
        <v>602</v>
      </c>
      <c r="C262" s="826" t="s">
        <v>811</v>
      </c>
      <c r="D262" s="635"/>
      <c r="E262" s="769">
        <v>0</v>
      </c>
      <c r="F262" s="770">
        <v>0</v>
      </c>
      <c r="G262" s="770">
        <v>0</v>
      </c>
      <c r="H262" s="770">
        <v>0</v>
      </c>
      <c r="I262" s="770">
        <v>0</v>
      </c>
      <c r="J262" s="770">
        <v>0</v>
      </c>
      <c r="K262" s="771">
        <v>0</v>
      </c>
      <c r="L262" s="772">
        <v>0</v>
      </c>
      <c r="M262" s="772">
        <v>0</v>
      </c>
      <c r="N262" s="773">
        <v>0</v>
      </c>
      <c r="O262" s="773">
        <v>0</v>
      </c>
      <c r="P262" s="773">
        <v>0</v>
      </c>
      <c r="Q262" s="773">
        <v>0</v>
      </c>
      <c r="R262" s="773">
        <v>0</v>
      </c>
      <c r="S262" s="773">
        <v>0</v>
      </c>
      <c r="T262" s="773">
        <v>0</v>
      </c>
      <c r="U262" s="773">
        <v>0</v>
      </c>
      <c r="V262" s="773">
        <v>0</v>
      </c>
      <c r="W262" s="773">
        <v>0</v>
      </c>
      <c r="X262" s="773">
        <v>0</v>
      </c>
      <c r="Y262" s="773">
        <v>0</v>
      </c>
      <c r="Z262" s="773">
        <v>0</v>
      </c>
      <c r="AA262" s="773">
        <v>0</v>
      </c>
      <c r="AB262" s="772">
        <v>0</v>
      </c>
      <c r="AC262" s="772">
        <v>0</v>
      </c>
      <c r="AD262" s="772">
        <v>0</v>
      </c>
      <c r="AE262" s="772">
        <v>0</v>
      </c>
      <c r="AF262" s="772">
        <v>0</v>
      </c>
      <c r="AG262" s="772">
        <v>0</v>
      </c>
      <c r="AH262" s="772">
        <v>0</v>
      </c>
      <c r="AI262" s="772">
        <v>0</v>
      </c>
      <c r="AJ262" s="772">
        <v>0</v>
      </c>
      <c r="AK262" s="772">
        <v>0</v>
      </c>
      <c r="AL262" s="772">
        <v>0</v>
      </c>
      <c r="AM262" s="772">
        <v>0</v>
      </c>
      <c r="AN262" s="772">
        <v>0</v>
      </c>
      <c r="AO262" s="772">
        <v>0</v>
      </c>
      <c r="AP262" s="772">
        <v>0</v>
      </c>
      <c r="AQ262" s="772">
        <v>0</v>
      </c>
      <c r="AR262" s="772">
        <v>0</v>
      </c>
      <c r="AS262" s="772">
        <v>0</v>
      </c>
      <c r="AT262" s="772">
        <v>0</v>
      </c>
      <c r="AU262" s="772">
        <v>0</v>
      </c>
      <c r="AV262" s="772">
        <v>6738623</v>
      </c>
      <c r="AW262" s="772">
        <v>0</v>
      </c>
      <c r="AX262" s="772">
        <v>0</v>
      </c>
      <c r="AY262" s="772">
        <v>0</v>
      </c>
      <c r="AZ262" s="772">
        <v>0</v>
      </c>
      <c r="BA262" s="772">
        <v>0</v>
      </c>
      <c r="BB262" s="772">
        <v>0</v>
      </c>
      <c r="BC262" s="772">
        <v>0</v>
      </c>
      <c r="BD262" s="772">
        <v>0</v>
      </c>
      <c r="BE262" s="772">
        <v>0</v>
      </c>
      <c r="BF262" s="772">
        <v>0</v>
      </c>
      <c r="BG262" s="772">
        <v>0</v>
      </c>
      <c r="BH262" s="772">
        <v>0</v>
      </c>
      <c r="BI262" s="772">
        <v>0</v>
      </c>
      <c r="BJ262" s="772">
        <v>0</v>
      </c>
      <c r="BK262" s="772">
        <v>0</v>
      </c>
      <c r="BL262" s="772">
        <v>0</v>
      </c>
      <c r="BM262" s="772">
        <v>0</v>
      </c>
      <c r="BN262" s="772">
        <v>0</v>
      </c>
      <c r="BO262" s="772">
        <v>0</v>
      </c>
      <c r="BP262" s="772">
        <v>0</v>
      </c>
      <c r="BQ262" s="772">
        <v>0</v>
      </c>
      <c r="BR262" s="772">
        <v>0</v>
      </c>
      <c r="BS262" s="772">
        <v>0</v>
      </c>
      <c r="BT262" s="772">
        <v>0</v>
      </c>
      <c r="BU262" s="772">
        <v>0</v>
      </c>
      <c r="BV262" s="772">
        <v>0</v>
      </c>
      <c r="BW262" s="772">
        <v>0</v>
      </c>
      <c r="BX262" s="772">
        <v>0</v>
      </c>
      <c r="BY262" s="772">
        <v>0</v>
      </c>
      <c r="BZ262" s="772">
        <v>0</v>
      </c>
      <c r="CA262" s="772">
        <v>0</v>
      </c>
      <c r="CB262" s="772">
        <v>0</v>
      </c>
      <c r="CC262" s="772">
        <v>0</v>
      </c>
      <c r="CD262" s="772">
        <v>0</v>
      </c>
      <c r="CE262" s="772">
        <v>0</v>
      </c>
    </row>
    <row r="263" spans="1:83" ht="165" x14ac:dyDescent="0.25">
      <c r="A263" s="755">
        <v>603</v>
      </c>
      <c r="B263" s="755">
        <v>603</v>
      </c>
      <c r="C263" s="827" t="s">
        <v>797</v>
      </c>
      <c r="D263" s="635"/>
      <c r="E263" s="769">
        <v>5</v>
      </c>
      <c r="F263" s="770">
        <v>1</v>
      </c>
      <c r="G263" s="770">
        <v>2</v>
      </c>
      <c r="H263" s="770">
        <v>1</v>
      </c>
      <c r="I263" s="770">
        <v>1</v>
      </c>
      <c r="J263" s="770">
        <v>5</v>
      </c>
      <c r="K263" s="771">
        <v>1</v>
      </c>
      <c r="L263" s="772">
        <v>2</v>
      </c>
      <c r="M263" s="772">
        <v>2</v>
      </c>
      <c r="N263" s="773">
        <v>2</v>
      </c>
      <c r="O263" s="773">
        <v>1</v>
      </c>
      <c r="P263" s="773">
        <v>1</v>
      </c>
      <c r="Q263" s="773">
        <v>1</v>
      </c>
      <c r="R263" s="773">
        <v>1</v>
      </c>
      <c r="S263" s="773">
        <v>2</v>
      </c>
      <c r="T263" s="773">
        <v>1</v>
      </c>
      <c r="U263" s="773">
        <v>4</v>
      </c>
      <c r="V263" s="773">
        <v>1</v>
      </c>
      <c r="W263" s="773">
        <v>2</v>
      </c>
      <c r="X263" s="773">
        <v>2</v>
      </c>
      <c r="Y263" s="773">
        <v>4</v>
      </c>
      <c r="Z263" s="773">
        <v>5</v>
      </c>
      <c r="AA263" s="773">
        <v>1</v>
      </c>
      <c r="AB263" s="772">
        <v>1</v>
      </c>
      <c r="AC263" s="772">
        <v>2</v>
      </c>
      <c r="AD263" s="772">
        <v>2</v>
      </c>
      <c r="AE263" s="772">
        <v>2</v>
      </c>
      <c r="AF263" s="772">
        <v>5</v>
      </c>
      <c r="AG263" s="772">
        <v>1</v>
      </c>
      <c r="AH263" s="772">
        <v>5</v>
      </c>
      <c r="AI263" s="772">
        <v>1</v>
      </c>
      <c r="AJ263" s="772">
        <v>1</v>
      </c>
      <c r="AK263" s="772">
        <v>1</v>
      </c>
      <c r="AL263" s="772">
        <v>5</v>
      </c>
      <c r="AM263" s="772">
        <v>2</v>
      </c>
      <c r="AN263" s="772">
        <v>2</v>
      </c>
      <c r="AO263" s="772">
        <v>1</v>
      </c>
      <c r="AP263" s="772">
        <v>1</v>
      </c>
      <c r="AQ263" s="772">
        <v>2</v>
      </c>
      <c r="AR263" s="772">
        <v>2</v>
      </c>
      <c r="AS263" s="772">
        <v>1</v>
      </c>
      <c r="AT263" s="772">
        <v>4</v>
      </c>
      <c r="AU263" s="772">
        <v>2</v>
      </c>
      <c r="AV263" s="772">
        <v>1</v>
      </c>
      <c r="AW263" s="772">
        <v>2</v>
      </c>
      <c r="AX263" s="772">
        <v>2</v>
      </c>
      <c r="AY263" s="772">
        <v>2</v>
      </c>
      <c r="AZ263" s="772">
        <v>2</v>
      </c>
      <c r="BA263" s="772">
        <v>5</v>
      </c>
      <c r="BB263" s="772">
        <v>5</v>
      </c>
      <c r="BC263" s="772">
        <v>1</v>
      </c>
      <c r="BD263" s="772">
        <v>2</v>
      </c>
      <c r="BE263" s="772">
        <v>1</v>
      </c>
      <c r="BF263" s="772">
        <v>2</v>
      </c>
      <c r="BG263" s="772">
        <v>2</v>
      </c>
      <c r="BH263" s="772">
        <v>4</v>
      </c>
      <c r="BI263" s="772">
        <v>1</v>
      </c>
      <c r="BJ263" s="772">
        <v>4</v>
      </c>
      <c r="BK263" s="772">
        <v>1</v>
      </c>
      <c r="BL263" s="772">
        <v>4</v>
      </c>
      <c r="BM263" s="772">
        <v>4</v>
      </c>
      <c r="BN263" s="772">
        <v>1</v>
      </c>
      <c r="BO263" s="772">
        <v>4</v>
      </c>
      <c r="BP263" s="772">
        <v>2</v>
      </c>
      <c r="BQ263" s="772">
        <v>1</v>
      </c>
      <c r="BR263" s="772">
        <v>1</v>
      </c>
      <c r="BS263" s="772">
        <v>2</v>
      </c>
      <c r="BT263" s="772">
        <v>2</v>
      </c>
      <c r="BU263" s="772">
        <v>4</v>
      </c>
      <c r="BV263" s="772">
        <v>2</v>
      </c>
      <c r="BW263" s="772">
        <v>2</v>
      </c>
      <c r="BX263" s="772">
        <v>2</v>
      </c>
      <c r="BY263" s="772">
        <v>4</v>
      </c>
      <c r="BZ263" s="772">
        <v>2</v>
      </c>
      <c r="CA263" s="772">
        <v>4</v>
      </c>
      <c r="CB263" s="772">
        <v>1</v>
      </c>
      <c r="CC263" s="772">
        <v>2</v>
      </c>
      <c r="CD263" s="772">
        <v>2</v>
      </c>
      <c r="CE263" s="772">
        <v>1</v>
      </c>
    </row>
    <row r="264" spans="1:83" ht="120" x14ac:dyDescent="0.25">
      <c r="A264" s="755">
        <v>604</v>
      </c>
      <c r="B264" s="755">
        <v>604</v>
      </c>
      <c r="C264" s="637" t="s">
        <v>798</v>
      </c>
      <c r="D264" s="635"/>
      <c r="E264" s="769">
        <v>5</v>
      </c>
      <c r="F264" s="770">
        <v>1</v>
      </c>
      <c r="G264" s="770">
        <v>1</v>
      </c>
      <c r="H264" s="770">
        <v>1</v>
      </c>
      <c r="I264" s="770">
        <v>1</v>
      </c>
      <c r="J264" s="770">
        <v>5</v>
      </c>
      <c r="K264" s="771">
        <v>1</v>
      </c>
      <c r="L264" s="772">
        <v>1</v>
      </c>
      <c r="M264" s="772">
        <v>1</v>
      </c>
      <c r="N264" s="773">
        <v>1</v>
      </c>
      <c r="O264" s="773">
        <v>1</v>
      </c>
      <c r="P264" s="773">
        <v>1</v>
      </c>
      <c r="Q264" s="773">
        <v>1</v>
      </c>
      <c r="R264" s="773">
        <v>3</v>
      </c>
      <c r="S264" s="773">
        <v>1</v>
      </c>
      <c r="T264" s="773">
        <v>3</v>
      </c>
      <c r="U264" s="773">
        <v>3</v>
      </c>
      <c r="V264" s="773">
        <v>1</v>
      </c>
      <c r="W264" s="773">
        <v>1</v>
      </c>
      <c r="X264" s="773">
        <v>1</v>
      </c>
      <c r="Y264" s="773">
        <v>3</v>
      </c>
      <c r="Z264" s="773">
        <v>5</v>
      </c>
      <c r="AA264" s="773">
        <v>1</v>
      </c>
      <c r="AB264" s="772">
        <v>3</v>
      </c>
      <c r="AC264" s="772">
        <v>1</v>
      </c>
      <c r="AD264" s="772">
        <v>1</v>
      </c>
      <c r="AE264" s="772">
        <v>3</v>
      </c>
      <c r="AF264" s="772">
        <v>5</v>
      </c>
      <c r="AG264" s="772">
        <v>1</v>
      </c>
      <c r="AH264" s="772">
        <v>4</v>
      </c>
      <c r="AI264" s="772">
        <v>1</v>
      </c>
      <c r="AJ264" s="772">
        <v>1</v>
      </c>
      <c r="AK264" s="772">
        <v>1</v>
      </c>
      <c r="AL264" s="772">
        <v>4</v>
      </c>
      <c r="AM264" s="772">
        <v>1</v>
      </c>
      <c r="AN264" s="772">
        <v>1</v>
      </c>
      <c r="AO264" s="772">
        <v>1</v>
      </c>
      <c r="AP264" s="772">
        <v>1</v>
      </c>
      <c r="AQ264" s="772">
        <v>1</v>
      </c>
      <c r="AR264" s="772">
        <v>1</v>
      </c>
      <c r="AS264" s="772">
        <v>1</v>
      </c>
      <c r="AT264" s="772">
        <v>3</v>
      </c>
      <c r="AU264" s="772">
        <v>5</v>
      </c>
      <c r="AV264" s="772">
        <v>1</v>
      </c>
      <c r="AW264" s="772">
        <v>1</v>
      </c>
      <c r="AX264" s="772">
        <v>1</v>
      </c>
      <c r="AY264" s="772">
        <v>1</v>
      </c>
      <c r="AZ264" s="772">
        <v>3</v>
      </c>
      <c r="BA264" s="772">
        <v>5</v>
      </c>
      <c r="BB264" s="772">
        <v>5</v>
      </c>
      <c r="BC264" s="772">
        <v>1</v>
      </c>
      <c r="BD264" s="772">
        <v>1</v>
      </c>
      <c r="BE264" s="772">
        <v>1</v>
      </c>
      <c r="BF264" s="772">
        <v>1</v>
      </c>
      <c r="BG264" s="772">
        <v>1</v>
      </c>
      <c r="BH264" s="772">
        <v>5</v>
      </c>
      <c r="BI264" s="772">
        <v>1</v>
      </c>
      <c r="BJ264" s="772">
        <v>3</v>
      </c>
      <c r="BK264" s="772">
        <v>1</v>
      </c>
      <c r="BL264" s="772">
        <v>3</v>
      </c>
      <c r="BM264" s="772">
        <v>3</v>
      </c>
      <c r="BN264" s="772">
        <v>1</v>
      </c>
      <c r="BO264" s="772">
        <v>4</v>
      </c>
      <c r="BP264" s="772">
        <v>1</v>
      </c>
      <c r="BQ264" s="772">
        <v>1</v>
      </c>
      <c r="BR264" s="772">
        <v>1</v>
      </c>
      <c r="BS264" s="772">
        <v>1</v>
      </c>
      <c r="BT264" s="772">
        <v>1</v>
      </c>
      <c r="BU264" s="772">
        <v>4</v>
      </c>
      <c r="BV264" s="772">
        <v>1</v>
      </c>
      <c r="BW264" s="772">
        <v>4</v>
      </c>
      <c r="BX264" s="772">
        <v>4</v>
      </c>
      <c r="BY264" s="772">
        <v>4</v>
      </c>
      <c r="BZ264" s="772">
        <v>1</v>
      </c>
      <c r="CA264" s="772">
        <v>5</v>
      </c>
      <c r="CB264" s="772">
        <v>1</v>
      </c>
      <c r="CC264" s="772">
        <v>3</v>
      </c>
      <c r="CD264" s="772">
        <v>1</v>
      </c>
      <c r="CE264" s="772">
        <v>1</v>
      </c>
    </row>
    <row r="265" spans="1:83" ht="30" x14ac:dyDescent="0.25">
      <c r="A265" s="755">
        <v>605</v>
      </c>
      <c r="B265" s="755">
        <v>605</v>
      </c>
      <c r="C265" s="827" t="s">
        <v>800</v>
      </c>
      <c r="D265" s="635"/>
      <c r="E265" s="769">
        <v>1</v>
      </c>
      <c r="F265" s="770">
        <v>1</v>
      </c>
      <c r="G265" s="770">
        <v>1</v>
      </c>
      <c r="H265" s="770">
        <v>1</v>
      </c>
      <c r="I265" s="770">
        <v>1</v>
      </c>
      <c r="J265" s="770">
        <v>1</v>
      </c>
      <c r="K265" s="771">
        <v>1</v>
      </c>
      <c r="L265" s="772">
        <v>1</v>
      </c>
      <c r="M265" s="772">
        <v>1</v>
      </c>
      <c r="N265" s="773">
        <v>1</v>
      </c>
      <c r="O265" s="773">
        <v>1</v>
      </c>
      <c r="P265" s="773">
        <v>1</v>
      </c>
      <c r="Q265" s="773">
        <v>1</v>
      </c>
      <c r="R265" s="773">
        <v>1</v>
      </c>
      <c r="S265" s="773">
        <v>1</v>
      </c>
      <c r="T265" s="773">
        <v>1</v>
      </c>
      <c r="U265" s="773">
        <v>1</v>
      </c>
      <c r="V265" s="773">
        <v>1</v>
      </c>
      <c r="W265" s="773">
        <v>1</v>
      </c>
      <c r="X265" s="773">
        <v>1</v>
      </c>
      <c r="Y265" s="773">
        <v>1</v>
      </c>
      <c r="Z265" s="773">
        <v>1</v>
      </c>
      <c r="AA265" s="773">
        <v>1</v>
      </c>
      <c r="AB265" s="772">
        <v>1</v>
      </c>
      <c r="AC265" s="772">
        <v>1</v>
      </c>
      <c r="AD265" s="772">
        <v>1</v>
      </c>
      <c r="AE265" s="772">
        <v>1</v>
      </c>
      <c r="AF265" s="772">
        <v>1</v>
      </c>
      <c r="AG265" s="772">
        <v>1</v>
      </c>
      <c r="AH265" s="772">
        <v>1</v>
      </c>
      <c r="AI265" s="772">
        <v>1</v>
      </c>
      <c r="AJ265" s="772">
        <v>1</v>
      </c>
      <c r="AK265" s="772">
        <v>1</v>
      </c>
      <c r="AL265" s="772">
        <v>1</v>
      </c>
      <c r="AM265" s="772">
        <v>1</v>
      </c>
      <c r="AN265" s="772">
        <v>1</v>
      </c>
      <c r="AO265" s="772">
        <v>0</v>
      </c>
      <c r="AP265" s="772">
        <v>1</v>
      </c>
      <c r="AQ265" s="772">
        <v>1</v>
      </c>
      <c r="AR265" s="772">
        <v>1</v>
      </c>
      <c r="AS265" s="772">
        <v>1</v>
      </c>
      <c r="AT265" s="772">
        <v>1</v>
      </c>
      <c r="AU265" s="772">
        <v>1</v>
      </c>
      <c r="AV265" s="772">
        <v>1</v>
      </c>
      <c r="AW265" s="772">
        <v>1</v>
      </c>
      <c r="AX265" s="772">
        <v>1</v>
      </c>
      <c r="AY265" s="772">
        <v>1</v>
      </c>
      <c r="AZ265" s="772">
        <v>1</v>
      </c>
      <c r="BA265" s="772">
        <v>1</v>
      </c>
      <c r="BB265" s="772">
        <v>0</v>
      </c>
      <c r="BC265" s="772">
        <v>1</v>
      </c>
      <c r="BD265" s="772">
        <v>1</v>
      </c>
      <c r="BE265" s="772">
        <v>1</v>
      </c>
      <c r="BF265" s="772">
        <v>1</v>
      </c>
      <c r="BG265" s="772">
        <v>1</v>
      </c>
      <c r="BH265" s="772">
        <v>1</v>
      </c>
      <c r="BI265" s="772">
        <v>1</v>
      </c>
      <c r="BJ265" s="772">
        <v>1</v>
      </c>
      <c r="BK265" s="772">
        <v>1</v>
      </c>
      <c r="BL265" s="772">
        <v>1</v>
      </c>
      <c r="BM265" s="772">
        <v>1</v>
      </c>
      <c r="BN265" s="772">
        <v>1</v>
      </c>
      <c r="BO265" s="772">
        <v>1</v>
      </c>
      <c r="BP265" s="772">
        <v>1</v>
      </c>
      <c r="BQ265" s="772">
        <v>1</v>
      </c>
      <c r="BR265" s="772">
        <v>1</v>
      </c>
      <c r="BS265" s="772">
        <v>1</v>
      </c>
      <c r="BT265" s="772">
        <v>1</v>
      </c>
      <c r="BU265" s="772">
        <v>1</v>
      </c>
      <c r="BV265" s="772">
        <v>1</v>
      </c>
      <c r="BW265" s="772">
        <v>1</v>
      </c>
      <c r="BX265" s="772">
        <v>1</v>
      </c>
      <c r="BY265" s="772">
        <v>1</v>
      </c>
      <c r="BZ265" s="772">
        <v>1</v>
      </c>
      <c r="CA265" s="772">
        <v>1</v>
      </c>
      <c r="CB265" s="772">
        <v>1</v>
      </c>
      <c r="CC265" s="772">
        <v>1</v>
      </c>
      <c r="CD265" s="772">
        <v>1</v>
      </c>
      <c r="CE265" s="772">
        <v>1</v>
      </c>
    </row>
    <row r="266" spans="1:83" ht="30" x14ac:dyDescent="0.25">
      <c r="A266" s="755">
        <v>606</v>
      </c>
      <c r="B266" s="755">
        <v>606</v>
      </c>
      <c r="C266" s="828" t="s">
        <v>819</v>
      </c>
      <c r="D266" s="635"/>
      <c r="E266" s="769">
        <v>1</v>
      </c>
      <c r="F266" s="770">
        <v>1</v>
      </c>
      <c r="G266" s="770">
        <v>0</v>
      </c>
      <c r="H266" s="770">
        <v>0</v>
      </c>
      <c r="I266" s="770">
        <v>0</v>
      </c>
      <c r="J266" s="770">
        <v>0</v>
      </c>
      <c r="K266" s="771">
        <v>0</v>
      </c>
      <c r="L266" s="772">
        <v>0</v>
      </c>
      <c r="M266" s="772">
        <v>1</v>
      </c>
      <c r="N266" s="773">
        <v>1</v>
      </c>
      <c r="O266" s="773">
        <v>0</v>
      </c>
      <c r="P266" s="773">
        <v>0</v>
      </c>
      <c r="Q266" s="773">
        <v>1</v>
      </c>
      <c r="R266" s="773">
        <v>0</v>
      </c>
      <c r="S266" s="773">
        <v>0</v>
      </c>
      <c r="T266" s="773">
        <v>0</v>
      </c>
      <c r="U266" s="773">
        <v>0</v>
      </c>
      <c r="V266" s="773">
        <v>0</v>
      </c>
      <c r="W266" s="773">
        <v>0</v>
      </c>
      <c r="X266" s="773">
        <v>0</v>
      </c>
      <c r="Y266" s="773">
        <v>0</v>
      </c>
      <c r="Z266" s="773">
        <v>0</v>
      </c>
      <c r="AA266" s="773">
        <v>1</v>
      </c>
      <c r="AB266" s="772">
        <v>0</v>
      </c>
      <c r="AC266" s="772">
        <v>1</v>
      </c>
      <c r="AD266" s="772">
        <v>1</v>
      </c>
      <c r="AE266" s="772">
        <v>0</v>
      </c>
      <c r="AF266" s="772">
        <v>0</v>
      </c>
      <c r="AG266" s="772">
        <v>1</v>
      </c>
      <c r="AH266" s="772">
        <v>0</v>
      </c>
      <c r="AI266" s="772">
        <v>0</v>
      </c>
      <c r="AJ266" s="772">
        <v>0</v>
      </c>
      <c r="AK266" s="772">
        <v>0</v>
      </c>
      <c r="AL266" s="772">
        <v>0</v>
      </c>
      <c r="AM266" s="772">
        <v>1</v>
      </c>
      <c r="AN266" s="772">
        <v>0</v>
      </c>
      <c r="AO266" s="772">
        <v>1</v>
      </c>
      <c r="AP266" s="772">
        <v>0</v>
      </c>
      <c r="AQ266" s="772">
        <v>0</v>
      </c>
      <c r="AR266" s="772">
        <v>0</v>
      </c>
      <c r="AS266" s="772">
        <v>0</v>
      </c>
      <c r="AT266" s="772">
        <v>0</v>
      </c>
      <c r="AU266" s="772">
        <v>0</v>
      </c>
      <c r="AV266" s="772">
        <v>1</v>
      </c>
      <c r="AW266" s="772">
        <v>1</v>
      </c>
      <c r="AX266" s="772">
        <v>0</v>
      </c>
      <c r="AY266" s="772">
        <v>0</v>
      </c>
      <c r="AZ266" s="772">
        <v>0</v>
      </c>
      <c r="BA266" s="772">
        <v>0</v>
      </c>
      <c r="BB266" s="772">
        <v>0</v>
      </c>
      <c r="BC266" s="772">
        <v>0</v>
      </c>
      <c r="BD266" s="772">
        <v>0</v>
      </c>
      <c r="BE266" s="772">
        <v>0</v>
      </c>
      <c r="BF266" s="772">
        <v>0</v>
      </c>
      <c r="BG266" s="772">
        <v>0</v>
      </c>
      <c r="BH266" s="772">
        <v>0</v>
      </c>
      <c r="BI266" s="772">
        <v>1</v>
      </c>
      <c r="BJ266" s="772">
        <v>0</v>
      </c>
      <c r="BK266" s="772">
        <v>0</v>
      </c>
      <c r="BL266" s="772">
        <v>0</v>
      </c>
      <c r="BM266" s="772">
        <v>1</v>
      </c>
      <c r="BN266" s="772">
        <v>1</v>
      </c>
      <c r="BO266" s="772">
        <v>0</v>
      </c>
      <c r="BP266" s="772">
        <v>1</v>
      </c>
      <c r="BQ266" s="772">
        <v>1</v>
      </c>
      <c r="BR266" s="772">
        <v>0</v>
      </c>
      <c r="BS266" s="772">
        <v>0</v>
      </c>
      <c r="BT266" s="772">
        <v>0</v>
      </c>
      <c r="BU266" s="772">
        <v>0</v>
      </c>
      <c r="BV266" s="772">
        <v>0</v>
      </c>
      <c r="BW266" s="772">
        <v>1</v>
      </c>
      <c r="BX266" s="772">
        <v>0</v>
      </c>
      <c r="BY266" s="772">
        <v>0</v>
      </c>
      <c r="BZ266" s="772">
        <v>1</v>
      </c>
      <c r="CA266" s="772">
        <v>0</v>
      </c>
      <c r="CB266" s="772">
        <v>1</v>
      </c>
      <c r="CC266" s="772">
        <v>0</v>
      </c>
      <c r="CD266" s="772">
        <v>0</v>
      </c>
      <c r="CE266" s="772">
        <v>1</v>
      </c>
    </row>
    <row r="267" spans="1:83" ht="26.25" customHeight="1" x14ac:dyDescent="0.25">
      <c r="A267" s="755">
        <v>607</v>
      </c>
      <c r="B267" s="755">
        <v>607</v>
      </c>
      <c r="C267" s="827" t="s">
        <v>790</v>
      </c>
      <c r="D267" s="635"/>
      <c r="E267" s="769">
        <v>0</v>
      </c>
      <c r="F267" s="770">
        <v>1916660</v>
      </c>
      <c r="G267" s="770">
        <v>0</v>
      </c>
      <c r="H267" s="770">
        <v>533454</v>
      </c>
      <c r="I267" s="770">
        <v>0</v>
      </c>
      <c r="J267" s="770">
        <v>0</v>
      </c>
      <c r="K267" s="771">
        <v>0</v>
      </c>
      <c r="L267" s="772">
        <v>0</v>
      </c>
      <c r="M267" s="772">
        <v>2356465</v>
      </c>
      <c r="N267" s="773">
        <v>43365538</v>
      </c>
      <c r="O267" s="773">
        <v>0</v>
      </c>
      <c r="P267" s="773">
        <v>40784</v>
      </c>
      <c r="Q267" s="773">
        <v>0</v>
      </c>
      <c r="R267" s="773">
        <v>0</v>
      </c>
      <c r="S267" s="773">
        <v>0</v>
      </c>
      <c r="T267" s="773">
        <v>0</v>
      </c>
      <c r="U267" s="773">
        <v>0</v>
      </c>
      <c r="V267" s="773">
        <v>0</v>
      </c>
      <c r="W267" s="773">
        <v>1674490</v>
      </c>
      <c r="X267" s="773">
        <v>0</v>
      </c>
      <c r="Y267" s="773">
        <v>0</v>
      </c>
      <c r="Z267" s="773">
        <v>1365061</v>
      </c>
      <c r="AA267" s="773">
        <v>3627436</v>
      </c>
      <c r="AB267" s="772">
        <v>0</v>
      </c>
      <c r="AC267" s="772">
        <v>0</v>
      </c>
      <c r="AD267" s="772">
        <v>15245101</v>
      </c>
      <c r="AE267" s="772">
        <v>0</v>
      </c>
      <c r="AF267" s="772">
        <v>190208</v>
      </c>
      <c r="AG267" s="772">
        <v>53781095</v>
      </c>
      <c r="AH267" s="772">
        <v>0</v>
      </c>
      <c r="AI267" s="772">
        <v>0</v>
      </c>
      <c r="AJ267" s="772">
        <v>598188</v>
      </c>
      <c r="AK267" s="772">
        <v>0</v>
      </c>
      <c r="AL267" s="772">
        <v>0</v>
      </c>
      <c r="AM267" s="772">
        <v>8195020</v>
      </c>
      <c r="AN267" s="772">
        <v>0</v>
      </c>
      <c r="AO267" s="772">
        <v>12180536</v>
      </c>
      <c r="AP267" s="772">
        <v>0</v>
      </c>
      <c r="AQ267" s="772">
        <v>184588</v>
      </c>
      <c r="AR267" s="772">
        <v>0</v>
      </c>
      <c r="AS267" s="772">
        <v>0</v>
      </c>
      <c r="AT267" s="772">
        <v>0</v>
      </c>
      <c r="AU267" s="772">
        <v>0</v>
      </c>
      <c r="AV267" s="772">
        <v>150712342</v>
      </c>
      <c r="AW267" s="772">
        <v>97036431</v>
      </c>
      <c r="AX267" s="772">
        <v>0</v>
      </c>
      <c r="AY267" s="772">
        <v>0</v>
      </c>
      <c r="AZ267" s="772">
        <v>0</v>
      </c>
      <c r="BA267" s="772">
        <v>0</v>
      </c>
      <c r="BB267" s="772">
        <v>0</v>
      </c>
      <c r="BC267" s="772">
        <v>7506475</v>
      </c>
      <c r="BD267" s="772">
        <v>0</v>
      </c>
      <c r="BE267" s="772">
        <v>0</v>
      </c>
      <c r="BF267" s="772">
        <v>0</v>
      </c>
      <c r="BG267" s="772">
        <v>0</v>
      </c>
      <c r="BH267" s="772">
        <v>0</v>
      </c>
      <c r="BI267" s="772">
        <v>2769334</v>
      </c>
      <c r="BJ267" s="772">
        <v>1048358</v>
      </c>
      <c r="BK267" s="772">
        <v>0</v>
      </c>
      <c r="BL267" s="772">
        <v>0</v>
      </c>
      <c r="BM267" s="772">
        <v>13421384</v>
      </c>
      <c r="BN267" s="772">
        <v>2928716</v>
      </c>
      <c r="BO267" s="772">
        <v>0</v>
      </c>
      <c r="BP267" s="772">
        <v>23128974</v>
      </c>
      <c r="BQ267" s="772">
        <v>13513650</v>
      </c>
      <c r="BR267" s="772">
        <v>0</v>
      </c>
      <c r="BS267" s="772">
        <v>0</v>
      </c>
      <c r="BT267" s="772">
        <v>0</v>
      </c>
      <c r="BU267" s="772">
        <v>1618593</v>
      </c>
      <c r="BV267" s="772">
        <v>0</v>
      </c>
      <c r="BW267" s="772">
        <v>0</v>
      </c>
      <c r="BX267" s="772">
        <v>0</v>
      </c>
      <c r="BY267" s="772">
        <v>217284</v>
      </c>
      <c r="BZ267" s="772">
        <v>3305621</v>
      </c>
      <c r="CA267" s="772">
        <v>0</v>
      </c>
      <c r="CB267" s="772">
        <v>6960300</v>
      </c>
      <c r="CC267" s="772">
        <v>0</v>
      </c>
      <c r="CD267" s="772">
        <v>0</v>
      </c>
      <c r="CE267" s="772">
        <v>2230233</v>
      </c>
    </row>
    <row r="268" spans="1:83" x14ac:dyDescent="0.25">
      <c r="A268" s="755">
        <v>608</v>
      </c>
      <c r="B268" s="755">
        <v>608</v>
      </c>
      <c r="C268" s="827" t="s">
        <v>791</v>
      </c>
      <c r="D268" s="635"/>
      <c r="E268" s="769">
        <v>0</v>
      </c>
      <c r="F268" s="770">
        <v>0</v>
      </c>
      <c r="G268" s="770">
        <v>0</v>
      </c>
      <c r="H268" s="770">
        <v>0</v>
      </c>
      <c r="I268" s="770">
        <v>0</v>
      </c>
      <c r="J268" s="770">
        <v>0</v>
      </c>
      <c r="K268" s="771">
        <v>0</v>
      </c>
      <c r="L268" s="772">
        <v>0</v>
      </c>
      <c r="M268" s="772">
        <v>0</v>
      </c>
      <c r="N268" s="773">
        <v>0</v>
      </c>
      <c r="O268" s="773">
        <v>0</v>
      </c>
      <c r="P268" s="773">
        <v>0</v>
      </c>
      <c r="Q268" s="773">
        <v>0</v>
      </c>
      <c r="R268" s="773">
        <v>426753</v>
      </c>
      <c r="S268" s="773">
        <v>0</v>
      </c>
      <c r="T268" s="773">
        <v>0</v>
      </c>
      <c r="U268" s="773">
        <v>0</v>
      </c>
      <c r="V268" s="773">
        <v>0</v>
      </c>
      <c r="W268" s="773">
        <v>0</v>
      </c>
      <c r="X268" s="773">
        <v>0</v>
      </c>
      <c r="Y268" s="773">
        <v>0</v>
      </c>
      <c r="Z268" s="773">
        <v>0</v>
      </c>
      <c r="AA268" s="773">
        <v>0</v>
      </c>
      <c r="AB268" s="772">
        <v>0</v>
      </c>
      <c r="AC268" s="772">
        <v>0</v>
      </c>
      <c r="AD268" s="772">
        <v>0</v>
      </c>
      <c r="AE268" s="772">
        <v>0</v>
      </c>
      <c r="AF268" s="772">
        <v>0</v>
      </c>
      <c r="AG268" s="772">
        <v>0</v>
      </c>
      <c r="AH268" s="772">
        <v>0</v>
      </c>
      <c r="AI268" s="772">
        <v>0</v>
      </c>
      <c r="AJ268" s="772">
        <v>0</v>
      </c>
      <c r="AK268" s="772">
        <v>0</v>
      </c>
      <c r="AL268" s="772">
        <v>0</v>
      </c>
      <c r="AM268" s="772">
        <v>0</v>
      </c>
      <c r="AN268" s="772">
        <v>0</v>
      </c>
      <c r="AO268" s="772">
        <v>0</v>
      </c>
      <c r="AP268" s="772">
        <v>0</v>
      </c>
      <c r="AQ268" s="772">
        <v>0</v>
      </c>
      <c r="AR268" s="772">
        <v>0</v>
      </c>
      <c r="AS268" s="772">
        <v>0</v>
      </c>
      <c r="AT268" s="772">
        <v>0</v>
      </c>
      <c r="AU268" s="772">
        <v>0</v>
      </c>
      <c r="AV268" s="772">
        <v>20553581</v>
      </c>
      <c r="AW268" s="772">
        <v>8702862</v>
      </c>
      <c r="AX268" s="772">
        <v>0</v>
      </c>
      <c r="AY268" s="772">
        <v>0</v>
      </c>
      <c r="AZ268" s="772">
        <v>0</v>
      </c>
      <c r="BA268" s="772">
        <v>0</v>
      </c>
      <c r="BB268" s="772">
        <v>0</v>
      </c>
      <c r="BC268" s="772">
        <v>0</v>
      </c>
      <c r="BD268" s="772">
        <v>0</v>
      </c>
      <c r="BE268" s="772">
        <v>0</v>
      </c>
      <c r="BF268" s="772">
        <v>0</v>
      </c>
      <c r="BG268" s="772">
        <v>0</v>
      </c>
      <c r="BH268" s="772">
        <v>0</v>
      </c>
      <c r="BI268" s="772">
        <v>0</v>
      </c>
      <c r="BJ268" s="772">
        <v>0</v>
      </c>
      <c r="BK268" s="772">
        <v>0</v>
      </c>
      <c r="BL268" s="772">
        <v>0</v>
      </c>
      <c r="BM268" s="772">
        <v>0</v>
      </c>
      <c r="BN268" s="772">
        <v>0</v>
      </c>
      <c r="BO268" s="772">
        <v>0</v>
      </c>
      <c r="BP268" s="772">
        <v>0</v>
      </c>
      <c r="BQ268" s="772">
        <v>0</v>
      </c>
      <c r="BR268" s="772">
        <v>0</v>
      </c>
      <c r="BS268" s="772">
        <v>0</v>
      </c>
      <c r="BT268" s="772">
        <v>0</v>
      </c>
      <c r="BU268" s="772">
        <v>0</v>
      </c>
      <c r="BV268" s="772">
        <v>0</v>
      </c>
      <c r="BW268" s="772">
        <v>0</v>
      </c>
      <c r="BX268" s="772">
        <v>0</v>
      </c>
      <c r="BY268" s="772">
        <v>0</v>
      </c>
      <c r="BZ268" s="772">
        <v>0</v>
      </c>
      <c r="CA268" s="772">
        <v>0</v>
      </c>
      <c r="CB268" s="772">
        <v>0</v>
      </c>
      <c r="CC268" s="772">
        <v>0</v>
      </c>
      <c r="CD268" s="772">
        <v>0</v>
      </c>
      <c r="CE268" s="772">
        <v>0</v>
      </c>
    </row>
    <row r="269" spans="1:83" ht="30" x14ac:dyDescent="0.25">
      <c r="A269" s="755">
        <v>609</v>
      </c>
      <c r="B269" s="755">
        <v>609</v>
      </c>
      <c r="C269" s="827" t="s">
        <v>812</v>
      </c>
      <c r="D269" s="635"/>
      <c r="E269" s="777">
        <v>0</v>
      </c>
      <c r="F269" s="778">
        <v>0</v>
      </c>
      <c r="G269" s="778">
        <v>0</v>
      </c>
      <c r="H269" s="778">
        <v>0</v>
      </c>
      <c r="I269" s="778">
        <v>0</v>
      </c>
      <c r="J269" s="778">
        <v>0</v>
      </c>
      <c r="K269" s="779">
        <v>0</v>
      </c>
      <c r="L269" s="780">
        <v>0</v>
      </c>
      <c r="M269" s="780">
        <v>0</v>
      </c>
      <c r="N269" s="781">
        <v>0</v>
      </c>
      <c r="O269" s="781">
        <v>0</v>
      </c>
      <c r="P269" s="781">
        <v>0</v>
      </c>
      <c r="Q269" s="781">
        <v>0</v>
      </c>
      <c r="R269" s="781">
        <v>3.5</v>
      </c>
      <c r="S269" s="781">
        <v>0</v>
      </c>
      <c r="T269" s="781">
        <v>0</v>
      </c>
      <c r="U269" s="781">
        <v>0</v>
      </c>
      <c r="V269" s="781">
        <v>0</v>
      </c>
      <c r="W269" s="781">
        <v>0</v>
      </c>
      <c r="X269" s="781">
        <v>0</v>
      </c>
      <c r="Y269" s="781">
        <v>0</v>
      </c>
      <c r="Z269" s="781">
        <v>0</v>
      </c>
      <c r="AA269" s="781">
        <v>0</v>
      </c>
      <c r="AB269" s="780">
        <v>0</v>
      </c>
      <c r="AC269" s="780">
        <v>0</v>
      </c>
      <c r="AD269" s="780">
        <v>0</v>
      </c>
      <c r="AE269" s="780">
        <v>0</v>
      </c>
      <c r="AF269" s="780">
        <v>0</v>
      </c>
      <c r="AG269" s="780">
        <v>0</v>
      </c>
      <c r="AH269" s="780">
        <v>0</v>
      </c>
      <c r="AI269" s="780">
        <v>0</v>
      </c>
      <c r="AJ269" s="780">
        <v>0</v>
      </c>
      <c r="AK269" s="780">
        <v>0</v>
      </c>
      <c r="AL269" s="780">
        <v>0</v>
      </c>
      <c r="AM269" s="780">
        <v>0</v>
      </c>
      <c r="AN269" s="780">
        <v>0</v>
      </c>
      <c r="AO269" s="780">
        <v>0</v>
      </c>
      <c r="AP269" s="780">
        <v>0</v>
      </c>
      <c r="AQ269" s="780">
        <v>0</v>
      </c>
      <c r="AR269" s="780">
        <v>0</v>
      </c>
      <c r="AS269" s="780">
        <v>0</v>
      </c>
      <c r="AT269" s="780">
        <v>0</v>
      </c>
      <c r="AU269" s="780">
        <v>0</v>
      </c>
      <c r="AV269" s="780">
        <v>13.6</v>
      </c>
      <c r="AW269" s="780">
        <v>9</v>
      </c>
      <c r="AX269" s="780">
        <v>0</v>
      </c>
      <c r="AY269" s="780">
        <v>0</v>
      </c>
      <c r="AZ269" s="780">
        <v>0</v>
      </c>
      <c r="BA269" s="780">
        <v>0</v>
      </c>
      <c r="BB269" s="780">
        <v>0</v>
      </c>
      <c r="BC269" s="780">
        <v>0</v>
      </c>
      <c r="BD269" s="780">
        <v>0</v>
      </c>
      <c r="BE269" s="780">
        <v>0</v>
      </c>
      <c r="BF269" s="780">
        <v>0</v>
      </c>
      <c r="BG269" s="780">
        <v>0</v>
      </c>
      <c r="BH269" s="780">
        <v>0</v>
      </c>
      <c r="BI269" s="780">
        <v>0</v>
      </c>
      <c r="BJ269" s="780">
        <v>0</v>
      </c>
      <c r="BK269" s="780">
        <v>0</v>
      </c>
      <c r="BL269" s="780">
        <v>0</v>
      </c>
      <c r="BM269" s="780">
        <v>0</v>
      </c>
      <c r="BN269" s="780">
        <v>0</v>
      </c>
      <c r="BO269" s="780">
        <v>0</v>
      </c>
      <c r="BP269" s="780">
        <v>0</v>
      </c>
      <c r="BQ269" s="780">
        <v>0</v>
      </c>
      <c r="BR269" s="780">
        <v>0</v>
      </c>
      <c r="BS269" s="780">
        <v>0</v>
      </c>
      <c r="BT269" s="780">
        <v>0</v>
      </c>
      <c r="BU269" s="780">
        <v>0</v>
      </c>
      <c r="BV269" s="780">
        <v>0</v>
      </c>
      <c r="BW269" s="780">
        <v>0</v>
      </c>
      <c r="BX269" s="780">
        <v>0</v>
      </c>
      <c r="BY269" s="780">
        <v>0</v>
      </c>
      <c r="BZ269" s="780">
        <v>0</v>
      </c>
      <c r="CA269" s="780">
        <v>0</v>
      </c>
      <c r="CB269" s="780">
        <v>0</v>
      </c>
      <c r="CC269" s="780">
        <v>0</v>
      </c>
      <c r="CD269" s="780">
        <v>0</v>
      </c>
      <c r="CE269" s="780">
        <v>0</v>
      </c>
    </row>
    <row r="270" spans="1:83" ht="30.75" customHeight="1" x14ac:dyDescent="0.25">
      <c r="A270" s="755">
        <v>610</v>
      </c>
      <c r="B270" s="755">
        <v>610</v>
      </c>
      <c r="C270" s="827" t="s">
        <v>792</v>
      </c>
      <c r="D270" s="635"/>
      <c r="E270" s="769">
        <v>0</v>
      </c>
      <c r="F270" s="770">
        <v>0</v>
      </c>
      <c r="G270" s="770">
        <v>0</v>
      </c>
      <c r="H270" s="770">
        <v>0</v>
      </c>
      <c r="I270" s="770">
        <v>0</v>
      </c>
      <c r="J270" s="770">
        <v>0</v>
      </c>
      <c r="K270" s="771">
        <v>0</v>
      </c>
      <c r="L270" s="772">
        <v>0</v>
      </c>
      <c r="M270" s="772">
        <v>0</v>
      </c>
      <c r="N270" s="773">
        <v>0</v>
      </c>
      <c r="O270" s="773">
        <v>0</v>
      </c>
      <c r="P270" s="773">
        <v>0</v>
      </c>
      <c r="Q270" s="773">
        <v>0</v>
      </c>
      <c r="R270" s="773">
        <v>0</v>
      </c>
      <c r="S270" s="773">
        <v>0</v>
      </c>
      <c r="T270" s="773">
        <v>0</v>
      </c>
      <c r="U270" s="773">
        <v>0</v>
      </c>
      <c r="V270" s="773">
        <v>0</v>
      </c>
      <c r="W270" s="773">
        <v>0</v>
      </c>
      <c r="X270" s="773">
        <v>0</v>
      </c>
      <c r="Y270" s="773">
        <v>0</v>
      </c>
      <c r="Z270" s="773">
        <v>0</v>
      </c>
      <c r="AA270" s="773">
        <v>0</v>
      </c>
      <c r="AB270" s="772">
        <v>0</v>
      </c>
      <c r="AC270" s="772">
        <v>0</v>
      </c>
      <c r="AD270" s="772">
        <v>0</v>
      </c>
      <c r="AE270" s="772">
        <v>0</v>
      </c>
      <c r="AF270" s="772">
        <v>0</v>
      </c>
      <c r="AG270" s="772">
        <v>0</v>
      </c>
      <c r="AH270" s="772">
        <v>0</v>
      </c>
      <c r="AI270" s="772">
        <v>0</v>
      </c>
      <c r="AJ270" s="772">
        <v>0</v>
      </c>
      <c r="AK270" s="772">
        <v>0</v>
      </c>
      <c r="AL270" s="772">
        <v>0</v>
      </c>
      <c r="AM270" s="772">
        <v>0</v>
      </c>
      <c r="AN270" s="772">
        <v>0</v>
      </c>
      <c r="AO270" s="772">
        <v>0</v>
      </c>
      <c r="AP270" s="772">
        <v>0</v>
      </c>
      <c r="AQ270" s="772">
        <v>0</v>
      </c>
      <c r="AR270" s="772">
        <v>0</v>
      </c>
      <c r="AS270" s="772">
        <v>0</v>
      </c>
      <c r="AT270" s="772">
        <v>0</v>
      </c>
      <c r="AU270" s="772">
        <v>0</v>
      </c>
      <c r="AV270" s="772">
        <v>0</v>
      </c>
      <c r="AW270" s="772">
        <v>0</v>
      </c>
      <c r="AX270" s="772">
        <v>0</v>
      </c>
      <c r="AY270" s="772">
        <v>0</v>
      </c>
      <c r="AZ270" s="772">
        <v>0</v>
      </c>
      <c r="BA270" s="772">
        <v>0</v>
      </c>
      <c r="BB270" s="772">
        <v>0</v>
      </c>
      <c r="BC270" s="772">
        <v>0</v>
      </c>
      <c r="BD270" s="772">
        <v>0</v>
      </c>
      <c r="BE270" s="772">
        <v>0</v>
      </c>
      <c r="BF270" s="772">
        <v>0</v>
      </c>
      <c r="BG270" s="772">
        <v>0</v>
      </c>
      <c r="BH270" s="772">
        <v>0</v>
      </c>
      <c r="BI270" s="772">
        <v>0</v>
      </c>
      <c r="BJ270" s="772">
        <v>0</v>
      </c>
      <c r="BK270" s="772">
        <v>0</v>
      </c>
      <c r="BL270" s="772">
        <v>0</v>
      </c>
      <c r="BM270" s="772">
        <v>0</v>
      </c>
      <c r="BN270" s="772">
        <v>0</v>
      </c>
      <c r="BO270" s="772">
        <v>0</v>
      </c>
      <c r="BP270" s="772">
        <v>0</v>
      </c>
      <c r="BQ270" s="772">
        <v>0</v>
      </c>
      <c r="BR270" s="772">
        <v>0</v>
      </c>
      <c r="BS270" s="772">
        <v>0</v>
      </c>
      <c r="BT270" s="772">
        <v>0</v>
      </c>
      <c r="BU270" s="772">
        <v>0</v>
      </c>
      <c r="BV270" s="772">
        <v>0</v>
      </c>
      <c r="BW270" s="772">
        <v>0</v>
      </c>
      <c r="BX270" s="772">
        <v>0</v>
      </c>
      <c r="BY270" s="772">
        <v>0</v>
      </c>
      <c r="BZ270" s="772">
        <v>0</v>
      </c>
      <c r="CA270" s="772">
        <v>0</v>
      </c>
      <c r="CB270" s="772">
        <v>0</v>
      </c>
      <c r="CC270" s="772">
        <v>0</v>
      </c>
      <c r="CD270" s="772">
        <v>0</v>
      </c>
      <c r="CE270" s="772">
        <v>0</v>
      </c>
    </row>
    <row r="271" spans="1:83" x14ac:dyDescent="0.25">
      <c r="A271" s="755">
        <v>611</v>
      </c>
      <c r="B271" s="755">
        <v>611</v>
      </c>
      <c r="C271" s="827" t="s">
        <v>793</v>
      </c>
      <c r="D271" s="635"/>
      <c r="E271" s="769">
        <v>0</v>
      </c>
      <c r="F271" s="770">
        <v>0</v>
      </c>
      <c r="G271" s="770">
        <v>0</v>
      </c>
      <c r="H271" s="770">
        <v>0</v>
      </c>
      <c r="I271" s="770">
        <v>0</v>
      </c>
      <c r="J271" s="770">
        <v>0</v>
      </c>
      <c r="K271" s="771">
        <v>0</v>
      </c>
      <c r="L271" s="772">
        <v>0</v>
      </c>
      <c r="M271" s="772">
        <v>0</v>
      </c>
      <c r="N271" s="773">
        <v>0</v>
      </c>
      <c r="O271" s="773">
        <v>0</v>
      </c>
      <c r="P271" s="773">
        <v>0</v>
      </c>
      <c r="Q271" s="773">
        <v>0</v>
      </c>
      <c r="R271" s="773">
        <v>0</v>
      </c>
      <c r="S271" s="773">
        <v>0</v>
      </c>
      <c r="T271" s="773">
        <v>0</v>
      </c>
      <c r="U271" s="773">
        <v>0</v>
      </c>
      <c r="V271" s="773">
        <v>0</v>
      </c>
      <c r="W271" s="773">
        <v>0</v>
      </c>
      <c r="X271" s="773">
        <v>0</v>
      </c>
      <c r="Y271" s="773">
        <v>0</v>
      </c>
      <c r="Z271" s="773">
        <v>0</v>
      </c>
      <c r="AA271" s="773">
        <v>0</v>
      </c>
      <c r="AB271" s="772">
        <v>0</v>
      </c>
      <c r="AC271" s="772">
        <v>0</v>
      </c>
      <c r="AD271" s="772">
        <v>0</v>
      </c>
      <c r="AE271" s="772">
        <v>0</v>
      </c>
      <c r="AF271" s="772">
        <v>0</v>
      </c>
      <c r="AG271" s="772">
        <v>0</v>
      </c>
      <c r="AH271" s="772">
        <v>0</v>
      </c>
      <c r="AI271" s="772">
        <v>0</v>
      </c>
      <c r="AJ271" s="772">
        <v>0</v>
      </c>
      <c r="AK271" s="772">
        <v>0</v>
      </c>
      <c r="AL271" s="772">
        <v>0</v>
      </c>
      <c r="AM271" s="772">
        <v>0</v>
      </c>
      <c r="AN271" s="772">
        <v>0</v>
      </c>
      <c r="AO271" s="772">
        <v>0</v>
      </c>
      <c r="AP271" s="772">
        <v>0</v>
      </c>
      <c r="AQ271" s="772">
        <v>0</v>
      </c>
      <c r="AR271" s="772">
        <v>0</v>
      </c>
      <c r="AS271" s="772">
        <v>0</v>
      </c>
      <c r="AT271" s="772">
        <v>0</v>
      </c>
      <c r="AU271" s="772">
        <v>0</v>
      </c>
      <c r="AV271" s="772">
        <v>0</v>
      </c>
      <c r="AW271" s="772">
        <v>0</v>
      </c>
      <c r="AX271" s="772">
        <v>0</v>
      </c>
      <c r="AY271" s="772">
        <v>0</v>
      </c>
      <c r="AZ271" s="772">
        <v>0</v>
      </c>
      <c r="BA271" s="772">
        <v>0</v>
      </c>
      <c r="BB271" s="772">
        <v>0</v>
      </c>
      <c r="BC271" s="772">
        <v>0</v>
      </c>
      <c r="BD271" s="772">
        <v>0</v>
      </c>
      <c r="BE271" s="772">
        <v>0</v>
      </c>
      <c r="BF271" s="772">
        <v>0</v>
      </c>
      <c r="BG271" s="772">
        <v>0</v>
      </c>
      <c r="BH271" s="772">
        <v>0</v>
      </c>
      <c r="BI271" s="772">
        <v>0</v>
      </c>
      <c r="BJ271" s="772">
        <v>0</v>
      </c>
      <c r="BK271" s="772">
        <v>0</v>
      </c>
      <c r="BL271" s="772">
        <v>0</v>
      </c>
      <c r="BM271" s="772">
        <v>0</v>
      </c>
      <c r="BN271" s="772">
        <v>0</v>
      </c>
      <c r="BO271" s="772">
        <v>0</v>
      </c>
      <c r="BP271" s="772">
        <v>0</v>
      </c>
      <c r="BQ271" s="772">
        <v>0</v>
      </c>
      <c r="BR271" s="772">
        <v>0</v>
      </c>
      <c r="BS271" s="772">
        <v>0</v>
      </c>
      <c r="BT271" s="772">
        <v>0</v>
      </c>
      <c r="BU271" s="772">
        <v>0</v>
      </c>
      <c r="BV271" s="772">
        <v>0</v>
      </c>
      <c r="BW271" s="772">
        <v>0</v>
      </c>
      <c r="BX271" s="772">
        <v>0</v>
      </c>
      <c r="BY271" s="772">
        <v>0</v>
      </c>
      <c r="BZ271" s="772">
        <v>0</v>
      </c>
      <c r="CA271" s="772">
        <v>0</v>
      </c>
      <c r="CB271" s="772">
        <v>0</v>
      </c>
      <c r="CC271" s="772">
        <v>0</v>
      </c>
      <c r="CD271" s="772">
        <v>0</v>
      </c>
      <c r="CE271" s="772">
        <v>0</v>
      </c>
    </row>
    <row r="272" spans="1:83" ht="30" x14ac:dyDescent="0.25">
      <c r="A272" s="755">
        <v>612</v>
      </c>
      <c r="B272" s="755">
        <v>612</v>
      </c>
      <c r="C272" s="827" t="s">
        <v>813</v>
      </c>
      <c r="D272" s="635"/>
      <c r="E272" s="777">
        <v>0</v>
      </c>
      <c r="F272" s="778">
        <v>0</v>
      </c>
      <c r="G272" s="778">
        <v>0</v>
      </c>
      <c r="H272" s="778">
        <v>0</v>
      </c>
      <c r="I272" s="778">
        <v>0</v>
      </c>
      <c r="J272" s="778">
        <v>0</v>
      </c>
      <c r="K272" s="779">
        <v>0</v>
      </c>
      <c r="L272" s="780">
        <v>0</v>
      </c>
      <c r="M272" s="780">
        <v>0</v>
      </c>
      <c r="N272" s="781">
        <v>0</v>
      </c>
      <c r="O272" s="781">
        <v>0</v>
      </c>
      <c r="P272" s="781">
        <v>0</v>
      </c>
      <c r="Q272" s="781">
        <v>0</v>
      </c>
      <c r="R272" s="781">
        <v>0</v>
      </c>
      <c r="S272" s="781">
        <v>0</v>
      </c>
      <c r="T272" s="781">
        <v>0</v>
      </c>
      <c r="U272" s="781">
        <v>0</v>
      </c>
      <c r="V272" s="781">
        <v>0</v>
      </c>
      <c r="W272" s="781">
        <v>0</v>
      </c>
      <c r="X272" s="781">
        <v>0</v>
      </c>
      <c r="Y272" s="781">
        <v>0</v>
      </c>
      <c r="Z272" s="781">
        <v>0</v>
      </c>
      <c r="AA272" s="781">
        <v>0</v>
      </c>
      <c r="AB272" s="780">
        <v>0</v>
      </c>
      <c r="AC272" s="780">
        <v>0</v>
      </c>
      <c r="AD272" s="780">
        <v>0</v>
      </c>
      <c r="AE272" s="780">
        <v>0</v>
      </c>
      <c r="AF272" s="780">
        <v>0</v>
      </c>
      <c r="AG272" s="780">
        <v>0</v>
      </c>
      <c r="AH272" s="780">
        <v>0</v>
      </c>
      <c r="AI272" s="780">
        <v>0</v>
      </c>
      <c r="AJ272" s="780">
        <v>0</v>
      </c>
      <c r="AK272" s="780">
        <v>0</v>
      </c>
      <c r="AL272" s="780">
        <v>0</v>
      </c>
      <c r="AM272" s="780">
        <v>0</v>
      </c>
      <c r="AN272" s="780">
        <v>0</v>
      </c>
      <c r="AO272" s="780">
        <v>0</v>
      </c>
      <c r="AP272" s="780">
        <v>0</v>
      </c>
      <c r="AQ272" s="780">
        <v>0</v>
      </c>
      <c r="AR272" s="780">
        <v>0</v>
      </c>
      <c r="AS272" s="780">
        <v>0</v>
      </c>
      <c r="AT272" s="780">
        <v>0</v>
      </c>
      <c r="AU272" s="780">
        <v>0</v>
      </c>
      <c r="AV272" s="780">
        <v>0</v>
      </c>
      <c r="AW272" s="780">
        <v>0</v>
      </c>
      <c r="AX272" s="780">
        <v>0</v>
      </c>
      <c r="AY272" s="780">
        <v>0</v>
      </c>
      <c r="AZ272" s="780">
        <v>0</v>
      </c>
      <c r="BA272" s="780">
        <v>0</v>
      </c>
      <c r="BB272" s="780">
        <v>0</v>
      </c>
      <c r="BC272" s="780">
        <v>0</v>
      </c>
      <c r="BD272" s="780">
        <v>0</v>
      </c>
      <c r="BE272" s="780">
        <v>0</v>
      </c>
      <c r="BF272" s="780">
        <v>0</v>
      </c>
      <c r="BG272" s="780">
        <v>0</v>
      </c>
      <c r="BH272" s="780">
        <v>0</v>
      </c>
      <c r="BI272" s="780">
        <v>0</v>
      </c>
      <c r="BJ272" s="780">
        <v>0</v>
      </c>
      <c r="BK272" s="780">
        <v>0</v>
      </c>
      <c r="BL272" s="780">
        <v>0</v>
      </c>
      <c r="BM272" s="780">
        <v>0</v>
      </c>
      <c r="BN272" s="780">
        <v>0</v>
      </c>
      <c r="BO272" s="780">
        <v>0</v>
      </c>
      <c r="BP272" s="780">
        <v>0</v>
      </c>
      <c r="BQ272" s="780">
        <v>0</v>
      </c>
      <c r="BR272" s="780">
        <v>0</v>
      </c>
      <c r="BS272" s="780">
        <v>0</v>
      </c>
      <c r="BT272" s="780">
        <v>0</v>
      </c>
      <c r="BU272" s="780">
        <v>0</v>
      </c>
      <c r="BV272" s="780">
        <v>0</v>
      </c>
      <c r="BW272" s="780">
        <v>0</v>
      </c>
      <c r="BX272" s="780">
        <v>0</v>
      </c>
      <c r="BY272" s="780">
        <v>0</v>
      </c>
      <c r="BZ272" s="780">
        <v>0</v>
      </c>
      <c r="CA272" s="780">
        <v>0</v>
      </c>
      <c r="CB272" s="780">
        <v>0</v>
      </c>
      <c r="CC272" s="780">
        <v>0</v>
      </c>
      <c r="CD272" s="780">
        <v>0</v>
      </c>
      <c r="CE272" s="780">
        <v>0</v>
      </c>
    </row>
    <row r="273" spans="1:83" ht="26.25" customHeight="1" x14ac:dyDescent="0.25">
      <c r="A273" s="755">
        <v>613</v>
      </c>
      <c r="B273" s="755">
        <v>613</v>
      </c>
      <c r="C273" s="827" t="s">
        <v>801</v>
      </c>
      <c r="D273" s="635"/>
      <c r="E273" s="769">
        <v>0</v>
      </c>
      <c r="F273" s="770">
        <v>0</v>
      </c>
      <c r="G273" s="770">
        <v>0</v>
      </c>
      <c r="H273" s="770">
        <v>0</v>
      </c>
      <c r="I273" s="770">
        <v>0</v>
      </c>
      <c r="J273" s="770">
        <v>0</v>
      </c>
      <c r="K273" s="771">
        <v>0</v>
      </c>
      <c r="L273" s="772">
        <v>0</v>
      </c>
      <c r="M273" s="772">
        <v>0</v>
      </c>
      <c r="N273" s="773">
        <v>0</v>
      </c>
      <c r="O273" s="773">
        <v>0</v>
      </c>
      <c r="P273" s="773">
        <v>0</v>
      </c>
      <c r="Q273" s="773">
        <v>0</v>
      </c>
      <c r="R273" s="773">
        <v>0</v>
      </c>
      <c r="S273" s="773">
        <v>0</v>
      </c>
      <c r="T273" s="773">
        <v>0</v>
      </c>
      <c r="U273" s="773">
        <v>0</v>
      </c>
      <c r="V273" s="773">
        <v>0</v>
      </c>
      <c r="W273" s="773">
        <v>0</v>
      </c>
      <c r="X273" s="773">
        <v>0</v>
      </c>
      <c r="Y273" s="773">
        <v>0</v>
      </c>
      <c r="Z273" s="773">
        <v>0</v>
      </c>
      <c r="AA273" s="773">
        <v>0</v>
      </c>
      <c r="AB273" s="772">
        <v>0</v>
      </c>
      <c r="AC273" s="772">
        <v>0</v>
      </c>
      <c r="AD273" s="772">
        <v>0</v>
      </c>
      <c r="AE273" s="772">
        <v>0</v>
      </c>
      <c r="AF273" s="772">
        <v>0</v>
      </c>
      <c r="AG273" s="772">
        <v>0</v>
      </c>
      <c r="AH273" s="772">
        <v>0</v>
      </c>
      <c r="AI273" s="772">
        <v>0</v>
      </c>
      <c r="AJ273" s="772">
        <v>0</v>
      </c>
      <c r="AK273" s="772">
        <v>0</v>
      </c>
      <c r="AL273" s="772">
        <v>0</v>
      </c>
      <c r="AM273" s="772">
        <v>0</v>
      </c>
      <c r="AN273" s="772">
        <v>0</v>
      </c>
      <c r="AO273" s="772">
        <v>0</v>
      </c>
      <c r="AP273" s="772">
        <v>0</v>
      </c>
      <c r="AQ273" s="772">
        <v>0</v>
      </c>
      <c r="AR273" s="772">
        <v>0</v>
      </c>
      <c r="AS273" s="772">
        <v>0</v>
      </c>
      <c r="AT273" s="772">
        <v>0</v>
      </c>
      <c r="AU273" s="772">
        <v>0</v>
      </c>
      <c r="AV273" s="772">
        <v>0</v>
      </c>
      <c r="AW273" s="772">
        <v>0</v>
      </c>
      <c r="AX273" s="772">
        <v>0</v>
      </c>
      <c r="AY273" s="772">
        <v>0</v>
      </c>
      <c r="AZ273" s="772">
        <v>0</v>
      </c>
      <c r="BA273" s="772">
        <v>0</v>
      </c>
      <c r="BB273" s="772">
        <v>0</v>
      </c>
      <c r="BC273" s="772">
        <v>0</v>
      </c>
      <c r="BD273" s="772">
        <v>0</v>
      </c>
      <c r="BE273" s="772">
        <v>0</v>
      </c>
      <c r="BF273" s="772">
        <v>0</v>
      </c>
      <c r="BG273" s="772">
        <v>0</v>
      </c>
      <c r="BH273" s="772">
        <v>0</v>
      </c>
      <c r="BI273" s="772">
        <v>0</v>
      </c>
      <c r="BJ273" s="772">
        <v>0</v>
      </c>
      <c r="BK273" s="772">
        <v>0</v>
      </c>
      <c r="BL273" s="772">
        <v>0</v>
      </c>
      <c r="BM273" s="772">
        <v>0</v>
      </c>
      <c r="BN273" s="772">
        <v>0</v>
      </c>
      <c r="BO273" s="772">
        <v>0</v>
      </c>
      <c r="BP273" s="772">
        <v>0</v>
      </c>
      <c r="BQ273" s="772">
        <v>0</v>
      </c>
      <c r="BR273" s="772">
        <v>0</v>
      </c>
      <c r="BS273" s="772">
        <v>0</v>
      </c>
      <c r="BT273" s="772">
        <v>0</v>
      </c>
      <c r="BU273" s="772">
        <v>0</v>
      </c>
      <c r="BV273" s="772">
        <v>0</v>
      </c>
      <c r="BW273" s="772">
        <v>0</v>
      </c>
      <c r="BX273" s="772">
        <v>0</v>
      </c>
      <c r="BY273" s="772">
        <v>0</v>
      </c>
      <c r="BZ273" s="772">
        <v>0</v>
      </c>
      <c r="CA273" s="772">
        <v>0</v>
      </c>
      <c r="CB273" s="772">
        <v>0</v>
      </c>
      <c r="CC273" s="772">
        <v>0</v>
      </c>
      <c r="CD273" s="772">
        <v>0</v>
      </c>
      <c r="CE273" s="772">
        <v>0</v>
      </c>
    </row>
    <row r="274" spans="1:83" x14ac:dyDescent="0.25">
      <c r="A274" s="755">
        <v>614</v>
      </c>
      <c r="B274" s="755">
        <v>614</v>
      </c>
      <c r="C274" s="827" t="s">
        <v>794</v>
      </c>
      <c r="D274" s="635"/>
      <c r="E274" s="769">
        <v>0</v>
      </c>
      <c r="F274" s="770">
        <v>0</v>
      </c>
      <c r="G274" s="770">
        <v>0</v>
      </c>
      <c r="H274" s="770">
        <v>0</v>
      </c>
      <c r="I274" s="770">
        <v>0</v>
      </c>
      <c r="J274" s="770">
        <v>0</v>
      </c>
      <c r="K274" s="771">
        <v>0</v>
      </c>
      <c r="L274" s="772">
        <v>0</v>
      </c>
      <c r="M274" s="772">
        <v>0</v>
      </c>
      <c r="N274" s="773">
        <v>0</v>
      </c>
      <c r="O274" s="773">
        <v>0</v>
      </c>
      <c r="P274" s="773">
        <v>0</v>
      </c>
      <c r="Q274" s="773">
        <v>0</v>
      </c>
      <c r="R274" s="773">
        <v>0</v>
      </c>
      <c r="S274" s="773">
        <v>0</v>
      </c>
      <c r="T274" s="773">
        <v>0</v>
      </c>
      <c r="U274" s="773">
        <v>0</v>
      </c>
      <c r="V274" s="773">
        <v>0</v>
      </c>
      <c r="W274" s="773">
        <v>0</v>
      </c>
      <c r="X274" s="773">
        <v>0</v>
      </c>
      <c r="Y274" s="773">
        <v>0</v>
      </c>
      <c r="Z274" s="773">
        <v>0</v>
      </c>
      <c r="AA274" s="773">
        <v>0</v>
      </c>
      <c r="AB274" s="772">
        <v>0</v>
      </c>
      <c r="AC274" s="772">
        <v>0</v>
      </c>
      <c r="AD274" s="772">
        <v>0</v>
      </c>
      <c r="AE274" s="772">
        <v>0</v>
      </c>
      <c r="AF274" s="772">
        <v>0</v>
      </c>
      <c r="AG274" s="772">
        <v>0</v>
      </c>
      <c r="AH274" s="772">
        <v>0</v>
      </c>
      <c r="AI274" s="772">
        <v>0</v>
      </c>
      <c r="AJ274" s="772">
        <v>0</v>
      </c>
      <c r="AK274" s="772">
        <v>0</v>
      </c>
      <c r="AL274" s="772">
        <v>0</v>
      </c>
      <c r="AM274" s="772">
        <v>0</v>
      </c>
      <c r="AN274" s="772">
        <v>0</v>
      </c>
      <c r="AO274" s="772">
        <v>0</v>
      </c>
      <c r="AP274" s="772">
        <v>0</v>
      </c>
      <c r="AQ274" s="772">
        <v>0</v>
      </c>
      <c r="AR274" s="772">
        <v>0</v>
      </c>
      <c r="AS274" s="772">
        <v>0</v>
      </c>
      <c r="AT274" s="772">
        <v>0</v>
      </c>
      <c r="AU274" s="772">
        <v>0</v>
      </c>
      <c r="AV274" s="772">
        <v>0</v>
      </c>
      <c r="AW274" s="772">
        <v>0</v>
      </c>
      <c r="AX274" s="772">
        <v>0</v>
      </c>
      <c r="AY274" s="772">
        <v>0</v>
      </c>
      <c r="AZ274" s="772">
        <v>0</v>
      </c>
      <c r="BA274" s="772">
        <v>0</v>
      </c>
      <c r="BB274" s="772">
        <v>0</v>
      </c>
      <c r="BC274" s="772">
        <v>0</v>
      </c>
      <c r="BD274" s="772">
        <v>0</v>
      </c>
      <c r="BE274" s="772">
        <v>0</v>
      </c>
      <c r="BF274" s="772">
        <v>0</v>
      </c>
      <c r="BG274" s="772">
        <v>0</v>
      </c>
      <c r="BH274" s="772">
        <v>0</v>
      </c>
      <c r="BI274" s="772">
        <v>0</v>
      </c>
      <c r="BJ274" s="772">
        <v>0</v>
      </c>
      <c r="BK274" s="772">
        <v>0</v>
      </c>
      <c r="BL274" s="772">
        <v>0</v>
      </c>
      <c r="BM274" s="772">
        <v>0</v>
      </c>
      <c r="BN274" s="772">
        <v>0</v>
      </c>
      <c r="BO274" s="772">
        <v>0</v>
      </c>
      <c r="BP274" s="772">
        <v>0</v>
      </c>
      <c r="BQ274" s="772">
        <v>0</v>
      </c>
      <c r="BR274" s="772">
        <v>0</v>
      </c>
      <c r="BS274" s="772">
        <v>0</v>
      </c>
      <c r="BT274" s="772">
        <v>0</v>
      </c>
      <c r="BU274" s="772">
        <v>0</v>
      </c>
      <c r="BV274" s="772">
        <v>0</v>
      </c>
      <c r="BW274" s="772">
        <v>0</v>
      </c>
      <c r="BX274" s="772">
        <v>0</v>
      </c>
      <c r="BY274" s="772">
        <v>0</v>
      </c>
      <c r="BZ274" s="772">
        <v>0</v>
      </c>
      <c r="CA274" s="772">
        <v>0</v>
      </c>
      <c r="CB274" s="772">
        <v>0</v>
      </c>
      <c r="CC274" s="772">
        <v>0</v>
      </c>
      <c r="CD274" s="772">
        <v>0</v>
      </c>
      <c r="CE274" s="772">
        <v>0</v>
      </c>
    </row>
    <row r="275" spans="1:83" ht="30" x14ac:dyDescent="0.25">
      <c r="A275" s="755">
        <v>615</v>
      </c>
      <c r="B275" s="755">
        <v>615</v>
      </c>
      <c r="C275" s="827" t="s">
        <v>814</v>
      </c>
      <c r="D275" s="635"/>
      <c r="E275" s="777">
        <v>0</v>
      </c>
      <c r="F275" s="778">
        <v>0</v>
      </c>
      <c r="G275" s="778">
        <v>0</v>
      </c>
      <c r="H275" s="778">
        <v>0</v>
      </c>
      <c r="I275" s="778">
        <v>0</v>
      </c>
      <c r="J275" s="778">
        <v>0</v>
      </c>
      <c r="K275" s="779">
        <v>0</v>
      </c>
      <c r="L275" s="780">
        <v>0</v>
      </c>
      <c r="M275" s="780">
        <v>0</v>
      </c>
      <c r="N275" s="781">
        <v>0</v>
      </c>
      <c r="O275" s="781">
        <v>0</v>
      </c>
      <c r="P275" s="781">
        <v>0</v>
      </c>
      <c r="Q275" s="781">
        <v>0</v>
      </c>
      <c r="R275" s="781">
        <v>0</v>
      </c>
      <c r="S275" s="781">
        <v>0</v>
      </c>
      <c r="T275" s="781">
        <v>0</v>
      </c>
      <c r="U275" s="781">
        <v>0</v>
      </c>
      <c r="V275" s="781">
        <v>0</v>
      </c>
      <c r="W275" s="781">
        <v>0</v>
      </c>
      <c r="X275" s="781">
        <v>0</v>
      </c>
      <c r="Y275" s="781">
        <v>0</v>
      </c>
      <c r="Z275" s="781">
        <v>0</v>
      </c>
      <c r="AA275" s="781">
        <v>0</v>
      </c>
      <c r="AB275" s="780">
        <v>0</v>
      </c>
      <c r="AC275" s="780">
        <v>0</v>
      </c>
      <c r="AD275" s="780">
        <v>0</v>
      </c>
      <c r="AE275" s="780">
        <v>0</v>
      </c>
      <c r="AF275" s="780">
        <v>0</v>
      </c>
      <c r="AG275" s="780">
        <v>0</v>
      </c>
      <c r="AH275" s="780">
        <v>0</v>
      </c>
      <c r="AI275" s="780">
        <v>0</v>
      </c>
      <c r="AJ275" s="780">
        <v>0</v>
      </c>
      <c r="AK275" s="780">
        <v>0</v>
      </c>
      <c r="AL275" s="780">
        <v>0</v>
      </c>
      <c r="AM275" s="780">
        <v>0</v>
      </c>
      <c r="AN275" s="780">
        <v>0</v>
      </c>
      <c r="AO275" s="780">
        <v>0</v>
      </c>
      <c r="AP275" s="780">
        <v>0</v>
      </c>
      <c r="AQ275" s="780">
        <v>0</v>
      </c>
      <c r="AR275" s="780">
        <v>0</v>
      </c>
      <c r="AS275" s="780">
        <v>0</v>
      </c>
      <c r="AT275" s="780">
        <v>0</v>
      </c>
      <c r="AU275" s="780">
        <v>0</v>
      </c>
      <c r="AV275" s="780">
        <v>0</v>
      </c>
      <c r="AW275" s="780">
        <v>0</v>
      </c>
      <c r="AX275" s="780">
        <v>0</v>
      </c>
      <c r="AY275" s="780">
        <v>0</v>
      </c>
      <c r="AZ275" s="780">
        <v>0</v>
      </c>
      <c r="BA275" s="780">
        <v>0</v>
      </c>
      <c r="BB275" s="780">
        <v>0</v>
      </c>
      <c r="BC275" s="780">
        <v>0</v>
      </c>
      <c r="BD275" s="780">
        <v>0</v>
      </c>
      <c r="BE275" s="780">
        <v>0</v>
      </c>
      <c r="BF275" s="780">
        <v>0</v>
      </c>
      <c r="BG275" s="780">
        <v>0</v>
      </c>
      <c r="BH275" s="780">
        <v>0</v>
      </c>
      <c r="BI275" s="780">
        <v>0</v>
      </c>
      <c r="BJ275" s="780">
        <v>0</v>
      </c>
      <c r="BK275" s="780">
        <v>0</v>
      </c>
      <c r="BL275" s="780">
        <v>0</v>
      </c>
      <c r="BM275" s="780">
        <v>0</v>
      </c>
      <c r="BN275" s="780">
        <v>0</v>
      </c>
      <c r="BO275" s="780">
        <v>0</v>
      </c>
      <c r="BP275" s="780">
        <v>0</v>
      </c>
      <c r="BQ275" s="780">
        <v>0</v>
      </c>
      <c r="BR275" s="780">
        <v>0</v>
      </c>
      <c r="BS275" s="780">
        <v>0</v>
      </c>
      <c r="BT275" s="780">
        <v>0</v>
      </c>
      <c r="BU275" s="780">
        <v>0</v>
      </c>
      <c r="BV275" s="780">
        <v>0</v>
      </c>
      <c r="BW275" s="780">
        <v>0</v>
      </c>
      <c r="BX275" s="780">
        <v>0</v>
      </c>
      <c r="BY275" s="780">
        <v>0</v>
      </c>
      <c r="BZ275" s="780">
        <v>0</v>
      </c>
      <c r="CA275" s="780">
        <v>0</v>
      </c>
      <c r="CB275" s="780">
        <v>0</v>
      </c>
      <c r="CC275" s="780">
        <v>0</v>
      </c>
      <c r="CD275" s="780">
        <v>0</v>
      </c>
      <c r="CE275" s="780">
        <v>0</v>
      </c>
    </row>
    <row r="276" spans="1:83" ht="30" customHeight="1" x14ac:dyDescent="0.25">
      <c r="A276" s="755">
        <v>616</v>
      </c>
      <c r="B276" s="755">
        <v>616</v>
      </c>
      <c r="C276" s="827" t="s">
        <v>795</v>
      </c>
      <c r="D276" s="635"/>
      <c r="E276" s="769">
        <v>0</v>
      </c>
      <c r="F276" s="770">
        <v>0</v>
      </c>
      <c r="G276" s="770">
        <v>0</v>
      </c>
      <c r="H276" s="770">
        <v>0</v>
      </c>
      <c r="I276" s="770">
        <v>0</v>
      </c>
      <c r="J276" s="770">
        <v>0</v>
      </c>
      <c r="K276" s="771">
        <v>0</v>
      </c>
      <c r="L276" s="772">
        <v>0</v>
      </c>
      <c r="M276" s="772">
        <v>0</v>
      </c>
      <c r="N276" s="773">
        <v>0</v>
      </c>
      <c r="O276" s="773">
        <v>0</v>
      </c>
      <c r="P276" s="773">
        <v>0</v>
      </c>
      <c r="Q276" s="773">
        <v>0</v>
      </c>
      <c r="R276" s="773">
        <v>0</v>
      </c>
      <c r="S276" s="773">
        <v>0</v>
      </c>
      <c r="T276" s="773">
        <v>0</v>
      </c>
      <c r="U276" s="773">
        <v>0</v>
      </c>
      <c r="V276" s="773">
        <v>0</v>
      </c>
      <c r="W276" s="773">
        <v>0</v>
      </c>
      <c r="X276" s="773">
        <v>0</v>
      </c>
      <c r="Y276" s="773">
        <v>0</v>
      </c>
      <c r="Z276" s="773">
        <v>0</v>
      </c>
      <c r="AA276" s="773">
        <v>0</v>
      </c>
      <c r="AB276" s="772">
        <v>0</v>
      </c>
      <c r="AC276" s="772">
        <v>0</v>
      </c>
      <c r="AD276" s="772">
        <v>0</v>
      </c>
      <c r="AE276" s="772">
        <v>0</v>
      </c>
      <c r="AF276" s="772">
        <v>0</v>
      </c>
      <c r="AG276" s="772">
        <v>0</v>
      </c>
      <c r="AH276" s="772">
        <v>0</v>
      </c>
      <c r="AI276" s="772">
        <v>0</v>
      </c>
      <c r="AJ276" s="772">
        <v>0</v>
      </c>
      <c r="AK276" s="772">
        <v>0</v>
      </c>
      <c r="AL276" s="772">
        <v>0</v>
      </c>
      <c r="AM276" s="772">
        <v>0</v>
      </c>
      <c r="AN276" s="772">
        <v>0</v>
      </c>
      <c r="AO276" s="772">
        <v>0</v>
      </c>
      <c r="AP276" s="772">
        <v>0</v>
      </c>
      <c r="AQ276" s="772">
        <v>0</v>
      </c>
      <c r="AR276" s="772">
        <v>0</v>
      </c>
      <c r="AS276" s="772">
        <v>0</v>
      </c>
      <c r="AT276" s="772">
        <v>0</v>
      </c>
      <c r="AU276" s="772">
        <v>0</v>
      </c>
      <c r="AV276" s="772">
        <v>0</v>
      </c>
      <c r="AW276" s="772">
        <v>0</v>
      </c>
      <c r="AX276" s="772">
        <v>0</v>
      </c>
      <c r="AY276" s="772">
        <v>0</v>
      </c>
      <c r="AZ276" s="772">
        <v>0</v>
      </c>
      <c r="BA276" s="772">
        <v>0</v>
      </c>
      <c r="BB276" s="772">
        <v>0</v>
      </c>
      <c r="BC276" s="772">
        <v>0</v>
      </c>
      <c r="BD276" s="772">
        <v>0</v>
      </c>
      <c r="BE276" s="772">
        <v>0</v>
      </c>
      <c r="BF276" s="772">
        <v>0</v>
      </c>
      <c r="BG276" s="772">
        <v>0</v>
      </c>
      <c r="BH276" s="772">
        <v>0</v>
      </c>
      <c r="BI276" s="772">
        <v>0</v>
      </c>
      <c r="BJ276" s="772">
        <v>0</v>
      </c>
      <c r="BK276" s="772">
        <v>0</v>
      </c>
      <c r="BL276" s="772">
        <v>0</v>
      </c>
      <c r="BM276" s="772">
        <v>0</v>
      </c>
      <c r="BN276" s="772">
        <v>0</v>
      </c>
      <c r="BO276" s="772">
        <v>0</v>
      </c>
      <c r="BP276" s="772">
        <v>0</v>
      </c>
      <c r="BQ276" s="772">
        <v>0</v>
      </c>
      <c r="BR276" s="772">
        <v>0</v>
      </c>
      <c r="BS276" s="772">
        <v>0</v>
      </c>
      <c r="BT276" s="772">
        <v>0</v>
      </c>
      <c r="BU276" s="772">
        <v>0</v>
      </c>
      <c r="BV276" s="772">
        <v>0</v>
      </c>
      <c r="BW276" s="772">
        <v>0</v>
      </c>
      <c r="BX276" s="772">
        <v>0</v>
      </c>
      <c r="BY276" s="772">
        <v>0</v>
      </c>
      <c r="BZ276" s="772">
        <v>0</v>
      </c>
      <c r="CA276" s="772">
        <v>0</v>
      </c>
      <c r="CB276" s="772">
        <v>0</v>
      </c>
      <c r="CC276" s="772">
        <v>0</v>
      </c>
      <c r="CD276" s="772">
        <v>0</v>
      </c>
      <c r="CE276" s="772">
        <v>0</v>
      </c>
    </row>
    <row r="277" spans="1:83" x14ac:dyDescent="0.25">
      <c r="A277" s="755">
        <v>617</v>
      </c>
      <c r="B277" s="755">
        <v>617</v>
      </c>
      <c r="C277" s="827" t="s">
        <v>796</v>
      </c>
      <c r="D277" s="635"/>
      <c r="E277" s="769">
        <v>0</v>
      </c>
      <c r="F277" s="770">
        <v>0</v>
      </c>
      <c r="G277" s="770">
        <v>0</v>
      </c>
      <c r="H277" s="770">
        <v>0</v>
      </c>
      <c r="I277" s="770">
        <v>0</v>
      </c>
      <c r="J277" s="770">
        <v>0</v>
      </c>
      <c r="K277" s="771">
        <v>0</v>
      </c>
      <c r="L277" s="772">
        <v>0</v>
      </c>
      <c r="M277" s="772">
        <v>0</v>
      </c>
      <c r="N277" s="773">
        <v>0</v>
      </c>
      <c r="O277" s="773">
        <v>0</v>
      </c>
      <c r="P277" s="773">
        <v>0</v>
      </c>
      <c r="Q277" s="773">
        <v>0</v>
      </c>
      <c r="R277" s="773">
        <v>0</v>
      </c>
      <c r="S277" s="773">
        <v>0</v>
      </c>
      <c r="T277" s="773">
        <v>0</v>
      </c>
      <c r="U277" s="773">
        <v>0</v>
      </c>
      <c r="V277" s="773">
        <v>0</v>
      </c>
      <c r="W277" s="773">
        <v>0</v>
      </c>
      <c r="X277" s="773">
        <v>0</v>
      </c>
      <c r="Y277" s="773">
        <v>0</v>
      </c>
      <c r="Z277" s="773">
        <v>0</v>
      </c>
      <c r="AA277" s="773">
        <v>0</v>
      </c>
      <c r="AB277" s="772">
        <v>0</v>
      </c>
      <c r="AC277" s="772">
        <v>0</v>
      </c>
      <c r="AD277" s="772">
        <v>0</v>
      </c>
      <c r="AE277" s="772">
        <v>0</v>
      </c>
      <c r="AF277" s="772">
        <v>0</v>
      </c>
      <c r="AG277" s="772">
        <v>0</v>
      </c>
      <c r="AH277" s="772">
        <v>0</v>
      </c>
      <c r="AI277" s="772">
        <v>0</v>
      </c>
      <c r="AJ277" s="772">
        <v>0</v>
      </c>
      <c r="AK277" s="772">
        <v>0</v>
      </c>
      <c r="AL277" s="772">
        <v>0</v>
      </c>
      <c r="AM277" s="772">
        <v>0</v>
      </c>
      <c r="AN277" s="772">
        <v>0</v>
      </c>
      <c r="AO277" s="772">
        <v>0</v>
      </c>
      <c r="AP277" s="772">
        <v>0</v>
      </c>
      <c r="AQ277" s="772">
        <v>0</v>
      </c>
      <c r="AR277" s="772">
        <v>0</v>
      </c>
      <c r="AS277" s="772">
        <v>0</v>
      </c>
      <c r="AT277" s="772">
        <v>0</v>
      </c>
      <c r="AU277" s="772">
        <v>0</v>
      </c>
      <c r="AV277" s="772">
        <v>0</v>
      </c>
      <c r="AW277" s="772">
        <v>0</v>
      </c>
      <c r="AX277" s="772">
        <v>0</v>
      </c>
      <c r="AY277" s="772">
        <v>0</v>
      </c>
      <c r="AZ277" s="772">
        <v>0</v>
      </c>
      <c r="BA277" s="772">
        <v>0</v>
      </c>
      <c r="BB277" s="772">
        <v>0</v>
      </c>
      <c r="BC277" s="772">
        <v>0</v>
      </c>
      <c r="BD277" s="772">
        <v>0</v>
      </c>
      <c r="BE277" s="772">
        <v>0</v>
      </c>
      <c r="BF277" s="772">
        <v>0</v>
      </c>
      <c r="BG277" s="772">
        <v>0</v>
      </c>
      <c r="BH277" s="772">
        <v>0</v>
      </c>
      <c r="BI277" s="772">
        <v>0</v>
      </c>
      <c r="BJ277" s="772">
        <v>0</v>
      </c>
      <c r="BK277" s="772">
        <v>0</v>
      </c>
      <c r="BL277" s="772">
        <v>0</v>
      </c>
      <c r="BM277" s="772">
        <v>0</v>
      </c>
      <c r="BN277" s="772">
        <v>0</v>
      </c>
      <c r="BO277" s="772">
        <v>0</v>
      </c>
      <c r="BP277" s="772">
        <v>0</v>
      </c>
      <c r="BQ277" s="772">
        <v>0</v>
      </c>
      <c r="BR277" s="772">
        <v>0</v>
      </c>
      <c r="BS277" s="772">
        <v>0</v>
      </c>
      <c r="BT277" s="772">
        <v>0</v>
      </c>
      <c r="BU277" s="772">
        <v>0</v>
      </c>
      <c r="BV277" s="772">
        <v>0</v>
      </c>
      <c r="BW277" s="772">
        <v>0</v>
      </c>
      <c r="BX277" s="772">
        <v>0</v>
      </c>
      <c r="BY277" s="772">
        <v>0</v>
      </c>
      <c r="BZ277" s="772">
        <v>0</v>
      </c>
      <c r="CA277" s="772">
        <v>0</v>
      </c>
      <c r="CB277" s="772">
        <v>0</v>
      </c>
      <c r="CC277" s="772">
        <v>0</v>
      </c>
      <c r="CD277" s="772">
        <v>0</v>
      </c>
      <c r="CE277" s="772">
        <v>0</v>
      </c>
    </row>
    <row r="278" spans="1:83" ht="30" x14ac:dyDescent="0.25">
      <c r="A278" s="755">
        <v>618</v>
      </c>
      <c r="B278" s="755">
        <v>618</v>
      </c>
      <c r="C278" s="827" t="s">
        <v>815</v>
      </c>
      <c r="D278" s="635"/>
      <c r="E278" s="777">
        <v>0</v>
      </c>
      <c r="F278" s="778">
        <v>0</v>
      </c>
      <c r="G278" s="778">
        <v>0</v>
      </c>
      <c r="H278" s="778">
        <v>0</v>
      </c>
      <c r="I278" s="778">
        <v>0</v>
      </c>
      <c r="J278" s="778">
        <v>0</v>
      </c>
      <c r="K278" s="779">
        <v>0</v>
      </c>
      <c r="L278" s="780">
        <v>0</v>
      </c>
      <c r="M278" s="780">
        <v>0</v>
      </c>
      <c r="N278" s="781">
        <v>0</v>
      </c>
      <c r="O278" s="781">
        <v>0</v>
      </c>
      <c r="P278" s="781">
        <v>0</v>
      </c>
      <c r="Q278" s="781">
        <v>0</v>
      </c>
      <c r="R278" s="781">
        <v>0</v>
      </c>
      <c r="S278" s="781">
        <v>0</v>
      </c>
      <c r="T278" s="781">
        <v>0</v>
      </c>
      <c r="U278" s="781">
        <v>0</v>
      </c>
      <c r="V278" s="781">
        <v>0</v>
      </c>
      <c r="W278" s="781">
        <v>0</v>
      </c>
      <c r="X278" s="781">
        <v>0</v>
      </c>
      <c r="Y278" s="781">
        <v>0</v>
      </c>
      <c r="Z278" s="781">
        <v>0</v>
      </c>
      <c r="AA278" s="781">
        <v>0</v>
      </c>
      <c r="AB278" s="780">
        <v>0</v>
      </c>
      <c r="AC278" s="780">
        <v>0</v>
      </c>
      <c r="AD278" s="780">
        <v>0</v>
      </c>
      <c r="AE278" s="780">
        <v>0</v>
      </c>
      <c r="AF278" s="780">
        <v>0</v>
      </c>
      <c r="AG278" s="780">
        <v>0</v>
      </c>
      <c r="AH278" s="780">
        <v>0</v>
      </c>
      <c r="AI278" s="780">
        <v>0</v>
      </c>
      <c r="AJ278" s="780">
        <v>0</v>
      </c>
      <c r="AK278" s="780">
        <v>0</v>
      </c>
      <c r="AL278" s="780">
        <v>0</v>
      </c>
      <c r="AM278" s="780">
        <v>0</v>
      </c>
      <c r="AN278" s="780">
        <v>0</v>
      </c>
      <c r="AO278" s="780">
        <v>0</v>
      </c>
      <c r="AP278" s="780">
        <v>0</v>
      </c>
      <c r="AQ278" s="780">
        <v>0</v>
      </c>
      <c r="AR278" s="780">
        <v>0</v>
      </c>
      <c r="AS278" s="780">
        <v>0</v>
      </c>
      <c r="AT278" s="780">
        <v>0</v>
      </c>
      <c r="AU278" s="780">
        <v>0</v>
      </c>
      <c r="AV278" s="780">
        <v>0</v>
      </c>
      <c r="AW278" s="780">
        <v>0</v>
      </c>
      <c r="AX278" s="780">
        <v>0</v>
      </c>
      <c r="AY278" s="780">
        <v>0</v>
      </c>
      <c r="AZ278" s="780">
        <v>0</v>
      </c>
      <c r="BA278" s="780">
        <v>0</v>
      </c>
      <c r="BB278" s="780">
        <v>0</v>
      </c>
      <c r="BC278" s="780">
        <v>0</v>
      </c>
      <c r="BD278" s="780">
        <v>0</v>
      </c>
      <c r="BE278" s="780">
        <v>0</v>
      </c>
      <c r="BF278" s="780">
        <v>0</v>
      </c>
      <c r="BG278" s="780">
        <v>0</v>
      </c>
      <c r="BH278" s="780">
        <v>0</v>
      </c>
      <c r="BI278" s="780">
        <v>0</v>
      </c>
      <c r="BJ278" s="780">
        <v>0</v>
      </c>
      <c r="BK278" s="780">
        <v>0</v>
      </c>
      <c r="BL278" s="780">
        <v>0</v>
      </c>
      <c r="BM278" s="780">
        <v>0</v>
      </c>
      <c r="BN278" s="780">
        <v>0</v>
      </c>
      <c r="BO278" s="780">
        <v>0</v>
      </c>
      <c r="BP278" s="780">
        <v>0</v>
      </c>
      <c r="BQ278" s="780">
        <v>0</v>
      </c>
      <c r="BR278" s="780">
        <v>0</v>
      </c>
      <c r="BS278" s="780">
        <v>0</v>
      </c>
      <c r="BT278" s="780">
        <v>0</v>
      </c>
      <c r="BU278" s="780">
        <v>0</v>
      </c>
      <c r="BV278" s="780">
        <v>0</v>
      </c>
      <c r="BW278" s="780">
        <v>0</v>
      </c>
      <c r="BX278" s="780">
        <v>0</v>
      </c>
      <c r="BY278" s="780">
        <v>0</v>
      </c>
      <c r="BZ278" s="780">
        <v>0</v>
      </c>
      <c r="CA278" s="780">
        <v>0</v>
      </c>
      <c r="CB278" s="780">
        <v>0</v>
      </c>
      <c r="CC278" s="780">
        <v>0</v>
      </c>
      <c r="CD278" s="780">
        <v>0</v>
      </c>
      <c r="CE278" s="780">
        <v>0</v>
      </c>
    </row>
    <row r="279" spans="1:83" ht="30" x14ac:dyDescent="0.25">
      <c r="A279" s="755">
        <v>619</v>
      </c>
      <c r="B279" s="755">
        <v>619</v>
      </c>
      <c r="C279" s="827" t="s">
        <v>817</v>
      </c>
      <c r="D279" s="635"/>
      <c r="E279" s="777">
        <v>0</v>
      </c>
      <c r="F279" s="778">
        <v>0</v>
      </c>
      <c r="G279" s="778">
        <v>0</v>
      </c>
      <c r="H279" s="778">
        <v>0</v>
      </c>
      <c r="I279" s="778">
        <v>0</v>
      </c>
      <c r="J279" s="778">
        <v>0</v>
      </c>
      <c r="K279" s="779">
        <v>0</v>
      </c>
      <c r="L279" s="780">
        <v>0</v>
      </c>
      <c r="M279" s="780">
        <v>0</v>
      </c>
      <c r="N279" s="781">
        <v>0</v>
      </c>
      <c r="O279" s="781">
        <v>0</v>
      </c>
      <c r="P279" s="781">
        <v>0</v>
      </c>
      <c r="Q279" s="781">
        <v>0</v>
      </c>
      <c r="R279" s="781">
        <v>0</v>
      </c>
      <c r="S279" s="781">
        <v>0</v>
      </c>
      <c r="T279" s="781">
        <v>0</v>
      </c>
      <c r="U279" s="781">
        <v>0</v>
      </c>
      <c r="V279" s="781">
        <v>0</v>
      </c>
      <c r="W279" s="781">
        <v>0</v>
      </c>
      <c r="X279" s="781">
        <v>0</v>
      </c>
      <c r="Y279" s="781">
        <v>0</v>
      </c>
      <c r="Z279" s="781">
        <v>0</v>
      </c>
      <c r="AA279" s="781">
        <v>0</v>
      </c>
      <c r="AB279" s="780">
        <v>0</v>
      </c>
      <c r="AC279" s="780">
        <v>0</v>
      </c>
      <c r="AD279" s="780">
        <v>0</v>
      </c>
      <c r="AE279" s="780">
        <v>0</v>
      </c>
      <c r="AF279" s="780">
        <v>0</v>
      </c>
      <c r="AG279" s="780">
        <v>0</v>
      </c>
      <c r="AH279" s="780">
        <v>0</v>
      </c>
      <c r="AI279" s="780">
        <v>0</v>
      </c>
      <c r="AJ279" s="780">
        <v>0</v>
      </c>
      <c r="AK279" s="780">
        <v>0</v>
      </c>
      <c r="AL279" s="780">
        <v>0</v>
      </c>
      <c r="AM279" s="780">
        <v>0</v>
      </c>
      <c r="AN279" s="780">
        <v>0</v>
      </c>
      <c r="AO279" s="780">
        <v>0</v>
      </c>
      <c r="AP279" s="780">
        <v>0</v>
      </c>
      <c r="AQ279" s="780">
        <v>0</v>
      </c>
      <c r="AR279" s="780">
        <v>0</v>
      </c>
      <c r="AS279" s="780">
        <v>0</v>
      </c>
      <c r="AT279" s="780">
        <v>0</v>
      </c>
      <c r="AU279" s="780">
        <v>0</v>
      </c>
      <c r="AV279" s="780">
        <v>21.2</v>
      </c>
      <c r="AW279" s="780">
        <v>0</v>
      </c>
      <c r="AX279" s="780">
        <v>0</v>
      </c>
      <c r="AY279" s="780">
        <v>0</v>
      </c>
      <c r="AZ279" s="780">
        <v>0</v>
      </c>
      <c r="BA279" s="780">
        <v>0</v>
      </c>
      <c r="BB279" s="780">
        <v>0</v>
      </c>
      <c r="BC279" s="780">
        <v>0</v>
      </c>
      <c r="BD279" s="780">
        <v>0</v>
      </c>
      <c r="BE279" s="780">
        <v>0</v>
      </c>
      <c r="BF279" s="780">
        <v>0</v>
      </c>
      <c r="BG279" s="780">
        <v>0</v>
      </c>
      <c r="BH279" s="780">
        <v>0</v>
      </c>
      <c r="BI279" s="780">
        <v>0</v>
      </c>
      <c r="BJ279" s="780">
        <v>0</v>
      </c>
      <c r="BK279" s="780">
        <v>0</v>
      </c>
      <c r="BL279" s="780">
        <v>0</v>
      </c>
      <c r="BM279" s="780">
        <v>0</v>
      </c>
      <c r="BN279" s="780">
        <v>0</v>
      </c>
      <c r="BO279" s="780">
        <v>0</v>
      </c>
      <c r="BP279" s="780">
        <v>0</v>
      </c>
      <c r="BQ279" s="780">
        <v>0</v>
      </c>
      <c r="BR279" s="780">
        <v>0</v>
      </c>
      <c r="BS279" s="780">
        <v>0</v>
      </c>
      <c r="BT279" s="780">
        <v>0</v>
      </c>
      <c r="BU279" s="780">
        <v>0</v>
      </c>
      <c r="BV279" s="780">
        <v>0</v>
      </c>
      <c r="BW279" s="780">
        <v>0</v>
      </c>
      <c r="BX279" s="780">
        <v>0</v>
      </c>
      <c r="BY279" s="780">
        <v>0</v>
      </c>
      <c r="BZ279" s="780">
        <v>0</v>
      </c>
      <c r="CA279" s="780">
        <v>0</v>
      </c>
      <c r="CB279" s="780">
        <v>0</v>
      </c>
      <c r="CC279" s="780">
        <v>0</v>
      </c>
      <c r="CD279" s="780">
        <v>0</v>
      </c>
      <c r="CE279" s="780">
        <v>0</v>
      </c>
    </row>
    <row r="280" spans="1:83" ht="60" x14ac:dyDescent="0.25">
      <c r="A280" s="755">
        <v>620</v>
      </c>
      <c r="B280" s="755">
        <v>620</v>
      </c>
      <c r="C280" s="827" t="s">
        <v>805</v>
      </c>
      <c r="D280" s="635"/>
      <c r="E280" s="769">
        <v>2</v>
      </c>
      <c r="F280" s="770">
        <v>2</v>
      </c>
      <c r="G280" s="770">
        <v>1</v>
      </c>
      <c r="H280" s="770">
        <v>2</v>
      </c>
      <c r="I280" s="770">
        <v>2</v>
      </c>
      <c r="J280" s="770">
        <v>2</v>
      </c>
      <c r="K280" s="771">
        <v>2</v>
      </c>
      <c r="L280" s="772">
        <v>1</v>
      </c>
      <c r="M280" s="772">
        <v>2</v>
      </c>
      <c r="N280" s="773">
        <v>1</v>
      </c>
      <c r="O280" s="773">
        <v>2</v>
      </c>
      <c r="P280" s="773">
        <v>2</v>
      </c>
      <c r="Q280" s="773">
        <v>2</v>
      </c>
      <c r="R280" s="773">
        <v>2</v>
      </c>
      <c r="S280" s="773">
        <v>2</v>
      </c>
      <c r="T280" s="773">
        <v>2</v>
      </c>
      <c r="U280" s="773">
        <v>2</v>
      </c>
      <c r="V280" s="773">
        <v>2</v>
      </c>
      <c r="W280" s="773">
        <v>2</v>
      </c>
      <c r="X280" s="773">
        <v>2</v>
      </c>
      <c r="Y280" s="773">
        <v>1</v>
      </c>
      <c r="Z280" s="773">
        <v>2</v>
      </c>
      <c r="AA280" s="773">
        <v>1</v>
      </c>
      <c r="AB280" s="772">
        <v>2</v>
      </c>
      <c r="AC280" s="772">
        <v>2</v>
      </c>
      <c r="AD280" s="772">
        <v>1</v>
      </c>
      <c r="AE280" s="772">
        <v>0</v>
      </c>
      <c r="AF280" s="772">
        <v>2</v>
      </c>
      <c r="AG280" s="772">
        <v>2</v>
      </c>
      <c r="AH280" s="772">
        <v>2</v>
      </c>
      <c r="AI280" s="772">
        <v>2</v>
      </c>
      <c r="AJ280" s="772">
        <v>1</v>
      </c>
      <c r="AK280" s="772">
        <v>2</v>
      </c>
      <c r="AL280" s="772">
        <v>2</v>
      </c>
      <c r="AM280" s="772">
        <v>1</v>
      </c>
      <c r="AN280" s="772">
        <v>2</v>
      </c>
      <c r="AO280" s="772">
        <v>2</v>
      </c>
      <c r="AP280" s="772">
        <v>2</v>
      </c>
      <c r="AQ280" s="772">
        <v>2</v>
      </c>
      <c r="AR280" s="772">
        <v>2</v>
      </c>
      <c r="AS280" s="772">
        <v>2</v>
      </c>
      <c r="AT280" s="772">
        <v>2</v>
      </c>
      <c r="AU280" s="772">
        <v>2</v>
      </c>
      <c r="AV280" s="772">
        <v>1</v>
      </c>
      <c r="AW280" s="772">
        <v>1</v>
      </c>
      <c r="AX280" s="772">
        <v>2</v>
      </c>
      <c r="AY280" s="772">
        <v>2</v>
      </c>
      <c r="AZ280" s="772">
        <v>2</v>
      </c>
      <c r="BA280" s="772">
        <v>1</v>
      </c>
      <c r="BB280" s="772">
        <v>2</v>
      </c>
      <c r="BC280" s="772">
        <v>2</v>
      </c>
      <c r="BD280" s="772">
        <v>2</v>
      </c>
      <c r="BE280" s="772">
        <v>2</v>
      </c>
      <c r="BF280" s="772">
        <v>0</v>
      </c>
      <c r="BG280" s="772">
        <v>1</v>
      </c>
      <c r="BH280" s="772">
        <v>2</v>
      </c>
      <c r="BI280" s="772">
        <v>2</v>
      </c>
      <c r="BJ280" s="772">
        <v>1</v>
      </c>
      <c r="BK280" s="772">
        <v>2</v>
      </c>
      <c r="BL280" s="772">
        <v>2</v>
      </c>
      <c r="BM280" s="772">
        <v>2</v>
      </c>
      <c r="BN280" s="772">
        <v>1</v>
      </c>
      <c r="BO280" s="772">
        <v>2</v>
      </c>
      <c r="BP280" s="772">
        <v>2</v>
      </c>
      <c r="BQ280" s="772">
        <v>1</v>
      </c>
      <c r="BR280" s="772">
        <v>2</v>
      </c>
      <c r="BS280" s="772">
        <v>1</v>
      </c>
      <c r="BT280" s="772">
        <v>2</v>
      </c>
      <c r="BU280" s="772">
        <v>2</v>
      </c>
      <c r="BV280" s="772">
        <v>2</v>
      </c>
      <c r="BW280" s="772">
        <v>2</v>
      </c>
      <c r="BX280" s="772">
        <v>2</v>
      </c>
      <c r="BY280" s="772">
        <v>2</v>
      </c>
      <c r="BZ280" s="772">
        <v>1</v>
      </c>
      <c r="CA280" s="772">
        <v>2</v>
      </c>
      <c r="CB280" s="772">
        <v>2</v>
      </c>
      <c r="CC280" s="772">
        <v>0</v>
      </c>
      <c r="CD280" s="772">
        <v>2</v>
      </c>
      <c r="CE280" s="772">
        <v>2</v>
      </c>
    </row>
    <row r="281" spans="1:83" ht="37.5" customHeight="1" x14ac:dyDescent="0.25">
      <c r="A281" s="755">
        <v>621</v>
      </c>
      <c r="B281" s="755">
        <v>621</v>
      </c>
      <c r="C281" s="829" t="s">
        <v>823</v>
      </c>
      <c r="D281" s="635"/>
      <c r="E281" s="769">
        <v>0</v>
      </c>
      <c r="F281" s="770">
        <v>0</v>
      </c>
      <c r="G281" s="770">
        <v>0</v>
      </c>
      <c r="H281" s="770">
        <v>0</v>
      </c>
      <c r="I281" s="770">
        <v>0</v>
      </c>
      <c r="J281" s="770">
        <v>0</v>
      </c>
      <c r="K281" s="771">
        <v>0</v>
      </c>
      <c r="L281" s="772">
        <v>0</v>
      </c>
      <c r="M281" s="772">
        <v>0</v>
      </c>
      <c r="N281" s="773">
        <v>0</v>
      </c>
      <c r="O281" s="773">
        <v>0</v>
      </c>
      <c r="P281" s="773">
        <v>0</v>
      </c>
      <c r="Q281" s="773">
        <v>0</v>
      </c>
      <c r="R281" s="773">
        <v>12123671</v>
      </c>
      <c r="S281" s="773">
        <v>0</v>
      </c>
      <c r="T281" s="773">
        <v>0</v>
      </c>
      <c r="U281" s="773">
        <v>0</v>
      </c>
      <c r="V281" s="773">
        <v>0</v>
      </c>
      <c r="W281" s="773">
        <v>0</v>
      </c>
      <c r="X281" s="773">
        <v>0</v>
      </c>
      <c r="Y281" s="773">
        <v>0</v>
      </c>
      <c r="Z281" s="773">
        <v>0</v>
      </c>
      <c r="AA281" s="773">
        <v>0</v>
      </c>
      <c r="AB281" s="772">
        <v>0</v>
      </c>
      <c r="AC281" s="772">
        <v>0</v>
      </c>
      <c r="AD281" s="772">
        <v>0</v>
      </c>
      <c r="AE281" s="772">
        <v>0</v>
      </c>
      <c r="AF281" s="772">
        <v>0</v>
      </c>
      <c r="AG281" s="772">
        <v>0</v>
      </c>
      <c r="AH281" s="772">
        <v>0</v>
      </c>
      <c r="AI281" s="772">
        <v>0</v>
      </c>
      <c r="AJ281" s="772">
        <v>0</v>
      </c>
      <c r="AK281" s="772">
        <v>0</v>
      </c>
      <c r="AL281" s="772">
        <v>0</v>
      </c>
      <c r="AM281" s="772">
        <v>0</v>
      </c>
      <c r="AN281" s="772">
        <v>0</v>
      </c>
      <c r="AO281" s="772">
        <v>0</v>
      </c>
      <c r="AP281" s="772">
        <v>0</v>
      </c>
      <c r="AQ281" s="772">
        <v>0</v>
      </c>
      <c r="AR281" s="772">
        <v>0</v>
      </c>
      <c r="AS281" s="772">
        <v>0</v>
      </c>
      <c r="AT281" s="772">
        <v>0</v>
      </c>
      <c r="AU281" s="772">
        <v>0</v>
      </c>
      <c r="AV281" s="772">
        <v>0</v>
      </c>
      <c r="AW281" s="772">
        <v>0</v>
      </c>
      <c r="AX281" s="772">
        <v>0</v>
      </c>
      <c r="AY281" s="772">
        <v>0</v>
      </c>
      <c r="AZ281" s="772">
        <v>0</v>
      </c>
      <c r="BA281" s="772">
        <v>0</v>
      </c>
      <c r="BB281" s="772">
        <v>0</v>
      </c>
      <c r="BC281" s="772">
        <v>0</v>
      </c>
      <c r="BD281" s="772">
        <v>0</v>
      </c>
      <c r="BE281" s="772">
        <v>0</v>
      </c>
      <c r="BF281" s="772">
        <v>0</v>
      </c>
      <c r="BG281" s="772">
        <v>0</v>
      </c>
      <c r="BH281" s="772">
        <v>0</v>
      </c>
      <c r="BI281" s="772">
        <v>0</v>
      </c>
      <c r="BJ281" s="772">
        <v>0</v>
      </c>
      <c r="BK281" s="772">
        <v>0</v>
      </c>
      <c r="BL281" s="772">
        <v>0</v>
      </c>
      <c r="BM281" s="772">
        <v>0</v>
      </c>
      <c r="BN281" s="772">
        <v>0</v>
      </c>
      <c r="BO281" s="772">
        <v>0</v>
      </c>
      <c r="BP281" s="772">
        <v>0</v>
      </c>
      <c r="BQ281" s="772">
        <v>0</v>
      </c>
      <c r="BR281" s="772">
        <v>0</v>
      </c>
      <c r="BS281" s="772">
        <v>0</v>
      </c>
      <c r="BT281" s="772">
        <v>0</v>
      </c>
      <c r="BU281" s="772">
        <v>0</v>
      </c>
      <c r="BV281" s="772">
        <v>0</v>
      </c>
      <c r="BW281" s="772">
        <v>0</v>
      </c>
      <c r="BX281" s="772">
        <v>0</v>
      </c>
      <c r="BY281" s="772">
        <v>0</v>
      </c>
      <c r="BZ281" s="772">
        <v>0</v>
      </c>
      <c r="CA281" s="772">
        <v>0</v>
      </c>
      <c r="CB281" s="772">
        <v>0</v>
      </c>
      <c r="CC281" s="772">
        <v>0</v>
      </c>
      <c r="CD281" s="772">
        <v>0</v>
      </c>
      <c r="CE281" s="772">
        <v>0</v>
      </c>
    </row>
    <row r="282" spans="1:83" ht="37.5" customHeight="1" x14ac:dyDescent="0.25">
      <c r="A282" s="755"/>
      <c r="B282" s="755"/>
      <c r="C282" s="830"/>
      <c r="D282" s="635"/>
      <c r="E282" s="769"/>
      <c r="F282" s="770"/>
      <c r="G282" s="770"/>
      <c r="H282" s="770"/>
      <c r="I282" s="770"/>
      <c r="J282" s="770"/>
      <c r="K282" s="771"/>
      <c r="L282" s="772"/>
      <c r="M282" s="772"/>
      <c r="N282" s="773"/>
      <c r="O282" s="773"/>
      <c r="P282" s="773"/>
      <c r="Q282" s="773"/>
      <c r="R282" s="773"/>
      <c r="S282" s="773"/>
      <c r="T282" s="773"/>
      <c r="U282" s="773"/>
      <c r="V282" s="773"/>
      <c r="W282" s="773"/>
      <c r="X282" s="773"/>
      <c r="Y282" s="773"/>
      <c r="Z282" s="773"/>
      <c r="AA282" s="773"/>
      <c r="AB282" s="772"/>
      <c r="AC282" s="772"/>
      <c r="AD282" s="772"/>
      <c r="AE282" s="772"/>
      <c r="AF282" s="772"/>
      <c r="AG282" s="772"/>
      <c r="AH282" s="772"/>
      <c r="AI282" s="772"/>
      <c r="AJ282" s="772"/>
      <c r="AK282" s="772"/>
      <c r="AL282" s="772"/>
      <c r="AM282" s="772"/>
      <c r="AN282" s="772"/>
      <c r="AO282" s="772"/>
      <c r="AP282" s="772"/>
      <c r="AQ282" s="772"/>
      <c r="AR282" s="772"/>
      <c r="AS282" s="772"/>
      <c r="AT282" s="772"/>
      <c r="AU282" s="772"/>
      <c r="AV282" s="772"/>
      <c r="AW282" s="772"/>
      <c r="AX282" s="772"/>
      <c r="AY282" s="772"/>
      <c r="AZ282" s="772"/>
      <c r="BA282" s="772"/>
      <c r="BB282" s="772"/>
      <c r="BC282" s="772"/>
      <c r="BD282" s="772"/>
      <c r="BE282" s="772"/>
      <c r="BF282" s="772"/>
      <c r="BG282" s="772"/>
      <c r="BH282" s="772"/>
      <c r="BI282" s="772"/>
      <c r="BJ282" s="772"/>
      <c r="BK282" s="772"/>
      <c r="BL282" s="772"/>
      <c r="BM282" s="772"/>
      <c r="BN282" s="772"/>
      <c r="BO282" s="772"/>
      <c r="BP282" s="772"/>
      <c r="BQ282" s="772"/>
      <c r="BR282" s="772"/>
      <c r="BS282" s="772"/>
      <c r="BT282" s="772"/>
      <c r="BU282" s="772"/>
      <c r="BV282" s="772"/>
      <c r="BW282" s="772"/>
      <c r="BX282" s="772"/>
      <c r="BY282" s="772"/>
      <c r="BZ282" s="772"/>
      <c r="CA282" s="772"/>
      <c r="CB282" s="772"/>
      <c r="CC282" s="772"/>
      <c r="CD282" s="772"/>
      <c r="CE282" s="772"/>
    </row>
    <row r="283" spans="1:83" ht="37.5" customHeight="1" x14ac:dyDescent="0.25">
      <c r="A283" s="755">
        <v>647</v>
      </c>
      <c r="B283" s="755">
        <v>647</v>
      </c>
      <c r="C283" s="830" t="s">
        <v>930</v>
      </c>
      <c r="D283" s="635"/>
      <c r="E283" s="769">
        <v>0</v>
      </c>
      <c r="F283" s="769">
        <v>0</v>
      </c>
      <c r="G283" s="769">
        <v>0</v>
      </c>
      <c r="H283" s="769">
        <v>0</v>
      </c>
      <c r="I283" s="769">
        <v>0</v>
      </c>
      <c r="J283" s="769">
        <v>0</v>
      </c>
      <c r="K283" s="769">
        <v>0</v>
      </c>
      <c r="L283" s="769">
        <v>0</v>
      </c>
      <c r="M283" s="769">
        <v>0</v>
      </c>
      <c r="N283" s="769">
        <v>0</v>
      </c>
      <c r="O283" s="769">
        <v>0</v>
      </c>
      <c r="P283" s="769">
        <v>0</v>
      </c>
      <c r="Q283" s="769">
        <v>0</v>
      </c>
      <c r="R283" s="769">
        <v>0</v>
      </c>
      <c r="S283" s="769">
        <v>0</v>
      </c>
      <c r="T283" s="769">
        <v>0</v>
      </c>
      <c r="U283" s="769">
        <v>0</v>
      </c>
      <c r="V283" s="769">
        <v>0</v>
      </c>
      <c r="W283" s="769">
        <v>0</v>
      </c>
      <c r="X283" s="769">
        <v>0</v>
      </c>
      <c r="Y283" s="769">
        <v>0</v>
      </c>
      <c r="Z283" s="769">
        <v>0</v>
      </c>
      <c r="AA283" s="769">
        <v>853434</v>
      </c>
      <c r="AB283" s="769">
        <v>0</v>
      </c>
      <c r="AC283" s="769">
        <v>0</v>
      </c>
      <c r="AD283" s="769">
        <v>0</v>
      </c>
      <c r="AE283" s="769">
        <v>0</v>
      </c>
      <c r="AF283" s="769">
        <v>0</v>
      </c>
      <c r="AG283" s="769">
        <v>0</v>
      </c>
      <c r="AH283" s="769">
        <v>0</v>
      </c>
      <c r="AI283" s="769">
        <v>0</v>
      </c>
      <c r="AJ283" s="769">
        <v>0</v>
      </c>
      <c r="AK283" s="769">
        <v>0</v>
      </c>
      <c r="AL283" s="769">
        <v>0</v>
      </c>
      <c r="AM283" s="769">
        <v>0</v>
      </c>
      <c r="AN283" s="769">
        <v>0</v>
      </c>
      <c r="AO283" s="769">
        <v>0</v>
      </c>
      <c r="AP283" s="769">
        <v>0</v>
      </c>
      <c r="AQ283" s="769">
        <v>0</v>
      </c>
      <c r="AR283" s="769">
        <v>0</v>
      </c>
      <c r="AS283" s="769">
        <v>0</v>
      </c>
      <c r="AT283" s="769">
        <v>0</v>
      </c>
      <c r="AU283" s="769">
        <v>0</v>
      </c>
      <c r="AV283" s="769">
        <v>23180822</v>
      </c>
      <c r="AW283" s="769">
        <v>894858</v>
      </c>
      <c r="AX283" s="769">
        <v>0</v>
      </c>
      <c r="AY283" s="769">
        <v>0</v>
      </c>
      <c r="AZ283" s="769">
        <v>0</v>
      </c>
      <c r="BA283" s="769">
        <v>0</v>
      </c>
      <c r="BB283" s="769">
        <v>0</v>
      </c>
      <c r="BC283" s="769">
        <v>0</v>
      </c>
      <c r="BD283" s="769">
        <v>0</v>
      </c>
      <c r="BE283" s="769">
        <v>0</v>
      </c>
      <c r="BF283" s="769">
        <v>0</v>
      </c>
      <c r="BG283" s="769">
        <v>0</v>
      </c>
      <c r="BH283" s="769">
        <v>0</v>
      </c>
      <c r="BI283" s="769">
        <v>0</v>
      </c>
      <c r="BJ283" s="769">
        <v>0</v>
      </c>
      <c r="BK283" s="769">
        <v>0</v>
      </c>
      <c r="BL283" s="769">
        <v>0</v>
      </c>
      <c r="BM283" s="769">
        <v>0</v>
      </c>
      <c r="BN283" s="769">
        <v>0</v>
      </c>
      <c r="BO283" s="769">
        <v>0</v>
      </c>
      <c r="BP283" s="769">
        <v>0</v>
      </c>
      <c r="BQ283" s="769">
        <v>17058564</v>
      </c>
      <c r="BR283" s="769">
        <v>0</v>
      </c>
      <c r="BS283" s="769">
        <v>0</v>
      </c>
      <c r="BT283" s="769">
        <v>0</v>
      </c>
      <c r="BU283" s="769">
        <v>0</v>
      </c>
      <c r="BV283" s="769">
        <v>0</v>
      </c>
      <c r="BW283" s="769">
        <v>0</v>
      </c>
      <c r="BX283" s="769">
        <v>0</v>
      </c>
      <c r="BY283" s="769">
        <v>0</v>
      </c>
      <c r="BZ283" s="769">
        <v>0</v>
      </c>
      <c r="CA283" s="769">
        <v>0</v>
      </c>
      <c r="CB283" s="769">
        <v>0</v>
      </c>
      <c r="CC283" s="769">
        <v>0</v>
      </c>
      <c r="CD283" s="769">
        <v>0</v>
      </c>
      <c r="CE283" s="769">
        <v>0</v>
      </c>
    </row>
    <row r="284" spans="1:83" ht="37.5" customHeight="1" x14ac:dyDescent="0.25">
      <c r="A284" s="755"/>
      <c r="B284" s="755"/>
      <c r="C284" s="830"/>
      <c r="D284" s="635"/>
      <c r="E284" s="769"/>
      <c r="F284" s="770"/>
      <c r="G284" s="770"/>
      <c r="H284" s="770"/>
      <c r="I284" s="770"/>
      <c r="J284" s="770"/>
      <c r="K284" s="771"/>
      <c r="L284" s="772"/>
      <c r="M284" s="772"/>
      <c r="N284" s="773"/>
      <c r="O284" s="773"/>
      <c r="P284" s="773"/>
      <c r="Q284" s="773"/>
      <c r="R284" s="773"/>
      <c r="S284" s="773"/>
      <c r="T284" s="773"/>
      <c r="U284" s="773"/>
      <c r="V284" s="773"/>
      <c r="W284" s="773"/>
      <c r="X284" s="773"/>
      <c r="Y284" s="773"/>
      <c r="Z284" s="773"/>
      <c r="AA284" s="773"/>
      <c r="AB284" s="772"/>
      <c r="AC284" s="772"/>
      <c r="AD284" s="772"/>
      <c r="AE284" s="772"/>
      <c r="AF284" s="772"/>
      <c r="AG284" s="772"/>
      <c r="AH284" s="772"/>
      <c r="AI284" s="772"/>
      <c r="AJ284" s="772"/>
      <c r="AK284" s="772"/>
      <c r="AL284" s="772"/>
      <c r="AM284" s="772"/>
      <c r="AN284" s="772"/>
      <c r="AO284" s="772"/>
      <c r="AP284" s="772"/>
      <c r="AQ284" s="772"/>
      <c r="AR284" s="772"/>
      <c r="AS284" s="772"/>
      <c r="AT284" s="772"/>
      <c r="AU284" s="772"/>
      <c r="AV284" s="772"/>
      <c r="AW284" s="772"/>
      <c r="AX284" s="772"/>
      <c r="AY284" s="772"/>
      <c r="AZ284" s="772"/>
      <c r="BA284" s="772"/>
      <c r="BB284" s="772"/>
      <c r="BC284" s="772"/>
      <c r="BD284" s="772"/>
      <c r="BE284" s="772"/>
      <c r="BF284" s="772"/>
      <c r="BG284" s="772"/>
      <c r="BH284" s="772"/>
      <c r="BI284" s="772"/>
      <c r="BJ284" s="772"/>
      <c r="BK284" s="772"/>
      <c r="BL284" s="772"/>
      <c r="BM284" s="772"/>
      <c r="BN284" s="772"/>
      <c r="BO284" s="772"/>
      <c r="BP284" s="772"/>
      <c r="BQ284" s="772"/>
      <c r="BR284" s="772"/>
      <c r="BS284" s="772"/>
      <c r="BT284" s="772"/>
      <c r="BU284" s="772"/>
      <c r="BV284" s="772"/>
      <c r="BW284" s="772"/>
      <c r="BX284" s="772"/>
      <c r="BY284" s="772"/>
      <c r="BZ284" s="772"/>
      <c r="CA284" s="772"/>
      <c r="CB284" s="772"/>
      <c r="CC284" s="772"/>
      <c r="CD284" s="772"/>
      <c r="CE284" s="772"/>
    </row>
    <row r="285" spans="1:83" ht="37.5" customHeight="1" x14ac:dyDescent="0.25">
      <c r="A285" s="755"/>
      <c r="B285" s="755"/>
      <c r="C285" s="830"/>
      <c r="D285" s="635"/>
      <c r="E285" s="769"/>
      <c r="F285" s="770"/>
      <c r="G285" s="770"/>
      <c r="H285" s="770"/>
      <c r="I285" s="770"/>
      <c r="J285" s="770"/>
      <c r="K285" s="771"/>
      <c r="L285" s="772"/>
      <c r="M285" s="772"/>
      <c r="N285" s="773"/>
      <c r="O285" s="773"/>
      <c r="P285" s="773"/>
      <c r="Q285" s="773"/>
      <c r="R285" s="773"/>
      <c r="S285" s="773"/>
      <c r="T285" s="773"/>
      <c r="U285" s="773"/>
      <c r="V285" s="773"/>
      <c r="W285" s="773"/>
      <c r="X285" s="773"/>
      <c r="Y285" s="773"/>
      <c r="Z285" s="773"/>
      <c r="AA285" s="773"/>
      <c r="AB285" s="772"/>
      <c r="AC285" s="772"/>
      <c r="AD285" s="772"/>
      <c r="AE285" s="772"/>
      <c r="AF285" s="772"/>
      <c r="AG285" s="772"/>
      <c r="AH285" s="772"/>
      <c r="AI285" s="772"/>
      <c r="AJ285" s="772"/>
      <c r="AK285" s="772"/>
      <c r="AL285" s="772"/>
      <c r="AM285" s="772"/>
      <c r="AN285" s="772"/>
      <c r="AO285" s="772"/>
      <c r="AP285" s="772"/>
      <c r="AQ285" s="772"/>
      <c r="AR285" s="772"/>
      <c r="AS285" s="772"/>
      <c r="AT285" s="772"/>
      <c r="AU285" s="772"/>
      <c r="AV285" s="772"/>
      <c r="AW285" s="772"/>
      <c r="AX285" s="772"/>
      <c r="AY285" s="772"/>
      <c r="AZ285" s="772"/>
      <c r="BA285" s="772"/>
      <c r="BB285" s="772"/>
      <c r="BC285" s="772"/>
      <c r="BD285" s="772"/>
      <c r="BE285" s="772"/>
      <c r="BF285" s="772"/>
      <c r="BG285" s="772"/>
      <c r="BH285" s="772"/>
      <c r="BI285" s="772"/>
      <c r="BJ285" s="772"/>
      <c r="BK285" s="772"/>
      <c r="BL285" s="772"/>
      <c r="BM285" s="772"/>
      <c r="BN285" s="772"/>
      <c r="BO285" s="772"/>
      <c r="BP285" s="772"/>
      <c r="BQ285" s="772"/>
      <c r="BR285" s="772"/>
      <c r="BS285" s="772"/>
      <c r="BT285" s="772"/>
      <c r="BU285" s="772"/>
      <c r="BV285" s="772"/>
      <c r="BW285" s="772"/>
      <c r="BX285" s="772"/>
      <c r="BY285" s="772"/>
      <c r="BZ285" s="772"/>
      <c r="CA285" s="772"/>
      <c r="CB285" s="772"/>
      <c r="CC285" s="772"/>
      <c r="CD285" s="772"/>
      <c r="CE285" s="772"/>
    </row>
    <row r="286" spans="1:83" ht="37.5" customHeight="1" x14ac:dyDescent="0.25">
      <c r="A286" s="755"/>
      <c r="B286" s="755"/>
      <c r="C286" s="830"/>
      <c r="D286" s="635"/>
      <c r="E286" s="769"/>
      <c r="F286" s="770"/>
      <c r="G286" s="770"/>
      <c r="H286" s="770"/>
      <c r="I286" s="770"/>
      <c r="J286" s="770"/>
      <c r="K286" s="771"/>
      <c r="L286" s="772"/>
      <c r="M286" s="772"/>
      <c r="N286" s="773"/>
      <c r="O286" s="773"/>
      <c r="P286" s="773"/>
      <c r="Q286" s="773"/>
      <c r="R286" s="773"/>
      <c r="S286" s="773"/>
      <c r="T286" s="773"/>
      <c r="U286" s="773"/>
      <c r="V286" s="773"/>
      <c r="W286" s="773"/>
      <c r="X286" s="773"/>
      <c r="Y286" s="773"/>
      <c r="Z286" s="773"/>
      <c r="AA286" s="773"/>
      <c r="AB286" s="772"/>
      <c r="AC286" s="772"/>
      <c r="AD286" s="772"/>
      <c r="AE286" s="772"/>
      <c r="AF286" s="772"/>
      <c r="AG286" s="772"/>
      <c r="AH286" s="772"/>
      <c r="AI286" s="772"/>
      <c r="AJ286" s="772"/>
      <c r="AK286" s="772"/>
      <c r="AL286" s="772"/>
      <c r="AM286" s="772"/>
      <c r="AN286" s="772"/>
      <c r="AO286" s="772"/>
      <c r="AP286" s="772"/>
      <c r="AQ286" s="772"/>
      <c r="AR286" s="772"/>
      <c r="AS286" s="772"/>
      <c r="AT286" s="772"/>
      <c r="AU286" s="772"/>
      <c r="AV286" s="772"/>
      <c r="AW286" s="772"/>
      <c r="AX286" s="772"/>
      <c r="AY286" s="772"/>
      <c r="AZ286" s="772"/>
      <c r="BA286" s="772"/>
      <c r="BB286" s="772"/>
      <c r="BC286" s="772"/>
      <c r="BD286" s="772"/>
      <c r="BE286" s="772"/>
      <c r="BF286" s="772"/>
      <c r="BG286" s="772"/>
      <c r="BH286" s="772"/>
      <c r="BI286" s="772"/>
      <c r="BJ286" s="772"/>
      <c r="BK286" s="772"/>
      <c r="BL286" s="772"/>
      <c r="BM286" s="772"/>
      <c r="BN286" s="772"/>
      <c r="BO286" s="772"/>
      <c r="BP286" s="772"/>
      <c r="BQ286" s="772"/>
      <c r="BR286" s="772"/>
      <c r="BS286" s="772"/>
      <c r="BT286" s="772"/>
      <c r="BU286" s="772"/>
      <c r="BV286" s="772"/>
      <c r="BW286" s="772"/>
      <c r="BX286" s="772"/>
      <c r="BY286" s="772"/>
      <c r="BZ286" s="772"/>
      <c r="CA286" s="772"/>
      <c r="CB286" s="772"/>
      <c r="CC286" s="772"/>
      <c r="CD286" s="772"/>
      <c r="CE286" s="772"/>
    </row>
    <row r="287" spans="1:83" ht="37.5" customHeight="1" x14ac:dyDescent="0.25">
      <c r="A287" s="833"/>
      <c r="B287" s="833"/>
      <c r="C287" s="833"/>
      <c r="D287" s="833"/>
      <c r="E287" s="769"/>
      <c r="F287" s="769"/>
      <c r="G287" s="769"/>
      <c r="H287" s="769"/>
      <c r="I287" s="769"/>
      <c r="J287" s="769"/>
      <c r="K287" s="769"/>
      <c r="L287" s="769"/>
      <c r="M287" s="769"/>
      <c r="N287" s="769"/>
      <c r="O287" s="769"/>
      <c r="P287" s="769"/>
      <c r="Q287" s="769"/>
      <c r="R287" s="769"/>
      <c r="S287" s="769"/>
      <c r="T287" s="769"/>
      <c r="U287" s="769"/>
      <c r="V287" s="769"/>
      <c r="W287" s="769"/>
      <c r="X287" s="769"/>
      <c r="Y287" s="769"/>
      <c r="Z287" s="769"/>
      <c r="AA287" s="769"/>
      <c r="AB287" s="769"/>
      <c r="AC287" s="769"/>
      <c r="AD287" s="769"/>
      <c r="AE287" s="769"/>
      <c r="AF287" s="769"/>
      <c r="AG287" s="769"/>
      <c r="AH287" s="769"/>
      <c r="AI287" s="769"/>
      <c r="AJ287" s="769"/>
      <c r="AK287" s="769"/>
      <c r="AL287" s="769"/>
      <c r="AM287" s="769"/>
      <c r="AN287" s="769"/>
      <c r="AO287" s="769"/>
      <c r="AP287" s="769"/>
      <c r="AQ287" s="769"/>
      <c r="AR287" s="769"/>
      <c r="AS287" s="769"/>
      <c r="AT287" s="769"/>
      <c r="AU287" s="769"/>
      <c r="AV287" s="769"/>
      <c r="AW287" s="769"/>
      <c r="AX287" s="769"/>
      <c r="AY287" s="769"/>
      <c r="AZ287" s="769"/>
      <c r="BA287" s="769"/>
      <c r="BB287" s="769"/>
      <c r="BC287" s="769"/>
      <c r="BD287" s="769"/>
      <c r="BE287" s="769"/>
      <c r="BF287" s="769"/>
      <c r="BG287" s="769"/>
      <c r="BH287" s="769"/>
      <c r="BI287" s="769"/>
      <c r="BJ287" s="769"/>
      <c r="BK287" s="769"/>
      <c r="BL287" s="769"/>
      <c r="BM287" s="769"/>
      <c r="BN287" s="769"/>
      <c r="BO287" s="769"/>
      <c r="BP287" s="769"/>
      <c r="BQ287" s="769"/>
      <c r="BR287" s="769"/>
      <c r="BS287" s="769"/>
      <c r="BT287" s="769"/>
      <c r="BU287" s="769"/>
      <c r="BV287" s="769"/>
      <c r="BW287" s="769"/>
      <c r="BX287" s="769"/>
      <c r="BY287" s="769"/>
      <c r="BZ287" s="769"/>
      <c r="CA287" s="769"/>
      <c r="CB287" s="769"/>
      <c r="CC287" s="769"/>
      <c r="CD287" s="769"/>
      <c r="CE287" s="769"/>
    </row>
    <row r="288" spans="1:83" s="833" customFormat="1" x14ac:dyDescent="0.25">
      <c r="A288" s="832" t="s">
        <v>931</v>
      </c>
      <c r="B288" s="835"/>
      <c r="C288" s="835" t="s">
        <v>935</v>
      </c>
      <c r="D288" s="835"/>
      <c r="E288" s="480">
        <f>+E156+E186-E3-E4-E5+E283</f>
        <v>335660</v>
      </c>
      <c r="F288" s="480">
        <f t="shared" ref="F288:BQ288" si="0">+F156+F186-F3-F4-F5+F283</f>
        <v>680853</v>
      </c>
      <c r="G288" s="480">
        <f t="shared" si="0"/>
        <v>473553</v>
      </c>
      <c r="H288" s="480">
        <f t="shared" si="0"/>
        <v>987848</v>
      </c>
      <c r="I288" s="480">
        <f t="shared" si="0"/>
        <v>596409</v>
      </c>
      <c r="J288" s="480">
        <f t="shared" si="0"/>
        <v>206665</v>
      </c>
      <c r="K288" s="480">
        <f t="shared" si="0"/>
        <v>129044</v>
      </c>
      <c r="L288" s="480">
        <f t="shared" si="0"/>
        <v>624533</v>
      </c>
      <c r="M288" s="480">
        <f t="shared" si="0"/>
        <v>2257612</v>
      </c>
      <c r="N288" s="480">
        <f t="shared" si="0"/>
        <v>42295467</v>
      </c>
      <c r="O288" s="480">
        <f t="shared" si="0"/>
        <v>2849819</v>
      </c>
      <c r="P288" s="480">
        <f t="shared" si="0"/>
        <v>4675479</v>
      </c>
      <c r="Q288" s="480">
        <f t="shared" si="0"/>
        <v>151861</v>
      </c>
      <c r="R288" s="480">
        <f t="shared" si="0"/>
        <v>7512220</v>
      </c>
      <c r="S288" s="480">
        <f t="shared" si="0"/>
        <v>114212</v>
      </c>
      <c r="T288" s="480">
        <f t="shared" si="0"/>
        <v>469475</v>
      </c>
      <c r="U288" s="480">
        <f t="shared" si="0"/>
        <v>427738</v>
      </c>
      <c r="V288" s="480">
        <f t="shared" si="0"/>
        <v>1043958</v>
      </c>
      <c r="W288" s="480">
        <f t="shared" si="0"/>
        <v>2645548</v>
      </c>
      <c r="X288" s="480">
        <f t="shared" si="0"/>
        <v>1395455</v>
      </c>
      <c r="Y288" s="480">
        <f t="shared" si="0"/>
        <v>542394</v>
      </c>
      <c r="Z288" s="480">
        <f t="shared" si="0"/>
        <v>257168</v>
      </c>
      <c r="AA288" s="480">
        <f t="shared" si="0"/>
        <v>22056270</v>
      </c>
      <c r="AB288" s="480">
        <f t="shared" si="0"/>
        <v>7087930</v>
      </c>
      <c r="AC288" s="480">
        <f t="shared" si="0"/>
        <v>658609</v>
      </c>
      <c r="AD288" s="480">
        <f t="shared" si="0"/>
        <v>27219240</v>
      </c>
      <c r="AE288" s="480">
        <f t="shared" si="0"/>
        <v>449639</v>
      </c>
      <c r="AF288" s="480">
        <f t="shared" si="0"/>
        <v>207312</v>
      </c>
      <c r="AG288" s="480">
        <f t="shared" si="0"/>
        <v>20148233</v>
      </c>
      <c r="AH288" s="480">
        <f t="shared" si="0"/>
        <v>801951</v>
      </c>
      <c r="AI288" s="480">
        <f t="shared" si="0"/>
        <v>248462</v>
      </c>
      <c r="AJ288" s="480">
        <f t="shared" si="0"/>
        <v>2789441</v>
      </c>
      <c r="AK288" s="480">
        <f t="shared" si="0"/>
        <v>604279</v>
      </c>
      <c r="AL288" s="480">
        <f t="shared" si="0"/>
        <v>44722</v>
      </c>
      <c r="AM288" s="480">
        <f t="shared" si="0"/>
        <v>7955878</v>
      </c>
      <c r="AN288" s="480">
        <f t="shared" si="0"/>
        <v>607378</v>
      </c>
      <c r="AO288" s="480">
        <f t="shared" si="0"/>
        <v>8097994</v>
      </c>
      <c r="AP288" s="480">
        <f t="shared" si="0"/>
        <v>69262</v>
      </c>
      <c r="AQ288" s="480">
        <f t="shared" si="0"/>
        <v>3136756</v>
      </c>
      <c r="AR288" s="480">
        <f t="shared" si="0"/>
        <v>1725054</v>
      </c>
      <c r="AS288" s="480">
        <f t="shared" si="0"/>
        <v>181236</v>
      </c>
      <c r="AT288" s="480">
        <f t="shared" si="0"/>
        <v>566958</v>
      </c>
      <c r="AU288" s="480">
        <f t="shared" si="0"/>
        <v>490013</v>
      </c>
      <c r="AV288" s="480">
        <f t="shared" si="0"/>
        <v>61887878</v>
      </c>
      <c r="AW288" s="480">
        <f t="shared" si="0"/>
        <v>17918575</v>
      </c>
      <c r="AX288" s="480">
        <f t="shared" si="0"/>
        <v>643388</v>
      </c>
      <c r="AY288" s="480">
        <f t="shared" si="0"/>
        <v>270929</v>
      </c>
      <c r="AZ288" s="480">
        <f t="shared" si="0"/>
        <v>278676</v>
      </c>
      <c r="BA288" s="480">
        <f t="shared" si="0"/>
        <v>135439</v>
      </c>
      <c r="BB288" s="480">
        <f t="shared" si="0"/>
        <v>871810</v>
      </c>
      <c r="BC288" s="480">
        <f t="shared" si="0"/>
        <v>2343627</v>
      </c>
      <c r="BD288" s="480">
        <f t="shared" si="0"/>
        <v>1086110</v>
      </c>
      <c r="BE288" s="480">
        <f t="shared" si="0"/>
        <v>207220</v>
      </c>
      <c r="BF288" s="480">
        <f t="shared" si="0"/>
        <v>119286</v>
      </c>
      <c r="BG288" s="480">
        <f t="shared" si="0"/>
        <v>4953695</v>
      </c>
      <c r="BH288" s="480">
        <f t="shared" si="0"/>
        <v>78274</v>
      </c>
      <c r="BI288" s="480">
        <f t="shared" si="0"/>
        <v>10297634</v>
      </c>
      <c r="BJ288" s="480">
        <f t="shared" si="0"/>
        <v>1173349</v>
      </c>
      <c r="BK288" s="480">
        <f t="shared" si="0"/>
        <v>447774</v>
      </c>
      <c r="BL288" s="480">
        <f t="shared" si="0"/>
        <v>465374</v>
      </c>
      <c r="BM288" s="480">
        <f t="shared" si="0"/>
        <v>10522020</v>
      </c>
      <c r="BN288" s="480">
        <f t="shared" si="0"/>
        <v>4568453</v>
      </c>
      <c r="BO288" s="480">
        <f t="shared" si="0"/>
        <v>1702927</v>
      </c>
      <c r="BP288" s="480">
        <f t="shared" si="0"/>
        <v>28907870</v>
      </c>
      <c r="BQ288" s="480">
        <f t="shared" si="0"/>
        <v>26852730</v>
      </c>
      <c r="BR288" s="480">
        <f>+BR156+BR186-BR3-BR4-BR5+BR283</f>
        <v>252129</v>
      </c>
      <c r="BS288" s="480">
        <f>+BS156+BS186-BS3-BS4-BS5+BS283</f>
        <v>3889031</v>
      </c>
      <c r="BT288" s="480">
        <f t="shared" ref="BT288:CE288" si="1">+BT156+BT186-BT3-BT4-BT5+BT283</f>
        <v>3000472</v>
      </c>
      <c r="BU288" s="480">
        <f t="shared" si="1"/>
        <v>5135999</v>
      </c>
      <c r="BV288" s="480">
        <f t="shared" si="1"/>
        <v>279551</v>
      </c>
      <c r="BW288" s="480">
        <f t="shared" si="1"/>
        <v>1060933</v>
      </c>
      <c r="BX288" s="480">
        <f t="shared" si="1"/>
        <v>1966396</v>
      </c>
      <c r="BY288" s="480">
        <f t="shared" si="1"/>
        <v>1778003</v>
      </c>
      <c r="BZ288" s="480">
        <f t="shared" si="1"/>
        <v>9397389</v>
      </c>
      <c r="CA288" s="480">
        <f t="shared" si="1"/>
        <v>73404</v>
      </c>
      <c r="CB288" s="480">
        <f t="shared" si="1"/>
        <v>6622975</v>
      </c>
      <c r="CC288" s="480">
        <f t="shared" si="1"/>
        <v>359658</v>
      </c>
      <c r="CD288" s="480">
        <f t="shared" si="1"/>
        <v>1521611</v>
      </c>
      <c r="CE288" s="480">
        <f t="shared" si="1"/>
        <v>38545386</v>
      </c>
    </row>
    <row r="289" spans="1:84" s="833" customFormat="1" x14ac:dyDescent="0.25">
      <c r="A289" s="832" t="s">
        <v>932</v>
      </c>
      <c r="B289" s="835"/>
      <c r="C289" s="835" t="s">
        <v>942</v>
      </c>
      <c r="D289" s="835"/>
      <c r="E289" s="480">
        <f>+E182+E15+E159-E158-E183</f>
        <v>865834</v>
      </c>
      <c r="F289" s="480">
        <f t="shared" ref="F289:BQ289" si="2">+F182+F15+F159-F158-F183</f>
        <v>2013995</v>
      </c>
      <c r="G289" s="480">
        <f t="shared" si="2"/>
        <v>275026</v>
      </c>
      <c r="H289" s="480">
        <f t="shared" si="2"/>
        <v>622651</v>
      </c>
      <c r="I289" s="480">
        <f t="shared" si="2"/>
        <v>543879</v>
      </c>
      <c r="J289" s="480">
        <f t="shared" si="2"/>
        <v>150860</v>
      </c>
      <c r="K289" s="480">
        <f t="shared" si="2"/>
        <v>47108</v>
      </c>
      <c r="L289" s="480">
        <f t="shared" si="2"/>
        <v>80856</v>
      </c>
      <c r="M289" s="480">
        <f t="shared" si="2"/>
        <v>5013592</v>
      </c>
      <c r="N289" s="480">
        <f t="shared" si="2"/>
        <v>158853705</v>
      </c>
      <c r="O289" s="480">
        <f t="shared" si="2"/>
        <v>1755458</v>
      </c>
      <c r="P289" s="480">
        <f t="shared" si="2"/>
        <v>6712360</v>
      </c>
      <c r="Q289" s="480">
        <f t="shared" si="2"/>
        <v>138148</v>
      </c>
      <c r="R289" s="480">
        <f t="shared" si="2"/>
        <v>15351735</v>
      </c>
      <c r="S289" s="480">
        <f t="shared" si="2"/>
        <v>115899</v>
      </c>
      <c r="T289" s="480">
        <f t="shared" si="2"/>
        <v>286754</v>
      </c>
      <c r="U289" s="480">
        <f t="shared" si="2"/>
        <v>1670935</v>
      </c>
      <c r="V289" s="480">
        <f t="shared" si="2"/>
        <v>1386863</v>
      </c>
      <c r="W289" s="480">
        <f t="shared" si="2"/>
        <v>4193673</v>
      </c>
      <c r="X289" s="480">
        <f t="shared" si="2"/>
        <v>1522137</v>
      </c>
      <c r="Y289" s="480">
        <f t="shared" si="2"/>
        <v>532304</v>
      </c>
      <c r="Z289" s="480">
        <f t="shared" si="2"/>
        <v>993220</v>
      </c>
      <c r="AA289" s="480">
        <f t="shared" si="2"/>
        <v>27655845</v>
      </c>
      <c r="AB289" s="480">
        <f t="shared" si="2"/>
        <v>518938</v>
      </c>
      <c r="AC289" s="480">
        <f t="shared" si="2"/>
        <v>486786</v>
      </c>
      <c r="AD289" s="480">
        <f t="shared" si="2"/>
        <v>30883315</v>
      </c>
      <c r="AE289" s="480">
        <f t="shared" si="2"/>
        <v>599056</v>
      </c>
      <c r="AF289" s="480">
        <f t="shared" si="2"/>
        <v>624494</v>
      </c>
      <c r="AG289" s="480">
        <f t="shared" si="2"/>
        <v>61814829</v>
      </c>
      <c r="AH289" s="480">
        <f t="shared" si="2"/>
        <v>170807</v>
      </c>
      <c r="AI289" s="480">
        <f t="shared" si="2"/>
        <v>242050</v>
      </c>
      <c r="AJ289" s="480">
        <f t="shared" si="2"/>
        <v>5694968</v>
      </c>
      <c r="AK289" s="480">
        <f t="shared" si="2"/>
        <v>902853</v>
      </c>
      <c r="AL289" s="480">
        <f t="shared" si="2"/>
        <v>352250</v>
      </c>
      <c r="AM289" s="480">
        <f t="shared" si="2"/>
        <v>38417239</v>
      </c>
      <c r="AN289" s="480">
        <f t="shared" si="2"/>
        <v>349115</v>
      </c>
      <c r="AO289" s="480">
        <f t="shared" si="2"/>
        <v>12146274</v>
      </c>
      <c r="AP289" s="480">
        <f t="shared" si="2"/>
        <v>66446</v>
      </c>
      <c r="AQ289" s="480">
        <f t="shared" si="2"/>
        <v>3513103</v>
      </c>
      <c r="AR289" s="480">
        <f t="shared" si="2"/>
        <v>2421566</v>
      </c>
      <c r="AS289" s="480">
        <f t="shared" si="2"/>
        <v>84990</v>
      </c>
      <c r="AT289" s="480">
        <f t="shared" si="2"/>
        <v>983048</v>
      </c>
      <c r="AU289" s="480">
        <f t="shared" si="2"/>
        <v>181676</v>
      </c>
      <c r="AV289" s="480">
        <f t="shared" si="2"/>
        <v>281616009</v>
      </c>
      <c r="AW289" s="480">
        <f t="shared" si="2"/>
        <v>90418927</v>
      </c>
      <c r="AX289" s="480">
        <f t="shared" si="2"/>
        <v>1576861</v>
      </c>
      <c r="AY289" s="480">
        <f t="shared" si="2"/>
        <v>333080</v>
      </c>
      <c r="AZ289" s="480">
        <f t="shared" si="2"/>
        <v>300101</v>
      </c>
      <c r="BA289" s="480">
        <f t="shared" si="2"/>
        <v>193890</v>
      </c>
      <c r="BB289" s="480">
        <f t="shared" si="2"/>
        <v>346508</v>
      </c>
      <c r="BC289" s="480">
        <f t="shared" si="2"/>
        <v>5340458</v>
      </c>
      <c r="BD289" s="480">
        <f t="shared" si="2"/>
        <v>434881</v>
      </c>
      <c r="BE289" s="480">
        <f t="shared" si="2"/>
        <v>141055</v>
      </c>
      <c r="BF289" s="480">
        <f t="shared" si="2"/>
        <v>46183</v>
      </c>
      <c r="BG289" s="480">
        <f t="shared" si="2"/>
        <v>13927335</v>
      </c>
      <c r="BH289" s="480">
        <f t="shared" si="2"/>
        <v>27606</v>
      </c>
      <c r="BI289" s="480">
        <f t="shared" si="2"/>
        <v>10373404</v>
      </c>
      <c r="BJ289" s="480">
        <f t="shared" si="2"/>
        <v>2292245</v>
      </c>
      <c r="BK289" s="480">
        <f t="shared" si="2"/>
        <v>241547</v>
      </c>
      <c r="BL289" s="480">
        <f t="shared" si="2"/>
        <v>108459</v>
      </c>
      <c r="BM289" s="480">
        <f t="shared" si="2"/>
        <v>14627420</v>
      </c>
      <c r="BN289" s="480">
        <f t="shared" si="2"/>
        <v>14593724</v>
      </c>
      <c r="BO289" s="480">
        <f t="shared" si="2"/>
        <v>1822763</v>
      </c>
      <c r="BP289" s="480">
        <f t="shared" si="2"/>
        <v>49330969</v>
      </c>
      <c r="BQ289" s="480">
        <f t="shared" si="2"/>
        <v>117956933</v>
      </c>
      <c r="BR289" s="480">
        <f>+BR182+BR15+BR159-BR158-BR183</f>
        <v>328016</v>
      </c>
      <c r="BS289" s="480">
        <f>+BS182+BS15+BS159-BS158-BS183</f>
        <v>6479818</v>
      </c>
      <c r="BT289" s="480">
        <f t="shared" ref="BT289:CE289" si="3">+BT182+BT15+BT159-BT158-BT183</f>
        <v>1010274</v>
      </c>
      <c r="BU289" s="480">
        <f t="shared" si="3"/>
        <v>9468504</v>
      </c>
      <c r="BV289" s="480">
        <f t="shared" si="3"/>
        <v>145666</v>
      </c>
      <c r="BW289" s="480">
        <f t="shared" si="3"/>
        <v>265166</v>
      </c>
      <c r="BX289" s="480">
        <f t="shared" si="3"/>
        <v>3247281</v>
      </c>
      <c r="BY289" s="480">
        <f t="shared" si="3"/>
        <v>2467393</v>
      </c>
      <c r="BZ289" s="480">
        <f t="shared" si="3"/>
        <v>41058970</v>
      </c>
      <c r="CA289" s="480">
        <f t="shared" si="3"/>
        <v>631413</v>
      </c>
      <c r="CB289" s="480">
        <f t="shared" si="3"/>
        <v>14389321</v>
      </c>
      <c r="CC289" s="480">
        <f t="shared" si="3"/>
        <v>357241</v>
      </c>
      <c r="CD289" s="480">
        <f t="shared" si="3"/>
        <v>2855467</v>
      </c>
      <c r="CE289" s="480">
        <f t="shared" si="3"/>
        <v>38460537</v>
      </c>
    </row>
    <row r="290" spans="1:84" s="833" customFormat="1" x14ac:dyDescent="0.25">
      <c r="A290" s="832" t="s">
        <v>933</v>
      </c>
      <c r="B290" s="835"/>
      <c r="C290" s="494" t="s">
        <v>941</v>
      </c>
      <c r="D290" s="835"/>
      <c r="E290" s="495">
        <f>E288/E289</f>
        <v>0.38767246377481135</v>
      </c>
      <c r="F290" s="495">
        <f t="shared" ref="F290:BQ290" si="4">F288/F289</f>
        <v>0.33806091872124805</v>
      </c>
      <c r="G290" s="495">
        <f t="shared" si="4"/>
        <v>1.7218481161781067</v>
      </c>
      <c r="H290" s="495">
        <f t="shared" si="4"/>
        <v>1.5865195751713239</v>
      </c>
      <c r="I290" s="495">
        <f t="shared" si="4"/>
        <v>1.0965839828344173</v>
      </c>
      <c r="J290" s="495">
        <f t="shared" si="4"/>
        <v>1.3699125016571656</v>
      </c>
      <c r="K290" s="495">
        <f t="shared" si="4"/>
        <v>2.7393224080835528</v>
      </c>
      <c r="L290" s="495">
        <f t="shared" si="4"/>
        <v>7.7240155337884637</v>
      </c>
      <c r="M290" s="495">
        <f t="shared" si="4"/>
        <v>0.45029830907660617</v>
      </c>
      <c r="N290" s="495">
        <f t="shared" si="4"/>
        <v>0.26625420540238581</v>
      </c>
      <c r="O290" s="495">
        <f t="shared" si="4"/>
        <v>1.6234048322432095</v>
      </c>
      <c r="P290" s="495">
        <f t="shared" si="4"/>
        <v>0.69654771198207488</v>
      </c>
      <c r="Q290" s="495">
        <f t="shared" si="4"/>
        <v>1.0992631091293394</v>
      </c>
      <c r="R290" s="495">
        <f t="shared" si="4"/>
        <v>0.48934012995925219</v>
      </c>
      <c r="S290" s="495">
        <f t="shared" si="4"/>
        <v>0.98544422298725609</v>
      </c>
      <c r="T290" s="495">
        <f t="shared" si="4"/>
        <v>1.6372047120528397</v>
      </c>
      <c r="U290" s="495">
        <f t="shared" si="4"/>
        <v>0.25598721673793418</v>
      </c>
      <c r="V290" s="495">
        <f t="shared" si="4"/>
        <v>0.75274774797510646</v>
      </c>
      <c r="W290" s="495">
        <f t="shared" si="4"/>
        <v>0.63084270042037138</v>
      </c>
      <c r="X290" s="495">
        <f t="shared" si="4"/>
        <v>0.91677358871113446</v>
      </c>
      <c r="Y290" s="495">
        <f t="shared" si="4"/>
        <v>1.0189553337942228</v>
      </c>
      <c r="Z290" s="495">
        <f t="shared" si="4"/>
        <v>0.25892350133907893</v>
      </c>
      <c r="AA290" s="495">
        <f t="shared" si="4"/>
        <v>0.79752652649015066</v>
      </c>
      <c r="AB290" s="495">
        <f t="shared" si="4"/>
        <v>13.658529535320211</v>
      </c>
      <c r="AC290" s="495">
        <f t="shared" si="4"/>
        <v>1.3529744076452486</v>
      </c>
      <c r="AD290" s="495">
        <f t="shared" si="4"/>
        <v>0.88135745790243047</v>
      </c>
      <c r="AE290" s="495">
        <f t="shared" si="4"/>
        <v>0.75057924467829384</v>
      </c>
      <c r="AF290" s="495">
        <f t="shared" si="4"/>
        <v>0.33196796126143724</v>
      </c>
      <c r="AG290" s="495">
        <f t="shared" si="4"/>
        <v>0.32594497673042178</v>
      </c>
      <c r="AH290" s="495">
        <f t="shared" si="4"/>
        <v>4.6950710450976834</v>
      </c>
      <c r="AI290" s="495">
        <f t="shared" si="4"/>
        <v>1.0264903945465813</v>
      </c>
      <c r="AJ290" s="495">
        <f t="shared" si="4"/>
        <v>0.48980801999238627</v>
      </c>
      <c r="AK290" s="495">
        <f t="shared" si="4"/>
        <v>0.66929943191195018</v>
      </c>
      <c r="AL290" s="495">
        <f t="shared" si="4"/>
        <v>0.12696096522356282</v>
      </c>
      <c r="AM290" s="495">
        <f t="shared" si="4"/>
        <v>0.20709135292101549</v>
      </c>
      <c r="AN290" s="495">
        <f t="shared" si="4"/>
        <v>1.7397648339372414</v>
      </c>
      <c r="AO290" s="495">
        <f t="shared" si="4"/>
        <v>0.66670602029889992</v>
      </c>
      <c r="AP290" s="495">
        <f t="shared" si="4"/>
        <v>1.0423802787225718</v>
      </c>
      <c r="AQ290" s="495">
        <f t="shared" si="4"/>
        <v>0.89287333733169794</v>
      </c>
      <c r="AR290" s="495">
        <f t="shared" si="4"/>
        <v>0.71237125067002094</v>
      </c>
      <c r="AS290" s="495">
        <f t="shared" si="4"/>
        <v>2.1324391104835865</v>
      </c>
      <c r="AT290" s="495">
        <f t="shared" si="4"/>
        <v>0.57673480847323833</v>
      </c>
      <c r="AU290" s="495">
        <f t="shared" si="4"/>
        <v>2.6971806953037274</v>
      </c>
      <c r="AV290" s="495">
        <f t="shared" si="4"/>
        <v>0.2197598006582076</v>
      </c>
      <c r="AW290" s="495">
        <f t="shared" si="4"/>
        <v>0.19817283388023393</v>
      </c>
      <c r="AX290" s="495">
        <f t="shared" si="4"/>
        <v>0.4080182083265424</v>
      </c>
      <c r="AY290" s="495">
        <f t="shared" si="4"/>
        <v>0.81340518794283656</v>
      </c>
      <c r="AZ290" s="495">
        <f t="shared" si="4"/>
        <v>0.92860736885248629</v>
      </c>
      <c r="BA290" s="495">
        <f t="shared" si="4"/>
        <v>0.6985352519469803</v>
      </c>
      <c r="BB290" s="495">
        <f t="shared" si="4"/>
        <v>2.5159880868551374</v>
      </c>
      <c r="BC290" s="495">
        <f t="shared" si="4"/>
        <v>0.43884382200927335</v>
      </c>
      <c r="BD290" s="495">
        <f t="shared" si="4"/>
        <v>2.4974878185066718</v>
      </c>
      <c r="BE290" s="495">
        <f t="shared" si="4"/>
        <v>1.4690723476658041</v>
      </c>
      <c r="BF290" s="495">
        <f t="shared" si="4"/>
        <v>2.5828984691336641</v>
      </c>
      <c r="BG290" s="495">
        <f t="shared" si="4"/>
        <v>0.35568147100647757</v>
      </c>
      <c r="BH290" s="495">
        <f t="shared" si="4"/>
        <v>2.8353981018619141</v>
      </c>
      <c r="BI290" s="495">
        <f t="shared" si="4"/>
        <v>0.99269574384647508</v>
      </c>
      <c r="BJ290" s="495">
        <f t="shared" si="4"/>
        <v>0.51187765705672827</v>
      </c>
      <c r="BK290" s="495">
        <f t="shared" si="4"/>
        <v>1.8537758697065168</v>
      </c>
      <c r="BL290" s="495">
        <f t="shared" si="4"/>
        <v>4.2907826920771903</v>
      </c>
      <c r="BM290" s="495">
        <f t="shared" si="4"/>
        <v>0.71933533049574017</v>
      </c>
      <c r="BN290" s="495">
        <f t="shared" si="4"/>
        <v>0.31304230503468478</v>
      </c>
      <c r="BO290" s="495">
        <f t="shared" si="4"/>
        <v>0.93425585224189867</v>
      </c>
      <c r="BP290" s="495">
        <f t="shared" si="4"/>
        <v>0.585998422208167</v>
      </c>
      <c r="BQ290" s="495">
        <f t="shared" si="4"/>
        <v>0.22764859442386484</v>
      </c>
      <c r="BR290" s="495">
        <f>BR288/BR289</f>
        <v>0.76864848056192381</v>
      </c>
      <c r="BS290" s="495">
        <f>BS288/BS289</f>
        <v>0.60017596173225851</v>
      </c>
      <c r="BT290" s="495">
        <f t="shared" ref="BT290:CE290" si="5">BT288/BT289</f>
        <v>2.9699586448824773</v>
      </c>
      <c r="BU290" s="495">
        <f t="shared" si="5"/>
        <v>0.54242982840795129</v>
      </c>
      <c r="BV290" s="495">
        <f t="shared" si="5"/>
        <v>1.919123199648511</v>
      </c>
      <c r="BW290" s="495">
        <f t="shared" si="5"/>
        <v>4.0010144588672754</v>
      </c>
      <c r="BX290" s="495">
        <f t="shared" si="5"/>
        <v>0.60555153680879481</v>
      </c>
      <c r="BY290" s="495">
        <f t="shared" si="5"/>
        <v>0.7205998395877754</v>
      </c>
      <c r="BZ290" s="495">
        <f t="shared" si="5"/>
        <v>0.22887541991433297</v>
      </c>
      <c r="CA290" s="495">
        <f t="shared" si="5"/>
        <v>0.11625354561911141</v>
      </c>
      <c r="CB290" s="495">
        <f t="shared" si="5"/>
        <v>0.46027015451250269</v>
      </c>
      <c r="CC290" s="495">
        <f t="shared" si="5"/>
        <v>1.0067657407744353</v>
      </c>
      <c r="CD290" s="495">
        <f t="shared" si="5"/>
        <v>0.53287640865749808</v>
      </c>
      <c r="CE290" s="495">
        <f t="shared" si="5"/>
        <v>1.0022061314432504</v>
      </c>
    </row>
    <row r="291" spans="1:84" s="833" customFormat="1" x14ac:dyDescent="0.25">
      <c r="A291" s="832" t="s">
        <v>936</v>
      </c>
      <c r="B291" s="835"/>
      <c r="C291" s="496" t="s">
        <v>944</v>
      </c>
      <c r="D291" s="835"/>
      <c r="E291" s="480">
        <f>+E97+E51</f>
        <v>26600</v>
      </c>
      <c r="F291" s="480">
        <f t="shared" ref="F291:BQ291" si="6">+F97+F51</f>
        <v>182650</v>
      </c>
      <c r="G291" s="480">
        <f t="shared" si="6"/>
        <v>0</v>
      </c>
      <c r="H291" s="480">
        <f t="shared" si="6"/>
        <v>25086</v>
      </c>
      <c r="I291" s="480">
        <f t="shared" si="6"/>
        <v>93582</v>
      </c>
      <c r="J291" s="480">
        <f t="shared" si="6"/>
        <v>0</v>
      </c>
      <c r="K291" s="480">
        <f t="shared" si="6"/>
        <v>0</v>
      </c>
      <c r="L291" s="480">
        <f t="shared" si="6"/>
        <v>0</v>
      </c>
      <c r="M291" s="480">
        <f t="shared" si="6"/>
        <v>886264</v>
      </c>
      <c r="N291" s="480">
        <f t="shared" si="6"/>
        <v>0</v>
      </c>
      <c r="O291" s="480">
        <f t="shared" si="6"/>
        <v>0</v>
      </c>
      <c r="P291" s="480">
        <f t="shared" si="6"/>
        <v>0</v>
      </c>
      <c r="Q291" s="480">
        <f t="shared" si="6"/>
        <v>0</v>
      </c>
      <c r="R291" s="480">
        <f t="shared" si="6"/>
        <v>109433</v>
      </c>
      <c r="S291" s="480">
        <f t="shared" si="6"/>
        <v>0</v>
      </c>
      <c r="T291" s="480">
        <f t="shared" si="6"/>
        <v>2100</v>
      </c>
      <c r="U291" s="480">
        <f t="shared" si="6"/>
        <v>75232</v>
      </c>
      <c r="V291" s="480">
        <f t="shared" si="6"/>
        <v>37925</v>
      </c>
      <c r="W291" s="480">
        <f t="shared" si="6"/>
        <v>858040</v>
      </c>
      <c r="X291" s="480">
        <f t="shared" si="6"/>
        <v>0</v>
      </c>
      <c r="Y291" s="480">
        <f t="shared" si="6"/>
        <v>21527</v>
      </c>
      <c r="Z291" s="480">
        <f t="shared" si="6"/>
        <v>98749</v>
      </c>
      <c r="AA291" s="480">
        <f t="shared" si="6"/>
        <v>3174964</v>
      </c>
      <c r="AB291" s="480">
        <f t="shared" si="6"/>
        <v>0</v>
      </c>
      <c r="AC291" s="480">
        <f t="shared" si="6"/>
        <v>12718</v>
      </c>
      <c r="AD291" s="480">
        <f t="shared" si="6"/>
        <v>0</v>
      </c>
      <c r="AE291" s="480">
        <f t="shared" si="6"/>
        <v>0</v>
      </c>
      <c r="AF291" s="480">
        <f t="shared" si="6"/>
        <v>0</v>
      </c>
      <c r="AG291" s="480">
        <f t="shared" si="6"/>
        <v>5549990</v>
      </c>
      <c r="AH291" s="480">
        <f t="shared" si="6"/>
        <v>0</v>
      </c>
      <c r="AI291" s="480">
        <f t="shared" si="6"/>
        <v>0</v>
      </c>
      <c r="AJ291" s="480">
        <f t="shared" si="6"/>
        <v>17188</v>
      </c>
      <c r="AK291" s="480">
        <f t="shared" si="6"/>
        <v>0</v>
      </c>
      <c r="AL291" s="480">
        <f t="shared" si="6"/>
        <v>0</v>
      </c>
      <c r="AM291" s="480">
        <f t="shared" si="6"/>
        <v>1596059</v>
      </c>
      <c r="AN291" s="480">
        <f t="shared" si="6"/>
        <v>126001</v>
      </c>
      <c r="AO291" s="480">
        <f t="shared" si="6"/>
        <v>658281</v>
      </c>
      <c r="AP291" s="480">
        <f t="shared" si="6"/>
        <v>0</v>
      </c>
      <c r="AQ291" s="480">
        <f t="shared" si="6"/>
        <v>211735</v>
      </c>
      <c r="AR291" s="480">
        <f t="shared" si="6"/>
        <v>0</v>
      </c>
      <c r="AS291" s="480">
        <f t="shared" si="6"/>
        <v>0</v>
      </c>
      <c r="AT291" s="480">
        <f t="shared" si="6"/>
        <v>141067</v>
      </c>
      <c r="AU291" s="480">
        <f t="shared" si="6"/>
        <v>2059</v>
      </c>
      <c r="AV291" s="480">
        <f t="shared" si="6"/>
        <v>21628983</v>
      </c>
      <c r="AW291" s="480">
        <f t="shared" si="6"/>
        <v>9762685</v>
      </c>
      <c r="AX291" s="480">
        <f t="shared" si="6"/>
        <v>26563</v>
      </c>
      <c r="AY291" s="480">
        <f t="shared" si="6"/>
        <v>32716</v>
      </c>
      <c r="AZ291" s="480">
        <f t="shared" si="6"/>
        <v>33831</v>
      </c>
      <c r="BA291" s="480">
        <f t="shared" si="6"/>
        <v>0</v>
      </c>
      <c r="BB291" s="480">
        <f t="shared" si="6"/>
        <v>43506</v>
      </c>
      <c r="BC291" s="480">
        <f t="shared" si="6"/>
        <v>115252</v>
      </c>
      <c r="BD291" s="480">
        <f t="shared" si="6"/>
        <v>12713</v>
      </c>
      <c r="BE291" s="480">
        <f t="shared" si="6"/>
        <v>0</v>
      </c>
      <c r="BF291" s="480">
        <f t="shared" si="6"/>
        <v>34660</v>
      </c>
      <c r="BG291" s="480">
        <f t="shared" si="6"/>
        <v>1526116</v>
      </c>
      <c r="BH291" s="480">
        <f t="shared" si="6"/>
        <v>0</v>
      </c>
      <c r="BI291" s="480">
        <f t="shared" si="6"/>
        <v>806332</v>
      </c>
      <c r="BJ291" s="480">
        <f t="shared" si="6"/>
        <v>55529</v>
      </c>
      <c r="BK291" s="480">
        <f t="shared" si="6"/>
        <v>0</v>
      </c>
      <c r="BL291" s="480">
        <f t="shared" si="6"/>
        <v>0</v>
      </c>
      <c r="BM291" s="480">
        <f t="shared" si="6"/>
        <v>2616205</v>
      </c>
      <c r="BN291" s="480">
        <f t="shared" si="6"/>
        <v>2961457</v>
      </c>
      <c r="BO291" s="480">
        <f t="shared" si="6"/>
        <v>612017</v>
      </c>
      <c r="BP291" s="480">
        <f t="shared" si="6"/>
        <v>3237655</v>
      </c>
      <c r="BQ291" s="480">
        <f t="shared" si="6"/>
        <v>16569466</v>
      </c>
      <c r="BR291" s="480">
        <f t="shared" ref="BR291:BS291" si="7">+BR97+BR51</f>
        <v>0</v>
      </c>
      <c r="BS291" s="480">
        <f t="shared" si="7"/>
        <v>93349</v>
      </c>
      <c r="BT291" s="480">
        <f t="shared" ref="BT291:CE291" si="8">+BT97+BT51</f>
        <v>0</v>
      </c>
      <c r="BU291" s="480">
        <f t="shared" si="8"/>
        <v>3839037</v>
      </c>
      <c r="BV291" s="480">
        <f t="shared" si="8"/>
        <v>0</v>
      </c>
      <c r="BW291" s="480">
        <f t="shared" si="8"/>
        <v>0</v>
      </c>
      <c r="BX291" s="480">
        <f t="shared" si="8"/>
        <v>660593</v>
      </c>
      <c r="BY291" s="480">
        <f t="shared" si="8"/>
        <v>0</v>
      </c>
      <c r="BZ291" s="480">
        <f t="shared" si="8"/>
        <v>3918961</v>
      </c>
      <c r="CA291" s="480">
        <f t="shared" si="8"/>
        <v>26827</v>
      </c>
      <c r="CB291" s="480">
        <f t="shared" si="8"/>
        <v>0</v>
      </c>
      <c r="CC291" s="480">
        <f t="shared" si="8"/>
        <v>23754</v>
      </c>
      <c r="CD291" s="480">
        <f t="shared" si="8"/>
        <v>0</v>
      </c>
      <c r="CE291" s="480">
        <f t="shared" si="8"/>
        <v>0</v>
      </c>
    </row>
    <row r="292" spans="1:84" s="833" customFormat="1" x14ac:dyDescent="0.25">
      <c r="A292" s="832" t="s">
        <v>934</v>
      </c>
      <c r="B292" s="835"/>
      <c r="C292" s="835" t="s">
        <v>937</v>
      </c>
      <c r="D292" s="835"/>
      <c r="E292" s="480">
        <f>+E60+E58</f>
        <v>0</v>
      </c>
      <c r="F292" s="480">
        <f t="shared" ref="F292:BQ292" si="9">+F60+F58</f>
        <v>0</v>
      </c>
      <c r="G292" s="480">
        <f t="shared" si="9"/>
        <v>0</v>
      </c>
      <c r="H292" s="480">
        <f t="shared" si="9"/>
        <v>0</v>
      </c>
      <c r="I292" s="480">
        <f t="shared" si="9"/>
        <v>0</v>
      </c>
      <c r="J292" s="480">
        <f t="shared" si="9"/>
        <v>0</v>
      </c>
      <c r="K292" s="480">
        <f t="shared" si="9"/>
        <v>0</v>
      </c>
      <c r="L292" s="480">
        <f t="shared" si="9"/>
        <v>0</v>
      </c>
      <c r="M292" s="480">
        <f t="shared" si="9"/>
        <v>259149</v>
      </c>
      <c r="N292" s="480">
        <f t="shared" si="9"/>
        <v>0</v>
      </c>
      <c r="O292" s="480">
        <f t="shared" si="9"/>
        <v>0</v>
      </c>
      <c r="P292" s="480">
        <f t="shared" si="9"/>
        <v>0</v>
      </c>
      <c r="Q292" s="480">
        <f t="shared" si="9"/>
        <v>0</v>
      </c>
      <c r="R292" s="480">
        <f t="shared" si="9"/>
        <v>34948</v>
      </c>
      <c r="S292" s="480">
        <f t="shared" si="9"/>
        <v>0</v>
      </c>
      <c r="T292" s="480">
        <f t="shared" si="9"/>
        <v>0</v>
      </c>
      <c r="U292" s="480">
        <f t="shared" si="9"/>
        <v>0</v>
      </c>
      <c r="V292" s="480">
        <f t="shared" si="9"/>
        <v>0</v>
      </c>
      <c r="W292" s="480">
        <f t="shared" si="9"/>
        <v>0</v>
      </c>
      <c r="X292" s="480">
        <f t="shared" si="9"/>
        <v>0</v>
      </c>
      <c r="Y292" s="480">
        <f t="shared" si="9"/>
        <v>0</v>
      </c>
      <c r="Z292" s="480">
        <f t="shared" si="9"/>
        <v>2685</v>
      </c>
      <c r="AA292" s="480">
        <f t="shared" si="9"/>
        <v>0</v>
      </c>
      <c r="AB292" s="480">
        <f t="shared" si="9"/>
        <v>0</v>
      </c>
      <c r="AC292" s="480">
        <f t="shared" si="9"/>
        <v>0</v>
      </c>
      <c r="AD292" s="480">
        <f t="shared" si="9"/>
        <v>0</v>
      </c>
      <c r="AE292" s="480">
        <f t="shared" si="9"/>
        <v>0</v>
      </c>
      <c r="AF292" s="480">
        <f t="shared" si="9"/>
        <v>0</v>
      </c>
      <c r="AG292" s="480">
        <f t="shared" si="9"/>
        <v>16869</v>
      </c>
      <c r="AH292" s="480">
        <f t="shared" si="9"/>
        <v>0</v>
      </c>
      <c r="AI292" s="480">
        <f t="shared" si="9"/>
        <v>0</v>
      </c>
      <c r="AJ292" s="480">
        <f t="shared" si="9"/>
        <v>0</v>
      </c>
      <c r="AK292" s="480">
        <f t="shared" si="9"/>
        <v>0</v>
      </c>
      <c r="AL292" s="480">
        <f t="shared" si="9"/>
        <v>0</v>
      </c>
      <c r="AM292" s="480">
        <f t="shared" si="9"/>
        <v>0</v>
      </c>
      <c r="AN292" s="480">
        <f t="shared" si="9"/>
        <v>0</v>
      </c>
      <c r="AO292" s="480">
        <f t="shared" si="9"/>
        <v>0</v>
      </c>
      <c r="AP292" s="480">
        <f t="shared" si="9"/>
        <v>0</v>
      </c>
      <c r="AQ292" s="480">
        <f t="shared" si="9"/>
        <v>0</v>
      </c>
      <c r="AR292" s="480">
        <f t="shared" si="9"/>
        <v>0</v>
      </c>
      <c r="AS292" s="480">
        <f t="shared" si="9"/>
        <v>0</v>
      </c>
      <c r="AT292" s="480">
        <f t="shared" si="9"/>
        <v>0</v>
      </c>
      <c r="AU292" s="480">
        <f t="shared" si="9"/>
        <v>0</v>
      </c>
      <c r="AV292" s="480">
        <f t="shared" si="9"/>
        <v>0</v>
      </c>
      <c r="AW292" s="480">
        <f t="shared" si="9"/>
        <v>3005267</v>
      </c>
      <c r="AX292" s="480">
        <f t="shared" si="9"/>
        <v>0</v>
      </c>
      <c r="AY292" s="480">
        <f t="shared" si="9"/>
        <v>0</v>
      </c>
      <c r="AZ292" s="480">
        <f t="shared" si="9"/>
        <v>0</v>
      </c>
      <c r="BA292" s="480">
        <f t="shared" si="9"/>
        <v>0</v>
      </c>
      <c r="BB292" s="480">
        <f t="shared" si="9"/>
        <v>0</v>
      </c>
      <c r="BC292" s="480">
        <f t="shared" si="9"/>
        <v>0</v>
      </c>
      <c r="BD292" s="480">
        <f t="shared" si="9"/>
        <v>0</v>
      </c>
      <c r="BE292" s="480">
        <f t="shared" si="9"/>
        <v>0</v>
      </c>
      <c r="BF292" s="480">
        <f t="shared" si="9"/>
        <v>0</v>
      </c>
      <c r="BG292" s="480">
        <f t="shared" si="9"/>
        <v>0</v>
      </c>
      <c r="BH292" s="480">
        <f t="shared" si="9"/>
        <v>0</v>
      </c>
      <c r="BI292" s="480">
        <f t="shared" si="9"/>
        <v>0</v>
      </c>
      <c r="BJ292" s="480">
        <f t="shared" si="9"/>
        <v>0</v>
      </c>
      <c r="BK292" s="480">
        <f t="shared" si="9"/>
        <v>0</v>
      </c>
      <c r="BL292" s="480">
        <f t="shared" si="9"/>
        <v>0</v>
      </c>
      <c r="BM292" s="480">
        <f t="shared" si="9"/>
        <v>0</v>
      </c>
      <c r="BN292" s="480">
        <f t="shared" si="9"/>
        <v>0</v>
      </c>
      <c r="BO292" s="480">
        <f t="shared" si="9"/>
        <v>19400</v>
      </c>
      <c r="BP292" s="480">
        <f t="shared" si="9"/>
        <v>0</v>
      </c>
      <c r="BQ292" s="480">
        <f t="shared" si="9"/>
        <v>0</v>
      </c>
      <c r="BR292" s="480">
        <f>+BR60+BR58</f>
        <v>0</v>
      </c>
      <c r="BS292" s="480">
        <f>+BS60+BS58</f>
        <v>185067</v>
      </c>
      <c r="BT292" s="480">
        <f t="shared" ref="BT292:CE292" si="10">+BT60+BT58</f>
        <v>0</v>
      </c>
      <c r="BU292" s="480">
        <f t="shared" si="10"/>
        <v>0</v>
      </c>
      <c r="BV292" s="480">
        <f t="shared" si="10"/>
        <v>0</v>
      </c>
      <c r="BW292" s="480">
        <f t="shared" si="10"/>
        <v>0</v>
      </c>
      <c r="BX292" s="480">
        <f t="shared" si="10"/>
        <v>0</v>
      </c>
      <c r="BY292" s="480">
        <f t="shared" si="10"/>
        <v>0</v>
      </c>
      <c r="BZ292" s="480">
        <f t="shared" si="10"/>
        <v>0</v>
      </c>
      <c r="CA292" s="480">
        <f t="shared" si="10"/>
        <v>0</v>
      </c>
      <c r="CB292" s="480">
        <f t="shared" si="10"/>
        <v>0</v>
      </c>
      <c r="CC292" s="480">
        <f t="shared" si="10"/>
        <v>0</v>
      </c>
      <c r="CD292" s="480">
        <f t="shared" si="10"/>
        <v>0</v>
      </c>
      <c r="CE292" s="480">
        <f t="shared" si="10"/>
        <v>0</v>
      </c>
    </row>
    <row r="293" spans="1:84" s="833" customFormat="1" x14ac:dyDescent="0.25">
      <c r="A293" s="832" t="s">
        <v>940</v>
      </c>
      <c r="C293" s="835" t="s">
        <v>939</v>
      </c>
      <c r="E293" s="497">
        <f>+E31-E160</f>
        <v>361429</v>
      </c>
      <c r="F293" s="497">
        <f t="shared" ref="F293:BQ293" si="11">+F31-F160</f>
        <v>718486</v>
      </c>
      <c r="G293" s="497">
        <f t="shared" si="11"/>
        <v>0</v>
      </c>
      <c r="H293" s="497">
        <f t="shared" si="11"/>
        <v>970294</v>
      </c>
      <c r="I293" s="497">
        <f t="shared" si="11"/>
        <v>399824</v>
      </c>
      <c r="J293" s="497">
        <f t="shared" si="11"/>
        <v>109598</v>
      </c>
      <c r="K293" s="497">
        <f t="shared" si="11"/>
        <v>0</v>
      </c>
      <c r="L293" s="497">
        <f t="shared" si="11"/>
        <v>225062</v>
      </c>
      <c r="M293" s="497">
        <f t="shared" si="11"/>
        <v>4395702</v>
      </c>
      <c r="N293" s="497">
        <f t="shared" si="11"/>
        <v>0</v>
      </c>
      <c r="O293" s="497">
        <f t="shared" si="11"/>
        <v>0</v>
      </c>
      <c r="P293" s="497">
        <f t="shared" si="11"/>
        <v>0</v>
      </c>
      <c r="Q293" s="497">
        <f t="shared" si="11"/>
        <v>14805</v>
      </c>
      <c r="R293" s="497">
        <f t="shared" si="11"/>
        <v>5206934</v>
      </c>
      <c r="S293" s="497">
        <f t="shared" si="11"/>
        <v>0</v>
      </c>
      <c r="T293" s="497">
        <f t="shared" si="11"/>
        <v>215245</v>
      </c>
      <c r="U293" s="497">
        <f t="shared" si="11"/>
        <v>1034553</v>
      </c>
      <c r="V293" s="497">
        <f t="shared" si="11"/>
        <v>750199</v>
      </c>
      <c r="W293" s="497">
        <f t="shared" si="11"/>
        <v>4925524</v>
      </c>
      <c r="X293" s="497">
        <f t="shared" si="11"/>
        <v>0</v>
      </c>
      <c r="Y293" s="497">
        <f t="shared" si="11"/>
        <v>603319</v>
      </c>
      <c r="Z293" s="497">
        <f t="shared" si="11"/>
        <v>270406</v>
      </c>
      <c r="AA293" s="497">
        <f t="shared" si="11"/>
        <v>17744106</v>
      </c>
      <c r="AB293" s="497">
        <f t="shared" si="11"/>
        <v>25106</v>
      </c>
      <c r="AC293" s="497">
        <f t="shared" si="11"/>
        <v>428294</v>
      </c>
      <c r="AD293" s="497">
        <f t="shared" si="11"/>
        <v>0</v>
      </c>
      <c r="AE293" s="497">
        <f t="shared" si="11"/>
        <v>0</v>
      </c>
      <c r="AF293" s="497">
        <f t="shared" si="11"/>
        <v>0</v>
      </c>
      <c r="AG293" s="497">
        <f t="shared" si="11"/>
        <v>27651008</v>
      </c>
      <c r="AH293" s="497">
        <f t="shared" si="11"/>
        <v>967</v>
      </c>
      <c r="AI293" s="497">
        <f t="shared" si="11"/>
        <v>263668</v>
      </c>
      <c r="AJ293" s="497">
        <f t="shared" si="11"/>
        <v>2288868</v>
      </c>
      <c r="AK293" s="497">
        <f t="shared" si="11"/>
        <v>97162</v>
      </c>
      <c r="AL293" s="497">
        <f t="shared" si="11"/>
        <v>88839</v>
      </c>
      <c r="AM293" s="497">
        <f t="shared" si="11"/>
        <v>10439095</v>
      </c>
      <c r="AN293" s="497">
        <f t="shared" si="11"/>
        <v>223071</v>
      </c>
      <c r="AO293" s="497">
        <f t="shared" si="11"/>
        <v>11146354</v>
      </c>
      <c r="AP293" s="497">
        <f t="shared" si="11"/>
        <v>0</v>
      </c>
      <c r="AQ293" s="497">
        <f t="shared" si="11"/>
        <v>2717111</v>
      </c>
      <c r="AR293" s="497">
        <f t="shared" si="11"/>
        <v>0</v>
      </c>
      <c r="AS293" s="497">
        <f t="shared" si="11"/>
        <v>0</v>
      </c>
      <c r="AT293" s="497">
        <f t="shared" si="11"/>
        <v>905384</v>
      </c>
      <c r="AU293" s="497">
        <f t="shared" si="11"/>
        <v>163166</v>
      </c>
      <c r="AV293" s="497">
        <f t="shared" si="11"/>
        <v>66509774</v>
      </c>
      <c r="AW293" s="497">
        <f t="shared" si="11"/>
        <v>18459894</v>
      </c>
      <c r="AX293" s="497">
        <f t="shared" si="11"/>
        <v>619051</v>
      </c>
      <c r="AY293" s="497">
        <f t="shared" si="11"/>
        <v>149953</v>
      </c>
      <c r="AZ293" s="497">
        <f t="shared" si="11"/>
        <v>178215</v>
      </c>
      <c r="BA293" s="497">
        <f t="shared" si="11"/>
        <v>106366</v>
      </c>
      <c r="BB293" s="497">
        <f t="shared" si="11"/>
        <v>435177</v>
      </c>
      <c r="BC293" s="497">
        <f t="shared" si="11"/>
        <v>3113086</v>
      </c>
      <c r="BD293" s="497">
        <f t="shared" si="11"/>
        <v>499563</v>
      </c>
      <c r="BE293" s="497">
        <f t="shared" si="11"/>
        <v>0</v>
      </c>
      <c r="BF293" s="497">
        <f t="shared" si="11"/>
        <v>139115</v>
      </c>
      <c r="BG293" s="497">
        <f t="shared" si="11"/>
        <v>10696911</v>
      </c>
      <c r="BH293" s="497">
        <f t="shared" si="11"/>
        <v>0</v>
      </c>
      <c r="BI293" s="497">
        <f t="shared" si="11"/>
        <v>9881694</v>
      </c>
      <c r="BJ293" s="497">
        <f t="shared" si="11"/>
        <v>1344531</v>
      </c>
      <c r="BK293" s="497">
        <f t="shared" si="11"/>
        <v>0</v>
      </c>
      <c r="BL293" s="497">
        <f t="shared" si="11"/>
        <v>0</v>
      </c>
      <c r="BM293" s="497">
        <f t="shared" si="11"/>
        <v>27552898</v>
      </c>
      <c r="BN293" s="497">
        <f t="shared" si="11"/>
        <v>20339460</v>
      </c>
      <c r="BO293" s="497">
        <f t="shared" si="11"/>
        <v>797612</v>
      </c>
      <c r="BP293" s="497">
        <f t="shared" si="11"/>
        <v>35512913</v>
      </c>
      <c r="BQ293" s="497">
        <f t="shared" si="11"/>
        <v>49883835</v>
      </c>
      <c r="BR293" s="497">
        <f>+BR31-BR160</f>
        <v>215459</v>
      </c>
      <c r="BS293" s="497">
        <f>+BS31-BS160</f>
        <v>1307257</v>
      </c>
      <c r="BT293" s="497">
        <f t="shared" ref="BT293:CE293" si="12">+BT31-BT160</f>
        <v>0</v>
      </c>
      <c r="BU293" s="497">
        <f t="shared" si="12"/>
        <v>10719387</v>
      </c>
      <c r="BV293" s="497">
        <f t="shared" si="12"/>
        <v>268262</v>
      </c>
      <c r="BW293" s="497">
        <f t="shared" si="12"/>
        <v>0</v>
      </c>
      <c r="BX293" s="497">
        <f t="shared" si="12"/>
        <v>5299209</v>
      </c>
      <c r="BY293" s="497">
        <f t="shared" si="12"/>
        <v>0</v>
      </c>
      <c r="BZ293" s="497">
        <f t="shared" si="12"/>
        <v>43891267</v>
      </c>
      <c r="CA293" s="497">
        <f t="shared" si="12"/>
        <v>466644</v>
      </c>
      <c r="CB293" s="497">
        <f t="shared" si="12"/>
        <v>0</v>
      </c>
      <c r="CC293" s="497">
        <f t="shared" si="12"/>
        <v>66904</v>
      </c>
      <c r="CD293" s="497">
        <f t="shared" si="12"/>
        <v>0</v>
      </c>
      <c r="CE293" s="497">
        <f t="shared" si="12"/>
        <v>0</v>
      </c>
    </row>
    <row r="294" spans="1:84" s="833" customFormat="1" x14ac:dyDescent="0.25">
      <c r="A294" s="832" t="s">
        <v>945</v>
      </c>
      <c r="C294" s="835" t="s">
        <v>947</v>
      </c>
      <c r="E294" s="834">
        <f>+(E45*365)/E50</f>
        <v>23.129256212965419</v>
      </c>
      <c r="F294" s="834">
        <f t="shared" ref="F294:BQ294" si="13">+(F45*365)/F50</f>
        <v>31.236183384856837</v>
      </c>
      <c r="G294" s="834" t="e">
        <f t="shared" si="13"/>
        <v>#DIV/0!</v>
      </c>
      <c r="H294" s="834">
        <f t="shared" si="13"/>
        <v>51.520210593081778</v>
      </c>
      <c r="I294" s="834">
        <f t="shared" si="13"/>
        <v>54.007863401482815</v>
      </c>
      <c r="J294" s="834">
        <f t="shared" si="13"/>
        <v>30.507543866184854</v>
      </c>
      <c r="K294" s="834" t="e">
        <f t="shared" si="13"/>
        <v>#DIV/0!</v>
      </c>
      <c r="L294" s="834">
        <f t="shared" si="13"/>
        <v>35.487924550191913</v>
      </c>
      <c r="M294" s="834">
        <f t="shared" si="13"/>
        <v>43.206048971233216</v>
      </c>
      <c r="N294" s="834" t="e">
        <f t="shared" si="13"/>
        <v>#DIV/0!</v>
      </c>
      <c r="O294" s="834" t="e">
        <f t="shared" si="13"/>
        <v>#DIV/0!</v>
      </c>
      <c r="P294" s="834" t="e">
        <f t="shared" si="13"/>
        <v>#DIV/0!</v>
      </c>
      <c r="Q294" s="834">
        <f t="shared" si="13"/>
        <v>42.558895944019696</v>
      </c>
      <c r="R294" s="834">
        <f t="shared" si="13"/>
        <v>33.325983479948768</v>
      </c>
      <c r="S294" s="834" t="e">
        <f t="shared" si="13"/>
        <v>#DIV/0!</v>
      </c>
      <c r="T294" s="834">
        <f t="shared" si="13"/>
        <v>38.807613680939021</v>
      </c>
      <c r="U294" s="834">
        <f t="shared" si="13"/>
        <v>45.562871879328348</v>
      </c>
      <c r="V294" s="834">
        <f t="shared" si="13"/>
        <v>38.887439482997657</v>
      </c>
      <c r="W294" s="834">
        <f t="shared" si="13"/>
        <v>49.783108787034564</v>
      </c>
      <c r="X294" s="834" t="e">
        <f t="shared" si="13"/>
        <v>#DIV/0!</v>
      </c>
      <c r="Y294" s="834">
        <f t="shared" si="13"/>
        <v>23.686098102272457</v>
      </c>
      <c r="Z294" s="834">
        <f t="shared" si="13"/>
        <v>93.888990958659704</v>
      </c>
      <c r="AA294" s="834">
        <f t="shared" si="13"/>
        <v>43.189547576637686</v>
      </c>
      <c r="AB294" s="834">
        <f t="shared" si="13"/>
        <v>74.63224279188475</v>
      </c>
      <c r="AC294" s="834">
        <f t="shared" si="13"/>
        <v>33.982041122713092</v>
      </c>
      <c r="AD294" s="834" t="e">
        <f t="shared" si="13"/>
        <v>#DIV/0!</v>
      </c>
      <c r="AE294" s="834" t="e">
        <f t="shared" si="13"/>
        <v>#DIV/0!</v>
      </c>
      <c r="AF294" s="834" t="e">
        <f t="shared" si="13"/>
        <v>#DIV/0!</v>
      </c>
      <c r="AG294" s="834">
        <f t="shared" si="13"/>
        <v>46.7247462961842</v>
      </c>
      <c r="AH294" s="834" t="e">
        <f t="shared" si="13"/>
        <v>#DIV/0!</v>
      </c>
      <c r="AI294" s="834">
        <f t="shared" si="13"/>
        <v>77.836941086513249</v>
      </c>
      <c r="AJ294" s="834">
        <f t="shared" si="13"/>
        <v>32.159666848251959</v>
      </c>
      <c r="AK294" s="834">
        <f t="shared" si="13"/>
        <v>120.54332386363636</v>
      </c>
      <c r="AL294" s="834">
        <f t="shared" si="13"/>
        <v>36.130067567567565</v>
      </c>
      <c r="AM294" s="834">
        <f t="shared" si="13"/>
        <v>59.540567602447396</v>
      </c>
      <c r="AN294" s="834">
        <f t="shared" si="13"/>
        <v>0</v>
      </c>
      <c r="AO294" s="834">
        <f t="shared" si="13"/>
        <v>69.594766747085743</v>
      </c>
      <c r="AP294" s="834" t="e">
        <f t="shared" si="13"/>
        <v>#DIV/0!</v>
      </c>
      <c r="AQ294" s="834">
        <f t="shared" si="13"/>
        <v>70.104152867602139</v>
      </c>
      <c r="AR294" s="834" t="e">
        <f t="shared" si="13"/>
        <v>#DIV/0!</v>
      </c>
      <c r="AS294" s="834" t="e">
        <f t="shared" si="13"/>
        <v>#DIV/0!</v>
      </c>
      <c r="AT294" s="834">
        <f t="shared" si="13"/>
        <v>57.822281285707192</v>
      </c>
      <c r="AU294" s="834">
        <f t="shared" si="13"/>
        <v>56.160066836835959</v>
      </c>
      <c r="AV294" s="834">
        <f t="shared" si="13"/>
        <v>54.760925795994886</v>
      </c>
      <c r="AW294" s="834">
        <f t="shared" si="13"/>
        <v>40.907569177675221</v>
      </c>
      <c r="AX294" s="834">
        <f t="shared" si="13"/>
        <v>45.104765505619504</v>
      </c>
      <c r="AY294" s="834">
        <f t="shared" si="13"/>
        <v>25.516709401404174</v>
      </c>
      <c r="AZ294" s="834">
        <f t="shared" si="13"/>
        <v>26.316601464085739</v>
      </c>
      <c r="BA294" s="834">
        <f t="shared" si="13"/>
        <v>56.292961069602832</v>
      </c>
      <c r="BB294" s="834">
        <f t="shared" si="13"/>
        <v>33.909323252493536</v>
      </c>
      <c r="BC294" s="834">
        <f t="shared" si="13"/>
        <v>34.099128484191034</v>
      </c>
      <c r="BD294" s="834">
        <f t="shared" si="13"/>
        <v>49.510265130045973</v>
      </c>
      <c r="BE294" s="834" t="e">
        <f t="shared" si="13"/>
        <v>#DIV/0!</v>
      </c>
      <c r="BF294" s="834">
        <f t="shared" si="13"/>
        <v>31.58023515382434</v>
      </c>
      <c r="BG294" s="834">
        <f t="shared" si="13"/>
        <v>69.649610400072845</v>
      </c>
      <c r="BH294" s="834" t="e">
        <f t="shared" si="13"/>
        <v>#DIV/0!</v>
      </c>
      <c r="BI294" s="834">
        <f t="shared" si="13"/>
        <v>56.493606793451896</v>
      </c>
      <c r="BJ294" s="834">
        <f t="shared" si="13"/>
        <v>24.507027079580674</v>
      </c>
      <c r="BK294" s="834" t="e">
        <f t="shared" si="13"/>
        <v>#DIV/0!</v>
      </c>
      <c r="BL294" s="834" t="e">
        <f t="shared" si="13"/>
        <v>#DIV/0!</v>
      </c>
      <c r="BM294" s="834">
        <f t="shared" si="13"/>
        <v>33.171431622512941</v>
      </c>
      <c r="BN294" s="834">
        <f t="shared" si="13"/>
        <v>47.736298437869991</v>
      </c>
      <c r="BO294" s="834">
        <f t="shared" si="13"/>
        <v>64.218137246951741</v>
      </c>
      <c r="BP294" s="834">
        <f t="shared" si="13"/>
        <v>44.222220088776709</v>
      </c>
      <c r="BQ294" s="834">
        <f t="shared" si="13"/>
        <v>37.947139567860624</v>
      </c>
      <c r="BR294" s="834">
        <f>+(BR45*365)/BR50</f>
        <v>26.10834513314758</v>
      </c>
      <c r="BS294" s="834">
        <f>+(BS45*365)/BS50</f>
        <v>50.370793277711989</v>
      </c>
      <c r="BT294" s="834">
        <f t="shared" ref="BT294:CE294" si="14">+(BT45*365)/BT50</f>
        <v>0</v>
      </c>
      <c r="BU294" s="834">
        <f t="shared" si="14"/>
        <v>60.36676099465857</v>
      </c>
      <c r="BV294" s="834">
        <f t="shared" si="14"/>
        <v>102.19673231871083</v>
      </c>
      <c r="BW294" s="834" t="e">
        <f t="shared" si="14"/>
        <v>#DIV/0!</v>
      </c>
      <c r="BX294" s="834">
        <f t="shared" si="14"/>
        <v>110.20774762872736</v>
      </c>
      <c r="BY294" s="834" t="e">
        <f t="shared" si="14"/>
        <v>#DIV/0!</v>
      </c>
      <c r="BZ294" s="834">
        <f t="shared" si="14"/>
        <v>63.256473421746399</v>
      </c>
      <c r="CA294" s="834">
        <f t="shared" si="14"/>
        <v>111.78374007350364</v>
      </c>
      <c r="CB294" s="834" t="e">
        <f t="shared" si="14"/>
        <v>#DIV/0!</v>
      </c>
      <c r="CC294" s="834">
        <f t="shared" si="14"/>
        <v>33.698943792008272</v>
      </c>
      <c r="CD294" s="834" t="e">
        <f t="shared" si="14"/>
        <v>#DIV/0!</v>
      </c>
      <c r="CE294" s="834" t="e">
        <f t="shared" si="14"/>
        <v>#DIV/0!</v>
      </c>
    </row>
    <row r="295" spans="1:84" s="833" customFormat="1" x14ac:dyDescent="0.25">
      <c r="A295" s="832" t="s">
        <v>946</v>
      </c>
      <c r="C295" s="835" t="s">
        <v>948</v>
      </c>
      <c r="E295" s="834" t="e">
        <f>+E53*365/E57</f>
        <v>#DIV/0!</v>
      </c>
      <c r="F295" s="834" t="e">
        <f t="shared" ref="F295:BQ295" si="15">+F53*365/F57</f>
        <v>#DIV/0!</v>
      </c>
      <c r="G295" s="834" t="e">
        <f t="shared" si="15"/>
        <v>#DIV/0!</v>
      </c>
      <c r="H295" s="834" t="e">
        <f t="shared" si="15"/>
        <v>#DIV/0!</v>
      </c>
      <c r="I295" s="834" t="e">
        <f t="shared" si="15"/>
        <v>#DIV/0!</v>
      </c>
      <c r="J295" s="834" t="e">
        <f t="shared" si="15"/>
        <v>#DIV/0!</v>
      </c>
      <c r="K295" s="834" t="e">
        <f t="shared" si="15"/>
        <v>#DIV/0!</v>
      </c>
      <c r="L295" s="834" t="e">
        <f t="shared" si="15"/>
        <v>#DIV/0!</v>
      </c>
      <c r="M295" s="834">
        <f t="shared" si="15"/>
        <v>58.653777814671763</v>
      </c>
      <c r="N295" s="834" t="e">
        <f t="shared" si="15"/>
        <v>#DIV/0!</v>
      </c>
      <c r="O295" s="834" t="e">
        <f t="shared" si="15"/>
        <v>#DIV/0!</v>
      </c>
      <c r="P295" s="834" t="e">
        <f t="shared" si="15"/>
        <v>#DIV/0!</v>
      </c>
      <c r="Q295" s="834" t="e">
        <f t="shared" si="15"/>
        <v>#DIV/0!</v>
      </c>
      <c r="R295" s="834">
        <f t="shared" si="15"/>
        <v>66.32967117273283</v>
      </c>
      <c r="S295" s="834" t="e">
        <f t="shared" si="15"/>
        <v>#DIV/0!</v>
      </c>
      <c r="T295" s="834">
        <f t="shared" si="15"/>
        <v>42.01367834387122</v>
      </c>
      <c r="U295" s="834" t="e">
        <f t="shared" si="15"/>
        <v>#DIV/0!</v>
      </c>
      <c r="V295" s="834" t="e">
        <f t="shared" si="15"/>
        <v>#DIV/0!</v>
      </c>
      <c r="W295" s="834" t="e">
        <f t="shared" si="15"/>
        <v>#DIV/0!</v>
      </c>
      <c r="X295" s="834" t="e">
        <f t="shared" si="15"/>
        <v>#DIV/0!</v>
      </c>
      <c r="Y295" s="834" t="e">
        <f t="shared" si="15"/>
        <v>#DIV/0!</v>
      </c>
      <c r="Z295" s="834">
        <f t="shared" si="15"/>
        <v>76.357490099616882</v>
      </c>
      <c r="AA295" s="834" t="e">
        <f t="shared" si="15"/>
        <v>#DIV/0!</v>
      </c>
      <c r="AB295" s="834" t="e">
        <f t="shared" si="15"/>
        <v>#DIV/0!</v>
      </c>
      <c r="AC295" s="834" t="e">
        <f t="shared" si="15"/>
        <v>#DIV/0!</v>
      </c>
      <c r="AD295" s="834" t="e">
        <f t="shared" si="15"/>
        <v>#DIV/0!</v>
      </c>
      <c r="AE295" s="834" t="e">
        <f t="shared" si="15"/>
        <v>#DIV/0!</v>
      </c>
      <c r="AF295" s="834" t="e">
        <f t="shared" si="15"/>
        <v>#DIV/0!</v>
      </c>
      <c r="AG295" s="834">
        <f t="shared" si="15"/>
        <v>49.017267702969846</v>
      </c>
      <c r="AH295" s="834" t="e">
        <f t="shared" si="15"/>
        <v>#DIV/0!</v>
      </c>
      <c r="AI295" s="834" t="e">
        <f t="shared" si="15"/>
        <v>#DIV/0!</v>
      </c>
      <c r="AJ295" s="834" t="e">
        <f t="shared" si="15"/>
        <v>#DIV/0!</v>
      </c>
      <c r="AK295" s="834" t="e">
        <f t="shared" si="15"/>
        <v>#DIV/0!</v>
      </c>
      <c r="AL295" s="834" t="e">
        <f t="shared" si="15"/>
        <v>#DIV/0!</v>
      </c>
      <c r="AM295" s="834" t="e">
        <f t="shared" si="15"/>
        <v>#DIV/0!</v>
      </c>
      <c r="AN295" s="834" t="e">
        <f t="shared" si="15"/>
        <v>#DIV/0!</v>
      </c>
      <c r="AO295" s="834" t="e">
        <f t="shared" si="15"/>
        <v>#DIV/0!</v>
      </c>
      <c r="AP295" s="834" t="e">
        <f t="shared" si="15"/>
        <v>#DIV/0!</v>
      </c>
      <c r="AQ295" s="834">
        <f t="shared" si="15"/>
        <v>49.553070339905922</v>
      </c>
      <c r="AR295" s="834" t="e">
        <f t="shared" si="15"/>
        <v>#DIV/0!</v>
      </c>
      <c r="AS295" s="834" t="e">
        <f t="shared" si="15"/>
        <v>#DIV/0!</v>
      </c>
      <c r="AT295" s="834" t="e">
        <f t="shared" si="15"/>
        <v>#DIV/0!</v>
      </c>
      <c r="AU295" s="834" t="e">
        <f t="shared" si="15"/>
        <v>#DIV/0!</v>
      </c>
      <c r="AV295" s="834" t="e">
        <f t="shared" si="15"/>
        <v>#DIV/0!</v>
      </c>
      <c r="AW295" s="834">
        <f t="shared" si="15"/>
        <v>43.21184237913711</v>
      </c>
      <c r="AX295" s="834" t="e">
        <f t="shared" si="15"/>
        <v>#DIV/0!</v>
      </c>
      <c r="AY295" s="834" t="e">
        <f t="shared" si="15"/>
        <v>#DIV/0!</v>
      </c>
      <c r="AZ295" s="834" t="e">
        <f t="shared" si="15"/>
        <v>#DIV/0!</v>
      </c>
      <c r="BA295" s="834" t="e">
        <f t="shared" si="15"/>
        <v>#DIV/0!</v>
      </c>
      <c r="BB295" s="834">
        <f t="shared" si="15"/>
        <v>38.775997161732548</v>
      </c>
      <c r="BC295" s="834" t="e">
        <f t="shared" si="15"/>
        <v>#DIV/0!</v>
      </c>
      <c r="BD295" s="834" t="e">
        <f t="shared" si="15"/>
        <v>#DIV/0!</v>
      </c>
      <c r="BE295" s="834" t="e">
        <f t="shared" si="15"/>
        <v>#DIV/0!</v>
      </c>
      <c r="BF295" s="834" t="e">
        <f t="shared" si="15"/>
        <v>#DIV/0!</v>
      </c>
      <c r="BG295" s="834" t="e">
        <f t="shared" si="15"/>
        <v>#DIV/0!</v>
      </c>
      <c r="BH295" s="834" t="e">
        <f t="shared" si="15"/>
        <v>#DIV/0!</v>
      </c>
      <c r="BI295" s="834" t="e">
        <f t="shared" si="15"/>
        <v>#DIV/0!</v>
      </c>
      <c r="BJ295" s="834" t="e">
        <f t="shared" si="15"/>
        <v>#DIV/0!</v>
      </c>
      <c r="BK295" s="834" t="e">
        <f t="shared" si="15"/>
        <v>#DIV/0!</v>
      </c>
      <c r="BL295" s="834" t="e">
        <f t="shared" si="15"/>
        <v>#DIV/0!</v>
      </c>
      <c r="BM295" s="834" t="e">
        <f t="shared" si="15"/>
        <v>#DIV/0!</v>
      </c>
      <c r="BN295" s="834" t="e">
        <f t="shared" si="15"/>
        <v>#DIV/0!</v>
      </c>
      <c r="BO295" s="834">
        <f t="shared" si="15"/>
        <v>47.244445900821972</v>
      </c>
      <c r="BP295" s="834" t="e">
        <f t="shared" si="15"/>
        <v>#DIV/0!</v>
      </c>
      <c r="BQ295" s="834">
        <f t="shared" si="15"/>
        <v>43.918894056532544</v>
      </c>
      <c r="BR295" s="834" t="e">
        <f>+BR53*365/BR57</f>
        <v>#DIV/0!</v>
      </c>
      <c r="BS295" s="834">
        <f>+BS53*365/BS57</f>
        <v>46.002861779202291</v>
      </c>
      <c r="BT295" s="834" t="e">
        <f t="shared" ref="BT295:CE295" si="16">+BT53*365/BT57</f>
        <v>#DIV/0!</v>
      </c>
      <c r="BU295" s="834" t="e">
        <f t="shared" si="16"/>
        <v>#DIV/0!</v>
      </c>
      <c r="BV295" s="834">
        <f t="shared" si="16"/>
        <v>27.659061028003521</v>
      </c>
      <c r="BW295" s="834" t="e">
        <f t="shared" si="16"/>
        <v>#DIV/0!</v>
      </c>
      <c r="BX295" s="834" t="e">
        <f t="shared" si="16"/>
        <v>#DIV/0!</v>
      </c>
      <c r="BY295" s="834" t="e">
        <f t="shared" si="16"/>
        <v>#DIV/0!</v>
      </c>
      <c r="BZ295" s="834" t="e">
        <f t="shared" si="16"/>
        <v>#DIV/0!</v>
      </c>
      <c r="CA295" s="834">
        <f t="shared" si="16"/>
        <v>47.410442290274354</v>
      </c>
      <c r="CB295" s="834" t="e">
        <f t="shared" si="16"/>
        <v>#DIV/0!</v>
      </c>
      <c r="CC295" s="834" t="e">
        <f t="shared" si="16"/>
        <v>#DIV/0!</v>
      </c>
      <c r="CD295" s="834" t="e">
        <f t="shared" si="16"/>
        <v>#DIV/0!</v>
      </c>
      <c r="CE295" s="834">
        <f t="shared" si="16"/>
        <v>47.361223262442891</v>
      </c>
    </row>
    <row r="296" spans="1:84" ht="37.5" customHeight="1" x14ac:dyDescent="0.25">
      <c r="A296" s="755"/>
      <c r="B296" s="755"/>
      <c r="C296" s="829"/>
      <c r="D296" s="635"/>
      <c r="E296" s="769"/>
      <c r="F296" s="770"/>
      <c r="G296" s="770"/>
      <c r="H296" s="770"/>
      <c r="I296" s="770"/>
      <c r="J296" s="770"/>
      <c r="K296" s="771"/>
      <c r="L296" s="772"/>
      <c r="M296" s="772"/>
      <c r="N296" s="773"/>
      <c r="O296" s="773"/>
      <c r="P296" s="773"/>
      <c r="Q296" s="773"/>
      <c r="R296" s="773"/>
      <c r="S296" s="773"/>
      <c r="T296" s="773"/>
      <c r="U296" s="773"/>
      <c r="V296" s="773"/>
      <c r="W296" s="773"/>
      <c r="X296" s="773"/>
      <c r="Y296" s="773"/>
      <c r="Z296" s="773"/>
      <c r="AA296" s="773"/>
      <c r="AB296" s="772"/>
      <c r="AC296" s="772"/>
      <c r="AD296" s="772"/>
      <c r="AE296" s="772"/>
      <c r="AF296" s="772"/>
      <c r="AG296" s="772"/>
      <c r="AH296" s="772"/>
      <c r="AI296" s="772"/>
      <c r="AJ296" s="772"/>
      <c r="AK296" s="772"/>
      <c r="AL296" s="772"/>
      <c r="AM296" s="772"/>
      <c r="AN296" s="772"/>
      <c r="AO296" s="772"/>
      <c r="AP296" s="772"/>
      <c r="AQ296" s="772"/>
      <c r="AR296" s="772"/>
      <c r="AS296" s="772"/>
      <c r="AT296" s="772"/>
      <c r="AU296" s="772"/>
      <c r="AV296" s="772"/>
      <c r="AW296" s="772"/>
      <c r="AX296" s="772"/>
      <c r="AY296" s="772"/>
      <c r="AZ296" s="772"/>
      <c r="BA296" s="772"/>
      <c r="BB296" s="772"/>
      <c r="BC296" s="772"/>
      <c r="BD296" s="772"/>
      <c r="BE296" s="772"/>
      <c r="BF296" s="772"/>
      <c r="BG296" s="772"/>
      <c r="BH296" s="772"/>
      <c r="BI296" s="772"/>
      <c r="BJ296" s="772"/>
      <c r="BK296" s="772"/>
      <c r="BL296" s="772"/>
      <c r="BM296" s="772"/>
      <c r="BN296" s="772"/>
      <c r="BO296" s="772"/>
      <c r="BP296" s="772"/>
      <c r="BQ296" s="772"/>
      <c r="BR296" s="772"/>
      <c r="BS296" s="772"/>
      <c r="BT296" s="772"/>
      <c r="BU296" s="772"/>
      <c r="BV296" s="772"/>
      <c r="BW296" s="772"/>
      <c r="BX296" s="772"/>
      <c r="BY296" s="772"/>
      <c r="BZ296" s="772"/>
      <c r="CA296" s="772"/>
      <c r="CB296" s="772"/>
      <c r="CC296" s="772"/>
      <c r="CD296" s="772"/>
      <c r="CE296" s="772"/>
    </row>
    <row r="297" spans="1:84" ht="37.5" customHeight="1" x14ac:dyDescent="0.25">
      <c r="A297" s="755"/>
      <c r="B297" s="755"/>
      <c r="C297" s="829"/>
      <c r="D297" s="635"/>
      <c r="E297" s="769"/>
      <c r="F297" s="770"/>
      <c r="G297" s="770"/>
      <c r="H297" s="770"/>
      <c r="I297" s="770"/>
      <c r="J297" s="770"/>
      <c r="K297" s="771"/>
      <c r="L297" s="772"/>
      <c r="M297" s="772"/>
      <c r="N297" s="773"/>
      <c r="O297" s="773"/>
      <c r="P297" s="773"/>
      <c r="Q297" s="773"/>
      <c r="R297" s="773"/>
      <c r="S297" s="773"/>
      <c r="T297" s="773"/>
      <c r="U297" s="773"/>
      <c r="V297" s="773"/>
      <c r="W297" s="773"/>
      <c r="X297" s="773"/>
      <c r="Y297" s="773"/>
      <c r="Z297" s="773"/>
      <c r="AA297" s="773"/>
      <c r="AB297" s="772"/>
      <c r="AC297" s="772"/>
      <c r="AD297" s="772"/>
      <c r="AE297" s="772"/>
      <c r="AF297" s="772"/>
      <c r="AG297" s="772"/>
      <c r="AH297" s="772"/>
      <c r="AI297" s="772"/>
      <c r="AJ297" s="772"/>
      <c r="AK297" s="772"/>
      <c r="AL297" s="772"/>
      <c r="AM297" s="772"/>
      <c r="AN297" s="772"/>
      <c r="AO297" s="772"/>
      <c r="AP297" s="772"/>
      <c r="AQ297" s="772"/>
      <c r="AR297" s="772"/>
      <c r="AS297" s="772"/>
      <c r="AT297" s="772"/>
      <c r="AU297" s="772"/>
      <c r="AV297" s="772"/>
      <c r="AW297" s="772"/>
      <c r="AX297" s="772"/>
      <c r="AY297" s="772"/>
      <c r="AZ297" s="772"/>
      <c r="BA297" s="772"/>
      <c r="BB297" s="772"/>
      <c r="BC297" s="772"/>
      <c r="BD297" s="772"/>
      <c r="BE297" s="772"/>
      <c r="BF297" s="772"/>
      <c r="BG297" s="772"/>
      <c r="BH297" s="772"/>
      <c r="BI297" s="772"/>
      <c r="BJ297" s="772"/>
      <c r="BK297" s="772"/>
      <c r="BL297" s="772"/>
      <c r="BM297" s="772"/>
      <c r="BN297" s="772"/>
      <c r="BO297" s="772"/>
      <c r="BP297" s="772"/>
      <c r="BQ297" s="772"/>
      <c r="BR297" s="772"/>
      <c r="BS297" s="772"/>
      <c r="BT297" s="772"/>
      <c r="BU297" s="772"/>
      <c r="BV297" s="772"/>
      <c r="BW297" s="772"/>
      <c r="BX297" s="772"/>
      <c r="BY297" s="772"/>
      <c r="BZ297" s="772"/>
      <c r="CA297" s="772"/>
      <c r="CB297" s="772"/>
      <c r="CC297" s="772"/>
      <c r="CD297" s="772"/>
      <c r="CE297" s="772"/>
    </row>
    <row r="298" spans="1:84" x14ac:dyDescent="0.25">
      <c r="D298" s="635"/>
      <c r="E298" s="635"/>
      <c r="L298" s="635"/>
      <c r="N298" s="635"/>
    </row>
    <row r="299" spans="1:84" x14ac:dyDescent="0.25">
      <c r="D299" s="635"/>
      <c r="E299" s="497">
        <v>60446869.390000001</v>
      </c>
      <c r="F299" s="497">
        <v>88563347.930000007</v>
      </c>
      <c r="G299" s="497">
        <v>9030602.5300000012</v>
      </c>
      <c r="H299" s="497">
        <v>57892309.409999996</v>
      </c>
      <c r="I299" s="497">
        <v>39490679.969999999</v>
      </c>
      <c r="J299" s="497">
        <v>7128733.1299999999</v>
      </c>
      <c r="K299" s="497">
        <v>1531368.19</v>
      </c>
      <c r="L299" s="497">
        <v>15882272.09</v>
      </c>
      <c r="M299" s="497">
        <v>368526298.25999999</v>
      </c>
      <c r="N299" s="497">
        <v>3750565484.9900002</v>
      </c>
      <c r="O299" s="497">
        <v>40955012</v>
      </c>
      <c r="P299" s="497">
        <v>126318451.78</v>
      </c>
      <c r="Q299" s="390">
        <v>15880577.880000001</v>
      </c>
      <c r="R299" s="390">
        <v>564021052.56000006</v>
      </c>
      <c r="S299" s="497">
        <v>1941429.76</v>
      </c>
      <c r="T299" s="497">
        <v>29588295.700000003</v>
      </c>
      <c r="U299" s="497">
        <v>46214019.899999999</v>
      </c>
      <c r="V299" s="497">
        <v>32327717.360000003</v>
      </c>
      <c r="W299" s="497">
        <v>226751350.38999999</v>
      </c>
      <c r="X299" s="497">
        <v>23685199.719999999</v>
      </c>
      <c r="Y299" s="497">
        <v>37814388.619999997</v>
      </c>
      <c r="Z299" s="497">
        <v>76971522.950000003</v>
      </c>
      <c r="AA299" s="497">
        <v>1284853339.6499999</v>
      </c>
      <c r="AB299" s="497">
        <v>57757613.009999998</v>
      </c>
      <c r="AC299" s="497">
        <v>29393809.440000001</v>
      </c>
      <c r="AD299" s="497">
        <v>824748510.60000002</v>
      </c>
      <c r="AE299" s="497">
        <v>13986621.969999999</v>
      </c>
      <c r="AF299" s="497">
        <v>8555791.5500000007</v>
      </c>
      <c r="AG299" s="497">
        <v>4009319121.4400005</v>
      </c>
      <c r="AH299" s="497">
        <v>7390346.04</v>
      </c>
      <c r="AI299" s="497">
        <v>11970561.17</v>
      </c>
      <c r="AJ299" s="497">
        <v>111234524.08</v>
      </c>
      <c r="AK299" s="497">
        <v>21265839.759999998</v>
      </c>
      <c r="AL299" s="497">
        <v>6182538.9500000002</v>
      </c>
      <c r="AM299" s="497">
        <v>1234572222.52</v>
      </c>
      <c r="AN299" s="497">
        <v>35047644.859999999</v>
      </c>
      <c r="AO299" s="497">
        <v>508094608.56</v>
      </c>
      <c r="AP299" s="497">
        <v>732128</v>
      </c>
      <c r="AQ299" s="497">
        <v>234537014.32999995</v>
      </c>
      <c r="AR299" s="497">
        <v>36188924.189999998</v>
      </c>
      <c r="AS299" s="497">
        <v>2548832.19</v>
      </c>
      <c r="AT299" s="497">
        <v>53258593.989999995</v>
      </c>
      <c r="AU299" s="497">
        <v>20192035.920000002</v>
      </c>
      <c r="AV299" s="497">
        <v>10107140337.52</v>
      </c>
      <c r="AW299" s="497">
        <v>5435226593.1599998</v>
      </c>
      <c r="AX299" s="497">
        <v>60271246.559999995</v>
      </c>
      <c r="AY299" s="497">
        <v>20872366.960000001</v>
      </c>
      <c r="AZ299" s="497">
        <v>17163578.140000001</v>
      </c>
      <c r="BA299" s="497">
        <v>16413446.51</v>
      </c>
      <c r="BB299" s="497">
        <v>33107444.460000001</v>
      </c>
      <c r="BC299" s="497">
        <v>182199055.82999998</v>
      </c>
      <c r="BD299" s="497">
        <v>26840058.290000003</v>
      </c>
      <c r="BE299" s="497">
        <v>3536753.87</v>
      </c>
      <c r="BF299" s="497">
        <v>7077861.7699999996</v>
      </c>
      <c r="BG299" s="497">
        <v>467723079.31999999</v>
      </c>
      <c r="BH299" s="497">
        <v>811380.27</v>
      </c>
      <c r="BI299" s="497">
        <v>435663494.34000003</v>
      </c>
      <c r="BJ299" s="497">
        <v>98534305.24000001</v>
      </c>
      <c r="BK299" s="497">
        <v>8243710.3300000001</v>
      </c>
      <c r="BL299" s="497">
        <v>5070602</v>
      </c>
      <c r="BM299" s="497">
        <v>900992750.89999998</v>
      </c>
      <c r="BN299" s="497">
        <v>822904303.11999989</v>
      </c>
      <c r="BO299" s="497">
        <v>144355690.21000001</v>
      </c>
      <c r="BP299" s="497">
        <v>1835795684.2</v>
      </c>
      <c r="BQ299" s="497">
        <v>6619174183.9499998</v>
      </c>
      <c r="BR299" s="497">
        <v>23616818.73</v>
      </c>
      <c r="BS299" s="497">
        <v>319776151.87999994</v>
      </c>
      <c r="BT299" s="390">
        <v>40662380.019999996</v>
      </c>
      <c r="BU299" s="497">
        <v>598376159.12</v>
      </c>
      <c r="BV299" s="497">
        <v>29284169.359999999</v>
      </c>
      <c r="BW299" s="497">
        <v>14513216.219999999</v>
      </c>
      <c r="BX299" s="497">
        <v>218326732.09999999</v>
      </c>
      <c r="BY299" s="497">
        <v>33347553.460000001</v>
      </c>
      <c r="BZ299" s="497">
        <v>1730009839.1600001</v>
      </c>
      <c r="CA299" s="497">
        <v>37477990.269999996</v>
      </c>
      <c r="CB299" s="497">
        <v>207883814.41</v>
      </c>
      <c r="CC299" s="497">
        <v>16588700.949999999</v>
      </c>
      <c r="CD299" s="497">
        <v>43806352.939999998</v>
      </c>
      <c r="CE299" s="497">
        <v>1238156220.3899999</v>
      </c>
    </row>
    <row r="300" spans="1:84" x14ac:dyDescent="0.25">
      <c r="D300" s="635"/>
      <c r="E300" s="777">
        <v>60446869.390000001</v>
      </c>
      <c r="F300" s="777">
        <v>88563347.930000007</v>
      </c>
      <c r="G300" s="777">
        <v>9030602.5300000012</v>
      </c>
      <c r="H300" s="777">
        <v>57892309.409999996</v>
      </c>
      <c r="I300" s="777">
        <v>39490679.969999999</v>
      </c>
      <c r="J300" s="777">
        <v>7128733.1299999999</v>
      </c>
      <c r="K300" s="777">
        <v>1531368.19</v>
      </c>
      <c r="L300" s="777">
        <v>15882272.09</v>
      </c>
      <c r="M300" s="777">
        <v>368526298.25999999</v>
      </c>
      <c r="N300" s="777">
        <v>3750565484.9900002</v>
      </c>
      <c r="O300" s="777">
        <v>40955012</v>
      </c>
      <c r="P300" s="777">
        <v>126318451.78</v>
      </c>
      <c r="Q300" s="777">
        <v>15880577.880000001</v>
      </c>
      <c r="R300" s="777">
        <v>576144723.56000006</v>
      </c>
      <c r="S300" s="777">
        <v>1941429.76</v>
      </c>
      <c r="T300" s="777">
        <v>29588295.700000003</v>
      </c>
      <c r="U300" s="777">
        <v>46214019.899999999</v>
      </c>
      <c r="V300" s="777">
        <v>32327717.360000003</v>
      </c>
      <c r="W300" s="777">
        <v>226751350.38999999</v>
      </c>
      <c r="X300" s="777">
        <v>23685199.719999999</v>
      </c>
      <c r="Y300" s="777">
        <v>0.01</v>
      </c>
      <c r="Z300" s="777">
        <v>76338175.950000003</v>
      </c>
      <c r="AA300" s="777">
        <v>1284853339.6499999</v>
      </c>
      <c r="AB300" s="777">
        <v>57757613.009999998</v>
      </c>
      <c r="AC300" s="777">
        <v>29393809.440000001</v>
      </c>
      <c r="AD300" s="777">
        <v>824748510.60000002</v>
      </c>
      <c r="AE300" s="777">
        <v>13986621.969999999</v>
      </c>
      <c r="AF300" s="777">
        <v>0</v>
      </c>
      <c r="AG300" s="777">
        <v>4009319121.4400005</v>
      </c>
      <c r="AH300" s="777">
        <v>7390346.04</v>
      </c>
      <c r="AI300" s="777">
        <v>11970561.17</v>
      </c>
      <c r="AJ300" s="777">
        <v>111234524.08</v>
      </c>
      <c r="AK300" s="777">
        <v>21265839.759999998</v>
      </c>
      <c r="AL300" s="777">
        <v>6182538.9500000002</v>
      </c>
      <c r="AM300" s="777">
        <v>1234572222.52</v>
      </c>
      <c r="AN300" s="777">
        <v>35047644.859999999</v>
      </c>
      <c r="AO300" s="777">
        <v>508094608.56</v>
      </c>
      <c r="AP300" s="777">
        <v>732128</v>
      </c>
      <c r="AQ300" s="777">
        <v>234537014.32999995</v>
      </c>
      <c r="AR300" s="777">
        <v>36188924.189999998</v>
      </c>
      <c r="AS300" s="777">
        <v>2548832.19</v>
      </c>
      <c r="AT300" s="777">
        <v>53258593.989999995</v>
      </c>
      <c r="AU300" s="777">
        <v>20192035.920000002</v>
      </c>
      <c r="AV300" s="777">
        <v>10107140337.52</v>
      </c>
      <c r="AW300" s="777">
        <v>5435226593.1599998</v>
      </c>
      <c r="AX300" s="777">
        <v>60271246.559999995</v>
      </c>
      <c r="AY300" s="777">
        <v>20872366.960000001</v>
      </c>
      <c r="AZ300" s="777">
        <v>17163578.140000004</v>
      </c>
      <c r="BA300" s="777">
        <v>16413446.51</v>
      </c>
      <c r="BB300" s="777">
        <v>0.09</v>
      </c>
      <c r="BC300" s="777">
        <v>182199055.82999998</v>
      </c>
      <c r="BD300" s="777">
        <v>26840058.290000003</v>
      </c>
      <c r="BE300" s="777">
        <v>3536753.87</v>
      </c>
      <c r="BF300" s="777">
        <v>7077861.7699999996</v>
      </c>
      <c r="BG300" s="777">
        <v>467723079.31999999</v>
      </c>
      <c r="BH300" s="777">
        <v>0</v>
      </c>
      <c r="BI300" s="777">
        <v>435663494.34000003</v>
      </c>
      <c r="BJ300" s="777">
        <v>98534305.239999995</v>
      </c>
      <c r="BK300" s="777">
        <v>8243710.3300000001</v>
      </c>
      <c r="BL300" s="777">
        <v>5070602</v>
      </c>
      <c r="BM300" s="777">
        <v>900992750.89999998</v>
      </c>
      <c r="BN300" s="777">
        <v>822904303.11999989</v>
      </c>
      <c r="BO300" s="777">
        <v>144355690.21000001</v>
      </c>
      <c r="BP300" s="777">
        <v>1835795684.2</v>
      </c>
      <c r="BQ300" s="777">
        <v>6619174183.9499998</v>
      </c>
      <c r="BR300" s="777">
        <v>23616818.73</v>
      </c>
      <c r="BS300" s="777">
        <v>319776151.87999994</v>
      </c>
      <c r="BT300" s="777">
        <v>40662380.019999996</v>
      </c>
      <c r="BU300" s="777">
        <v>598376159.12</v>
      </c>
      <c r="BV300" s="777">
        <v>29284169.359999999</v>
      </c>
      <c r="BW300" s="777">
        <v>14513216.219999999</v>
      </c>
      <c r="BX300" s="777">
        <v>218326732.09999999</v>
      </c>
      <c r="BY300" s="777">
        <v>33347553.460000001</v>
      </c>
      <c r="BZ300" s="777">
        <v>1730009839.1600001</v>
      </c>
      <c r="CA300" s="777">
        <v>37477990.269999996</v>
      </c>
      <c r="CB300" s="777">
        <v>207883814.41</v>
      </c>
      <c r="CC300" s="777">
        <v>16588700.949999999</v>
      </c>
      <c r="CD300" s="777">
        <v>43806352.939999998</v>
      </c>
      <c r="CE300" s="777">
        <v>1238156220.3899999</v>
      </c>
    </row>
    <row r="301" spans="1:84" x14ac:dyDescent="0.25">
      <c r="D301" s="635"/>
      <c r="E301" s="390">
        <v>0</v>
      </c>
      <c r="F301" s="390">
        <v>0</v>
      </c>
      <c r="G301" s="390">
        <v>0</v>
      </c>
      <c r="H301" s="390">
        <v>0</v>
      </c>
      <c r="I301" s="390">
        <v>0</v>
      </c>
      <c r="J301" s="390">
        <v>0</v>
      </c>
      <c r="K301" s="390">
        <v>0</v>
      </c>
      <c r="L301" s="390">
        <v>0</v>
      </c>
      <c r="M301" s="390">
        <v>0</v>
      </c>
      <c r="N301" s="390">
        <v>0</v>
      </c>
      <c r="O301" s="390">
        <v>0</v>
      </c>
      <c r="P301" s="390">
        <v>0</v>
      </c>
      <c r="Q301" s="390">
        <v>0</v>
      </c>
      <c r="R301" s="390">
        <v>-12123671</v>
      </c>
      <c r="S301" s="390">
        <v>0</v>
      </c>
      <c r="T301" s="390">
        <v>0</v>
      </c>
      <c r="U301" s="390">
        <v>0</v>
      </c>
      <c r="V301" s="390">
        <v>0</v>
      </c>
      <c r="W301" s="390">
        <v>0</v>
      </c>
      <c r="X301" s="390">
        <v>0</v>
      </c>
      <c r="Y301" s="390">
        <v>37814388.609999999</v>
      </c>
      <c r="Z301" s="390">
        <v>633347</v>
      </c>
      <c r="AA301" s="390">
        <v>0</v>
      </c>
      <c r="AB301" s="390">
        <v>0</v>
      </c>
      <c r="AC301" s="390">
        <v>0</v>
      </c>
      <c r="AD301" s="390">
        <v>0</v>
      </c>
      <c r="AE301" s="390">
        <v>0</v>
      </c>
      <c r="AF301" s="390">
        <v>8555791.5500000007</v>
      </c>
      <c r="AG301" s="390">
        <v>0</v>
      </c>
      <c r="AH301" s="390">
        <v>0</v>
      </c>
      <c r="AI301" s="390">
        <v>0</v>
      </c>
      <c r="AJ301" s="390">
        <v>0</v>
      </c>
      <c r="AK301" s="390">
        <v>0</v>
      </c>
      <c r="AL301" s="390">
        <v>0</v>
      </c>
      <c r="AM301" s="390">
        <v>0</v>
      </c>
      <c r="AN301" s="390">
        <v>0</v>
      </c>
      <c r="AO301" s="390">
        <v>0</v>
      </c>
      <c r="AP301" s="390">
        <v>0</v>
      </c>
      <c r="AQ301" s="390">
        <v>0</v>
      </c>
      <c r="AR301" s="390">
        <v>0</v>
      </c>
      <c r="AS301" s="390">
        <v>0</v>
      </c>
      <c r="AT301" s="390">
        <v>0</v>
      </c>
      <c r="AU301" s="390">
        <v>0</v>
      </c>
      <c r="AV301" s="390">
        <v>0</v>
      </c>
      <c r="AW301" s="390">
        <v>0</v>
      </c>
      <c r="AX301" s="390">
        <v>0</v>
      </c>
      <c r="AY301" s="390">
        <v>0</v>
      </c>
      <c r="AZ301" s="390">
        <v>0</v>
      </c>
      <c r="BA301" s="390">
        <v>0</v>
      </c>
      <c r="BB301" s="390">
        <v>33107444.370000001</v>
      </c>
      <c r="BC301" s="390">
        <v>0</v>
      </c>
      <c r="BD301" s="390">
        <v>0</v>
      </c>
      <c r="BE301" s="390">
        <v>0</v>
      </c>
      <c r="BF301" s="390">
        <v>0</v>
      </c>
      <c r="BG301" s="390">
        <v>0</v>
      </c>
      <c r="BH301" s="390">
        <v>811380.27</v>
      </c>
      <c r="BI301" s="390">
        <v>0</v>
      </c>
      <c r="BJ301" s="390">
        <v>0</v>
      </c>
      <c r="BK301" s="390">
        <v>0</v>
      </c>
      <c r="BL301" s="390">
        <v>0</v>
      </c>
      <c r="BM301" s="390">
        <v>0</v>
      </c>
      <c r="BN301" s="390">
        <v>0</v>
      </c>
      <c r="BO301" s="390">
        <v>0</v>
      </c>
      <c r="BP301" s="390">
        <v>0</v>
      </c>
      <c r="BQ301" s="390">
        <v>0</v>
      </c>
      <c r="BR301" s="390">
        <v>0</v>
      </c>
      <c r="BS301" s="390">
        <v>0</v>
      </c>
      <c r="BT301" s="390">
        <v>0</v>
      </c>
      <c r="BU301" s="390">
        <v>0</v>
      </c>
      <c r="BV301" s="390">
        <v>0</v>
      </c>
      <c r="BW301" s="390">
        <v>0</v>
      </c>
      <c r="BX301" s="390">
        <v>0</v>
      </c>
      <c r="BY301" s="390">
        <v>0</v>
      </c>
      <c r="BZ301" s="390">
        <v>0</v>
      </c>
      <c r="CA301" s="390">
        <v>0</v>
      </c>
      <c r="CB301" s="390">
        <v>0</v>
      </c>
      <c r="CC301" s="390">
        <v>0</v>
      </c>
      <c r="CD301" s="390">
        <v>0</v>
      </c>
      <c r="CE301" s="390">
        <v>0</v>
      </c>
      <c r="CF301" s="390"/>
    </row>
    <row r="302" spans="1:84" x14ac:dyDescent="0.25">
      <c r="D302" s="635"/>
      <c r="E302" s="635"/>
      <c r="L302" s="635"/>
      <c r="N302" s="635"/>
    </row>
    <row r="303" spans="1:84" x14ac:dyDescent="0.25">
      <c r="D303" s="635"/>
      <c r="E303" s="635"/>
      <c r="L303" s="635"/>
      <c r="N303" s="635"/>
    </row>
    <row r="304" spans="1:84" x14ac:dyDescent="0.25">
      <c r="D304" s="635"/>
      <c r="E304" s="635"/>
      <c r="L304" s="635"/>
      <c r="N304" s="635"/>
    </row>
    <row r="305" spans="1:1" s="635" customFormat="1" ht="55.5" customHeight="1" x14ac:dyDescent="0.25">
      <c r="A305" s="776"/>
    </row>
    <row r="306" spans="1:1" s="635" customFormat="1" ht="67.5" customHeight="1" x14ac:dyDescent="0.25">
      <c r="A306" s="776"/>
    </row>
    <row r="307" spans="1:1" s="635" customFormat="1" x14ac:dyDescent="0.25">
      <c r="A307" s="776"/>
    </row>
    <row r="308" spans="1:1" s="635" customFormat="1" ht="113.25" customHeight="1" x14ac:dyDescent="0.25">
      <c r="A308" s="776"/>
    </row>
    <row r="309" spans="1:1" s="635" customFormat="1" x14ac:dyDescent="0.25"/>
    <row r="310" spans="1:1" s="635" customFormat="1" x14ac:dyDescent="0.25"/>
    <row r="311" spans="1:1" s="635" customFormat="1" x14ac:dyDescent="0.25"/>
    <row r="312" spans="1:1" s="635" customFormat="1" ht="54.75" customHeight="1" x14ac:dyDescent="0.25"/>
    <row r="313" spans="1:1" s="635" customFormat="1" ht="25.9" customHeight="1" x14ac:dyDescent="0.25"/>
    <row r="314" spans="1:1" s="635" customFormat="1" ht="52.5" customHeight="1" x14ac:dyDescent="0.25"/>
    <row r="315" spans="1:1" s="635" customFormat="1" x14ac:dyDescent="0.25"/>
    <row r="316" spans="1:1" s="635" customFormat="1" ht="90" customHeight="1" x14ac:dyDescent="0.25"/>
    <row r="317" spans="1:1" s="635" customFormat="1" x14ac:dyDescent="0.25"/>
    <row r="318" spans="1:1" s="635" customFormat="1" x14ac:dyDescent="0.25"/>
    <row r="319" spans="1:1" s="635" customFormat="1" x14ac:dyDescent="0.25">
      <c r="A319" s="831"/>
    </row>
    <row r="320" spans="1:1" s="635" customFormat="1" x14ac:dyDescent="0.25"/>
    <row r="321" s="635" customFormat="1" x14ac:dyDescent="0.25"/>
    <row r="322" s="635" customFormat="1" x14ac:dyDescent="0.25"/>
    <row r="323" s="635" customFormat="1" x14ac:dyDescent="0.25"/>
    <row r="324" s="635" customFormat="1" x14ac:dyDescent="0.25"/>
    <row r="325" s="635" customFormat="1" x14ac:dyDescent="0.25"/>
    <row r="326" s="635" customFormat="1" x14ac:dyDescent="0.25"/>
    <row r="327" s="635" customFormat="1" x14ac:dyDescent="0.25"/>
    <row r="328" s="635" customFormat="1" x14ac:dyDescent="0.25"/>
    <row r="329" s="635" customFormat="1" x14ac:dyDescent="0.25"/>
    <row r="330" s="635" customFormat="1" x14ac:dyDescent="0.25"/>
    <row r="331" s="635" customFormat="1" x14ac:dyDescent="0.25"/>
    <row r="332" s="635" customFormat="1" x14ac:dyDescent="0.25"/>
    <row r="333" s="635" customFormat="1" x14ac:dyDescent="0.25"/>
    <row r="334" s="635" customFormat="1" x14ac:dyDescent="0.25"/>
    <row r="335" s="635" customFormat="1" x14ac:dyDescent="0.25"/>
    <row r="336" s="635" customFormat="1" x14ac:dyDescent="0.25"/>
    <row r="337" s="635" customFormat="1" x14ac:dyDescent="0.25"/>
    <row r="338" s="635" customFormat="1" x14ac:dyDescent="0.25"/>
    <row r="339" s="635" customFormat="1" x14ac:dyDescent="0.25"/>
    <row r="340" s="635" customFormat="1" x14ac:dyDescent="0.25"/>
    <row r="341" s="635" customFormat="1" x14ac:dyDescent="0.25"/>
    <row r="342" s="635" customFormat="1" x14ac:dyDescent="0.25"/>
    <row r="343" s="635" customFormat="1" x14ac:dyDescent="0.25"/>
    <row r="344" s="635" customFormat="1" x14ac:dyDescent="0.25"/>
    <row r="345" s="635" customFormat="1" x14ac:dyDescent="0.25"/>
    <row r="346" s="635" customFormat="1" x14ac:dyDescent="0.25"/>
    <row r="347" s="635" customFormat="1" x14ac:dyDescent="0.25"/>
    <row r="348" s="635" customFormat="1" x14ac:dyDescent="0.25"/>
    <row r="349" s="635" customFormat="1" x14ac:dyDescent="0.25"/>
    <row r="350" s="635" customFormat="1" x14ac:dyDescent="0.25"/>
    <row r="351" s="635" customFormat="1" x14ac:dyDescent="0.25"/>
    <row r="352" s="635" customFormat="1" x14ac:dyDescent="0.25"/>
    <row r="353" s="635" customFormat="1" x14ac:dyDescent="0.25"/>
    <row r="354" s="635" customFormat="1" x14ac:dyDescent="0.25"/>
    <row r="355" s="635" customFormat="1" x14ac:dyDescent="0.25"/>
    <row r="356" s="635" customFormat="1" x14ac:dyDescent="0.25"/>
    <row r="357" s="635" customFormat="1" x14ac:dyDescent="0.25"/>
    <row r="358" s="635" customFormat="1" x14ac:dyDescent="0.25"/>
    <row r="359" s="635" customFormat="1" x14ac:dyDescent="0.25"/>
    <row r="360" s="635" customFormat="1" x14ac:dyDescent="0.25"/>
    <row r="361" s="635" customFormat="1" x14ac:dyDescent="0.25"/>
    <row r="362" s="635" customFormat="1" x14ac:dyDescent="0.25"/>
    <row r="363" s="635" customFormat="1" x14ac:dyDescent="0.25"/>
    <row r="364" s="635" customFormat="1" x14ac:dyDescent="0.25"/>
  </sheetData>
  <sheetProtection algorithmName="SHA-512" hashValue="iuNj2s0tmKsoedWmPJ/pSCnoLYMl6ID2frgzlqwXPPKim126IXUOlQmXBZ4L+zkmkLTACDjVCzVH7f4uGPvHKQ==" saltValue="OwatkHkO0DAUXeJLBSbuuw==" spinCount="100000" sheet="1" objects="1" scenarios="1"/>
  <conditionalFormatting sqref="E7:CE7">
    <cfRule type="cellIs" dxfId="5" priority="6" stopIfTrue="1" operator="equal">
      <formula>0</formula>
    </cfRule>
  </conditionalFormatting>
  <conditionalFormatting sqref="E80:CE80">
    <cfRule type="cellIs" dxfId="4" priority="5" stopIfTrue="1" operator="equal">
      <formula>0</formula>
    </cfRule>
  </conditionalFormatting>
  <conditionalFormatting sqref="E81:CE81">
    <cfRule type="cellIs" dxfId="3" priority="4" stopIfTrue="1" operator="equal">
      <formula>0</formula>
    </cfRule>
  </conditionalFormatting>
  <conditionalFormatting sqref="E107:CE107 E158:CE158">
    <cfRule type="cellIs" dxfId="2" priority="3" stopIfTrue="1" operator="lessThan">
      <formula>0</formula>
    </cfRule>
  </conditionalFormatting>
  <conditionalFormatting sqref="E159:CE159">
    <cfRule type="cellIs" dxfId="1" priority="2" stopIfTrue="1" operator="greaterThan">
      <formula>0</formula>
    </cfRule>
  </conditionalFormatting>
  <conditionalFormatting sqref="E178:CE181">
    <cfRule type="cellIs" dxfId="0" priority="1" stopIfTrue="1" operator="lessThan">
      <formula>1</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TI384"/>
  <sheetViews>
    <sheetView tabSelected="1" zoomScaleNormal="100" workbookViewId="0">
      <pane ySplit="5" topLeftCell="A6" activePane="bottomLeft" state="frozen"/>
      <selection activeCell="A2" sqref="A2"/>
      <selection pane="bottomLeft" activeCell="D2" sqref="D2"/>
    </sheetView>
  </sheetViews>
  <sheetFormatPr defaultRowHeight="15" x14ac:dyDescent="0.25"/>
  <cols>
    <col min="1" max="1" width="8.5703125" style="22" customWidth="1"/>
    <col min="2" max="2" width="16.140625" style="19" customWidth="1"/>
    <col min="3" max="3" width="17.42578125" style="19" customWidth="1"/>
    <col min="4" max="4" width="46.28515625" style="1" customWidth="1"/>
    <col min="5" max="5" width="17.140625" style="1" customWidth="1"/>
    <col min="6" max="6" width="21.5703125" style="1" customWidth="1"/>
    <col min="7" max="7" width="26.7109375" style="8" customWidth="1"/>
    <col min="8" max="8" width="17.140625" style="3" customWidth="1"/>
    <col min="9" max="9" width="24" style="1" customWidth="1"/>
    <col min="10" max="10" width="13.5703125" style="394" customWidth="1"/>
    <col min="11" max="11" width="11.7109375" style="394" customWidth="1"/>
    <col min="12" max="12" width="18.140625" style="394" hidden="1" customWidth="1"/>
    <col min="13" max="13" width="9.140625" style="394" hidden="1" customWidth="1"/>
    <col min="14" max="14" width="11.42578125" hidden="1" customWidth="1"/>
    <col min="15" max="15" width="9.140625" style="394" hidden="1" customWidth="1"/>
    <col min="16" max="1881" width="9.140625" style="394"/>
    <col min="1882" max="16384" width="9.140625" style="1"/>
  </cols>
  <sheetData>
    <row r="1" spans="1:1881" ht="29.25" thickBot="1" x14ac:dyDescent="0.5">
      <c r="B1" s="29" t="s">
        <v>897</v>
      </c>
      <c r="C1" s="29"/>
      <c r="E1" s="33" t="s">
        <v>41</v>
      </c>
      <c r="F1" s="16">
        <v>2020</v>
      </c>
      <c r="G1" s="447" t="s">
        <v>133</v>
      </c>
      <c r="H1" s="448"/>
      <c r="I1" s="449"/>
      <c r="J1" s="376" t="s">
        <v>1252</v>
      </c>
      <c r="L1" s="610"/>
      <c r="M1" s="610" t="s">
        <v>58</v>
      </c>
      <c r="N1" s="635"/>
      <c r="O1" s="394">
        <v>1</v>
      </c>
    </row>
    <row r="2" spans="1:1881" ht="44.25" customHeight="1" thickBot="1" x14ac:dyDescent="0.4">
      <c r="B2" s="931" t="s">
        <v>590</v>
      </c>
      <c r="C2" s="932"/>
      <c r="D2" s="245"/>
      <c r="E2" s="929" t="s">
        <v>626</v>
      </c>
      <c r="F2" s="929"/>
      <c r="G2" s="930"/>
      <c r="H2" s="12"/>
      <c r="L2" s="610"/>
      <c r="M2" s="610" t="s">
        <v>59</v>
      </c>
      <c r="N2" s="635">
        <v>50</v>
      </c>
      <c r="O2" s="394">
        <v>2</v>
      </c>
    </row>
    <row r="3" spans="1:1881" ht="19.5" thickBot="1" x14ac:dyDescent="0.35">
      <c r="B3" s="20" t="s">
        <v>0</v>
      </c>
      <c r="C3" s="122"/>
      <c r="D3" s="186" t="e">
        <f>VLOOKUP(D2,'Unit Names(H)'!A1:B150,2,FALSE)</f>
        <v>#N/A</v>
      </c>
      <c r="E3" s="121"/>
      <c r="F3" s="54"/>
      <c r="G3" s="10"/>
      <c r="H3" s="12"/>
      <c r="L3" s="610"/>
      <c r="M3" s="610"/>
      <c r="N3" s="635">
        <v>51</v>
      </c>
      <c r="O3" s="610">
        <v>3</v>
      </c>
    </row>
    <row r="4" spans="1:1881" ht="19.5" thickBot="1" x14ac:dyDescent="0.35">
      <c r="B4" s="28" t="s">
        <v>52</v>
      </c>
      <c r="C4" s="123"/>
      <c r="D4" s="27"/>
      <c r="E4" s="27"/>
      <c r="F4" s="39"/>
      <c r="G4" s="11"/>
      <c r="H4" s="12"/>
      <c r="I4" s="14"/>
      <c r="L4" s="610"/>
      <c r="M4" s="610" t="s">
        <v>700</v>
      </c>
      <c r="N4" s="635">
        <v>52</v>
      </c>
      <c r="O4" s="610">
        <v>4</v>
      </c>
    </row>
    <row r="5" spans="1:1881" ht="37.5" customHeight="1" x14ac:dyDescent="0.35">
      <c r="A5" s="23" t="s">
        <v>887</v>
      </c>
      <c r="B5" s="18" t="s">
        <v>118</v>
      </c>
      <c r="C5" s="18" t="s">
        <v>135</v>
      </c>
      <c r="D5" s="5" t="s">
        <v>1</v>
      </c>
      <c r="E5" s="47">
        <v>2019</v>
      </c>
      <c r="F5" s="118">
        <v>2020</v>
      </c>
      <c r="G5" s="550" t="s">
        <v>12</v>
      </c>
      <c r="H5" s="251" t="s">
        <v>634</v>
      </c>
      <c r="I5" s="252" t="s">
        <v>15</v>
      </c>
      <c r="L5" s="610"/>
      <c r="M5" s="610" t="s">
        <v>1096</v>
      </c>
      <c r="N5" s="635"/>
    </row>
    <row r="6" spans="1:1881" ht="22.5" customHeight="1" x14ac:dyDescent="0.25">
      <c r="A6" s="24"/>
      <c r="B6" s="132" t="s">
        <v>134</v>
      </c>
      <c r="C6" s="126"/>
      <c r="D6" s="127"/>
      <c r="E6" s="125"/>
      <c r="F6" s="128"/>
      <c r="G6" s="551"/>
      <c r="H6" s="13"/>
      <c r="L6" s="610"/>
      <c r="M6" s="610" t="s">
        <v>957</v>
      </c>
      <c r="N6" s="635"/>
    </row>
    <row r="7" spans="1:1881" s="4" customFormat="1" ht="57.75" customHeight="1" x14ac:dyDescent="0.25">
      <c r="A7" s="188">
        <v>333</v>
      </c>
      <c r="B7" s="150" t="s">
        <v>74</v>
      </c>
      <c r="C7" s="182" t="s">
        <v>136</v>
      </c>
      <c r="D7" s="165" t="s">
        <v>595</v>
      </c>
      <c r="E7" s="32" t="e">
        <f>HLOOKUP($D$2,'2019 Data(H)'!$C$1:$CP$300,99,FALSE)</f>
        <v>#N/A</v>
      </c>
      <c r="F7" s="624"/>
      <c r="G7" s="395">
        <f>IF(F7&lt;0,"Note: Number is normally positive.",)</f>
        <v>0</v>
      </c>
      <c r="H7" s="17"/>
      <c r="I7" s="297"/>
      <c r="J7" s="365"/>
      <c r="K7" s="394"/>
      <c r="L7" s="833" t="s">
        <v>1105</v>
      </c>
      <c r="M7" s="610" t="s">
        <v>1097</v>
      </c>
      <c r="N7" s="635"/>
      <c r="O7" s="394"/>
      <c r="P7" s="394"/>
      <c r="Q7" s="394"/>
      <c r="R7" s="394"/>
      <c r="S7" s="394"/>
      <c r="T7" s="394"/>
      <c r="U7" s="394"/>
      <c r="V7" s="394"/>
      <c r="W7" s="394"/>
      <c r="X7" s="394"/>
      <c r="Y7" s="394"/>
      <c r="Z7" s="394"/>
      <c r="AA7" s="394"/>
      <c r="AB7" s="394"/>
      <c r="AC7" s="394"/>
      <c r="AD7" s="394"/>
      <c r="AE7" s="394"/>
      <c r="AF7" s="394"/>
      <c r="AG7" s="394"/>
      <c r="AH7" s="394"/>
      <c r="AI7" s="394"/>
      <c r="AJ7" s="394"/>
      <c r="AK7" s="394"/>
      <c r="AL7" s="394"/>
      <c r="AM7" s="394"/>
      <c r="AN7" s="394"/>
      <c r="AO7" s="394"/>
      <c r="AP7" s="394"/>
      <c r="AQ7" s="394"/>
      <c r="AR7" s="394"/>
      <c r="AS7" s="394"/>
      <c r="AT7" s="394"/>
      <c r="AU7" s="394"/>
      <c r="AV7" s="394"/>
      <c r="AW7" s="394"/>
      <c r="AX7" s="394"/>
      <c r="AY7" s="394"/>
      <c r="AZ7" s="394"/>
      <c r="BA7" s="394"/>
      <c r="BB7" s="394"/>
      <c r="BC7" s="394"/>
      <c r="BD7" s="394"/>
      <c r="BE7" s="394"/>
      <c r="BF7" s="394"/>
      <c r="BG7" s="394"/>
      <c r="BH7" s="394"/>
      <c r="BI7" s="394"/>
      <c r="BJ7" s="394"/>
      <c r="BK7" s="394"/>
      <c r="BL7" s="394"/>
      <c r="BM7" s="394"/>
      <c r="BN7" s="394"/>
      <c r="BO7" s="394"/>
      <c r="BP7" s="394"/>
      <c r="BQ7" s="394"/>
      <c r="BR7" s="394"/>
      <c r="BS7" s="394"/>
      <c r="BT7" s="394"/>
      <c r="BU7" s="394"/>
      <c r="BV7" s="394"/>
      <c r="BW7" s="394"/>
      <c r="BX7" s="394"/>
      <c r="BY7" s="394"/>
      <c r="BZ7" s="394"/>
      <c r="CA7" s="394"/>
      <c r="CB7" s="394"/>
      <c r="CC7" s="394"/>
      <c r="CD7" s="394"/>
      <c r="CE7" s="394"/>
      <c r="CF7" s="394"/>
      <c r="CG7" s="394"/>
      <c r="CH7" s="394"/>
      <c r="CI7" s="394"/>
      <c r="CJ7" s="394"/>
      <c r="CK7" s="394"/>
      <c r="CL7" s="394"/>
      <c r="CM7" s="394"/>
      <c r="CN7" s="394"/>
      <c r="CO7" s="394"/>
      <c r="CP7" s="394"/>
      <c r="CQ7" s="394"/>
      <c r="CR7" s="394"/>
      <c r="CS7" s="394"/>
      <c r="CT7" s="394"/>
      <c r="CU7" s="394"/>
      <c r="CV7" s="394"/>
      <c r="CW7" s="394"/>
      <c r="CX7" s="394"/>
      <c r="CY7" s="394"/>
      <c r="CZ7" s="394"/>
      <c r="DA7" s="394"/>
      <c r="DB7" s="394"/>
      <c r="DC7" s="394"/>
      <c r="DD7" s="394"/>
      <c r="DE7" s="394"/>
      <c r="DF7" s="394"/>
      <c r="DG7" s="394"/>
      <c r="DH7" s="394"/>
      <c r="DI7" s="394"/>
      <c r="DJ7" s="394"/>
      <c r="DK7" s="394"/>
      <c r="DL7" s="394"/>
      <c r="DM7" s="394"/>
      <c r="DN7" s="394"/>
      <c r="DO7" s="394"/>
      <c r="DP7" s="394"/>
      <c r="DQ7" s="394"/>
      <c r="DR7" s="394"/>
      <c r="DS7" s="394"/>
      <c r="DT7" s="394"/>
      <c r="DU7" s="394"/>
      <c r="DV7" s="394"/>
      <c r="DW7" s="394"/>
      <c r="DX7" s="394"/>
      <c r="DY7" s="394"/>
      <c r="DZ7" s="394"/>
      <c r="EA7" s="394"/>
      <c r="EB7" s="394"/>
      <c r="EC7" s="394"/>
      <c r="ED7" s="394"/>
      <c r="EE7" s="394"/>
      <c r="EF7" s="394"/>
      <c r="EG7" s="394"/>
      <c r="EH7" s="394"/>
      <c r="EI7" s="394"/>
      <c r="EJ7" s="394"/>
      <c r="EK7" s="394"/>
      <c r="EL7" s="394"/>
      <c r="EM7" s="394"/>
      <c r="EN7" s="394"/>
      <c r="EO7" s="394"/>
      <c r="EP7" s="394"/>
      <c r="EQ7" s="394"/>
      <c r="ER7" s="394"/>
      <c r="ES7" s="394"/>
      <c r="ET7" s="394"/>
      <c r="EU7" s="394"/>
      <c r="EV7" s="394"/>
      <c r="EW7" s="394"/>
      <c r="EX7" s="394"/>
      <c r="EY7" s="394"/>
      <c r="EZ7" s="394"/>
      <c r="FA7" s="394"/>
      <c r="FB7" s="394"/>
      <c r="FC7" s="394"/>
      <c r="FD7" s="394"/>
      <c r="FE7" s="394"/>
      <c r="FF7" s="394"/>
      <c r="FG7" s="394"/>
      <c r="FH7" s="394"/>
      <c r="FI7" s="394"/>
      <c r="FJ7" s="394"/>
      <c r="FK7" s="394"/>
      <c r="FL7" s="394"/>
      <c r="FM7" s="394"/>
      <c r="FN7" s="394"/>
      <c r="FO7" s="394"/>
      <c r="FP7" s="394"/>
      <c r="FQ7" s="394"/>
      <c r="FR7" s="394"/>
      <c r="FS7" s="394"/>
      <c r="FT7" s="394"/>
      <c r="FU7" s="394"/>
      <c r="FV7" s="394"/>
      <c r="FW7" s="394"/>
      <c r="FX7" s="394"/>
      <c r="FY7" s="394"/>
      <c r="FZ7" s="394"/>
      <c r="GA7" s="394"/>
      <c r="GB7" s="394"/>
      <c r="GC7" s="394"/>
      <c r="GD7" s="394"/>
      <c r="GE7" s="394"/>
      <c r="GF7" s="394"/>
      <c r="GG7" s="394"/>
      <c r="GH7" s="394"/>
      <c r="GI7" s="394"/>
      <c r="GJ7" s="394"/>
      <c r="GK7" s="394"/>
      <c r="GL7" s="394"/>
      <c r="GM7" s="394"/>
      <c r="GN7" s="394"/>
      <c r="GO7" s="394"/>
      <c r="GP7" s="394"/>
      <c r="GQ7" s="394"/>
      <c r="GR7" s="394"/>
      <c r="GS7" s="394"/>
      <c r="GT7" s="394"/>
      <c r="GU7" s="394"/>
      <c r="GV7" s="394"/>
      <c r="GW7" s="394"/>
      <c r="GX7" s="394"/>
      <c r="GY7" s="394"/>
      <c r="GZ7" s="394"/>
      <c r="HA7" s="394"/>
      <c r="HB7" s="394"/>
      <c r="HC7" s="394"/>
      <c r="HD7" s="394"/>
      <c r="HE7" s="394"/>
      <c r="HF7" s="394"/>
      <c r="HG7" s="394"/>
      <c r="HH7" s="394"/>
      <c r="HI7" s="394"/>
      <c r="HJ7" s="394"/>
      <c r="HK7" s="394"/>
      <c r="HL7" s="394"/>
      <c r="HM7" s="394"/>
      <c r="HN7" s="394"/>
      <c r="HO7" s="394"/>
      <c r="HP7" s="394"/>
      <c r="HQ7" s="394"/>
      <c r="HR7" s="394"/>
      <c r="HS7" s="394"/>
      <c r="HT7" s="394"/>
      <c r="HU7" s="394"/>
      <c r="HV7" s="394"/>
      <c r="HW7" s="394"/>
      <c r="HX7" s="394"/>
      <c r="HY7" s="394"/>
      <c r="HZ7" s="394"/>
      <c r="IA7" s="394"/>
      <c r="IB7" s="394"/>
      <c r="IC7" s="394"/>
      <c r="ID7" s="394"/>
      <c r="IE7" s="394"/>
      <c r="IF7" s="394"/>
      <c r="IG7" s="394"/>
      <c r="IH7" s="394"/>
      <c r="II7" s="394"/>
      <c r="IJ7" s="394"/>
      <c r="IK7" s="394"/>
      <c r="IL7" s="394"/>
      <c r="IM7" s="394"/>
      <c r="IN7" s="394"/>
      <c r="IO7" s="394"/>
      <c r="IP7" s="394"/>
      <c r="IQ7" s="394"/>
      <c r="IR7" s="394"/>
      <c r="IS7" s="394"/>
      <c r="IT7" s="394"/>
      <c r="IU7" s="394"/>
      <c r="IV7" s="394"/>
      <c r="IW7" s="394"/>
      <c r="IX7" s="394"/>
      <c r="IY7" s="394"/>
      <c r="IZ7" s="394"/>
      <c r="JA7" s="394"/>
      <c r="JB7" s="394"/>
      <c r="JC7" s="394"/>
      <c r="JD7" s="394"/>
      <c r="JE7" s="394"/>
      <c r="JF7" s="394"/>
      <c r="JG7" s="394"/>
      <c r="JH7" s="394"/>
      <c r="JI7" s="394"/>
      <c r="JJ7" s="394"/>
      <c r="JK7" s="394"/>
      <c r="JL7" s="394"/>
      <c r="JM7" s="394"/>
      <c r="JN7" s="394"/>
      <c r="JO7" s="394"/>
      <c r="JP7" s="394"/>
      <c r="JQ7" s="394"/>
      <c r="JR7" s="394"/>
      <c r="JS7" s="394"/>
      <c r="JT7" s="394"/>
      <c r="JU7" s="394"/>
      <c r="JV7" s="394"/>
      <c r="JW7" s="394"/>
      <c r="JX7" s="394"/>
      <c r="JY7" s="394"/>
      <c r="JZ7" s="394"/>
      <c r="KA7" s="394"/>
      <c r="KB7" s="394"/>
      <c r="KC7" s="394"/>
      <c r="KD7" s="394"/>
      <c r="KE7" s="394"/>
      <c r="KF7" s="394"/>
      <c r="KG7" s="394"/>
      <c r="KH7" s="394"/>
      <c r="KI7" s="394"/>
      <c r="KJ7" s="394"/>
      <c r="KK7" s="394"/>
      <c r="KL7" s="394"/>
      <c r="KM7" s="394"/>
      <c r="KN7" s="394"/>
      <c r="KO7" s="394"/>
      <c r="KP7" s="394"/>
      <c r="KQ7" s="394"/>
      <c r="KR7" s="394"/>
      <c r="KS7" s="394"/>
      <c r="KT7" s="394"/>
      <c r="KU7" s="394"/>
      <c r="KV7" s="394"/>
      <c r="KW7" s="394"/>
      <c r="KX7" s="394"/>
      <c r="KY7" s="394"/>
      <c r="KZ7" s="394"/>
      <c r="LA7" s="394"/>
      <c r="LB7" s="394"/>
      <c r="LC7" s="394"/>
      <c r="LD7" s="394"/>
      <c r="LE7" s="394"/>
      <c r="LF7" s="394"/>
      <c r="LG7" s="394"/>
      <c r="LH7" s="394"/>
      <c r="LI7" s="394"/>
      <c r="LJ7" s="394"/>
      <c r="LK7" s="394"/>
      <c r="LL7" s="394"/>
      <c r="LM7" s="394"/>
      <c r="LN7" s="394"/>
      <c r="LO7" s="394"/>
      <c r="LP7" s="394"/>
      <c r="LQ7" s="394"/>
      <c r="LR7" s="394"/>
      <c r="LS7" s="394"/>
      <c r="LT7" s="394"/>
      <c r="LU7" s="394"/>
      <c r="LV7" s="394"/>
      <c r="LW7" s="394"/>
      <c r="LX7" s="394"/>
      <c r="LY7" s="394"/>
      <c r="LZ7" s="394"/>
      <c r="MA7" s="394"/>
      <c r="MB7" s="394"/>
      <c r="MC7" s="394"/>
      <c r="MD7" s="394"/>
      <c r="ME7" s="394"/>
      <c r="MF7" s="394"/>
      <c r="MG7" s="394"/>
      <c r="MH7" s="394"/>
      <c r="MI7" s="394"/>
      <c r="MJ7" s="394"/>
      <c r="MK7" s="394"/>
      <c r="ML7" s="394"/>
      <c r="MM7" s="394"/>
      <c r="MN7" s="394"/>
      <c r="MO7" s="394"/>
      <c r="MP7" s="394"/>
      <c r="MQ7" s="394"/>
      <c r="MR7" s="394"/>
      <c r="MS7" s="394"/>
      <c r="MT7" s="394"/>
      <c r="MU7" s="394"/>
      <c r="MV7" s="394"/>
      <c r="MW7" s="394"/>
      <c r="MX7" s="394"/>
      <c r="MY7" s="394"/>
      <c r="MZ7" s="394"/>
      <c r="NA7" s="394"/>
      <c r="NB7" s="394"/>
      <c r="NC7" s="394"/>
      <c r="ND7" s="394"/>
      <c r="NE7" s="394"/>
      <c r="NF7" s="394"/>
      <c r="NG7" s="394"/>
      <c r="NH7" s="394"/>
      <c r="NI7" s="394"/>
      <c r="NJ7" s="394"/>
      <c r="NK7" s="394"/>
      <c r="NL7" s="394"/>
      <c r="NM7" s="394"/>
      <c r="NN7" s="394"/>
      <c r="NO7" s="394"/>
      <c r="NP7" s="394"/>
      <c r="NQ7" s="394"/>
      <c r="NR7" s="394"/>
      <c r="NS7" s="394"/>
      <c r="NT7" s="394"/>
      <c r="NU7" s="394"/>
      <c r="NV7" s="394"/>
      <c r="NW7" s="394"/>
      <c r="NX7" s="394"/>
      <c r="NY7" s="394"/>
      <c r="NZ7" s="394"/>
      <c r="OA7" s="394"/>
      <c r="OB7" s="394"/>
      <c r="OC7" s="394"/>
      <c r="OD7" s="394"/>
      <c r="OE7" s="394"/>
      <c r="OF7" s="394"/>
      <c r="OG7" s="394"/>
      <c r="OH7" s="394"/>
      <c r="OI7" s="394"/>
      <c r="OJ7" s="394"/>
      <c r="OK7" s="394"/>
      <c r="OL7" s="394"/>
      <c r="OM7" s="394"/>
      <c r="ON7" s="394"/>
      <c r="OO7" s="394"/>
      <c r="OP7" s="394"/>
      <c r="OQ7" s="394"/>
      <c r="OR7" s="394"/>
      <c r="OS7" s="394"/>
      <c r="OT7" s="394"/>
      <c r="OU7" s="394"/>
      <c r="OV7" s="394"/>
      <c r="OW7" s="394"/>
      <c r="OX7" s="394"/>
      <c r="OY7" s="394"/>
      <c r="OZ7" s="394"/>
      <c r="PA7" s="394"/>
      <c r="PB7" s="394"/>
      <c r="PC7" s="394"/>
      <c r="PD7" s="394"/>
      <c r="PE7" s="394"/>
      <c r="PF7" s="394"/>
      <c r="PG7" s="394"/>
      <c r="PH7" s="394"/>
      <c r="PI7" s="394"/>
      <c r="PJ7" s="394"/>
      <c r="PK7" s="394"/>
      <c r="PL7" s="394"/>
      <c r="PM7" s="394"/>
      <c r="PN7" s="394"/>
      <c r="PO7" s="394"/>
      <c r="PP7" s="394"/>
      <c r="PQ7" s="394"/>
      <c r="PR7" s="394"/>
      <c r="PS7" s="394"/>
      <c r="PT7" s="394"/>
      <c r="PU7" s="394"/>
      <c r="PV7" s="394"/>
      <c r="PW7" s="394"/>
      <c r="PX7" s="394"/>
      <c r="PY7" s="394"/>
      <c r="PZ7" s="394"/>
      <c r="QA7" s="394"/>
      <c r="QB7" s="394"/>
      <c r="QC7" s="394"/>
      <c r="QD7" s="394"/>
      <c r="QE7" s="394"/>
      <c r="QF7" s="394"/>
      <c r="QG7" s="394"/>
      <c r="QH7" s="394"/>
      <c r="QI7" s="394"/>
      <c r="QJ7" s="394"/>
      <c r="QK7" s="394"/>
      <c r="QL7" s="394"/>
      <c r="QM7" s="394"/>
      <c r="QN7" s="394"/>
      <c r="QO7" s="394"/>
      <c r="QP7" s="394"/>
      <c r="QQ7" s="394"/>
      <c r="QR7" s="394"/>
      <c r="QS7" s="394"/>
      <c r="QT7" s="394"/>
      <c r="QU7" s="394"/>
      <c r="QV7" s="394"/>
      <c r="QW7" s="394"/>
      <c r="QX7" s="394"/>
      <c r="QY7" s="394"/>
      <c r="QZ7" s="394"/>
      <c r="RA7" s="394"/>
      <c r="RB7" s="394"/>
      <c r="RC7" s="394"/>
      <c r="RD7" s="394"/>
      <c r="RE7" s="394"/>
      <c r="RF7" s="394"/>
      <c r="RG7" s="394"/>
      <c r="RH7" s="394"/>
      <c r="RI7" s="394"/>
      <c r="RJ7" s="394"/>
      <c r="RK7" s="394"/>
      <c r="RL7" s="394"/>
      <c r="RM7" s="394"/>
      <c r="RN7" s="394"/>
      <c r="RO7" s="394"/>
      <c r="RP7" s="394"/>
      <c r="RQ7" s="394"/>
      <c r="RR7" s="394"/>
      <c r="RS7" s="394"/>
      <c r="RT7" s="394"/>
      <c r="RU7" s="394"/>
      <c r="RV7" s="394"/>
      <c r="RW7" s="394"/>
      <c r="RX7" s="394"/>
      <c r="RY7" s="394"/>
      <c r="RZ7" s="394"/>
      <c r="SA7" s="394"/>
      <c r="SB7" s="394"/>
      <c r="SC7" s="394"/>
      <c r="SD7" s="394"/>
      <c r="SE7" s="394"/>
      <c r="SF7" s="394"/>
      <c r="SG7" s="394"/>
      <c r="SH7" s="394"/>
      <c r="SI7" s="394"/>
      <c r="SJ7" s="394"/>
      <c r="SK7" s="394"/>
      <c r="SL7" s="394"/>
      <c r="SM7" s="394"/>
      <c r="SN7" s="394"/>
      <c r="SO7" s="394"/>
      <c r="SP7" s="394"/>
      <c r="SQ7" s="394"/>
      <c r="SR7" s="394"/>
      <c r="SS7" s="394"/>
      <c r="ST7" s="394"/>
      <c r="SU7" s="394"/>
      <c r="SV7" s="394"/>
      <c r="SW7" s="394"/>
      <c r="SX7" s="394"/>
      <c r="SY7" s="394"/>
      <c r="SZ7" s="394"/>
      <c r="TA7" s="394"/>
      <c r="TB7" s="394"/>
      <c r="TC7" s="394"/>
      <c r="TD7" s="394"/>
      <c r="TE7" s="394"/>
      <c r="TF7" s="394"/>
      <c r="TG7" s="394"/>
      <c r="TH7" s="394"/>
      <c r="TI7" s="394"/>
      <c r="TJ7" s="394"/>
      <c r="TK7" s="394"/>
      <c r="TL7" s="394"/>
      <c r="TM7" s="394"/>
      <c r="TN7" s="394"/>
      <c r="TO7" s="394"/>
      <c r="TP7" s="394"/>
      <c r="TQ7" s="394"/>
      <c r="TR7" s="394"/>
      <c r="TS7" s="394"/>
      <c r="TT7" s="394"/>
      <c r="TU7" s="394"/>
      <c r="TV7" s="394"/>
      <c r="TW7" s="394"/>
      <c r="TX7" s="394"/>
      <c r="TY7" s="394"/>
      <c r="TZ7" s="394"/>
      <c r="UA7" s="394"/>
      <c r="UB7" s="394"/>
      <c r="UC7" s="394"/>
      <c r="UD7" s="394"/>
      <c r="UE7" s="394"/>
      <c r="UF7" s="394"/>
      <c r="UG7" s="394"/>
      <c r="UH7" s="394"/>
      <c r="UI7" s="394"/>
      <c r="UJ7" s="394"/>
      <c r="UK7" s="394"/>
      <c r="UL7" s="394"/>
      <c r="UM7" s="394"/>
      <c r="UN7" s="394"/>
      <c r="UO7" s="394"/>
      <c r="UP7" s="394"/>
      <c r="UQ7" s="394"/>
      <c r="UR7" s="394"/>
      <c r="US7" s="394"/>
      <c r="UT7" s="394"/>
      <c r="UU7" s="394"/>
      <c r="UV7" s="394"/>
      <c r="UW7" s="394"/>
      <c r="UX7" s="394"/>
      <c r="UY7" s="394"/>
      <c r="UZ7" s="394"/>
      <c r="VA7" s="394"/>
      <c r="VB7" s="394"/>
      <c r="VC7" s="394"/>
      <c r="VD7" s="394"/>
      <c r="VE7" s="394"/>
      <c r="VF7" s="394"/>
      <c r="VG7" s="394"/>
      <c r="VH7" s="394"/>
      <c r="VI7" s="394"/>
      <c r="VJ7" s="394"/>
      <c r="VK7" s="394"/>
      <c r="VL7" s="394"/>
      <c r="VM7" s="394"/>
      <c r="VN7" s="394"/>
      <c r="VO7" s="394"/>
      <c r="VP7" s="394"/>
      <c r="VQ7" s="394"/>
      <c r="VR7" s="394"/>
      <c r="VS7" s="394"/>
      <c r="VT7" s="394"/>
      <c r="VU7" s="394"/>
      <c r="VV7" s="394"/>
      <c r="VW7" s="394"/>
      <c r="VX7" s="394"/>
      <c r="VY7" s="394"/>
      <c r="VZ7" s="394"/>
      <c r="WA7" s="394"/>
      <c r="WB7" s="394"/>
      <c r="WC7" s="394"/>
      <c r="WD7" s="394"/>
      <c r="WE7" s="394"/>
      <c r="WF7" s="394"/>
      <c r="WG7" s="394"/>
      <c r="WH7" s="394"/>
      <c r="WI7" s="394"/>
      <c r="WJ7" s="394"/>
      <c r="WK7" s="394"/>
      <c r="WL7" s="394"/>
      <c r="WM7" s="394"/>
      <c r="WN7" s="394"/>
      <c r="WO7" s="394"/>
      <c r="WP7" s="394"/>
      <c r="WQ7" s="394"/>
      <c r="WR7" s="394"/>
      <c r="WS7" s="394"/>
      <c r="WT7" s="394"/>
      <c r="WU7" s="394"/>
      <c r="WV7" s="394"/>
      <c r="WW7" s="394"/>
      <c r="WX7" s="394"/>
      <c r="WY7" s="394"/>
      <c r="WZ7" s="394"/>
      <c r="XA7" s="394"/>
      <c r="XB7" s="394"/>
      <c r="XC7" s="394"/>
      <c r="XD7" s="394"/>
      <c r="XE7" s="394"/>
      <c r="XF7" s="394"/>
      <c r="XG7" s="394"/>
      <c r="XH7" s="394"/>
      <c r="XI7" s="394"/>
      <c r="XJ7" s="394"/>
      <c r="XK7" s="394"/>
      <c r="XL7" s="394"/>
      <c r="XM7" s="394"/>
      <c r="XN7" s="394"/>
      <c r="XO7" s="394"/>
      <c r="XP7" s="394"/>
      <c r="XQ7" s="394"/>
      <c r="XR7" s="394"/>
      <c r="XS7" s="394"/>
      <c r="XT7" s="394"/>
      <c r="XU7" s="394"/>
      <c r="XV7" s="394"/>
      <c r="XW7" s="394"/>
      <c r="XX7" s="394"/>
      <c r="XY7" s="394"/>
      <c r="XZ7" s="394"/>
      <c r="YA7" s="394"/>
      <c r="YB7" s="394"/>
      <c r="YC7" s="394"/>
      <c r="YD7" s="394"/>
      <c r="YE7" s="394"/>
      <c r="YF7" s="394"/>
      <c r="YG7" s="394"/>
      <c r="YH7" s="394"/>
      <c r="YI7" s="394"/>
      <c r="YJ7" s="394"/>
      <c r="YK7" s="394"/>
      <c r="YL7" s="394"/>
      <c r="YM7" s="394"/>
      <c r="YN7" s="394"/>
      <c r="YO7" s="394"/>
      <c r="YP7" s="394"/>
      <c r="YQ7" s="394"/>
      <c r="YR7" s="394"/>
      <c r="YS7" s="394"/>
      <c r="YT7" s="394"/>
      <c r="YU7" s="394"/>
      <c r="YV7" s="394"/>
      <c r="YW7" s="394"/>
      <c r="YX7" s="394"/>
      <c r="YY7" s="394"/>
      <c r="YZ7" s="394"/>
      <c r="ZA7" s="394"/>
      <c r="ZB7" s="394"/>
      <c r="ZC7" s="394"/>
      <c r="ZD7" s="394"/>
      <c r="ZE7" s="394"/>
      <c r="ZF7" s="394"/>
      <c r="ZG7" s="394"/>
      <c r="ZH7" s="394"/>
      <c r="ZI7" s="394"/>
      <c r="ZJ7" s="394"/>
      <c r="ZK7" s="394"/>
      <c r="ZL7" s="394"/>
      <c r="ZM7" s="394"/>
      <c r="ZN7" s="394"/>
      <c r="ZO7" s="394"/>
      <c r="ZP7" s="394"/>
      <c r="ZQ7" s="394"/>
      <c r="ZR7" s="394"/>
      <c r="ZS7" s="394"/>
      <c r="ZT7" s="394"/>
      <c r="ZU7" s="394"/>
      <c r="ZV7" s="394"/>
      <c r="ZW7" s="394"/>
      <c r="ZX7" s="394"/>
      <c r="ZY7" s="394"/>
      <c r="ZZ7" s="394"/>
      <c r="AAA7" s="394"/>
      <c r="AAB7" s="394"/>
      <c r="AAC7" s="394"/>
      <c r="AAD7" s="394"/>
      <c r="AAE7" s="394"/>
      <c r="AAF7" s="394"/>
      <c r="AAG7" s="394"/>
      <c r="AAH7" s="394"/>
      <c r="AAI7" s="394"/>
      <c r="AAJ7" s="394"/>
      <c r="AAK7" s="394"/>
      <c r="AAL7" s="394"/>
      <c r="AAM7" s="394"/>
      <c r="AAN7" s="394"/>
      <c r="AAO7" s="394"/>
      <c r="AAP7" s="394"/>
      <c r="AAQ7" s="394"/>
      <c r="AAR7" s="394"/>
      <c r="AAS7" s="394"/>
      <c r="AAT7" s="394"/>
      <c r="AAU7" s="394"/>
      <c r="AAV7" s="394"/>
      <c r="AAW7" s="394"/>
      <c r="AAX7" s="394"/>
      <c r="AAY7" s="394"/>
      <c r="AAZ7" s="394"/>
      <c r="ABA7" s="394"/>
      <c r="ABB7" s="394"/>
      <c r="ABC7" s="394"/>
      <c r="ABD7" s="394"/>
      <c r="ABE7" s="394"/>
      <c r="ABF7" s="394"/>
      <c r="ABG7" s="394"/>
      <c r="ABH7" s="394"/>
      <c r="ABI7" s="394"/>
      <c r="ABJ7" s="394"/>
      <c r="ABK7" s="394"/>
      <c r="ABL7" s="394"/>
      <c r="ABM7" s="394"/>
      <c r="ABN7" s="394"/>
      <c r="ABO7" s="394"/>
      <c r="ABP7" s="394"/>
      <c r="ABQ7" s="394"/>
      <c r="ABR7" s="394"/>
      <c r="ABS7" s="394"/>
      <c r="ABT7" s="394"/>
      <c r="ABU7" s="394"/>
      <c r="ABV7" s="394"/>
      <c r="ABW7" s="394"/>
      <c r="ABX7" s="394"/>
      <c r="ABY7" s="394"/>
      <c r="ABZ7" s="394"/>
      <c r="ACA7" s="394"/>
      <c r="ACB7" s="394"/>
      <c r="ACC7" s="394"/>
      <c r="ACD7" s="394"/>
      <c r="ACE7" s="394"/>
      <c r="ACF7" s="394"/>
      <c r="ACG7" s="394"/>
      <c r="ACH7" s="394"/>
      <c r="ACI7" s="394"/>
      <c r="ACJ7" s="394"/>
      <c r="ACK7" s="394"/>
      <c r="ACL7" s="394"/>
      <c r="ACM7" s="394"/>
      <c r="ACN7" s="394"/>
      <c r="ACO7" s="394"/>
      <c r="ACP7" s="394"/>
      <c r="ACQ7" s="394"/>
      <c r="ACR7" s="394"/>
      <c r="ACS7" s="394"/>
      <c r="ACT7" s="394"/>
      <c r="ACU7" s="394"/>
      <c r="ACV7" s="394"/>
      <c r="ACW7" s="394"/>
      <c r="ACX7" s="394"/>
      <c r="ACY7" s="394"/>
      <c r="ACZ7" s="394"/>
      <c r="ADA7" s="394"/>
      <c r="ADB7" s="394"/>
      <c r="ADC7" s="394"/>
      <c r="ADD7" s="394"/>
      <c r="ADE7" s="394"/>
      <c r="ADF7" s="394"/>
      <c r="ADG7" s="394"/>
      <c r="ADH7" s="394"/>
      <c r="ADI7" s="394"/>
      <c r="ADJ7" s="394"/>
      <c r="ADK7" s="394"/>
      <c r="ADL7" s="394"/>
      <c r="ADM7" s="394"/>
      <c r="ADN7" s="394"/>
      <c r="ADO7" s="394"/>
      <c r="ADP7" s="394"/>
      <c r="ADQ7" s="394"/>
      <c r="ADR7" s="394"/>
      <c r="ADS7" s="394"/>
      <c r="ADT7" s="394"/>
      <c r="ADU7" s="394"/>
      <c r="ADV7" s="394"/>
      <c r="ADW7" s="394"/>
      <c r="ADX7" s="394"/>
      <c r="ADY7" s="394"/>
      <c r="ADZ7" s="394"/>
      <c r="AEA7" s="394"/>
      <c r="AEB7" s="394"/>
      <c r="AEC7" s="394"/>
      <c r="AED7" s="394"/>
      <c r="AEE7" s="394"/>
      <c r="AEF7" s="394"/>
      <c r="AEG7" s="394"/>
      <c r="AEH7" s="394"/>
      <c r="AEI7" s="394"/>
      <c r="AEJ7" s="394"/>
      <c r="AEK7" s="394"/>
      <c r="AEL7" s="394"/>
      <c r="AEM7" s="394"/>
      <c r="AEN7" s="394"/>
      <c r="AEO7" s="394"/>
      <c r="AEP7" s="394"/>
      <c r="AEQ7" s="394"/>
      <c r="AER7" s="394"/>
      <c r="AES7" s="394"/>
      <c r="AET7" s="394"/>
      <c r="AEU7" s="394"/>
      <c r="AEV7" s="394"/>
      <c r="AEW7" s="394"/>
      <c r="AEX7" s="394"/>
      <c r="AEY7" s="394"/>
      <c r="AEZ7" s="394"/>
      <c r="AFA7" s="394"/>
      <c r="AFB7" s="394"/>
      <c r="AFC7" s="394"/>
      <c r="AFD7" s="394"/>
      <c r="AFE7" s="394"/>
      <c r="AFF7" s="394"/>
      <c r="AFG7" s="394"/>
      <c r="AFH7" s="394"/>
      <c r="AFI7" s="394"/>
      <c r="AFJ7" s="394"/>
      <c r="AFK7" s="394"/>
      <c r="AFL7" s="394"/>
      <c r="AFM7" s="394"/>
      <c r="AFN7" s="394"/>
      <c r="AFO7" s="394"/>
      <c r="AFP7" s="394"/>
      <c r="AFQ7" s="394"/>
      <c r="AFR7" s="394"/>
      <c r="AFS7" s="394"/>
      <c r="AFT7" s="394"/>
      <c r="AFU7" s="394"/>
      <c r="AFV7" s="394"/>
      <c r="AFW7" s="394"/>
      <c r="AFX7" s="394"/>
      <c r="AFY7" s="394"/>
      <c r="AFZ7" s="394"/>
      <c r="AGA7" s="394"/>
      <c r="AGB7" s="394"/>
      <c r="AGC7" s="394"/>
      <c r="AGD7" s="394"/>
      <c r="AGE7" s="394"/>
      <c r="AGF7" s="394"/>
      <c r="AGG7" s="394"/>
      <c r="AGH7" s="394"/>
      <c r="AGI7" s="394"/>
      <c r="AGJ7" s="394"/>
      <c r="AGK7" s="394"/>
      <c r="AGL7" s="394"/>
      <c r="AGM7" s="394"/>
      <c r="AGN7" s="394"/>
      <c r="AGO7" s="394"/>
      <c r="AGP7" s="394"/>
      <c r="AGQ7" s="394"/>
      <c r="AGR7" s="394"/>
      <c r="AGS7" s="394"/>
      <c r="AGT7" s="394"/>
      <c r="AGU7" s="394"/>
      <c r="AGV7" s="394"/>
      <c r="AGW7" s="394"/>
      <c r="AGX7" s="394"/>
      <c r="AGY7" s="394"/>
      <c r="AGZ7" s="394"/>
      <c r="AHA7" s="394"/>
      <c r="AHB7" s="394"/>
      <c r="AHC7" s="394"/>
      <c r="AHD7" s="394"/>
      <c r="AHE7" s="394"/>
      <c r="AHF7" s="394"/>
      <c r="AHG7" s="394"/>
      <c r="AHH7" s="394"/>
      <c r="AHI7" s="394"/>
      <c r="AHJ7" s="394"/>
      <c r="AHK7" s="394"/>
      <c r="AHL7" s="394"/>
      <c r="AHM7" s="394"/>
      <c r="AHN7" s="394"/>
      <c r="AHO7" s="394"/>
      <c r="AHP7" s="394"/>
      <c r="AHQ7" s="394"/>
      <c r="AHR7" s="394"/>
      <c r="AHS7" s="394"/>
      <c r="AHT7" s="394"/>
      <c r="AHU7" s="394"/>
      <c r="AHV7" s="394"/>
      <c r="AHW7" s="394"/>
      <c r="AHX7" s="394"/>
      <c r="AHY7" s="394"/>
      <c r="AHZ7" s="394"/>
      <c r="AIA7" s="394"/>
      <c r="AIB7" s="394"/>
      <c r="AIC7" s="394"/>
      <c r="AID7" s="394"/>
      <c r="AIE7" s="394"/>
      <c r="AIF7" s="394"/>
      <c r="AIG7" s="394"/>
      <c r="AIH7" s="394"/>
      <c r="AII7" s="394"/>
      <c r="AIJ7" s="394"/>
      <c r="AIK7" s="394"/>
      <c r="AIL7" s="394"/>
      <c r="AIM7" s="394"/>
      <c r="AIN7" s="394"/>
      <c r="AIO7" s="394"/>
      <c r="AIP7" s="394"/>
      <c r="AIQ7" s="394"/>
      <c r="AIR7" s="394"/>
      <c r="AIS7" s="394"/>
      <c r="AIT7" s="394"/>
      <c r="AIU7" s="394"/>
      <c r="AIV7" s="394"/>
      <c r="AIW7" s="394"/>
      <c r="AIX7" s="394"/>
      <c r="AIY7" s="394"/>
      <c r="AIZ7" s="394"/>
      <c r="AJA7" s="394"/>
      <c r="AJB7" s="394"/>
      <c r="AJC7" s="394"/>
      <c r="AJD7" s="394"/>
      <c r="AJE7" s="394"/>
      <c r="AJF7" s="394"/>
      <c r="AJG7" s="394"/>
      <c r="AJH7" s="394"/>
      <c r="AJI7" s="394"/>
      <c r="AJJ7" s="394"/>
      <c r="AJK7" s="394"/>
      <c r="AJL7" s="394"/>
      <c r="AJM7" s="394"/>
      <c r="AJN7" s="394"/>
      <c r="AJO7" s="394"/>
      <c r="AJP7" s="394"/>
      <c r="AJQ7" s="394"/>
      <c r="AJR7" s="394"/>
      <c r="AJS7" s="394"/>
      <c r="AJT7" s="394"/>
      <c r="AJU7" s="394"/>
      <c r="AJV7" s="394"/>
      <c r="AJW7" s="394"/>
      <c r="AJX7" s="394"/>
      <c r="AJY7" s="394"/>
      <c r="AJZ7" s="394"/>
      <c r="AKA7" s="394"/>
      <c r="AKB7" s="394"/>
      <c r="AKC7" s="394"/>
      <c r="AKD7" s="394"/>
      <c r="AKE7" s="394"/>
      <c r="AKF7" s="394"/>
      <c r="AKG7" s="394"/>
      <c r="AKH7" s="394"/>
      <c r="AKI7" s="394"/>
      <c r="AKJ7" s="394"/>
      <c r="AKK7" s="394"/>
      <c r="AKL7" s="394"/>
      <c r="AKM7" s="394"/>
      <c r="AKN7" s="394"/>
      <c r="AKO7" s="394"/>
      <c r="AKP7" s="394"/>
      <c r="AKQ7" s="394"/>
      <c r="AKR7" s="394"/>
      <c r="AKS7" s="394"/>
      <c r="AKT7" s="394"/>
      <c r="AKU7" s="394"/>
      <c r="AKV7" s="394"/>
      <c r="AKW7" s="394"/>
      <c r="AKX7" s="394"/>
      <c r="AKY7" s="394"/>
      <c r="AKZ7" s="394"/>
      <c r="ALA7" s="394"/>
      <c r="ALB7" s="394"/>
      <c r="ALC7" s="394"/>
      <c r="ALD7" s="394"/>
      <c r="ALE7" s="394"/>
      <c r="ALF7" s="394"/>
      <c r="ALG7" s="394"/>
      <c r="ALH7" s="394"/>
      <c r="ALI7" s="394"/>
      <c r="ALJ7" s="394"/>
      <c r="ALK7" s="394"/>
      <c r="ALL7" s="394"/>
      <c r="ALM7" s="394"/>
      <c r="ALN7" s="394"/>
      <c r="ALO7" s="394"/>
      <c r="ALP7" s="394"/>
      <c r="ALQ7" s="394"/>
      <c r="ALR7" s="394"/>
      <c r="ALS7" s="394"/>
      <c r="ALT7" s="394"/>
      <c r="ALU7" s="394"/>
      <c r="ALV7" s="394"/>
      <c r="ALW7" s="394"/>
      <c r="ALX7" s="394"/>
      <c r="ALY7" s="394"/>
      <c r="ALZ7" s="394"/>
      <c r="AMA7" s="394"/>
      <c r="AMB7" s="394"/>
      <c r="AMC7" s="394"/>
      <c r="AMD7" s="394"/>
      <c r="AME7" s="394"/>
      <c r="AMF7" s="394"/>
      <c r="AMG7" s="394"/>
      <c r="AMH7" s="394"/>
      <c r="AMI7" s="394"/>
      <c r="AMJ7" s="394"/>
      <c r="AMK7" s="394"/>
      <c r="AML7" s="394"/>
      <c r="AMM7" s="394"/>
      <c r="AMN7" s="394"/>
      <c r="AMO7" s="394"/>
      <c r="AMP7" s="394"/>
      <c r="AMQ7" s="394"/>
      <c r="AMR7" s="394"/>
      <c r="AMS7" s="394"/>
      <c r="AMT7" s="394"/>
      <c r="AMU7" s="394"/>
      <c r="AMV7" s="394"/>
      <c r="AMW7" s="394"/>
      <c r="AMX7" s="394"/>
      <c r="AMY7" s="394"/>
      <c r="AMZ7" s="394"/>
      <c r="ANA7" s="394"/>
      <c r="ANB7" s="394"/>
      <c r="ANC7" s="394"/>
      <c r="AND7" s="394"/>
      <c r="ANE7" s="394"/>
      <c r="ANF7" s="394"/>
      <c r="ANG7" s="394"/>
      <c r="ANH7" s="394"/>
      <c r="ANI7" s="394"/>
      <c r="ANJ7" s="394"/>
      <c r="ANK7" s="394"/>
      <c r="ANL7" s="394"/>
      <c r="ANM7" s="394"/>
      <c r="ANN7" s="394"/>
      <c r="ANO7" s="394"/>
      <c r="ANP7" s="394"/>
      <c r="ANQ7" s="394"/>
      <c r="ANR7" s="394"/>
      <c r="ANS7" s="394"/>
      <c r="ANT7" s="394"/>
      <c r="ANU7" s="394"/>
      <c r="ANV7" s="394"/>
      <c r="ANW7" s="394"/>
      <c r="ANX7" s="394"/>
      <c r="ANY7" s="394"/>
      <c r="ANZ7" s="394"/>
      <c r="AOA7" s="394"/>
      <c r="AOB7" s="394"/>
      <c r="AOC7" s="394"/>
      <c r="AOD7" s="394"/>
      <c r="AOE7" s="394"/>
      <c r="AOF7" s="394"/>
      <c r="AOG7" s="394"/>
      <c r="AOH7" s="394"/>
      <c r="AOI7" s="394"/>
      <c r="AOJ7" s="394"/>
      <c r="AOK7" s="394"/>
      <c r="AOL7" s="394"/>
      <c r="AOM7" s="394"/>
      <c r="AON7" s="394"/>
      <c r="AOO7" s="394"/>
      <c r="AOP7" s="394"/>
      <c r="AOQ7" s="394"/>
      <c r="AOR7" s="394"/>
      <c r="AOS7" s="394"/>
      <c r="AOT7" s="394"/>
      <c r="AOU7" s="394"/>
      <c r="AOV7" s="394"/>
      <c r="AOW7" s="394"/>
      <c r="AOX7" s="394"/>
      <c r="AOY7" s="394"/>
      <c r="AOZ7" s="394"/>
      <c r="APA7" s="394"/>
      <c r="APB7" s="394"/>
      <c r="APC7" s="394"/>
      <c r="APD7" s="394"/>
      <c r="APE7" s="394"/>
      <c r="APF7" s="394"/>
      <c r="APG7" s="394"/>
      <c r="APH7" s="394"/>
      <c r="API7" s="394"/>
      <c r="APJ7" s="394"/>
      <c r="APK7" s="394"/>
      <c r="APL7" s="394"/>
      <c r="APM7" s="394"/>
      <c r="APN7" s="394"/>
      <c r="APO7" s="394"/>
      <c r="APP7" s="394"/>
      <c r="APQ7" s="394"/>
      <c r="APR7" s="394"/>
      <c r="APS7" s="394"/>
      <c r="APT7" s="394"/>
      <c r="APU7" s="394"/>
      <c r="APV7" s="394"/>
      <c r="APW7" s="394"/>
      <c r="APX7" s="394"/>
      <c r="APY7" s="394"/>
      <c r="APZ7" s="394"/>
      <c r="AQA7" s="394"/>
      <c r="AQB7" s="394"/>
      <c r="AQC7" s="394"/>
      <c r="AQD7" s="394"/>
      <c r="AQE7" s="394"/>
      <c r="AQF7" s="394"/>
      <c r="AQG7" s="394"/>
      <c r="AQH7" s="394"/>
      <c r="AQI7" s="394"/>
      <c r="AQJ7" s="394"/>
      <c r="AQK7" s="394"/>
      <c r="AQL7" s="394"/>
      <c r="AQM7" s="394"/>
      <c r="AQN7" s="394"/>
      <c r="AQO7" s="394"/>
      <c r="AQP7" s="394"/>
      <c r="AQQ7" s="394"/>
      <c r="AQR7" s="394"/>
      <c r="AQS7" s="394"/>
      <c r="AQT7" s="394"/>
      <c r="AQU7" s="394"/>
      <c r="AQV7" s="394"/>
      <c r="AQW7" s="394"/>
      <c r="AQX7" s="394"/>
      <c r="AQY7" s="394"/>
      <c r="AQZ7" s="394"/>
      <c r="ARA7" s="394"/>
      <c r="ARB7" s="394"/>
      <c r="ARC7" s="394"/>
      <c r="ARD7" s="394"/>
      <c r="ARE7" s="394"/>
      <c r="ARF7" s="394"/>
      <c r="ARG7" s="394"/>
      <c r="ARH7" s="394"/>
      <c r="ARI7" s="394"/>
      <c r="ARJ7" s="394"/>
      <c r="ARK7" s="394"/>
      <c r="ARL7" s="394"/>
      <c r="ARM7" s="394"/>
      <c r="ARN7" s="394"/>
      <c r="ARO7" s="394"/>
      <c r="ARP7" s="394"/>
      <c r="ARQ7" s="394"/>
      <c r="ARR7" s="394"/>
      <c r="ARS7" s="394"/>
      <c r="ART7" s="394"/>
      <c r="ARU7" s="394"/>
      <c r="ARV7" s="394"/>
      <c r="ARW7" s="394"/>
      <c r="ARX7" s="394"/>
      <c r="ARY7" s="394"/>
      <c r="ARZ7" s="394"/>
      <c r="ASA7" s="394"/>
      <c r="ASB7" s="394"/>
      <c r="ASC7" s="394"/>
      <c r="ASD7" s="394"/>
      <c r="ASE7" s="394"/>
      <c r="ASF7" s="394"/>
      <c r="ASG7" s="394"/>
      <c r="ASH7" s="394"/>
      <c r="ASI7" s="394"/>
      <c r="ASJ7" s="394"/>
      <c r="ASK7" s="394"/>
      <c r="ASL7" s="394"/>
      <c r="ASM7" s="394"/>
      <c r="ASN7" s="394"/>
      <c r="ASO7" s="394"/>
      <c r="ASP7" s="394"/>
      <c r="ASQ7" s="394"/>
      <c r="ASR7" s="394"/>
      <c r="ASS7" s="394"/>
      <c r="AST7" s="394"/>
      <c r="ASU7" s="394"/>
      <c r="ASV7" s="394"/>
      <c r="ASW7" s="394"/>
      <c r="ASX7" s="394"/>
      <c r="ASY7" s="394"/>
      <c r="ASZ7" s="394"/>
      <c r="ATA7" s="394"/>
      <c r="ATB7" s="394"/>
      <c r="ATC7" s="394"/>
      <c r="ATD7" s="394"/>
      <c r="ATE7" s="394"/>
      <c r="ATF7" s="394"/>
      <c r="ATG7" s="394"/>
      <c r="ATH7" s="394"/>
      <c r="ATI7" s="394"/>
      <c r="ATJ7" s="394"/>
      <c r="ATK7" s="394"/>
      <c r="ATL7" s="394"/>
      <c r="ATM7" s="394"/>
      <c r="ATN7" s="394"/>
      <c r="ATO7" s="394"/>
      <c r="ATP7" s="394"/>
      <c r="ATQ7" s="394"/>
      <c r="ATR7" s="394"/>
      <c r="ATS7" s="394"/>
      <c r="ATT7" s="394"/>
      <c r="ATU7" s="394"/>
      <c r="ATV7" s="394"/>
      <c r="ATW7" s="394"/>
      <c r="ATX7" s="394"/>
      <c r="ATY7" s="394"/>
      <c r="ATZ7" s="394"/>
      <c r="AUA7" s="394"/>
      <c r="AUB7" s="394"/>
      <c r="AUC7" s="394"/>
      <c r="AUD7" s="394"/>
      <c r="AUE7" s="394"/>
      <c r="AUF7" s="394"/>
      <c r="AUG7" s="394"/>
      <c r="AUH7" s="394"/>
      <c r="AUI7" s="394"/>
      <c r="AUJ7" s="394"/>
      <c r="AUK7" s="394"/>
      <c r="AUL7" s="394"/>
      <c r="AUM7" s="394"/>
      <c r="AUN7" s="394"/>
      <c r="AUO7" s="394"/>
      <c r="AUP7" s="394"/>
      <c r="AUQ7" s="394"/>
      <c r="AUR7" s="394"/>
      <c r="AUS7" s="394"/>
      <c r="AUT7" s="394"/>
      <c r="AUU7" s="394"/>
      <c r="AUV7" s="394"/>
      <c r="AUW7" s="394"/>
      <c r="AUX7" s="394"/>
      <c r="AUY7" s="394"/>
      <c r="AUZ7" s="394"/>
      <c r="AVA7" s="394"/>
      <c r="AVB7" s="394"/>
      <c r="AVC7" s="394"/>
      <c r="AVD7" s="394"/>
      <c r="AVE7" s="394"/>
      <c r="AVF7" s="394"/>
      <c r="AVG7" s="394"/>
      <c r="AVH7" s="394"/>
      <c r="AVI7" s="394"/>
      <c r="AVJ7" s="394"/>
      <c r="AVK7" s="394"/>
      <c r="AVL7" s="394"/>
      <c r="AVM7" s="394"/>
      <c r="AVN7" s="394"/>
      <c r="AVO7" s="394"/>
      <c r="AVP7" s="394"/>
      <c r="AVQ7" s="394"/>
      <c r="AVR7" s="394"/>
      <c r="AVS7" s="394"/>
      <c r="AVT7" s="394"/>
      <c r="AVU7" s="394"/>
      <c r="AVV7" s="394"/>
      <c r="AVW7" s="394"/>
      <c r="AVX7" s="394"/>
      <c r="AVY7" s="394"/>
      <c r="AVZ7" s="394"/>
      <c r="AWA7" s="394"/>
      <c r="AWB7" s="394"/>
      <c r="AWC7" s="394"/>
      <c r="AWD7" s="394"/>
      <c r="AWE7" s="394"/>
      <c r="AWF7" s="394"/>
      <c r="AWG7" s="394"/>
      <c r="AWH7" s="394"/>
      <c r="AWI7" s="394"/>
      <c r="AWJ7" s="394"/>
      <c r="AWK7" s="394"/>
      <c r="AWL7" s="394"/>
      <c r="AWM7" s="394"/>
      <c r="AWN7" s="394"/>
      <c r="AWO7" s="394"/>
      <c r="AWP7" s="394"/>
      <c r="AWQ7" s="394"/>
      <c r="AWR7" s="394"/>
      <c r="AWS7" s="394"/>
      <c r="AWT7" s="394"/>
      <c r="AWU7" s="394"/>
      <c r="AWV7" s="394"/>
      <c r="AWW7" s="394"/>
      <c r="AWX7" s="394"/>
      <c r="AWY7" s="394"/>
      <c r="AWZ7" s="394"/>
      <c r="AXA7" s="394"/>
      <c r="AXB7" s="394"/>
      <c r="AXC7" s="394"/>
      <c r="AXD7" s="394"/>
      <c r="AXE7" s="394"/>
      <c r="AXF7" s="394"/>
      <c r="AXG7" s="394"/>
      <c r="AXH7" s="394"/>
      <c r="AXI7" s="394"/>
      <c r="AXJ7" s="394"/>
      <c r="AXK7" s="394"/>
      <c r="AXL7" s="394"/>
      <c r="AXM7" s="394"/>
      <c r="AXN7" s="394"/>
      <c r="AXO7" s="394"/>
      <c r="AXP7" s="394"/>
      <c r="AXQ7" s="394"/>
      <c r="AXR7" s="394"/>
      <c r="AXS7" s="394"/>
      <c r="AXT7" s="394"/>
      <c r="AXU7" s="394"/>
      <c r="AXV7" s="394"/>
      <c r="AXW7" s="394"/>
      <c r="AXX7" s="394"/>
      <c r="AXY7" s="394"/>
      <c r="AXZ7" s="394"/>
      <c r="AYA7" s="394"/>
      <c r="AYB7" s="394"/>
      <c r="AYC7" s="394"/>
      <c r="AYD7" s="394"/>
      <c r="AYE7" s="394"/>
      <c r="AYF7" s="394"/>
      <c r="AYG7" s="394"/>
      <c r="AYH7" s="394"/>
      <c r="AYI7" s="394"/>
      <c r="AYJ7" s="394"/>
      <c r="AYK7" s="394"/>
      <c r="AYL7" s="394"/>
      <c r="AYM7" s="394"/>
      <c r="AYN7" s="394"/>
      <c r="AYO7" s="394"/>
      <c r="AYP7" s="394"/>
      <c r="AYQ7" s="394"/>
      <c r="AYR7" s="394"/>
      <c r="AYS7" s="394"/>
      <c r="AYT7" s="394"/>
      <c r="AYU7" s="394"/>
      <c r="AYV7" s="394"/>
      <c r="AYW7" s="394"/>
      <c r="AYX7" s="394"/>
      <c r="AYY7" s="394"/>
      <c r="AYZ7" s="394"/>
      <c r="AZA7" s="394"/>
      <c r="AZB7" s="394"/>
      <c r="AZC7" s="394"/>
      <c r="AZD7" s="394"/>
      <c r="AZE7" s="394"/>
      <c r="AZF7" s="394"/>
      <c r="AZG7" s="394"/>
      <c r="AZH7" s="394"/>
      <c r="AZI7" s="394"/>
      <c r="AZJ7" s="394"/>
      <c r="AZK7" s="394"/>
      <c r="AZL7" s="394"/>
      <c r="AZM7" s="394"/>
      <c r="AZN7" s="394"/>
      <c r="AZO7" s="394"/>
      <c r="AZP7" s="394"/>
      <c r="AZQ7" s="394"/>
      <c r="AZR7" s="394"/>
      <c r="AZS7" s="394"/>
      <c r="AZT7" s="394"/>
      <c r="AZU7" s="394"/>
      <c r="AZV7" s="394"/>
      <c r="AZW7" s="394"/>
      <c r="AZX7" s="394"/>
      <c r="AZY7" s="394"/>
      <c r="AZZ7" s="394"/>
      <c r="BAA7" s="394"/>
      <c r="BAB7" s="394"/>
      <c r="BAC7" s="394"/>
      <c r="BAD7" s="394"/>
      <c r="BAE7" s="394"/>
      <c r="BAF7" s="394"/>
      <c r="BAG7" s="394"/>
      <c r="BAH7" s="394"/>
      <c r="BAI7" s="394"/>
      <c r="BAJ7" s="394"/>
      <c r="BAK7" s="394"/>
      <c r="BAL7" s="394"/>
      <c r="BAM7" s="394"/>
      <c r="BAN7" s="394"/>
      <c r="BAO7" s="394"/>
      <c r="BAP7" s="394"/>
      <c r="BAQ7" s="394"/>
      <c r="BAR7" s="394"/>
      <c r="BAS7" s="394"/>
      <c r="BAT7" s="394"/>
      <c r="BAU7" s="394"/>
      <c r="BAV7" s="394"/>
      <c r="BAW7" s="394"/>
      <c r="BAX7" s="394"/>
      <c r="BAY7" s="394"/>
      <c r="BAZ7" s="394"/>
      <c r="BBA7" s="394"/>
      <c r="BBB7" s="394"/>
      <c r="BBC7" s="394"/>
      <c r="BBD7" s="394"/>
      <c r="BBE7" s="394"/>
      <c r="BBF7" s="394"/>
      <c r="BBG7" s="394"/>
      <c r="BBH7" s="394"/>
      <c r="BBI7" s="394"/>
      <c r="BBJ7" s="394"/>
      <c r="BBK7" s="394"/>
      <c r="BBL7" s="394"/>
      <c r="BBM7" s="394"/>
      <c r="BBN7" s="394"/>
      <c r="BBO7" s="394"/>
      <c r="BBP7" s="394"/>
      <c r="BBQ7" s="394"/>
      <c r="BBR7" s="394"/>
      <c r="BBS7" s="394"/>
      <c r="BBT7" s="394"/>
      <c r="BBU7" s="394"/>
      <c r="BBV7" s="394"/>
      <c r="BBW7" s="394"/>
      <c r="BBX7" s="394"/>
      <c r="BBY7" s="394"/>
      <c r="BBZ7" s="394"/>
      <c r="BCA7" s="394"/>
      <c r="BCB7" s="394"/>
      <c r="BCC7" s="394"/>
      <c r="BCD7" s="394"/>
      <c r="BCE7" s="394"/>
      <c r="BCF7" s="394"/>
      <c r="BCG7" s="394"/>
      <c r="BCH7" s="394"/>
      <c r="BCI7" s="394"/>
      <c r="BCJ7" s="394"/>
      <c r="BCK7" s="394"/>
      <c r="BCL7" s="394"/>
      <c r="BCM7" s="394"/>
      <c r="BCN7" s="394"/>
      <c r="BCO7" s="394"/>
      <c r="BCP7" s="394"/>
      <c r="BCQ7" s="394"/>
      <c r="BCR7" s="394"/>
      <c r="BCS7" s="394"/>
      <c r="BCT7" s="394"/>
      <c r="BCU7" s="394"/>
      <c r="BCV7" s="394"/>
      <c r="BCW7" s="394"/>
      <c r="BCX7" s="394"/>
      <c r="BCY7" s="394"/>
      <c r="BCZ7" s="394"/>
      <c r="BDA7" s="394"/>
      <c r="BDB7" s="394"/>
      <c r="BDC7" s="394"/>
      <c r="BDD7" s="394"/>
      <c r="BDE7" s="394"/>
      <c r="BDF7" s="394"/>
      <c r="BDG7" s="394"/>
      <c r="BDH7" s="394"/>
      <c r="BDI7" s="394"/>
      <c r="BDJ7" s="394"/>
      <c r="BDK7" s="394"/>
      <c r="BDL7" s="394"/>
      <c r="BDM7" s="394"/>
      <c r="BDN7" s="394"/>
      <c r="BDO7" s="394"/>
      <c r="BDP7" s="394"/>
      <c r="BDQ7" s="394"/>
      <c r="BDR7" s="394"/>
      <c r="BDS7" s="394"/>
      <c r="BDT7" s="394"/>
      <c r="BDU7" s="394"/>
      <c r="BDV7" s="394"/>
      <c r="BDW7" s="394"/>
      <c r="BDX7" s="394"/>
      <c r="BDY7" s="394"/>
      <c r="BDZ7" s="394"/>
      <c r="BEA7" s="394"/>
      <c r="BEB7" s="394"/>
      <c r="BEC7" s="394"/>
      <c r="BED7" s="394"/>
      <c r="BEE7" s="394"/>
      <c r="BEF7" s="394"/>
      <c r="BEG7" s="394"/>
      <c r="BEH7" s="394"/>
      <c r="BEI7" s="394"/>
      <c r="BEJ7" s="394"/>
      <c r="BEK7" s="394"/>
      <c r="BEL7" s="394"/>
      <c r="BEM7" s="394"/>
      <c r="BEN7" s="394"/>
      <c r="BEO7" s="394"/>
      <c r="BEP7" s="394"/>
      <c r="BEQ7" s="394"/>
      <c r="BER7" s="394"/>
      <c r="BES7" s="394"/>
      <c r="BET7" s="394"/>
      <c r="BEU7" s="394"/>
      <c r="BEV7" s="394"/>
      <c r="BEW7" s="394"/>
      <c r="BEX7" s="394"/>
      <c r="BEY7" s="394"/>
      <c r="BEZ7" s="394"/>
      <c r="BFA7" s="394"/>
      <c r="BFB7" s="394"/>
      <c r="BFC7" s="394"/>
      <c r="BFD7" s="394"/>
      <c r="BFE7" s="394"/>
      <c r="BFF7" s="394"/>
      <c r="BFG7" s="394"/>
      <c r="BFH7" s="394"/>
      <c r="BFI7" s="394"/>
      <c r="BFJ7" s="394"/>
      <c r="BFK7" s="394"/>
      <c r="BFL7" s="394"/>
      <c r="BFM7" s="394"/>
      <c r="BFN7" s="394"/>
      <c r="BFO7" s="394"/>
      <c r="BFP7" s="394"/>
      <c r="BFQ7" s="394"/>
      <c r="BFR7" s="394"/>
      <c r="BFS7" s="394"/>
      <c r="BFT7" s="394"/>
      <c r="BFU7" s="394"/>
      <c r="BFV7" s="394"/>
      <c r="BFW7" s="394"/>
      <c r="BFX7" s="394"/>
      <c r="BFY7" s="394"/>
      <c r="BFZ7" s="394"/>
      <c r="BGA7" s="394"/>
      <c r="BGB7" s="394"/>
      <c r="BGC7" s="394"/>
      <c r="BGD7" s="394"/>
      <c r="BGE7" s="394"/>
      <c r="BGF7" s="394"/>
      <c r="BGG7" s="394"/>
      <c r="BGH7" s="394"/>
      <c r="BGI7" s="394"/>
      <c r="BGJ7" s="394"/>
      <c r="BGK7" s="394"/>
      <c r="BGL7" s="394"/>
      <c r="BGM7" s="394"/>
      <c r="BGN7" s="394"/>
      <c r="BGO7" s="394"/>
      <c r="BGP7" s="394"/>
      <c r="BGQ7" s="394"/>
      <c r="BGR7" s="394"/>
      <c r="BGS7" s="394"/>
      <c r="BGT7" s="394"/>
      <c r="BGU7" s="394"/>
      <c r="BGV7" s="394"/>
      <c r="BGW7" s="394"/>
      <c r="BGX7" s="394"/>
      <c r="BGY7" s="394"/>
      <c r="BGZ7" s="394"/>
      <c r="BHA7" s="394"/>
      <c r="BHB7" s="394"/>
      <c r="BHC7" s="394"/>
      <c r="BHD7" s="394"/>
      <c r="BHE7" s="394"/>
      <c r="BHF7" s="394"/>
      <c r="BHG7" s="394"/>
      <c r="BHH7" s="394"/>
      <c r="BHI7" s="394"/>
      <c r="BHJ7" s="394"/>
      <c r="BHK7" s="394"/>
      <c r="BHL7" s="394"/>
      <c r="BHM7" s="394"/>
      <c r="BHN7" s="394"/>
      <c r="BHO7" s="394"/>
      <c r="BHP7" s="394"/>
      <c r="BHQ7" s="394"/>
      <c r="BHR7" s="394"/>
      <c r="BHS7" s="394"/>
      <c r="BHT7" s="394"/>
      <c r="BHU7" s="394"/>
      <c r="BHV7" s="394"/>
      <c r="BHW7" s="394"/>
      <c r="BHX7" s="394"/>
      <c r="BHY7" s="394"/>
      <c r="BHZ7" s="394"/>
      <c r="BIA7" s="394"/>
      <c r="BIB7" s="394"/>
      <c r="BIC7" s="394"/>
      <c r="BID7" s="394"/>
      <c r="BIE7" s="394"/>
      <c r="BIF7" s="394"/>
      <c r="BIG7" s="394"/>
      <c r="BIH7" s="394"/>
      <c r="BII7" s="394"/>
      <c r="BIJ7" s="394"/>
      <c r="BIK7" s="394"/>
      <c r="BIL7" s="394"/>
      <c r="BIM7" s="394"/>
      <c r="BIN7" s="394"/>
      <c r="BIO7" s="394"/>
      <c r="BIP7" s="394"/>
      <c r="BIQ7" s="394"/>
      <c r="BIR7" s="394"/>
      <c r="BIS7" s="394"/>
      <c r="BIT7" s="394"/>
      <c r="BIU7" s="394"/>
      <c r="BIV7" s="394"/>
      <c r="BIW7" s="394"/>
      <c r="BIX7" s="394"/>
      <c r="BIY7" s="394"/>
      <c r="BIZ7" s="394"/>
      <c r="BJA7" s="394"/>
      <c r="BJB7" s="394"/>
      <c r="BJC7" s="394"/>
      <c r="BJD7" s="394"/>
      <c r="BJE7" s="394"/>
      <c r="BJF7" s="394"/>
      <c r="BJG7" s="394"/>
      <c r="BJH7" s="394"/>
      <c r="BJI7" s="394"/>
      <c r="BJJ7" s="394"/>
      <c r="BJK7" s="394"/>
      <c r="BJL7" s="394"/>
      <c r="BJM7" s="394"/>
      <c r="BJN7" s="394"/>
      <c r="BJO7" s="394"/>
      <c r="BJP7" s="394"/>
      <c r="BJQ7" s="394"/>
      <c r="BJR7" s="394"/>
      <c r="BJS7" s="394"/>
      <c r="BJT7" s="394"/>
      <c r="BJU7" s="394"/>
      <c r="BJV7" s="394"/>
      <c r="BJW7" s="394"/>
      <c r="BJX7" s="394"/>
      <c r="BJY7" s="394"/>
      <c r="BJZ7" s="394"/>
      <c r="BKA7" s="394"/>
      <c r="BKB7" s="394"/>
      <c r="BKC7" s="394"/>
      <c r="BKD7" s="394"/>
      <c r="BKE7" s="394"/>
      <c r="BKF7" s="394"/>
      <c r="BKG7" s="394"/>
      <c r="BKH7" s="394"/>
      <c r="BKI7" s="394"/>
      <c r="BKJ7" s="394"/>
      <c r="BKK7" s="394"/>
      <c r="BKL7" s="394"/>
      <c r="BKM7" s="394"/>
      <c r="BKN7" s="394"/>
      <c r="BKO7" s="394"/>
      <c r="BKP7" s="394"/>
      <c r="BKQ7" s="394"/>
      <c r="BKR7" s="394"/>
      <c r="BKS7" s="394"/>
      <c r="BKT7" s="394"/>
      <c r="BKU7" s="394"/>
      <c r="BKV7" s="394"/>
      <c r="BKW7" s="394"/>
      <c r="BKX7" s="394"/>
      <c r="BKY7" s="394"/>
      <c r="BKZ7" s="394"/>
      <c r="BLA7" s="394"/>
      <c r="BLB7" s="394"/>
      <c r="BLC7" s="394"/>
      <c r="BLD7" s="394"/>
      <c r="BLE7" s="394"/>
      <c r="BLF7" s="394"/>
      <c r="BLG7" s="394"/>
      <c r="BLH7" s="394"/>
      <c r="BLI7" s="394"/>
      <c r="BLJ7" s="394"/>
      <c r="BLK7" s="394"/>
      <c r="BLL7" s="394"/>
      <c r="BLM7" s="394"/>
      <c r="BLN7" s="394"/>
      <c r="BLO7" s="394"/>
      <c r="BLP7" s="394"/>
      <c r="BLQ7" s="394"/>
      <c r="BLR7" s="394"/>
      <c r="BLS7" s="394"/>
      <c r="BLT7" s="394"/>
      <c r="BLU7" s="394"/>
      <c r="BLV7" s="394"/>
      <c r="BLW7" s="394"/>
      <c r="BLX7" s="394"/>
      <c r="BLY7" s="394"/>
      <c r="BLZ7" s="394"/>
      <c r="BMA7" s="394"/>
      <c r="BMB7" s="394"/>
      <c r="BMC7" s="394"/>
      <c r="BMD7" s="394"/>
      <c r="BME7" s="394"/>
      <c r="BMF7" s="394"/>
      <c r="BMG7" s="394"/>
      <c r="BMH7" s="394"/>
      <c r="BMI7" s="394"/>
      <c r="BMJ7" s="394"/>
      <c r="BMK7" s="394"/>
      <c r="BML7" s="394"/>
      <c r="BMM7" s="394"/>
      <c r="BMN7" s="394"/>
      <c r="BMO7" s="394"/>
      <c r="BMP7" s="394"/>
      <c r="BMQ7" s="394"/>
      <c r="BMR7" s="394"/>
      <c r="BMS7" s="394"/>
      <c r="BMT7" s="394"/>
      <c r="BMU7" s="394"/>
      <c r="BMV7" s="394"/>
      <c r="BMW7" s="394"/>
      <c r="BMX7" s="394"/>
      <c r="BMY7" s="394"/>
      <c r="BMZ7" s="394"/>
      <c r="BNA7" s="394"/>
      <c r="BNB7" s="394"/>
      <c r="BNC7" s="394"/>
      <c r="BND7" s="394"/>
      <c r="BNE7" s="394"/>
      <c r="BNF7" s="394"/>
      <c r="BNG7" s="394"/>
      <c r="BNH7" s="394"/>
      <c r="BNI7" s="394"/>
      <c r="BNJ7" s="394"/>
      <c r="BNK7" s="394"/>
      <c r="BNL7" s="394"/>
      <c r="BNM7" s="394"/>
      <c r="BNN7" s="394"/>
      <c r="BNO7" s="394"/>
      <c r="BNP7" s="394"/>
      <c r="BNQ7" s="394"/>
      <c r="BNR7" s="394"/>
      <c r="BNS7" s="394"/>
      <c r="BNT7" s="394"/>
      <c r="BNU7" s="394"/>
      <c r="BNV7" s="394"/>
      <c r="BNW7" s="394"/>
      <c r="BNX7" s="394"/>
      <c r="BNY7" s="394"/>
      <c r="BNZ7" s="394"/>
      <c r="BOA7" s="394"/>
      <c r="BOB7" s="394"/>
      <c r="BOC7" s="394"/>
      <c r="BOD7" s="394"/>
      <c r="BOE7" s="394"/>
      <c r="BOF7" s="394"/>
      <c r="BOG7" s="394"/>
      <c r="BOH7" s="394"/>
      <c r="BOI7" s="394"/>
      <c r="BOJ7" s="394"/>
      <c r="BOK7" s="394"/>
      <c r="BOL7" s="394"/>
      <c r="BOM7" s="394"/>
      <c r="BON7" s="394"/>
      <c r="BOO7" s="394"/>
      <c r="BOP7" s="394"/>
      <c r="BOQ7" s="394"/>
      <c r="BOR7" s="394"/>
      <c r="BOS7" s="394"/>
      <c r="BOT7" s="394"/>
      <c r="BOU7" s="394"/>
      <c r="BOV7" s="394"/>
      <c r="BOW7" s="394"/>
      <c r="BOX7" s="394"/>
      <c r="BOY7" s="394"/>
      <c r="BOZ7" s="394"/>
      <c r="BPA7" s="394"/>
      <c r="BPB7" s="394"/>
      <c r="BPC7" s="394"/>
      <c r="BPD7" s="394"/>
      <c r="BPE7" s="394"/>
      <c r="BPF7" s="394"/>
      <c r="BPG7" s="394"/>
      <c r="BPH7" s="394"/>
      <c r="BPI7" s="394"/>
      <c r="BPJ7" s="394"/>
      <c r="BPK7" s="394"/>
      <c r="BPL7" s="394"/>
      <c r="BPM7" s="394"/>
      <c r="BPN7" s="394"/>
      <c r="BPO7" s="394"/>
      <c r="BPP7" s="394"/>
      <c r="BPQ7" s="394"/>
      <c r="BPR7" s="394"/>
      <c r="BPS7" s="394"/>
      <c r="BPT7" s="394"/>
      <c r="BPU7" s="394"/>
      <c r="BPV7" s="394"/>
      <c r="BPW7" s="394"/>
      <c r="BPX7" s="394"/>
      <c r="BPY7" s="394"/>
      <c r="BPZ7" s="394"/>
      <c r="BQA7" s="394"/>
      <c r="BQB7" s="394"/>
      <c r="BQC7" s="394"/>
      <c r="BQD7" s="394"/>
      <c r="BQE7" s="394"/>
      <c r="BQF7" s="394"/>
      <c r="BQG7" s="394"/>
      <c r="BQH7" s="394"/>
      <c r="BQI7" s="394"/>
      <c r="BQJ7" s="394"/>
      <c r="BQK7" s="394"/>
      <c r="BQL7" s="394"/>
      <c r="BQM7" s="394"/>
      <c r="BQN7" s="394"/>
      <c r="BQO7" s="394"/>
      <c r="BQP7" s="394"/>
      <c r="BQQ7" s="394"/>
      <c r="BQR7" s="394"/>
      <c r="BQS7" s="394"/>
      <c r="BQT7" s="394"/>
      <c r="BQU7" s="394"/>
      <c r="BQV7" s="394"/>
      <c r="BQW7" s="394"/>
      <c r="BQX7" s="394"/>
      <c r="BQY7" s="394"/>
      <c r="BQZ7" s="394"/>
      <c r="BRA7" s="394"/>
      <c r="BRB7" s="394"/>
      <c r="BRC7" s="394"/>
      <c r="BRD7" s="394"/>
      <c r="BRE7" s="394"/>
      <c r="BRF7" s="394"/>
      <c r="BRG7" s="394"/>
      <c r="BRH7" s="394"/>
      <c r="BRI7" s="394"/>
      <c r="BRJ7" s="394"/>
      <c r="BRK7" s="394"/>
      <c r="BRL7" s="394"/>
      <c r="BRM7" s="394"/>
      <c r="BRN7" s="394"/>
      <c r="BRO7" s="394"/>
      <c r="BRP7" s="394"/>
      <c r="BRQ7" s="394"/>
      <c r="BRR7" s="394"/>
      <c r="BRS7" s="394"/>
      <c r="BRT7" s="394"/>
      <c r="BRU7" s="394"/>
      <c r="BRV7" s="394"/>
      <c r="BRW7" s="394"/>
      <c r="BRX7" s="394"/>
      <c r="BRY7" s="394"/>
      <c r="BRZ7" s="394"/>
      <c r="BSA7" s="394"/>
      <c r="BSB7" s="394"/>
      <c r="BSC7" s="394"/>
      <c r="BSD7" s="394"/>
      <c r="BSE7" s="394"/>
      <c r="BSF7" s="394"/>
      <c r="BSG7" s="394"/>
      <c r="BSH7" s="394"/>
      <c r="BSI7" s="394"/>
      <c r="BSJ7" s="394"/>
      <c r="BSK7" s="394"/>
      <c r="BSL7" s="394"/>
      <c r="BSM7" s="394"/>
      <c r="BSN7" s="394"/>
      <c r="BSO7" s="394"/>
      <c r="BSP7" s="394"/>
      <c r="BSQ7" s="394"/>
      <c r="BSR7" s="394"/>
      <c r="BSS7" s="394"/>
      <c r="BST7" s="394"/>
      <c r="BSU7" s="394"/>
      <c r="BSV7" s="394"/>
      <c r="BSW7" s="394"/>
      <c r="BSX7" s="394"/>
      <c r="BSY7" s="394"/>
      <c r="BSZ7" s="394"/>
      <c r="BTA7" s="394"/>
      <c r="BTB7" s="394"/>
      <c r="BTC7" s="394"/>
      <c r="BTD7" s="394"/>
      <c r="BTE7" s="394"/>
      <c r="BTF7" s="394"/>
      <c r="BTG7" s="394"/>
      <c r="BTH7" s="394"/>
      <c r="BTI7" s="394"/>
    </row>
    <row r="8" spans="1:1881" s="4" customFormat="1" ht="48" customHeight="1" x14ac:dyDescent="0.25">
      <c r="A8" s="188">
        <v>500</v>
      </c>
      <c r="B8" s="150" t="s">
        <v>62</v>
      </c>
      <c r="C8" s="182" t="s">
        <v>136</v>
      </c>
      <c r="D8" s="165" t="s">
        <v>137</v>
      </c>
      <c r="E8" s="32" t="e">
        <f>HLOOKUP($D$2,'2019 Data(H)'!$C$1:$CP$300,150,FALSE)</f>
        <v>#N/A</v>
      </c>
      <c r="F8" s="624"/>
      <c r="G8" s="395">
        <f>IF(F8&lt;0,"Note: Number is normally positive.",)</f>
        <v>0</v>
      </c>
      <c r="H8" s="17"/>
      <c r="I8" s="149"/>
      <c r="J8" s="365"/>
      <c r="K8" s="394"/>
      <c r="L8" s="833" t="s">
        <v>1106</v>
      </c>
      <c r="M8" s="610" t="s">
        <v>1098</v>
      </c>
      <c r="N8" s="635"/>
      <c r="O8" s="394"/>
      <c r="P8" s="394"/>
      <c r="Q8" s="394"/>
      <c r="R8" s="394"/>
      <c r="S8" s="394"/>
      <c r="T8" s="394"/>
      <c r="U8" s="394"/>
      <c r="V8" s="394"/>
      <c r="W8" s="394"/>
      <c r="X8" s="394"/>
      <c r="Y8" s="394"/>
      <c r="Z8" s="394"/>
      <c r="AA8" s="394"/>
      <c r="AB8" s="394"/>
      <c r="AC8" s="394"/>
      <c r="AD8" s="394"/>
      <c r="AE8" s="394"/>
      <c r="AF8" s="394"/>
      <c r="AG8" s="394"/>
      <c r="AH8" s="394"/>
      <c r="AI8" s="394"/>
      <c r="AJ8" s="394"/>
      <c r="AK8" s="394"/>
      <c r="AL8" s="394"/>
      <c r="AM8" s="394"/>
      <c r="AN8" s="394"/>
      <c r="AO8" s="394"/>
      <c r="AP8" s="394"/>
      <c r="AQ8" s="394"/>
      <c r="AR8" s="394"/>
      <c r="AS8" s="394"/>
      <c r="AT8" s="394"/>
      <c r="AU8" s="394"/>
      <c r="AV8" s="394"/>
      <c r="AW8" s="394"/>
      <c r="AX8" s="394"/>
      <c r="AY8" s="394"/>
      <c r="AZ8" s="394"/>
      <c r="BA8" s="394"/>
      <c r="BB8" s="394"/>
      <c r="BC8" s="394"/>
      <c r="BD8" s="394"/>
      <c r="BE8" s="394"/>
      <c r="BF8" s="394"/>
      <c r="BG8" s="394"/>
      <c r="BH8" s="394"/>
      <c r="BI8" s="394"/>
      <c r="BJ8" s="394"/>
      <c r="BK8" s="394"/>
      <c r="BL8" s="394"/>
      <c r="BM8" s="394"/>
      <c r="BN8" s="394"/>
      <c r="BO8" s="394"/>
      <c r="BP8" s="394"/>
      <c r="BQ8" s="394"/>
      <c r="BR8" s="394"/>
      <c r="BS8" s="394"/>
      <c r="BT8" s="394"/>
      <c r="BU8" s="394"/>
      <c r="BV8" s="394"/>
      <c r="BW8" s="394"/>
      <c r="BX8" s="394"/>
      <c r="BY8" s="394"/>
      <c r="BZ8" s="394"/>
      <c r="CA8" s="394"/>
      <c r="CB8" s="394"/>
      <c r="CC8" s="394"/>
      <c r="CD8" s="394"/>
      <c r="CE8" s="394"/>
      <c r="CF8" s="394"/>
      <c r="CG8" s="394"/>
      <c r="CH8" s="394"/>
      <c r="CI8" s="394"/>
      <c r="CJ8" s="394"/>
      <c r="CK8" s="394"/>
      <c r="CL8" s="394"/>
      <c r="CM8" s="394"/>
      <c r="CN8" s="394"/>
      <c r="CO8" s="394"/>
      <c r="CP8" s="394"/>
      <c r="CQ8" s="394"/>
      <c r="CR8" s="394"/>
      <c r="CS8" s="394"/>
      <c r="CT8" s="394"/>
      <c r="CU8" s="394"/>
      <c r="CV8" s="394"/>
      <c r="CW8" s="394"/>
      <c r="CX8" s="394"/>
      <c r="CY8" s="394"/>
      <c r="CZ8" s="394"/>
      <c r="DA8" s="394"/>
      <c r="DB8" s="394"/>
      <c r="DC8" s="394"/>
      <c r="DD8" s="394"/>
      <c r="DE8" s="394"/>
      <c r="DF8" s="394"/>
      <c r="DG8" s="394"/>
      <c r="DH8" s="394"/>
      <c r="DI8" s="394"/>
      <c r="DJ8" s="394"/>
      <c r="DK8" s="394"/>
      <c r="DL8" s="394"/>
      <c r="DM8" s="394"/>
      <c r="DN8" s="394"/>
      <c r="DO8" s="394"/>
      <c r="DP8" s="394"/>
      <c r="DQ8" s="394"/>
      <c r="DR8" s="394"/>
      <c r="DS8" s="394"/>
      <c r="DT8" s="394"/>
      <c r="DU8" s="394"/>
      <c r="DV8" s="394"/>
      <c r="DW8" s="394"/>
      <c r="DX8" s="394"/>
      <c r="DY8" s="394"/>
      <c r="DZ8" s="394"/>
      <c r="EA8" s="394"/>
      <c r="EB8" s="394"/>
      <c r="EC8" s="394"/>
      <c r="ED8" s="394"/>
      <c r="EE8" s="394"/>
      <c r="EF8" s="394"/>
      <c r="EG8" s="394"/>
      <c r="EH8" s="394"/>
      <c r="EI8" s="394"/>
      <c r="EJ8" s="394"/>
      <c r="EK8" s="394"/>
      <c r="EL8" s="394"/>
      <c r="EM8" s="394"/>
      <c r="EN8" s="394"/>
      <c r="EO8" s="394"/>
      <c r="EP8" s="394"/>
      <c r="EQ8" s="394"/>
      <c r="ER8" s="394"/>
      <c r="ES8" s="394"/>
      <c r="ET8" s="394"/>
      <c r="EU8" s="394"/>
      <c r="EV8" s="394"/>
      <c r="EW8" s="394"/>
      <c r="EX8" s="394"/>
      <c r="EY8" s="394"/>
      <c r="EZ8" s="394"/>
      <c r="FA8" s="394"/>
      <c r="FB8" s="394"/>
      <c r="FC8" s="394"/>
      <c r="FD8" s="394"/>
      <c r="FE8" s="394"/>
      <c r="FF8" s="394"/>
      <c r="FG8" s="394"/>
      <c r="FH8" s="394"/>
      <c r="FI8" s="394"/>
      <c r="FJ8" s="394"/>
      <c r="FK8" s="394"/>
      <c r="FL8" s="394"/>
      <c r="FM8" s="394"/>
      <c r="FN8" s="394"/>
      <c r="FO8" s="394"/>
      <c r="FP8" s="394"/>
      <c r="FQ8" s="394"/>
      <c r="FR8" s="394"/>
      <c r="FS8" s="394"/>
      <c r="FT8" s="394"/>
      <c r="FU8" s="394"/>
      <c r="FV8" s="394"/>
      <c r="FW8" s="394"/>
      <c r="FX8" s="394"/>
      <c r="FY8" s="394"/>
      <c r="FZ8" s="394"/>
      <c r="GA8" s="394"/>
      <c r="GB8" s="394"/>
      <c r="GC8" s="394"/>
      <c r="GD8" s="394"/>
      <c r="GE8" s="394"/>
      <c r="GF8" s="394"/>
      <c r="GG8" s="394"/>
      <c r="GH8" s="394"/>
      <c r="GI8" s="394"/>
      <c r="GJ8" s="394"/>
      <c r="GK8" s="394"/>
      <c r="GL8" s="394"/>
      <c r="GM8" s="394"/>
      <c r="GN8" s="394"/>
      <c r="GO8" s="394"/>
      <c r="GP8" s="394"/>
      <c r="GQ8" s="394"/>
      <c r="GR8" s="394"/>
      <c r="GS8" s="394"/>
      <c r="GT8" s="394"/>
      <c r="GU8" s="394"/>
      <c r="GV8" s="394"/>
      <c r="GW8" s="394"/>
      <c r="GX8" s="394"/>
      <c r="GY8" s="394"/>
      <c r="GZ8" s="394"/>
      <c r="HA8" s="394"/>
      <c r="HB8" s="394"/>
      <c r="HC8" s="394"/>
      <c r="HD8" s="394"/>
      <c r="HE8" s="394"/>
      <c r="HF8" s="394"/>
      <c r="HG8" s="394"/>
      <c r="HH8" s="394"/>
      <c r="HI8" s="394"/>
      <c r="HJ8" s="394"/>
      <c r="HK8" s="394"/>
      <c r="HL8" s="394"/>
      <c r="HM8" s="394"/>
      <c r="HN8" s="394"/>
      <c r="HO8" s="394"/>
      <c r="HP8" s="394"/>
      <c r="HQ8" s="394"/>
      <c r="HR8" s="394"/>
      <c r="HS8" s="394"/>
      <c r="HT8" s="394"/>
      <c r="HU8" s="394"/>
      <c r="HV8" s="394"/>
      <c r="HW8" s="394"/>
      <c r="HX8" s="394"/>
      <c r="HY8" s="394"/>
      <c r="HZ8" s="394"/>
      <c r="IA8" s="394"/>
      <c r="IB8" s="394"/>
      <c r="IC8" s="394"/>
      <c r="ID8" s="394"/>
      <c r="IE8" s="394"/>
      <c r="IF8" s="394"/>
      <c r="IG8" s="394"/>
      <c r="IH8" s="394"/>
      <c r="II8" s="394"/>
      <c r="IJ8" s="394"/>
      <c r="IK8" s="394"/>
      <c r="IL8" s="394"/>
      <c r="IM8" s="394"/>
      <c r="IN8" s="394"/>
      <c r="IO8" s="394"/>
      <c r="IP8" s="394"/>
      <c r="IQ8" s="394"/>
      <c r="IR8" s="394"/>
      <c r="IS8" s="394"/>
      <c r="IT8" s="394"/>
      <c r="IU8" s="394"/>
      <c r="IV8" s="394"/>
      <c r="IW8" s="394"/>
      <c r="IX8" s="394"/>
      <c r="IY8" s="394"/>
      <c r="IZ8" s="394"/>
      <c r="JA8" s="394"/>
      <c r="JB8" s="394"/>
      <c r="JC8" s="394"/>
      <c r="JD8" s="394"/>
      <c r="JE8" s="394"/>
      <c r="JF8" s="394"/>
      <c r="JG8" s="394"/>
      <c r="JH8" s="394"/>
      <c r="JI8" s="394"/>
      <c r="JJ8" s="394"/>
      <c r="JK8" s="394"/>
      <c r="JL8" s="394"/>
      <c r="JM8" s="394"/>
      <c r="JN8" s="394"/>
      <c r="JO8" s="394"/>
      <c r="JP8" s="394"/>
      <c r="JQ8" s="394"/>
      <c r="JR8" s="394"/>
      <c r="JS8" s="394"/>
      <c r="JT8" s="394"/>
      <c r="JU8" s="394"/>
      <c r="JV8" s="394"/>
      <c r="JW8" s="394"/>
      <c r="JX8" s="394"/>
      <c r="JY8" s="394"/>
      <c r="JZ8" s="394"/>
      <c r="KA8" s="394"/>
      <c r="KB8" s="394"/>
      <c r="KC8" s="394"/>
      <c r="KD8" s="394"/>
      <c r="KE8" s="394"/>
      <c r="KF8" s="394"/>
      <c r="KG8" s="394"/>
      <c r="KH8" s="394"/>
      <c r="KI8" s="394"/>
      <c r="KJ8" s="394"/>
      <c r="KK8" s="394"/>
      <c r="KL8" s="394"/>
      <c r="KM8" s="394"/>
      <c r="KN8" s="394"/>
      <c r="KO8" s="394"/>
      <c r="KP8" s="394"/>
      <c r="KQ8" s="394"/>
      <c r="KR8" s="394"/>
      <c r="KS8" s="394"/>
      <c r="KT8" s="394"/>
      <c r="KU8" s="394"/>
      <c r="KV8" s="394"/>
      <c r="KW8" s="394"/>
      <c r="KX8" s="394"/>
      <c r="KY8" s="394"/>
      <c r="KZ8" s="394"/>
      <c r="LA8" s="394"/>
      <c r="LB8" s="394"/>
      <c r="LC8" s="394"/>
      <c r="LD8" s="394"/>
      <c r="LE8" s="394"/>
      <c r="LF8" s="394"/>
      <c r="LG8" s="394"/>
      <c r="LH8" s="394"/>
      <c r="LI8" s="394"/>
      <c r="LJ8" s="394"/>
      <c r="LK8" s="394"/>
      <c r="LL8" s="394"/>
      <c r="LM8" s="394"/>
      <c r="LN8" s="394"/>
      <c r="LO8" s="394"/>
      <c r="LP8" s="394"/>
      <c r="LQ8" s="394"/>
      <c r="LR8" s="394"/>
      <c r="LS8" s="394"/>
      <c r="LT8" s="394"/>
      <c r="LU8" s="394"/>
      <c r="LV8" s="394"/>
      <c r="LW8" s="394"/>
      <c r="LX8" s="394"/>
      <c r="LY8" s="394"/>
      <c r="LZ8" s="394"/>
      <c r="MA8" s="394"/>
      <c r="MB8" s="394"/>
      <c r="MC8" s="394"/>
      <c r="MD8" s="394"/>
      <c r="ME8" s="394"/>
      <c r="MF8" s="394"/>
      <c r="MG8" s="394"/>
      <c r="MH8" s="394"/>
      <c r="MI8" s="394"/>
      <c r="MJ8" s="394"/>
      <c r="MK8" s="394"/>
      <c r="ML8" s="394"/>
      <c r="MM8" s="394"/>
      <c r="MN8" s="394"/>
      <c r="MO8" s="394"/>
      <c r="MP8" s="394"/>
      <c r="MQ8" s="394"/>
      <c r="MR8" s="394"/>
      <c r="MS8" s="394"/>
      <c r="MT8" s="394"/>
      <c r="MU8" s="394"/>
      <c r="MV8" s="394"/>
      <c r="MW8" s="394"/>
      <c r="MX8" s="394"/>
      <c r="MY8" s="394"/>
      <c r="MZ8" s="394"/>
      <c r="NA8" s="394"/>
      <c r="NB8" s="394"/>
      <c r="NC8" s="394"/>
      <c r="ND8" s="394"/>
      <c r="NE8" s="394"/>
      <c r="NF8" s="394"/>
      <c r="NG8" s="394"/>
      <c r="NH8" s="394"/>
      <c r="NI8" s="394"/>
      <c r="NJ8" s="394"/>
      <c r="NK8" s="394"/>
      <c r="NL8" s="394"/>
      <c r="NM8" s="394"/>
      <c r="NN8" s="394"/>
      <c r="NO8" s="394"/>
      <c r="NP8" s="394"/>
      <c r="NQ8" s="394"/>
      <c r="NR8" s="394"/>
      <c r="NS8" s="394"/>
      <c r="NT8" s="394"/>
      <c r="NU8" s="394"/>
      <c r="NV8" s="394"/>
      <c r="NW8" s="394"/>
      <c r="NX8" s="394"/>
      <c r="NY8" s="394"/>
      <c r="NZ8" s="394"/>
      <c r="OA8" s="394"/>
      <c r="OB8" s="394"/>
      <c r="OC8" s="394"/>
      <c r="OD8" s="394"/>
      <c r="OE8" s="394"/>
      <c r="OF8" s="394"/>
      <c r="OG8" s="394"/>
      <c r="OH8" s="394"/>
      <c r="OI8" s="394"/>
      <c r="OJ8" s="394"/>
      <c r="OK8" s="394"/>
      <c r="OL8" s="394"/>
      <c r="OM8" s="394"/>
      <c r="ON8" s="394"/>
      <c r="OO8" s="394"/>
      <c r="OP8" s="394"/>
      <c r="OQ8" s="394"/>
      <c r="OR8" s="394"/>
      <c r="OS8" s="394"/>
      <c r="OT8" s="394"/>
      <c r="OU8" s="394"/>
      <c r="OV8" s="394"/>
      <c r="OW8" s="394"/>
      <c r="OX8" s="394"/>
      <c r="OY8" s="394"/>
      <c r="OZ8" s="394"/>
      <c r="PA8" s="394"/>
      <c r="PB8" s="394"/>
      <c r="PC8" s="394"/>
      <c r="PD8" s="394"/>
      <c r="PE8" s="394"/>
      <c r="PF8" s="394"/>
      <c r="PG8" s="394"/>
      <c r="PH8" s="394"/>
      <c r="PI8" s="394"/>
      <c r="PJ8" s="394"/>
      <c r="PK8" s="394"/>
      <c r="PL8" s="394"/>
      <c r="PM8" s="394"/>
      <c r="PN8" s="394"/>
      <c r="PO8" s="394"/>
      <c r="PP8" s="394"/>
      <c r="PQ8" s="394"/>
      <c r="PR8" s="394"/>
      <c r="PS8" s="394"/>
      <c r="PT8" s="394"/>
      <c r="PU8" s="394"/>
      <c r="PV8" s="394"/>
      <c r="PW8" s="394"/>
      <c r="PX8" s="394"/>
      <c r="PY8" s="394"/>
      <c r="PZ8" s="394"/>
      <c r="QA8" s="394"/>
      <c r="QB8" s="394"/>
      <c r="QC8" s="394"/>
      <c r="QD8" s="394"/>
      <c r="QE8" s="394"/>
      <c r="QF8" s="394"/>
      <c r="QG8" s="394"/>
      <c r="QH8" s="394"/>
      <c r="QI8" s="394"/>
      <c r="QJ8" s="394"/>
      <c r="QK8" s="394"/>
      <c r="QL8" s="394"/>
      <c r="QM8" s="394"/>
      <c r="QN8" s="394"/>
      <c r="QO8" s="394"/>
      <c r="QP8" s="394"/>
      <c r="QQ8" s="394"/>
      <c r="QR8" s="394"/>
      <c r="QS8" s="394"/>
      <c r="QT8" s="394"/>
      <c r="QU8" s="394"/>
      <c r="QV8" s="394"/>
      <c r="QW8" s="394"/>
      <c r="QX8" s="394"/>
      <c r="QY8" s="394"/>
      <c r="QZ8" s="394"/>
      <c r="RA8" s="394"/>
      <c r="RB8" s="394"/>
      <c r="RC8" s="394"/>
      <c r="RD8" s="394"/>
      <c r="RE8" s="394"/>
      <c r="RF8" s="394"/>
      <c r="RG8" s="394"/>
      <c r="RH8" s="394"/>
      <c r="RI8" s="394"/>
      <c r="RJ8" s="394"/>
      <c r="RK8" s="394"/>
      <c r="RL8" s="394"/>
      <c r="RM8" s="394"/>
      <c r="RN8" s="394"/>
      <c r="RO8" s="394"/>
      <c r="RP8" s="394"/>
      <c r="RQ8" s="394"/>
      <c r="RR8" s="394"/>
      <c r="RS8" s="394"/>
      <c r="RT8" s="394"/>
      <c r="RU8" s="394"/>
      <c r="RV8" s="394"/>
      <c r="RW8" s="394"/>
      <c r="RX8" s="394"/>
      <c r="RY8" s="394"/>
      <c r="RZ8" s="394"/>
      <c r="SA8" s="394"/>
      <c r="SB8" s="394"/>
      <c r="SC8" s="394"/>
      <c r="SD8" s="394"/>
      <c r="SE8" s="394"/>
      <c r="SF8" s="394"/>
      <c r="SG8" s="394"/>
      <c r="SH8" s="394"/>
      <c r="SI8" s="394"/>
      <c r="SJ8" s="394"/>
      <c r="SK8" s="394"/>
      <c r="SL8" s="394"/>
      <c r="SM8" s="394"/>
      <c r="SN8" s="394"/>
      <c r="SO8" s="394"/>
      <c r="SP8" s="394"/>
      <c r="SQ8" s="394"/>
      <c r="SR8" s="394"/>
      <c r="SS8" s="394"/>
      <c r="ST8" s="394"/>
      <c r="SU8" s="394"/>
      <c r="SV8" s="394"/>
      <c r="SW8" s="394"/>
      <c r="SX8" s="394"/>
      <c r="SY8" s="394"/>
      <c r="SZ8" s="394"/>
      <c r="TA8" s="394"/>
      <c r="TB8" s="394"/>
      <c r="TC8" s="394"/>
      <c r="TD8" s="394"/>
      <c r="TE8" s="394"/>
      <c r="TF8" s="394"/>
      <c r="TG8" s="394"/>
      <c r="TH8" s="394"/>
      <c r="TI8" s="394"/>
      <c r="TJ8" s="394"/>
      <c r="TK8" s="394"/>
      <c r="TL8" s="394"/>
      <c r="TM8" s="394"/>
      <c r="TN8" s="394"/>
      <c r="TO8" s="394"/>
      <c r="TP8" s="394"/>
      <c r="TQ8" s="394"/>
      <c r="TR8" s="394"/>
      <c r="TS8" s="394"/>
      <c r="TT8" s="394"/>
      <c r="TU8" s="394"/>
      <c r="TV8" s="394"/>
      <c r="TW8" s="394"/>
      <c r="TX8" s="394"/>
      <c r="TY8" s="394"/>
      <c r="TZ8" s="394"/>
      <c r="UA8" s="394"/>
      <c r="UB8" s="394"/>
      <c r="UC8" s="394"/>
      <c r="UD8" s="394"/>
      <c r="UE8" s="394"/>
      <c r="UF8" s="394"/>
      <c r="UG8" s="394"/>
      <c r="UH8" s="394"/>
      <c r="UI8" s="394"/>
      <c r="UJ8" s="394"/>
      <c r="UK8" s="394"/>
      <c r="UL8" s="394"/>
      <c r="UM8" s="394"/>
      <c r="UN8" s="394"/>
      <c r="UO8" s="394"/>
      <c r="UP8" s="394"/>
      <c r="UQ8" s="394"/>
      <c r="UR8" s="394"/>
      <c r="US8" s="394"/>
      <c r="UT8" s="394"/>
      <c r="UU8" s="394"/>
      <c r="UV8" s="394"/>
      <c r="UW8" s="394"/>
      <c r="UX8" s="394"/>
      <c r="UY8" s="394"/>
      <c r="UZ8" s="394"/>
      <c r="VA8" s="394"/>
      <c r="VB8" s="394"/>
      <c r="VC8" s="394"/>
      <c r="VD8" s="394"/>
      <c r="VE8" s="394"/>
      <c r="VF8" s="394"/>
      <c r="VG8" s="394"/>
      <c r="VH8" s="394"/>
      <c r="VI8" s="394"/>
      <c r="VJ8" s="394"/>
      <c r="VK8" s="394"/>
      <c r="VL8" s="394"/>
      <c r="VM8" s="394"/>
      <c r="VN8" s="394"/>
      <c r="VO8" s="394"/>
      <c r="VP8" s="394"/>
      <c r="VQ8" s="394"/>
      <c r="VR8" s="394"/>
      <c r="VS8" s="394"/>
      <c r="VT8" s="394"/>
      <c r="VU8" s="394"/>
      <c r="VV8" s="394"/>
      <c r="VW8" s="394"/>
      <c r="VX8" s="394"/>
      <c r="VY8" s="394"/>
      <c r="VZ8" s="394"/>
      <c r="WA8" s="394"/>
      <c r="WB8" s="394"/>
      <c r="WC8" s="394"/>
      <c r="WD8" s="394"/>
      <c r="WE8" s="394"/>
      <c r="WF8" s="394"/>
      <c r="WG8" s="394"/>
      <c r="WH8" s="394"/>
      <c r="WI8" s="394"/>
      <c r="WJ8" s="394"/>
      <c r="WK8" s="394"/>
      <c r="WL8" s="394"/>
      <c r="WM8" s="394"/>
      <c r="WN8" s="394"/>
      <c r="WO8" s="394"/>
      <c r="WP8" s="394"/>
      <c r="WQ8" s="394"/>
      <c r="WR8" s="394"/>
      <c r="WS8" s="394"/>
      <c r="WT8" s="394"/>
      <c r="WU8" s="394"/>
      <c r="WV8" s="394"/>
      <c r="WW8" s="394"/>
      <c r="WX8" s="394"/>
      <c r="WY8" s="394"/>
      <c r="WZ8" s="394"/>
      <c r="XA8" s="394"/>
      <c r="XB8" s="394"/>
      <c r="XC8" s="394"/>
      <c r="XD8" s="394"/>
      <c r="XE8" s="394"/>
      <c r="XF8" s="394"/>
      <c r="XG8" s="394"/>
      <c r="XH8" s="394"/>
      <c r="XI8" s="394"/>
      <c r="XJ8" s="394"/>
      <c r="XK8" s="394"/>
      <c r="XL8" s="394"/>
      <c r="XM8" s="394"/>
      <c r="XN8" s="394"/>
      <c r="XO8" s="394"/>
      <c r="XP8" s="394"/>
      <c r="XQ8" s="394"/>
      <c r="XR8" s="394"/>
      <c r="XS8" s="394"/>
      <c r="XT8" s="394"/>
      <c r="XU8" s="394"/>
      <c r="XV8" s="394"/>
      <c r="XW8" s="394"/>
      <c r="XX8" s="394"/>
      <c r="XY8" s="394"/>
      <c r="XZ8" s="394"/>
      <c r="YA8" s="394"/>
      <c r="YB8" s="394"/>
      <c r="YC8" s="394"/>
      <c r="YD8" s="394"/>
      <c r="YE8" s="394"/>
      <c r="YF8" s="394"/>
      <c r="YG8" s="394"/>
      <c r="YH8" s="394"/>
      <c r="YI8" s="394"/>
      <c r="YJ8" s="394"/>
      <c r="YK8" s="394"/>
      <c r="YL8" s="394"/>
      <c r="YM8" s="394"/>
      <c r="YN8" s="394"/>
      <c r="YO8" s="394"/>
      <c r="YP8" s="394"/>
      <c r="YQ8" s="394"/>
      <c r="YR8" s="394"/>
      <c r="YS8" s="394"/>
      <c r="YT8" s="394"/>
      <c r="YU8" s="394"/>
      <c r="YV8" s="394"/>
      <c r="YW8" s="394"/>
      <c r="YX8" s="394"/>
      <c r="YY8" s="394"/>
      <c r="YZ8" s="394"/>
      <c r="ZA8" s="394"/>
      <c r="ZB8" s="394"/>
      <c r="ZC8" s="394"/>
      <c r="ZD8" s="394"/>
      <c r="ZE8" s="394"/>
      <c r="ZF8" s="394"/>
      <c r="ZG8" s="394"/>
      <c r="ZH8" s="394"/>
      <c r="ZI8" s="394"/>
      <c r="ZJ8" s="394"/>
      <c r="ZK8" s="394"/>
      <c r="ZL8" s="394"/>
      <c r="ZM8" s="394"/>
      <c r="ZN8" s="394"/>
      <c r="ZO8" s="394"/>
      <c r="ZP8" s="394"/>
      <c r="ZQ8" s="394"/>
      <c r="ZR8" s="394"/>
      <c r="ZS8" s="394"/>
      <c r="ZT8" s="394"/>
      <c r="ZU8" s="394"/>
      <c r="ZV8" s="394"/>
      <c r="ZW8" s="394"/>
      <c r="ZX8" s="394"/>
      <c r="ZY8" s="394"/>
      <c r="ZZ8" s="394"/>
      <c r="AAA8" s="394"/>
      <c r="AAB8" s="394"/>
      <c r="AAC8" s="394"/>
      <c r="AAD8" s="394"/>
      <c r="AAE8" s="394"/>
      <c r="AAF8" s="394"/>
      <c r="AAG8" s="394"/>
      <c r="AAH8" s="394"/>
      <c r="AAI8" s="394"/>
      <c r="AAJ8" s="394"/>
      <c r="AAK8" s="394"/>
      <c r="AAL8" s="394"/>
      <c r="AAM8" s="394"/>
      <c r="AAN8" s="394"/>
      <c r="AAO8" s="394"/>
      <c r="AAP8" s="394"/>
      <c r="AAQ8" s="394"/>
      <c r="AAR8" s="394"/>
      <c r="AAS8" s="394"/>
      <c r="AAT8" s="394"/>
      <c r="AAU8" s="394"/>
      <c r="AAV8" s="394"/>
      <c r="AAW8" s="394"/>
      <c r="AAX8" s="394"/>
      <c r="AAY8" s="394"/>
      <c r="AAZ8" s="394"/>
      <c r="ABA8" s="394"/>
      <c r="ABB8" s="394"/>
      <c r="ABC8" s="394"/>
      <c r="ABD8" s="394"/>
      <c r="ABE8" s="394"/>
      <c r="ABF8" s="394"/>
      <c r="ABG8" s="394"/>
      <c r="ABH8" s="394"/>
      <c r="ABI8" s="394"/>
      <c r="ABJ8" s="394"/>
      <c r="ABK8" s="394"/>
      <c r="ABL8" s="394"/>
      <c r="ABM8" s="394"/>
      <c r="ABN8" s="394"/>
      <c r="ABO8" s="394"/>
      <c r="ABP8" s="394"/>
      <c r="ABQ8" s="394"/>
      <c r="ABR8" s="394"/>
      <c r="ABS8" s="394"/>
      <c r="ABT8" s="394"/>
      <c r="ABU8" s="394"/>
      <c r="ABV8" s="394"/>
      <c r="ABW8" s="394"/>
      <c r="ABX8" s="394"/>
      <c r="ABY8" s="394"/>
      <c r="ABZ8" s="394"/>
      <c r="ACA8" s="394"/>
      <c r="ACB8" s="394"/>
      <c r="ACC8" s="394"/>
      <c r="ACD8" s="394"/>
      <c r="ACE8" s="394"/>
      <c r="ACF8" s="394"/>
      <c r="ACG8" s="394"/>
      <c r="ACH8" s="394"/>
      <c r="ACI8" s="394"/>
      <c r="ACJ8" s="394"/>
      <c r="ACK8" s="394"/>
      <c r="ACL8" s="394"/>
      <c r="ACM8" s="394"/>
      <c r="ACN8" s="394"/>
      <c r="ACO8" s="394"/>
      <c r="ACP8" s="394"/>
      <c r="ACQ8" s="394"/>
      <c r="ACR8" s="394"/>
      <c r="ACS8" s="394"/>
      <c r="ACT8" s="394"/>
      <c r="ACU8" s="394"/>
      <c r="ACV8" s="394"/>
      <c r="ACW8" s="394"/>
      <c r="ACX8" s="394"/>
      <c r="ACY8" s="394"/>
      <c r="ACZ8" s="394"/>
      <c r="ADA8" s="394"/>
      <c r="ADB8" s="394"/>
      <c r="ADC8" s="394"/>
      <c r="ADD8" s="394"/>
      <c r="ADE8" s="394"/>
      <c r="ADF8" s="394"/>
      <c r="ADG8" s="394"/>
      <c r="ADH8" s="394"/>
      <c r="ADI8" s="394"/>
      <c r="ADJ8" s="394"/>
      <c r="ADK8" s="394"/>
      <c r="ADL8" s="394"/>
      <c r="ADM8" s="394"/>
      <c r="ADN8" s="394"/>
      <c r="ADO8" s="394"/>
      <c r="ADP8" s="394"/>
      <c r="ADQ8" s="394"/>
      <c r="ADR8" s="394"/>
      <c r="ADS8" s="394"/>
      <c r="ADT8" s="394"/>
      <c r="ADU8" s="394"/>
      <c r="ADV8" s="394"/>
      <c r="ADW8" s="394"/>
      <c r="ADX8" s="394"/>
      <c r="ADY8" s="394"/>
      <c r="ADZ8" s="394"/>
      <c r="AEA8" s="394"/>
      <c r="AEB8" s="394"/>
      <c r="AEC8" s="394"/>
      <c r="AED8" s="394"/>
      <c r="AEE8" s="394"/>
      <c r="AEF8" s="394"/>
      <c r="AEG8" s="394"/>
      <c r="AEH8" s="394"/>
      <c r="AEI8" s="394"/>
      <c r="AEJ8" s="394"/>
      <c r="AEK8" s="394"/>
      <c r="AEL8" s="394"/>
      <c r="AEM8" s="394"/>
      <c r="AEN8" s="394"/>
      <c r="AEO8" s="394"/>
      <c r="AEP8" s="394"/>
      <c r="AEQ8" s="394"/>
      <c r="AER8" s="394"/>
      <c r="AES8" s="394"/>
      <c r="AET8" s="394"/>
      <c r="AEU8" s="394"/>
      <c r="AEV8" s="394"/>
      <c r="AEW8" s="394"/>
      <c r="AEX8" s="394"/>
      <c r="AEY8" s="394"/>
      <c r="AEZ8" s="394"/>
      <c r="AFA8" s="394"/>
      <c r="AFB8" s="394"/>
      <c r="AFC8" s="394"/>
      <c r="AFD8" s="394"/>
      <c r="AFE8" s="394"/>
      <c r="AFF8" s="394"/>
      <c r="AFG8" s="394"/>
      <c r="AFH8" s="394"/>
      <c r="AFI8" s="394"/>
      <c r="AFJ8" s="394"/>
      <c r="AFK8" s="394"/>
      <c r="AFL8" s="394"/>
      <c r="AFM8" s="394"/>
      <c r="AFN8" s="394"/>
      <c r="AFO8" s="394"/>
      <c r="AFP8" s="394"/>
      <c r="AFQ8" s="394"/>
      <c r="AFR8" s="394"/>
      <c r="AFS8" s="394"/>
      <c r="AFT8" s="394"/>
      <c r="AFU8" s="394"/>
      <c r="AFV8" s="394"/>
      <c r="AFW8" s="394"/>
      <c r="AFX8" s="394"/>
      <c r="AFY8" s="394"/>
      <c r="AFZ8" s="394"/>
      <c r="AGA8" s="394"/>
      <c r="AGB8" s="394"/>
      <c r="AGC8" s="394"/>
      <c r="AGD8" s="394"/>
      <c r="AGE8" s="394"/>
      <c r="AGF8" s="394"/>
      <c r="AGG8" s="394"/>
      <c r="AGH8" s="394"/>
      <c r="AGI8" s="394"/>
      <c r="AGJ8" s="394"/>
      <c r="AGK8" s="394"/>
      <c r="AGL8" s="394"/>
      <c r="AGM8" s="394"/>
      <c r="AGN8" s="394"/>
      <c r="AGO8" s="394"/>
      <c r="AGP8" s="394"/>
      <c r="AGQ8" s="394"/>
      <c r="AGR8" s="394"/>
      <c r="AGS8" s="394"/>
      <c r="AGT8" s="394"/>
      <c r="AGU8" s="394"/>
      <c r="AGV8" s="394"/>
      <c r="AGW8" s="394"/>
      <c r="AGX8" s="394"/>
      <c r="AGY8" s="394"/>
      <c r="AGZ8" s="394"/>
      <c r="AHA8" s="394"/>
      <c r="AHB8" s="394"/>
      <c r="AHC8" s="394"/>
      <c r="AHD8" s="394"/>
      <c r="AHE8" s="394"/>
      <c r="AHF8" s="394"/>
      <c r="AHG8" s="394"/>
      <c r="AHH8" s="394"/>
      <c r="AHI8" s="394"/>
      <c r="AHJ8" s="394"/>
      <c r="AHK8" s="394"/>
      <c r="AHL8" s="394"/>
      <c r="AHM8" s="394"/>
      <c r="AHN8" s="394"/>
      <c r="AHO8" s="394"/>
      <c r="AHP8" s="394"/>
      <c r="AHQ8" s="394"/>
      <c r="AHR8" s="394"/>
      <c r="AHS8" s="394"/>
      <c r="AHT8" s="394"/>
      <c r="AHU8" s="394"/>
      <c r="AHV8" s="394"/>
      <c r="AHW8" s="394"/>
      <c r="AHX8" s="394"/>
      <c r="AHY8" s="394"/>
      <c r="AHZ8" s="394"/>
      <c r="AIA8" s="394"/>
      <c r="AIB8" s="394"/>
      <c r="AIC8" s="394"/>
      <c r="AID8" s="394"/>
      <c r="AIE8" s="394"/>
      <c r="AIF8" s="394"/>
      <c r="AIG8" s="394"/>
      <c r="AIH8" s="394"/>
      <c r="AII8" s="394"/>
      <c r="AIJ8" s="394"/>
      <c r="AIK8" s="394"/>
      <c r="AIL8" s="394"/>
      <c r="AIM8" s="394"/>
      <c r="AIN8" s="394"/>
      <c r="AIO8" s="394"/>
      <c r="AIP8" s="394"/>
      <c r="AIQ8" s="394"/>
      <c r="AIR8" s="394"/>
      <c r="AIS8" s="394"/>
      <c r="AIT8" s="394"/>
      <c r="AIU8" s="394"/>
      <c r="AIV8" s="394"/>
      <c r="AIW8" s="394"/>
      <c r="AIX8" s="394"/>
      <c r="AIY8" s="394"/>
      <c r="AIZ8" s="394"/>
      <c r="AJA8" s="394"/>
      <c r="AJB8" s="394"/>
      <c r="AJC8" s="394"/>
      <c r="AJD8" s="394"/>
      <c r="AJE8" s="394"/>
      <c r="AJF8" s="394"/>
      <c r="AJG8" s="394"/>
      <c r="AJH8" s="394"/>
      <c r="AJI8" s="394"/>
      <c r="AJJ8" s="394"/>
      <c r="AJK8" s="394"/>
      <c r="AJL8" s="394"/>
      <c r="AJM8" s="394"/>
      <c r="AJN8" s="394"/>
      <c r="AJO8" s="394"/>
      <c r="AJP8" s="394"/>
      <c r="AJQ8" s="394"/>
      <c r="AJR8" s="394"/>
      <c r="AJS8" s="394"/>
      <c r="AJT8" s="394"/>
      <c r="AJU8" s="394"/>
      <c r="AJV8" s="394"/>
      <c r="AJW8" s="394"/>
      <c r="AJX8" s="394"/>
      <c r="AJY8" s="394"/>
      <c r="AJZ8" s="394"/>
      <c r="AKA8" s="394"/>
      <c r="AKB8" s="394"/>
      <c r="AKC8" s="394"/>
      <c r="AKD8" s="394"/>
      <c r="AKE8" s="394"/>
      <c r="AKF8" s="394"/>
      <c r="AKG8" s="394"/>
      <c r="AKH8" s="394"/>
      <c r="AKI8" s="394"/>
      <c r="AKJ8" s="394"/>
      <c r="AKK8" s="394"/>
      <c r="AKL8" s="394"/>
      <c r="AKM8" s="394"/>
      <c r="AKN8" s="394"/>
      <c r="AKO8" s="394"/>
      <c r="AKP8" s="394"/>
      <c r="AKQ8" s="394"/>
      <c r="AKR8" s="394"/>
      <c r="AKS8" s="394"/>
      <c r="AKT8" s="394"/>
      <c r="AKU8" s="394"/>
      <c r="AKV8" s="394"/>
      <c r="AKW8" s="394"/>
      <c r="AKX8" s="394"/>
      <c r="AKY8" s="394"/>
      <c r="AKZ8" s="394"/>
      <c r="ALA8" s="394"/>
      <c r="ALB8" s="394"/>
      <c r="ALC8" s="394"/>
      <c r="ALD8" s="394"/>
      <c r="ALE8" s="394"/>
      <c r="ALF8" s="394"/>
      <c r="ALG8" s="394"/>
      <c r="ALH8" s="394"/>
      <c r="ALI8" s="394"/>
      <c r="ALJ8" s="394"/>
      <c r="ALK8" s="394"/>
      <c r="ALL8" s="394"/>
      <c r="ALM8" s="394"/>
      <c r="ALN8" s="394"/>
      <c r="ALO8" s="394"/>
      <c r="ALP8" s="394"/>
      <c r="ALQ8" s="394"/>
      <c r="ALR8" s="394"/>
      <c r="ALS8" s="394"/>
      <c r="ALT8" s="394"/>
      <c r="ALU8" s="394"/>
      <c r="ALV8" s="394"/>
      <c r="ALW8" s="394"/>
      <c r="ALX8" s="394"/>
      <c r="ALY8" s="394"/>
      <c r="ALZ8" s="394"/>
      <c r="AMA8" s="394"/>
      <c r="AMB8" s="394"/>
      <c r="AMC8" s="394"/>
      <c r="AMD8" s="394"/>
      <c r="AME8" s="394"/>
      <c r="AMF8" s="394"/>
      <c r="AMG8" s="394"/>
      <c r="AMH8" s="394"/>
      <c r="AMI8" s="394"/>
      <c r="AMJ8" s="394"/>
      <c r="AMK8" s="394"/>
      <c r="AML8" s="394"/>
      <c r="AMM8" s="394"/>
      <c r="AMN8" s="394"/>
      <c r="AMO8" s="394"/>
      <c r="AMP8" s="394"/>
      <c r="AMQ8" s="394"/>
      <c r="AMR8" s="394"/>
      <c r="AMS8" s="394"/>
      <c r="AMT8" s="394"/>
      <c r="AMU8" s="394"/>
      <c r="AMV8" s="394"/>
      <c r="AMW8" s="394"/>
      <c r="AMX8" s="394"/>
      <c r="AMY8" s="394"/>
      <c r="AMZ8" s="394"/>
      <c r="ANA8" s="394"/>
      <c r="ANB8" s="394"/>
      <c r="ANC8" s="394"/>
      <c r="AND8" s="394"/>
      <c r="ANE8" s="394"/>
      <c r="ANF8" s="394"/>
      <c r="ANG8" s="394"/>
      <c r="ANH8" s="394"/>
      <c r="ANI8" s="394"/>
      <c r="ANJ8" s="394"/>
      <c r="ANK8" s="394"/>
      <c r="ANL8" s="394"/>
      <c r="ANM8" s="394"/>
      <c r="ANN8" s="394"/>
      <c r="ANO8" s="394"/>
      <c r="ANP8" s="394"/>
      <c r="ANQ8" s="394"/>
      <c r="ANR8" s="394"/>
      <c r="ANS8" s="394"/>
      <c r="ANT8" s="394"/>
      <c r="ANU8" s="394"/>
      <c r="ANV8" s="394"/>
      <c r="ANW8" s="394"/>
      <c r="ANX8" s="394"/>
      <c r="ANY8" s="394"/>
      <c r="ANZ8" s="394"/>
      <c r="AOA8" s="394"/>
      <c r="AOB8" s="394"/>
      <c r="AOC8" s="394"/>
      <c r="AOD8" s="394"/>
      <c r="AOE8" s="394"/>
      <c r="AOF8" s="394"/>
      <c r="AOG8" s="394"/>
      <c r="AOH8" s="394"/>
      <c r="AOI8" s="394"/>
      <c r="AOJ8" s="394"/>
      <c r="AOK8" s="394"/>
      <c r="AOL8" s="394"/>
      <c r="AOM8" s="394"/>
      <c r="AON8" s="394"/>
      <c r="AOO8" s="394"/>
      <c r="AOP8" s="394"/>
      <c r="AOQ8" s="394"/>
      <c r="AOR8" s="394"/>
      <c r="AOS8" s="394"/>
      <c r="AOT8" s="394"/>
      <c r="AOU8" s="394"/>
      <c r="AOV8" s="394"/>
      <c r="AOW8" s="394"/>
      <c r="AOX8" s="394"/>
      <c r="AOY8" s="394"/>
      <c r="AOZ8" s="394"/>
      <c r="APA8" s="394"/>
      <c r="APB8" s="394"/>
      <c r="APC8" s="394"/>
      <c r="APD8" s="394"/>
      <c r="APE8" s="394"/>
      <c r="APF8" s="394"/>
      <c r="APG8" s="394"/>
      <c r="APH8" s="394"/>
      <c r="API8" s="394"/>
      <c r="APJ8" s="394"/>
      <c r="APK8" s="394"/>
      <c r="APL8" s="394"/>
      <c r="APM8" s="394"/>
      <c r="APN8" s="394"/>
      <c r="APO8" s="394"/>
      <c r="APP8" s="394"/>
      <c r="APQ8" s="394"/>
      <c r="APR8" s="394"/>
      <c r="APS8" s="394"/>
      <c r="APT8" s="394"/>
      <c r="APU8" s="394"/>
      <c r="APV8" s="394"/>
      <c r="APW8" s="394"/>
      <c r="APX8" s="394"/>
      <c r="APY8" s="394"/>
      <c r="APZ8" s="394"/>
      <c r="AQA8" s="394"/>
      <c r="AQB8" s="394"/>
      <c r="AQC8" s="394"/>
      <c r="AQD8" s="394"/>
      <c r="AQE8" s="394"/>
      <c r="AQF8" s="394"/>
      <c r="AQG8" s="394"/>
      <c r="AQH8" s="394"/>
      <c r="AQI8" s="394"/>
      <c r="AQJ8" s="394"/>
      <c r="AQK8" s="394"/>
      <c r="AQL8" s="394"/>
      <c r="AQM8" s="394"/>
      <c r="AQN8" s="394"/>
      <c r="AQO8" s="394"/>
      <c r="AQP8" s="394"/>
      <c r="AQQ8" s="394"/>
      <c r="AQR8" s="394"/>
      <c r="AQS8" s="394"/>
      <c r="AQT8" s="394"/>
      <c r="AQU8" s="394"/>
      <c r="AQV8" s="394"/>
      <c r="AQW8" s="394"/>
      <c r="AQX8" s="394"/>
      <c r="AQY8" s="394"/>
      <c r="AQZ8" s="394"/>
      <c r="ARA8" s="394"/>
      <c r="ARB8" s="394"/>
      <c r="ARC8" s="394"/>
      <c r="ARD8" s="394"/>
      <c r="ARE8" s="394"/>
      <c r="ARF8" s="394"/>
      <c r="ARG8" s="394"/>
      <c r="ARH8" s="394"/>
      <c r="ARI8" s="394"/>
      <c r="ARJ8" s="394"/>
      <c r="ARK8" s="394"/>
      <c r="ARL8" s="394"/>
      <c r="ARM8" s="394"/>
      <c r="ARN8" s="394"/>
      <c r="ARO8" s="394"/>
      <c r="ARP8" s="394"/>
      <c r="ARQ8" s="394"/>
      <c r="ARR8" s="394"/>
      <c r="ARS8" s="394"/>
      <c r="ART8" s="394"/>
      <c r="ARU8" s="394"/>
      <c r="ARV8" s="394"/>
      <c r="ARW8" s="394"/>
      <c r="ARX8" s="394"/>
      <c r="ARY8" s="394"/>
      <c r="ARZ8" s="394"/>
      <c r="ASA8" s="394"/>
      <c r="ASB8" s="394"/>
      <c r="ASC8" s="394"/>
      <c r="ASD8" s="394"/>
      <c r="ASE8" s="394"/>
      <c r="ASF8" s="394"/>
      <c r="ASG8" s="394"/>
      <c r="ASH8" s="394"/>
      <c r="ASI8" s="394"/>
      <c r="ASJ8" s="394"/>
      <c r="ASK8" s="394"/>
      <c r="ASL8" s="394"/>
      <c r="ASM8" s="394"/>
      <c r="ASN8" s="394"/>
      <c r="ASO8" s="394"/>
      <c r="ASP8" s="394"/>
      <c r="ASQ8" s="394"/>
      <c r="ASR8" s="394"/>
      <c r="ASS8" s="394"/>
      <c r="AST8" s="394"/>
      <c r="ASU8" s="394"/>
      <c r="ASV8" s="394"/>
      <c r="ASW8" s="394"/>
      <c r="ASX8" s="394"/>
      <c r="ASY8" s="394"/>
      <c r="ASZ8" s="394"/>
      <c r="ATA8" s="394"/>
      <c r="ATB8" s="394"/>
      <c r="ATC8" s="394"/>
      <c r="ATD8" s="394"/>
      <c r="ATE8" s="394"/>
      <c r="ATF8" s="394"/>
      <c r="ATG8" s="394"/>
      <c r="ATH8" s="394"/>
      <c r="ATI8" s="394"/>
      <c r="ATJ8" s="394"/>
      <c r="ATK8" s="394"/>
      <c r="ATL8" s="394"/>
      <c r="ATM8" s="394"/>
      <c r="ATN8" s="394"/>
      <c r="ATO8" s="394"/>
      <c r="ATP8" s="394"/>
      <c r="ATQ8" s="394"/>
      <c r="ATR8" s="394"/>
      <c r="ATS8" s="394"/>
      <c r="ATT8" s="394"/>
      <c r="ATU8" s="394"/>
      <c r="ATV8" s="394"/>
      <c r="ATW8" s="394"/>
      <c r="ATX8" s="394"/>
      <c r="ATY8" s="394"/>
      <c r="ATZ8" s="394"/>
      <c r="AUA8" s="394"/>
      <c r="AUB8" s="394"/>
      <c r="AUC8" s="394"/>
      <c r="AUD8" s="394"/>
      <c r="AUE8" s="394"/>
      <c r="AUF8" s="394"/>
      <c r="AUG8" s="394"/>
      <c r="AUH8" s="394"/>
      <c r="AUI8" s="394"/>
      <c r="AUJ8" s="394"/>
      <c r="AUK8" s="394"/>
      <c r="AUL8" s="394"/>
      <c r="AUM8" s="394"/>
      <c r="AUN8" s="394"/>
      <c r="AUO8" s="394"/>
      <c r="AUP8" s="394"/>
      <c r="AUQ8" s="394"/>
      <c r="AUR8" s="394"/>
      <c r="AUS8" s="394"/>
      <c r="AUT8" s="394"/>
      <c r="AUU8" s="394"/>
      <c r="AUV8" s="394"/>
      <c r="AUW8" s="394"/>
      <c r="AUX8" s="394"/>
      <c r="AUY8" s="394"/>
      <c r="AUZ8" s="394"/>
      <c r="AVA8" s="394"/>
      <c r="AVB8" s="394"/>
      <c r="AVC8" s="394"/>
      <c r="AVD8" s="394"/>
      <c r="AVE8" s="394"/>
      <c r="AVF8" s="394"/>
      <c r="AVG8" s="394"/>
      <c r="AVH8" s="394"/>
      <c r="AVI8" s="394"/>
      <c r="AVJ8" s="394"/>
      <c r="AVK8" s="394"/>
      <c r="AVL8" s="394"/>
      <c r="AVM8" s="394"/>
      <c r="AVN8" s="394"/>
      <c r="AVO8" s="394"/>
      <c r="AVP8" s="394"/>
      <c r="AVQ8" s="394"/>
      <c r="AVR8" s="394"/>
      <c r="AVS8" s="394"/>
      <c r="AVT8" s="394"/>
      <c r="AVU8" s="394"/>
      <c r="AVV8" s="394"/>
      <c r="AVW8" s="394"/>
      <c r="AVX8" s="394"/>
      <c r="AVY8" s="394"/>
      <c r="AVZ8" s="394"/>
      <c r="AWA8" s="394"/>
      <c r="AWB8" s="394"/>
      <c r="AWC8" s="394"/>
      <c r="AWD8" s="394"/>
      <c r="AWE8" s="394"/>
      <c r="AWF8" s="394"/>
      <c r="AWG8" s="394"/>
      <c r="AWH8" s="394"/>
      <c r="AWI8" s="394"/>
      <c r="AWJ8" s="394"/>
      <c r="AWK8" s="394"/>
      <c r="AWL8" s="394"/>
      <c r="AWM8" s="394"/>
      <c r="AWN8" s="394"/>
      <c r="AWO8" s="394"/>
      <c r="AWP8" s="394"/>
      <c r="AWQ8" s="394"/>
      <c r="AWR8" s="394"/>
      <c r="AWS8" s="394"/>
      <c r="AWT8" s="394"/>
      <c r="AWU8" s="394"/>
      <c r="AWV8" s="394"/>
      <c r="AWW8" s="394"/>
      <c r="AWX8" s="394"/>
      <c r="AWY8" s="394"/>
      <c r="AWZ8" s="394"/>
      <c r="AXA8" s="394"/>
      <c r="AXB8" s="394"/>
      <c r="AXC8" s="394"/>
      <c r="AXD8" s="394"/>
      <c r="AXE8" s="394"/>
      <c r="AXF8" s="394"/>
      <c r="AXG8" s="394"/>
      <c r="AXH8" s="394"/>
      <c r="AXI8" s="394"/>
      <c r="AXJ8" s="394"/>
      <c r="AXK8" s="394"/>
      <c r="AXL8" s="394"/>
      <c r="AXM8" s="394"/>
      <c r="AXN8" s="394"/>
      <c r="AXO8" s="394"/>
      <c r="AXP8" s="394"/>
      <c r="AXQ8" s="394"/>
      <c r="AXR8" s="394"/>
      <c r="AXS8" s="394"/>
      <c r="AXT8" s="394"/>
      <c r="AXU8" s="394"/>
      <c r="AXV8" s="394"/>
      <c r="AXW8" s="394"/>
      <c r="AXX8" s="394"/>
      <c r="AXY8" s="394"/>
      <c r="AXZ8" s="394"/>
      <c r="AYA8" s="394"/>
      <c r="AYB8" s="394"/>
      <c r="AYC8" s="394"/>
      <c r="AYD8" s="394"/>
      <c r="AYE8" s="394"/>
      <c r="AYF8" s="394"/>
      <c r="AYG8" s="394"/>
      <c r="AYH8" s="394"/>
      <c r="AYI8" s="394"/>
      <c r="AYJ8" s="394"/>
      <c r="AYK8" s="394"/>
      <c r="AYL8" s="394"/>
      <c r="AYM8" s="394"/>
      <c r="AYN8" s="394"/>
      <c r="AYO8" s="394"/>
      <c r="AYP8" s="394"/>
      <c r="AYQ8" s="394"/>
      <c r="AYR8" s="394"/>
      <c r="AYS8" s="394"/>
      <c r="AYT8" s="394"/>
      <c r="AYU8" s="394"/>
      <c r="AYV8" s="394"/>
      <c r="AYW8" s="394"/>
      <c r="AYX8" s="394"/>
      <c r="AYY8" s="394"/>
      <c r="AYZ8" s="394"/>
      <c r="AZA8" s="394"/>
      <c r="AZB8" s="394"/>
      <c r="AZC8" s="394"/>
      <c r="AZD8" s="394"/>
      <c r="AZE8" s="394"/>
      <c r="AZF8" s="394"/>
      <c r="AZG8" s="394"/>
      <c r="AZH8" s="394"/>
      <c r="AZI8" s="394"/>
      <c r="AZJ8" s="394"/>
      <c r="AZK8" s="394"/>
      <c r="AZL8" s="394"/>
      <c r="AZM8" s="394"/>
      <c r="AZN8" s="394"/>
      <c r="AZO8" s="394"/>
      <c r="AZP8" s="394"/>
      <c r="AZQ8" s="394"/>
      <c r="AZR8" s="394"/>
      <c r="AZS8" s="394"/>
      <c r="AZT8" s="394"/>
      <c r="AZU8" s="394"/>
      <c r="AZV8" s="394"/>
      <c r="AZW8" s="394"/>
      <c r="AZX8" s="394"/>
      <c r="AZY8" s="394"/>
      <c r="AZZ8" s="394"/>
      <c r="BAA8" s="394"/>
      <c r="BAB8" s="394"/>
      <c r="BAC8" s="394"/>
      <c r="BAD8" s="394"/>
      <c r="BAE8" s="394"/>
      <c r="BAF8" s="394"/>
      <c r="BAG8" s="394"/>
      <c r="BAH8" s="394"/>
      <c r="BAI8" s="394"/>
      <c r="BAJ8" s="394"/>
      <c r="BAK8" s="394"/>
      <c r="BAL8" s="394"/>
      <c r="BAM8" s="394"/>
      <c r="BAN8" s="394"/>
      <c r="BAO8" s="394"/>
      <c r="BAP8" s="394"/>
      <c r="BAQ8" s="394"/>
      <c r="BAR8" s="394"/>
      <c r="BAS8" s="394"/>
      <c r="BAT8" s="394"/>
      <c r="BAU8" s="394"/>
      <c r="BAV8" s="394"/>
      <c r="BAW8" s="394"/>
      <c r="BAX8" s="394"/>
      <c r="BAY8" s="394"/>
      <c r="BAZ8" s="394"/>
      <c r="BBA8" s="394"/>
      <c r="BBB8" s="394"/>
      <c r="BBC8" s="394"/>
      <c r="BBD8" s="394"/>
      <c r="BBE8" s="394"/>
      <c r="BBF8" s="394"/>
      <c r="BBG8" s="394"/>
      <c r="BBH8" s="394"/>
      <c r="BBI8" s="394"/>
      <c r="BBJ8" s="394"/>
      <c r="BBK8" s="394"/>
      <c r="BBL8" s="394"/>
      <c r="BBM8" s="394"/>
      <c r="BBN8" s="394"/>
      <c r="BBO8" s="394"/>
      <c r="BBP8" s="394"/>
      <c r="BBQ8" s="394"/>
      <c r="BBR8" s="394"/>
      <c r="BBS8" s="394"/>
      <c r="BBT8" s="394"/>
      <c r="BBU8" s="394"/>
      <c r="BBV8" s="394"/>
      <c r="BBW8" s="394"/>
      <c r="BBX8" s="394"/>
      <c r="BBY8" s="394"/>
      <c r="BBZ8" s="394"/>
      <c r="BCA8" s="394"/>
      <c r="BCB8" s="394"/>
      <c r="BCC8" s="394"/>
      <c r="BCD8" s="394"/>
      <c r="BCE8" s="394"/>
      <c r="BCF8" s="394"/>
      <c r="BCG8" s="394"/>
      <c r="BCH8" s="394"/>
      <c r="BCI8" s="394"/>
      <c r="BCJ8" s="394"/>
      <c r="BCK8" s="394"/>
      <c r="BCL8" s="394"/>
      <c r="BCM8" s="394"/>
      <c r="BCN8" s="394"/>
      <c r="BCO8" s="394"/>
      <c r="BCP8" s="394"/>
      <c r="BCQ8" s="394"/>
      <c r="BCR8" s="394"/>
      <c r="BCS8" s="394"/>
      <c r="BCT8" s="394"/>
      <c r="BCU8" s="394"/>
      <c r="BCV8" s="394"/>
      <c r="BCW8" s="394"/>
      <c r="BCX8" s="394"/>
      <c r="BCY8" s="394"/>
      <c r="BCZ8" s="394"/>
      <c r="BDA8" s="394"/>
      <c r="BDB8" s="394"/>
      <c r="BDC8" s="394"/>
      <c r="BDD8" s="394"/>
      <c r="BDE8" s="394"/>
      <c r="BDF8" s="394"/>
      <c r="BDG8" s="394"/>
      <c r="BDH8" s="394"/>
      <c r="BDI8" s="394"/>
      <c r="BDJ8" s="394"/>
      <c r="BDK8" s="394"/>
      <c r="BDL8" s="394"/>
      <c r="BDM8" s="394"/>
      <c r="BDN8" s="394"/>
      <c r="BDO8" s="394"/>
      <c r="BDP8" s="394"/>
      <c r="BDQ8" s="394"/>
      <c r="BDR8" s="394"/>
      <c r="BDS8" s="394"/>
      <c r="BDT8" s="394"/>
      <c r="BDU8" s="394"/>
      <c r="BDV8" s="394"/>
      <c r="BDW8" s="394"/>
      <c r="BDX8" s="394"/>
      <c r="BDY8" s="394"/>
      <c r="BDZ8" s="394"/>
      <c r="BEA8" s="394"/>
      <c r="BEB8" s="394"/>
      <c r="BEC8" s="394"/>
      <c r="BED8" s="394"/>
      <c r="BEE8" s="394"/>
      <c r="BEF8" s="394"/>
      <c r="BEG8" s="394"/>
      <c r="BEH8" s="394"/>
      <c r="BEI8" s="394"/>
      <c r="BEJ8" s="394"/>
      <c r="BEK8" s="394"/>
      <c r="BEL8" s="394"/>
      <c r="BEM8" s="394"/>
      <c r="BEN8" s="394"/>
      <c r="BEO8" s="394"/>
      <c r="BEP8" s="394"/>
      <c r="BEQ8" s="394"/>
      <c r="BER8" s="394"/>
      <c r="BES8" s="394"/>
      <c r="BET8" s="394"/>
      <c r="BEU8" s="394"/>
      <c r="BEV8" s="394"/>
      <c r="BEW8" s="394"/>
      <c r="BEX8" s="394"/>
      <c r="BEY8" s="394"/>
      <c r="BEZ8" s="394"/>
      <c r="BFA8" s="394"/>
      <c r="BFB8" s="394"/>
      <c r="BFC8" s="394"/>
      <c r="BFD8" s="394"/>
      <c r="BFE8" s="394"/>
      <c r="BFF8" s="394"/>
      <c r="BFG8" s="394"/>
      <c r="BFH8" s="394"/>
      <c r="BFI8" s="394"/>
      <c r="BFJ8" s="394"/>
      <c r="BFK8" s="394"/>
      <c r="BFL8" s="394"/>
      <c r="BFM8" s="394"/>
      <c r="BFN8" s="394"/>
      <c r="BFO8" s="394"/>
      <c r="BFP8" s="394"/>
      <c r="BFQ8" s="394"/>
      <c r="BFR8" s="394"/>
      <c r="BFS8" s="394"/>
      <c r="BFT8" s="394"/>
      <c r="BFU8" s="394"/>
      <c r="BFV8" s="394"/>
      <c r="BFW8" s="394"/>
      <c r="BFX8" s="394"/>
      <c r="BFY8" s="394"/>
      <c r="BFZ8" s="394"/>
      <c r="BGA8" s="394"/>
      <c r="BGB8" s="394"/>
      <c r="BGC8" s="394"/>
      <c r="BGD8" s="394"/>
      <c r="BGE8" s="394"/>
      <c r="BGF8" s="394"/>
      <c r="BGG8" s="394"/>
      <c r="BGH8" s="394"/>
      <c r="BGI8" s="394"/>
      <c r="BGJ8" s="394"/>
      <c r="BGK8" s="394"/>
      <c r="BGL8" s="394"/>
      <c r="BGM8" s="394"/>
      <c r="BGN8" s="394"/>
      <c r="BGO8" s="394"/>
      <c r="BGP8" s="394"/>
      <c r="BGQ8" s="394"/>
      <c r="BGR8" s="394"/>
      <c r="BGS8" s="394"/>
      <c r="BGT8" s="394"/>
      <c r="BGU8" s="394"/>
      <c r="BGV8" s="394"/>
      <c r="BGW8" s="394"/>
      <c r="BGX8" s="394"/>
      <c r="BGY8" s="394"/>
      <c r="BGZ8" s="394"/>
      <c r="BHA8" s="394"/>
      <c r="BHB8" s="394"/>
      <c r="BHC8" s="394"/>
      <c r="BHD8" s="394"/>
      <c r="BHE8" s="394"/>
      <c r="BHF8" s="394"/>
      <c r="BHG8" s="394"/>
      <c r="BHH8" s="394"/>
      <c r="BHI8" s="394"/>
      <c r="BHJ8" s="394"/>
      <c r="BHK8" s="394"/>
      <c r="BHL8" s="394"/>
      <c r="BHM8" s="394"/>
      <c r="BHN8" s="394"/>
      <c r="BHO8" s="394"/>
      <c r="BHP8" s="394"/>
      <c r="BHQ8" s="394"/>
      <c r="BHR8" s="394"/>
      <c r="BHS8" s="394"/>
      <c r="BHT8" s="394"/>
      <c r="BHU8" s="394"/>
      <c r="BHV8" s="394"/>
      <c r="BHW8" s="394"/>
      <c r="BHX8" s="394"/>
      <c r="BHY8" s="394"/>
      <c r="BHZ8" s="394"/>
      <c r="BIA8" s="394"/>
      <c r="BIB8" s="394"/>
      <c r="BIC8" s="394"/>
      <c r="BID8" s="394"/>
      <c r="BIE8" s="394"/>
      <c r="BIF8" s="394"/>
      <c r="BIG8" s="394"/>
      <c r="BIH8" s="394"/>
      <c r="BII8" s="394"/>
      <c r="BIJ8" s="394"/>
      <c r="BIK8" s="394"/>
      <c r="BIL8" s="394"/>
      <c r="BIM8" s="394"/>
      <c r="BIN8" s="394"/>
      <c r="BIO8" s="394"/>
      <c r="BIP8" s="394"/>
      <c r="BIQ8" s="394"/>
      <c r="BIR8" s="394"/>
      <c r="BIS8" s="394"/>
      <c r="BIT8" s="394"/>
      <c r="BIU8" s="394"/>
      <c r="BIV8" s="394"/>
      <c r="BIW8" s="394"/>
      <c r="BIX8" s="394"/>
      <c r="BIY8" s="394"/>
      <c r="BIZ8" s="394"/>
      <c r="BJA8" s="394"/>
      <c r="BJB8" s="394"/>
      <c r="BJC8" s="394"/>
      <c r="BJD8" s="394"/>
      <c r="BJE8" s="394"/>
      <c r="BJF8" s="394"/>
      <c r="BJG8" s="394"/>
      <c r="BJH8" s="394"/>
      <c r="BJI8" s="394"/>
      <c r="BJJ8" s="394"/>
      <c r="BJK8" s="394"/>
      <c r="BJL8" s="394"/>
      <c r="BJM8" s="394"/>
      <c r="BJN8" s="394"/>
      <c r="BJO8" s="394"/>
      <c r="BJP8" s="394"/>
      <c r="BJQ8" s="394"/>
      <c r="BJR8" s="394"/>
      <c r="BJS8" s="394"/>
      <c r="BJT8" s="394"/>
      <c r="BJU8" s="394"/>
      <c r="BJV8" s="394"/>
      <c r="BJW8" s="394"/>
      <c r="BJX8" s="394"/>
      <c r="BJY8" s="394"/>
      <c r="BJZ8" s="394"/>
      <c r="BKA8" s="394"/>
      <c r="BKB8" s="394"/>
      <c r="BKC8" s="394"/>
      <c r="BKD8" s="394"/>
      <c r="BKE8" s="394"/>
      <c r="BKF8" s="394"/>
      <c r="BKG8" s="394"/>
      <c r="BKH8" s="394"/>
      <c r="BKI8" s="394"/>
      <c r="BKJ8" s="394"/>
      <c r="BKK8" s="394"/>
      <c r="BKL8" s="394"/>
      <c r="BKM8" s="394"/>
      <c r="BKN8" s="394"/>
      <c r="BKO8" s="394"/>
      <c r="BKP8" s="394"/>
      <c r="BKQ8" s="394"/>
      <c r="BKR8" s="394"/>
      <c r="BKS8" s="394"/>
      <c r="BKT8" s="394"/>
      <c r="BKU8" s="394"/>
      <c r="BKV8" s="394"/>
      <c r="BKW8" s="394"/>
      <c r="BKX8" s="394"/>
      <c r="BKY8" s="394"/>
      <c r="BKZ8" s="394"/>
      <c r="BLA8" s="394"/>
      <c r="BLB8" s="394"/>
      <c r="BLC8" s="394"/>
      <c r="BLD8" s="394"/>
      <c r="BLE8" s="394"/>
      <c r="BLF8" s="394"/>
      <c r="BLG8" s="394"/>
      <c r="BLH8" s="394"/>
      <c r="BLI8" s="394"/>
      <c r="BLJ8" s="394"/>
      <c r="BLK8" s="394"/>
      <c r="BLL8" s="394"/>
      <c r="BLM8" s="394"/>
      <c r="BLN8" s="394"/>
      <c r="BLO8" s="394"/>
      <c r="BLP8" s="394"/>
      <c r="BLQ8" s="394"/>
      <c r="BLR8" s="394"/>
      <c r="BLS8" s="394"/>
      <c r="BLT8" s="394"/>
      <c r="BLU8" s="394"/>
      <c r="BLV8" s="394"/>
      <c r="BLW8" s="394"/>
      <c r="BLX8" s="394"/>
      <c r="BLY8" s="394"/>
      <c r="BLZ8" s="394"/>
      <c r="BMA8" s="394"/>
      <c r="BMB8" s="394"/>
      <c r="BMC8" s="394"/>
      <c r="BMD8" s="394"/>
      <c r="BME8" s="394"/>
      <c r="BMF8" s="394"/>
      <c r="BMG8" s="394"/>
      <c r="BMH8" s="394"/>
      <c r="BMI8" s="394"/>
      <c r="BMJ8" s="394"/>
      <c r="BMK8" s="394"/>
      <c r="BML8" s="394"/>
      <c r="BMM8" s="394"/>
      <c r="BMN8" s="394"/>
      <c r="BMO8" s="394"/>
      <c r="BMP8" s="394"/>
      <c r="BMQ8" s="394"/>
      <c r="BMR8" s="394"/>
      <c r="BMS8" s="394"/>
      <c r="BMT8" s="394"/>
      <c r="BMU8" s="394"/>
      <c r="BMV8" s="394"/>
      <c r="BMW8" s="394"/>
      <c r="BMX8" s="394"/>
      <c r="BMY8" s="394"/>
      <c r="BMZ8" s="394"/>
      <c r="BNA8" s="394"/>
      <c r="BNB8" s="394"/>
      <c r="BNC8" s="394"/>
      <c r="BND8" s="394"/>
      <c r="BNE8" s="394"/>
      <c r="BNF8" s="394"/>
      <c r="BNG8" s="394"/>
      <c r="BNH8" s="394"/>
      <c r="BNI8" s="394"/>
      <c r="BNJ8" s="394"/>
      <c r="BNK8" s="394"/>
      <c r="BNL8" s="394"/>
      <c r="BNM8" s="394"/>
      <c r="BNN8" s="394"/>
      <c r="BNO8" s="394"/>
      <c r="BNP8" s="394"/>
      <c r="BNQ8" s="394"/>
      <c r="BNR8" s="394"/>
      <c r="BNS8" s="394"/>
      <c r="BNT8" s="394"/>
      <c r="BNU8" s="394"/>
      <c r="BNV8" s="394"/>
      <c r="BNW8" s="394"/>
      <c r="BNX8" s="394"/>
      <c r="BNY8" s="394"/>
      <c r="BNZ8" s="394"/>
      <c r="BOA8" s="394"/>
      <c r="BOB8" s="394"/>
      <c r="BOC8" s="394"/>
      <c r="BOD8" s="394"/>
      <c r="BOE8" s="394"/>
      <c r="BOF8" s="394"/>
      <c r="BOG8" s="394"/>
      <c r="BOH8" s="394"/>
      <c r="BOI8" s="394"/>
      <c r="BOJ8" s="394"/>
      <c r="BOK8" s="394"/>
      <c r="BOL8" s="394"/>
      <c r="BOM8" s="394"/>
      <c r="BON8" s="394"/>
      <c r="BOO8" s="394"/>
      <c r="BOP8" s="394"/>
      <c r="BOQ8" s="394"/>
      <c r="BOR8" s="394"/>
      <c r="BOS8" s="394"/>
      <c r="BOT8" s="394"/>
      <c r="BOU8" s="394"/>
      <c r="BOV8" s="394"/>
      <c r="BOW8" s="394"/>
      <c r="BOX8" s="394"/>
      <c r="BOY8" s="394"/>
      <c r="BOZ8" s="394"/>
      <c r="BPA8" s="394"/>
      <c r="BPB8" s="394"/>
      <c r="BPC8" s="394"/>
      <c r="BPD8" s="394"/>
      <c r="BPE8" s="394"/>
      <c r="BPF8" s="394"/>
      <c r="BPG8" s="394"/>
      <c r="BPH8" s="394"/>
      <c r="BPI8" s="394"/>
      <c r="BPJ8" s="394"/>
      <c r="BPK8" s="394"/>
      <c r="BPL8" s="394"/>
      <c r="BPM8" s="394"/>
      <c r="BPN8" s="394"/>
      <c r="BPO8" s="394"/>
      <c r="BPP8" s="394"/>
      <c r="BPQ8" s="394"/>
      <c r="BPR8" s="394"/>
      <c r="BPS8" s="394"/>
      <c r="BPT8" s="394"/>
      <c r="BPU8" s="394"/>
      <c r="BPV8" s="394"/>
      <c r="BPW8" s="394"/>
      <c r="BPX8" s="394"/>
      <c r="BPY8" s="394"/>
      <c r="BPZ8" s="394"/>
      <c r="BQA8" s="394"/>
      <c r="BQB8" s="394"/>
      <c r="BQC8" s="394"/>
      <c r="BQD8" s="394"/>
      <c r="BQE8" s="394"/>
      <c r="BQF8" s="394"/>
      <c r="BQG8" s="394"/>
      <c r="BQH8" s="394"/>
      <c r="BQI8" s="394"/>
      <c r="BQJ8" s="394"/>
      <c r="BQK8" s="394"/>
      <c r="BQL8" s="394"/>
      <c r="BQM8" s="394"/>
      <c r="BQN8" s="394"/>
      <c r="BQO8" s="394"/>
      <c r="BQP8" s="394"/>
      <c r="BQQ8" s="394"/>
      <c r="BQR8" s="394"/>
      <c r="BQS8" s="394"/>
      <c r="BQT8" s="394"/>
      <c r="BQU8" s="394"/>
      <c r="BQV8" s="394"/>
      <c r="BQW8" s="394"/>
      <c r="BQX8" s="394"/>
      <c r="BQY8" s="394"/>
      <c r="BQZ8" s="394"/>
      <c r="BRA8" s="394"/>
      <c r="BRB8" s="394"/>
      <c r="BRC8" s="394"/>
      <c r="BRD8" s="394"/>
      <c r="BRE8" s="394"/>
      <c r="BRF8" s="394"/>
      <c r="BRG8" s="394"/>
      <c r="BRH8" s="394"/>
      <c r="BRI8" s="394"/>
      <c r="BRJ8" s="394"/>
      <c r="BRK8" s="394"/>
      <c r="BRL8" s="394"/>
      <c r="BRM8" s="394"/>
      <c r="BRN8" s="394"/>
      <c r="BRO8" s="394"/>
      <c r="BRP8" s="394"/>
      <c r="BRQ8" s="394"/>
      <c r="BRR8" s="394"/>
      <c r="BRS8" s="394"/>
      <c r="BRT8" s="394"/>
      <c r="BRU8" s="394"/>
      <c r="BRV8" s="394"/>
      <c r="BRW8" s="394"/>
      <c r="BRX8" s="394"/>
      <c r="BRY8" s="394"/>
      <c r="BRZ8" s="394"/>
      <c r="BSA8" s="394"/>
      <c r="BSB8" s="394"/>
      <c r="BSC8" s="394"/>
      <c r="BSD8" s="394"/>
      <c r="BSE8" s="394"/>
      <c r="BSF8" s="394"/>
      <c r="BSG8" s="394"/>
      <c r="BSH8" s="394"/>
      <c r="BSI8" s="394"/>
      <c r="BSJ8" s="394"/>
      <c r="BSK8" s="394"/>
      <c r="BSL8" s="394"/>
      <c r="BSM8" s="394"/>
      <c r="BSN8" s="394"/>
      <c r="BSO8" s="394"/>
      <c r="BSP8" s="394"/>
      <c r="BSQ8" s="394"/>
      <c r="BSR8" s="394"/>
      <c r="BSS8" s="394"/>
      <c r="BST8" s="394"/>
      <c r="BSU8" s="394"/>
      <c r="BSV8" s="394"/>
      <c r="BSW8" s="394"/>
      <c r="BSX8" s="394"/>
      <c r="BSY8" s="394"/>
      <c r="BSZ8" s="394"/>
      <c r="BTA8" s="394"/>
      <c r="BTB8" s="394"/>
      <c r="BTC8" s="394"/>
      <c r="BTD8" s="394"/>
      <c r="BTE8" s="394"/>
      <c r="BTF8" s="394"/>
      <c r="BTG8" s="394"/>
      <c r="BTH8" s="394"/>
      <c r="BTI8" s="394"/>
    </row>
    <row r="9" spans="1:1881" ht="40.5" x14ac:dyDescent="0.25">
      <c r="A9" s="188">
        <v>385</v>
      </c>
      <c r="B9" s="64" t="s">
        <v>67</v>
      </c>
      <c r="C9" s="182" t="s">
        <v>136</v>
      </c>
      <c r="D9" s="174" t="s">
        <v>138</v>
      </c>
      <c r="E9" s="32" t="e">
        <f>HLOOKUP($D$2,'2019 Data(H)'!$C$1:$CP$300,144,FALSE)</f>
        <v>#N/A</v>
      </c>
      <c r="F9" s="624"/>
      <c r="G9" s="395">
        <f>IF((F7+F8)&gt;F9,"Error: Please review cells Account numbers (333+500)&gt;385",)</f>
        <v>0</v>
      </c>
      <c r="H9" s="13"/>
      <c r="I9" s="298"/>
      <c r="J9" s="365"/>
      <c r="L9" s="833" t="s">
        <v>1107</v>
      </c>
      <c r="M9" s="610"/>
      <c r="N9" s="635"/>
    </row>
    <row r="10" spans="1:1881" s="4" customFormat="1" ht="83.25" customHeight="1" x14ac:dyDescent="0.25">
      <c r="A10" s="188">
        <v>575</v>
      </c>
      <c r="B10" s="150" t="s">
        <v>77</v>
      </c>
      <c r="C10" s="182" t="s">
        <v>136</v>
      </c>
      <c r="D10" s="306" t="s">
        <v>771</v>
      </c>
      <c r="E10" s="32" t="e">
        <f>HLOOKUP($D$2,'2019 Data(H)'!$C$1:$CP$300,225,FALSE)</f>
        <v>#N/A</v>
      </c>
      <c r="F10" s="624"/>
      <c r="G10" s="395">
        <f>IF(F10&lt;0,"Note: Number is normally positive.",)</f>
        <v>0</v>
      </c>
      <c r="H10" s="192"/>
      <c r="I10" s="299"/>
      <c r="J10" s="394"/>
      <c r="K10" s="394"/>
      <c r="L10" s="833" t="s">
        <v>1108</v>
      </c>
      <c r="M10" s="610"/>
      <c r="N10" s="635"/>
      <c r="O10" s="394"/>
      <c r="P10" s="394"/>
      <c r="Q10" s="394"/>
      <c r="R10" s="394"/>
      <c r="S10" s="394"/>
      <c r="T10" s="394"/>
      <c r="U10" s="394"/>
      <c r="V10" s="394"/>
      <c r="W10" s="394"/>
      <c r="X10" s="394"/>
      <c r="Y10" s="394"/>
      <c r="Z10" s="394"/>
      <c r="AA10" s="394"/>
      <c r="AB10" s="394"/>
      <c r="AC10" s="394"/>
      <c r="AD10" s="394"/>
      <c r="AE10" s="394"/>
      <c r="AF10" s="394"/>
      <c r="AG10" s="394"/>
      <c r="AH10" s="394"/>
      <c r="AI10" s="394"/>
      <c r="AJ10" s="394"/>
      <c r="AK10" s="394"/>
      <c r="AL10" s="394"/>
      <c r="AM10" s="394"/>
      <c r="AN10" s="394"/>
      <c r="AO10" s="394"/>
      <c r="AP10" s="394"/>
      <c r="AQ10" s="394"/>
      <c r="AR10" s="394"/>
      <c r="AS10" s="394"/>
      <c r="AT10" s="394"/>
      <c r="AU10" s="394"/>
      <c r="AV10" s="394"/>
      <c r="AW10" s="394"/>
      <c r="AX10" s="394"/>
      <c r="AY10" s="394"/>
      <c r="AZ10" s="394"/>
      <c r="BA10" s="394"/>
      <c r="BB10" s="394"/>
      <c r="BC10" s="394"/>
      <c r="BD10" s="394"/>
      <c r="BE10" s="394"/>
      <c r="BF10" s="394"/>
      <c r="BG10" s="394"/>
      <c r="BH10" s="394"/>
      <c r="BI10" s="394"/>
      <c r="BJ10" s="394"/>
      <c r="BK10" s="394"/>
      <c r="BL10" s="394"/>
      <c r="BM10" s="394"/>
      <c r="BN10" s="394"/>
      <c r="BO10" s="394"/>
      <c r="BP10" s="394"/>
      <c r="BQ10" s="394"/>
      <c r="BR10" s="394"/>
      <c r="BS10" s="394"/>
      <c r="BT10" s="394"/>
      <c r="BU10" s="394"/>
      <c r="BV10" s="394"/>
      <c r="BW10" s="394"/>
      <c r="BX10" s="394"/>
      <c r="BY10" s="394"/>
      <c r="BZ10" s="394"/>
      <c r="CA10" s="394"/>
      <c r="CB10" s="394"/>
      <c r="CC10" s="394"/>
      <c r="CD10" s="394"/>
      <c r="CE10" s="394"/>
      <c r="CF10" s="394"/>
      <c r="CG10" s="394"/>
      <c r="CH10" s="394"/>
      <c r="CI10" s="394"/>
      <c r="CJ10" s="394"/>
      <c r="CK10" s="394"/>
      <c r="CL10" s="394"/>
      <c r="CM10" s="394"/>
      <c r="CN10" s="394"/>
      <c r="CO10" s="394"/>
      <c r="CP10" s="394"/>
      <c r="CQ10" s="394"/>
      <c r="CR10" s="394"/>
      <c r="CS10" s="394"/>
      <c r="CT10" s="394"/>
      <c r="CU10" s="394"/>
      <c r="CV10" s="394"/>
      <c r="CW10" s="394"/>
      <c r="CX10" s="394"/>
      <c r="CY10" s="394"/>
      <c r="CZ10" s="394"/>
      <c r="DA10" s="394"/>
      <c r="DB10" s="394"/>
      <c r="DC10" s="394"/>
      <c r="DD10" s="394"/>
      <c r="DE10" s="394"/>
      <c r="DF10" s="394"/>
      <c r="DG10" s="394"/>
      <c r="DH10" s="394"/>
      <c r="DI10" s="394"/>
      <c r="DJ10" s="394"/>
      <c r="DK10" s="394"/>
      <c r="DL10" s="394"/>
      <c r="DM10" s="394"/>
      <c r="DN10" s="394"/>
      <c r="DO10" s="394"/>
      <c r="DP10" s="394"/>
      <c r="DQ10" s="394"/>
      <c r="DR10" s="394"/>
      <c r="DS10" s="394"/>
      <c r="DT10" s="394"/>
      <c r="DU10" s="394"/>
      <c r="DV10" s="394"/>
      <c r="DW10" s="394"/>
      <c r="DX10" s="394"/>
      <c r="DY10" s="394"/>
      <c r="DZ10" s="394"/>
      <c r="EA10" s="394"/>
      <c r="EB10" s="394"/>
      <c r="EC10" s="394"/>
      <c r="ED10" s="394"/>
      <c r="EE10" s="394"/>
      <c r="EF10" s="394"/>
      <c r="EG10" s="394"/>
      <c r="EH10" s="394"/>
      <c r="EI10" s="394"/>
      <c r="EJ10" s="394"/>
      <c r="EK10" s="394"/>
      <c r="EL10" s="394"/>
      <c r="EM10" s="394"/>
      <c r="EN10" s="394"/>
      <c r="EO10" s="394"/>
      <c r="EP10" s="394"/>
      <c r="EQ10" s="394"/>
      <c r="ER10" s="394"/>
      <c r="ES10" s="394"/>
      <c r="ET10" s="394"/>
      <c r="EU10" s="394"/>
      <c r="EV10" s="394"/>
      <c r="EW10" s="394"/>
      <c r="EX10" s="394"/>
      <c r="EY10" s="394"/>
      <c r="EZ10" s="394"/>
      <c r="FA10" s="394"/>
      <c r="FB10" s="394"/>
      <c r="FC10" s="394"/>
      <c r="FD10" s="394"/>
      <c r="FE10" s="394"/>
      <c r="FF10" s="394"/>
      <c r="FG10" s="394"/>
      <c r="FH10" s="394"/>
      <c r="FI10" s="394"/>
      <c r="FJ10" s="394"/>
      <c r="FK10" s="394"/>
      <c r="FL10" s="394"/>
      <c r="FM10" s="394"/>
      <c r="FN10" s="394"/>
      <c r="FO10" s="394"/>
      <c r="FP10" s="394"/>
      <c r="FQ10" s="394"/>
      <c r="FR10" s="394"/>
      <c r="FS10" s="394"/>
      <c r="FT10" s="394"/>
      <c r="FU10" s="394"/>
      <c r="FV10" s="394"/>
      <c r="FW10" s="394"/>
      <c r="FX10" s="394"/>
      <c r="FY10" s="394"/>
      <c r="FZ10" s="394"/>
      <c r="GA10" s="394"/>
      <c r="GB10" s="394"/>
      <c r="GC10" s="394"/>
      <c r="GD10" s="394"/>
      <c r="GE10" s="394"/>
      <c r="GF10" s="394"/>
      <c r="GG10" s="394"/>
      <c r="GH10" s="394"/>
      <c r="GI10" s="394"/>
      <c r="GJ10" s="394"/>
      <c r="GK10" s="394"/>
      <c r="GL10" s="394"/>
      <c r="GM10" s="394"/>
      <c r="GN10" s="394"/>
      <c r="GO10" s="394"/>
      <c r="GP10" s="394"/>
      <c r="GQ10" s="394"/>
      <c r="GR10" s="394"/>
      <c r="GS10" s="394"/>
      <c r="GT10" s="394"/>
      <c r="GU10" s="394"/>
      <c r="GV10" s="394"/>
      <c r="GW10" s="394"/>
      <c r="GX10" s="394"/>
      <c r="GY10" s="394"/>
      <c r="GZ10" s="394"/>
      <c r="HA10" s="394"/>
      <c r="HB10" s="394"/>
      <c r="HC10" s="394"/>
      <c r="HD10" s="394"/>
      <c r="HE10" s="394"/>
      <c r="HF10" s="394"/>
      <c r="HG10" s="394"/>
      <c r="HH10" s="394"/>
      <c r="HI10" s="394"/>
      <c r="HJ10" s="394"/>
      <c r="HK10" s="394"/>
      <c r="HL10" s="394"/>
      <c r="HM10" s="394"/>
      <c r="HN10" s="394"/>
      <c r="HO10" s="394"/>
      <c r="HP10" s="394"/>
      <c r="HQ10" s="394"/>
      <c r="HR10" s="394"/>
      <c r="HS10" s="394"/>
      <c r="HT10" s="394"/>
      <c r="HU10" s="394"/>
      <c r="HV10" s="394"/>
      <c r="HW10" s="394"/>
      <c r="HX10" s="394"/>
      <c r="HY10" s="394"/>
      <c r="HZ10" s="394"/>
      <c r="IA10" s="394"/>
      <c r="IB10" s="394"/>
      <c r="IC10" s="394"/>
      <c r="ID10" s="394"/>
      <c r="IE10" s="394"/>
      <c r="IF10" s="394"/>
      <c r="IG10" s="394"/>
      <c r="IH10" s="394"/>
      <c r="II10" s="394"/>
      <c r="IJ10" s="394"/>
      <c r="IK10" s="394"/>
      <c r="IL10" s="394"/>
      <c r="IM10" s="394"/>
      <c r="IN10" s="394"/>
      <c r="IO10" s="394"/>
      <c r="IP10" s="394"/>
      <c r="IQ10" s="394"/>
      <c r="IR10" s="394"/>
      <c r="IS10" s="394"/>
      <c r="IT10" s="394"/>
      <c r="IU10" s="394"/>
      <c r="IV10" s="394"/>
      <c r="IW10" s="394"/>
      <c r="IX10" s="394"/>
      <c r="IY10" s="394"/>
      <c r="IZ10" s="394"/>
      <c r="JA10" s="394"/>
      <c r="JB10" s="394"/>
      <c r="JC10" s="394"/>
      <c r="JD10" s="394"/>
      <c r="JE10" s="394"/>
      <c r="JF10" s="394"/>
      <c r="JG10" s="394"/>
      <c r="JH10" s="394"/>
      <c r="JI10" s="394"/>
      <c r="JJ10" s="394"/>
      <c r="JK10" s="394"/>
      <c r="JL10" s="394"/>
      <c r="JM10" s="394"/>
      <c r="JN10" s="394"/>
      <c r="JO10" s="394"/>
      <c r="JP10" s="394"/>
      <c r="JQ10" s="394"/>
      <c r="JR10" s="394"/>
      <c r="JS10" s="394"/>
      <c r="JT10" s="394"/>
      <c r="JU10" s="394"/>
      <c r="JV10" s="394"/>
      <c r="JW10" s="394"/>
      <c r="JX10" s="394"/>
      <c r="JY10" s="394"/>
      <c r="JZ10" s="394"/>
      <c r="KA10" s="394"/>
      <c r="KB10" s="394"/>
      <c r="KC10" s="394"/>
      <c r="KD10" s="394"/>
      <c r="KE10" s="394"/>
      <c r="KF10" s="394"/>
      <c r="KG10" s="394"/>
      <c r="KH10" s="394"/>
      <c r="KI10" s="394"/>
      <c r="KJ10" s="394"/>
      <c r="KK10" s="394"/>
      <c r="KL10" s="394"/>
      <c r="KM10" s="394"/>
      <c r="KN10" s="394"/>
      <c r="KO10" s="394"/>
      <c r="KP10" s="394"/>
      <c r="KQ10" s="394"/>
      <c r="KR10" s="394"/>
      <c r="KS10" s="394"/>
      <c r="KT10" s="394"/>
      <c r="KU10" s="394"/>
      <c r="KV10" s="394"/>
      <c r="KW10" s="394"/>
      <c r="KX10" s="394"/>
      <c r="KY10" s="394"/>
      <c r="KZ10" s="394"/>
      <c r="LA10" s="394"/>
      <c r="LB10" s="394"/>
      <c r="LC10" s="394"/>
      <c r="LD10" s="394"/>
      <c r="LE10" s="394"/>
      <c r="LF10" s="394"/>
      <c r="LG10" s="394"/>
      <c r="LH10" s="394"/>
      <c r="LI10" s="394"/>
      <c r="LJ10" s="394"/>
      <c r="LK10" s="394"/>
      <c r="LL10" s="394"/>
      <c r="LM10" s="394"/>
      <c r="LN10" s="394"/>
      <c r="LO10" s="394"/>
      <c r="LP10" s="394"/>
      <c r="LQ10" s="394"/>
      <c r="LR10" s="394"/>
      <c r="LS10" s="394"/>
      <c r="LT10" s="394"/>
      <c r="LU10" s="394"/>
      <c r="LV10" s="394"/>
      <c r="LW10" s="394"/>
      <c r="LX10" s="394"/>
      <c r="LY10" s="394"/>
      <c r="LZ10" s="394"/>
      <c r="MA10" s="394"/>
      <c r="MB10" s="394"/>
      <c r="MC10" s="394"/>
      <c r="MD10" s="394"/>
      <c r="ME10" s="394"/>
      <c r="MF10" s="394"/>
      <c r="MG10" s="394"/>
      <c r="MH10" s="394"/>
      <c r="MI10" s="394"/>
      <c r="MJ10" s="394"/>
      <c r="MK10" s="394"/>
      <c r="ML10" s="394"/>
      <c r="MM10" s="394"/>
      <c r="MN10" s="394"/>
      <c r="MO10" s="394"/>
      <c r="MP10" s="394"/>
      <c r="MQ10" s="394"/>
      <c r="MR10" s="394"/>
      <c r="MS10" s="394"/>
      <c r="MT10" s="394"/>
      <c r="MU10" s="394"/>
      <c r="MV10" s="394"/>
      <c r="MW10" s="394"/>
      <c r="MX10" s="394"/>
      <c r="MY10" s="394"/>
      <c r="MZ10" s="394"/>
      <c r="NA10" s="394"/>
      <c r="NB10" s="394"/>
      <c r="NC10" s="394"/>
      <c r="ND10" s="394"/>
      <c r="NE10" s="394"/>
      <c r="NF10" s="394"/>
      <c r="NG10" s="394"/>
      <c r="NH10" s="394"/>
      <c r="NI10" s="394"/>
      <c r="NJ10" s="394"/>
      <c r="NK10" s="394"/>
      <c r="NL10" s="394"/>
      <c r="NM10" s="394"/>
      <c r="NN10" s="394"/>
      <c r="NO10" s="394"/>
      <c r="NP10" s="394"/>
      <c r="NQ10" s="394"/>
      <c r="NR10" s="394"/>
      <c r="NS10" s="394"/>
      <c r="NT10" s="394"/>
      <c r="NU10" s="394"/>
      <c r="NV10" s="394"/>
      <c r="NW10" s="394"/>
      <c r="NX10" s="394"/>
      <c r="NY10" s="394"/>
      <c r="NZ10" s="394"/>
      <c r="OA10" s="394"/>
      <c r="OB10" s="394"/>
      <c r="OC10" s="394"/>
      <c r="OD10" s="394"/>
      <c r="OE10" s="394"/>
      <c r="OF10" s="394"/>
      <c r="OG10" s="394"/>
      <c r="OH10" s="394"/>
      <c r="OI10" s="394"/>
      <c r="OJ10" s="394"/>
      <c r="OK10" s="394"/>
      <c r="OL10" s="394"/>
      <c r="OM10" s="394"/>
      <c r="ON10" s="394"/>
      <c r="OO10" s="394"/>
      <c r="OP10" s="394"/>
      <c r="OQ10" s="394"/>
      <c r="OR10" s="394"/>
      <c r="OS10" s="394"/>
      <c r="OT10" s="394"/>
      <c r="OU10" s="394"/>
      <c r="OV10" s="394"/>
      <c r="OW10" s="394"/>
      <c r="OX10" s="394"/>
      <c r="OY10" s="394"/>
      <c r="OZ10" s="394"/>
      <c r="PA10" s="394"/>
      <c r="PB10" s="394"/>
      <c r="PC10" s="394"/>
      <c r="PD10" s="394"/>
      <c r="PE10" s="394"/>
      <c r="PF10" s="394"/>
      <c r="PG10" s="394"/>
      <c r="PH10" s="394"/>
      <c r="PI10" s="394"/>
      <c r="PJ10" s="394"/>
      <c r="PK10" s="394"/>
      <c r="PL10" s="394"/>
      <c r="PM10" s="394"/>
      <c r="PN10" s="394"/>
      <c r="PO10" s="394"/>
      <c r="PP10" s="394"/>
      <c r="PQ10" s="394"/>
      <c r="PR10" s="394"/>
      <c r="PS10" s="394"/>
      <c r="PT10" s="394"/>
      <c r="PU10" s="394"/>
      <c r="PV10" s="394"/>
      <c r="PW10" s="394"/>
      <c r="PX10" s="394"/>
      <c r="PY10" s="394"/>
      <c r="PZ10" s="394"/>
      <c r="QA10" s="394"/>
      <c r="QB10" s="394"/>
      <c r="QC10" s="394"/>
      <c r="QD10" s="394"/>
      <c r="QE10" s="394"/>
      <c r="QF10" s="394"/>
      <c r="QG10" s="394"/>
      <c r="QH10" s="394"/>
      <c r="QI10" s="394"/>
      <c r="QJ10" s="394"/>
      <c r="QK10" s="394"/>
      <c r="QL10" s="394"/>
      <c r="QM10" s="394"/>
      <c r="QN10" s="394"/>
      <c r="QO10" s="394"/>
      <c r="QP10" s="394"/>
      <c r="QQ10" s="394"/>
      <c r="QR10" s="394"/>
      <c r="QS10" s="394"/>
      <c r="QT10" s="394"/>
      <c r="QU10" s="394"/>
      <c r="QV10" s="394"/>
      <c r="QW10" s="394"/>
      <c r="QX10" s="394"/>
      <c r="QY10" s="394"/>
      <c r="QZ10" s="394"/>
      <c r="RA10" s="394"/>
      <c r="RB10" s="394"/>
      <c r="RC10" s="394"/>
      <c r="RD10" s="394"/>
      <c r="RE10" s="394"/>
      <c r="RF10" s="394"/>
      <c r="RG10" s="394"/>
      <c r="RH10" s="394"/>
      <c r="RI10" s="394"/>
      <c r="RJ10" s="394"/>
      <c r="RK10" s="394"/>
      <c r="RL10" s="394"/>
      <c r="RM10" s="394"/>
      <c r="RN10" s="394"/>
      <c r="RO10" s="394"/>
      <c r="RP10" s="394"/>
      <c r="RQ10" s="394"/>
      <c r="RR10" s="394"/>
      <c r="RS10" s="394"/>
      <c r="RT10" s="394"/>
      <c r="RU10" s="394"/>
      <c r="RV10" s="394"/>
      <c r="RW10" s="394"/>
      <c r="RX10" s="394"/>
      <c r="RY10" s="394"/>
      <c r="RZ10" s="394"/>
      <c r="SA10" s="394"/>
      <c r="SB10" s="394"/>
      <c r="SC10" s="394"/>
      <c r="SD10" s="394"/>
      <c r="SE10" s="394"/>
      <c r="SF10" s="394"/>
      <c r="SG10" s="394"/>
      <c r="SH10" s="394"/>
      <c r="SI10" s="394"/>
      <c r="SJ10" s="394"/>
      <c r="SK10" s="394"/>
      <c r="SL10" s="394"/>
      <c r="SM10" s="394"/>
      <c r="SN10" s="394"/>
      <c r="SO10" s="394"/>
      <c r="SP10" s="394"/>
      <c r="SQ10" s="394"/>
      <c r="SR10" s="394"/>
      <c r="SS10" s="394"/>
      <c r="ST10" s="394"/>
      <c r="SU10" s="394"/>
      <c r="SV10" s="394"/>
      <c r="SW10" s="394"/>
      <c r="SX10" s="394"/>
      <c r="SY10" s="394"/>
      <c r="SZ10" s="394"/>
      <c r="TA10" s="394"/>
      <c r="TB10" s="394"/>
      <c r="TC10" s="394"/>
      <c r="TD10" s="394"/>
      <c r="TE10" s="394"/>
      <c r="TF10" s="394"/>
      <c r="TG10" s="394"/>
      <c r="TH10" s="394"/>
      <c r="TI10" s="394"/>
      <c r="TJ10" s="394"/>
      <c r="TK10" s="394"/>
      <c r="TL10" s="394"/>
      <c r="TM10" s="394"/>
      <c r="TN10" s="394"/>
      <c r="TO10" s="394"/>
      <c r="TP10" s="394"/>
      <c r="TQ10" s="394"/>
      <c r="TR10" s="394"/>
      <c r="TS10" s="394"/>
      <c r="TT10" s="394"/>
      <c r="TU10" s="394"/>
      <c r="TV10" s="394"/>
      <c r="TW10" s="394"/>
      <c r="TX10" s="394"/>
      <c r="TY10" s="394"/>
      <c r="TZ10" s="394"/>
      <c r="UA10" s="394"/>
      <c r="UB10" s="394"/>
      <c r="UC10" s="394"/>
      <c r="UD10" s="394"/>
      <c r="UE10" s="394"/>
      <c r="UF10" s="394"/>
      <c r="UG10" s="394"/>
      <c r="UH10" s="394"/>
      <c r="UI10" s="394"/>
      <c r="UJ10" s="394"/>
      <c r="UK10" s="394"/>
      <c r="UL10" s="394"/>
      <c r="UM10" s="394"/>
      <c r="UN10" s="394"/>
      <c r="UO10" s="394"/>
      <c r="UP10" s="394"/>
      <c r="UQ10" s="394"/>
      <c r="UR10" s="394"/>
      <c r="US10" s="394"/>
      <c r="UT10" s="394"/>
      <c r="UU10" s="394"/>
      <c r="UV10" s="394"/>
      <c r="UW10" s="394"/>
      <c r="UX10" s="394"/>
      <c r="UY10" s="394"/>
      <c r="UZ10" s="394"/>
      <c r="VA10" s="394"/>
      <c r="VB10" s="394"/>
      <c r="VC10" s="394"/>
      <c r="VD10" s="394"/>
      <c r="VE10" s="394"/>
      <c r="VF10" s="394"/>
      <c r="VG10" s="394"/>
      <c r="VH10" s="394"/>
      <c r="VI10" s="394"/>
      <c r="VJ10" s="394"/>
      <c r="VK10" s="394"/>
      <c r="VL10" s="394"/>
      <c r="VM10" s="394"/>
      <c r="VN10" s="394"/>
      <c r="VO10" s="394"/>
      <c r="VP10" s="394"/>
      <c r="VQ10" s="394"/>
      <c r="VR10" s="394"/>
      <c r="VS10" s="394"/>
      <c r="VT10" s="394"/>
      <c r="VU10" s="394"/>
      <c r="VV10" s="394"/>
      <c r="VW10" s="394"/>
      <c r="VX10" s="394"/>
      <c r="VY10" s="394"/>
      <c r="VZ10" s="394"/>
      <c r="WA10" s="394"/>
      <c r="WB10" s="394"/>
      <c r="WC10" s="394"/>
      <c r="WD10" s="394"/>
      <c r="WE10" s="394"/>
      <c r="WF10" s="394"/>
      <c r="WG10" s="394"/>
      <c r="WH10" s="394"/>
      <c r="WI10" s="394"/>
      <c r="WJ10" s="394"/>
      <c r="WK10" s="394"/>
      <c r="WL10" s="394"/>
      <c r="WM10" s="394"/>
      <c r="WN10" s="394"/>
      <c r="WO10" s="394"/>
      <c r="WP10" s="394"/>
      <c r="WQ10" s="394"/>
      <c r="WR10" s="394"/>
      <c r="WS10" s="394"/>
      <c r="WT10" s="394"/>
      <c r="WU10" s="394"/>
      <c r="WV10" s="394"/>
      <c r="WW10" s="394"/>
      <c r="WX10" s="394"/>
      <c r="WY10" s="394"/>
      <c r="WZ10" s="394"/>
      <c r="XA10" s="394"/>
      <c r="XB10" s="394"/>
      <c r="XC10" s="394"/>
      <c r="XD10" s="394"/>
      <c r="XE10" s="394"/>
      <c r="XF10" s="394"/>
      <c r="XG10" s="394"/>
      <c r="XH10" s="394"/>
      <c r="XI10" s="394"/>
      <c r="XJ10" s="394"/>
      <c r="XK10" s="394"/>
      <c r="XL10" s="394"/>
      <c r="XM10" s="394"/>
      <c r="XN10" s="394"/>
      <c r="XO10" s="394"/>
      <c r="XP10" s="394"/>
      <c r="XQ10" s="394"/>
      <c r="XR10" s="394"/>
      <c r="XS10" s="394"/>
      <c r="XT10" s="394"/>
      <c r="XU10" s="394"/>
      <c r="XV10" s="394"/>
      <c r="XW10" s="394"/>
      <c r="XX10" s="394"/>
      <c r="XY10" s="394"/>
      <c r="XZ10" s="394"/>
      <c r="YA10" s="394"/>
      <c r="YB10" s="394"/>
      <c r="YC10" s="394"/>
      <c r="YD10" s="394"/>
      <c r="YE10" s="394"/>
      <c r="YF10" s="394"/>
      <c r="YG10" s="394"/>
      <c r="YH10" s="394"/>
      <c r="YI10" s="394"/>
      <c r="YJ10" s="394"/>
      <c r="YK10" s="394"/>
      <c r="YL10" s="394"/>
      <c r="YM10" s="394"/>
      <c r="YN10" s="394"/>
      <c r="YO10" s="394"/>
      <c r="YP10" s="394"/>
      <c r="YQ10" s="394"/>
      <c r="YR10" s="394"/>
      <c r="YS10" s="394"/>
      <c r="YT10" s="394"/>
      <c r="YU10" s="394"/>
      <c r="YV10" s="394"/>
      <c r="YW10" s="394"/>
      <c r="YX10" s="394"/>
      <c r="YY10" s="394"/>
      <c r="YZ10" s="394"/>
      <c r="ZA10" s="394"/>
      <c r="ZB10" s="394"/>
      <c r="ZC10" s="394"/>
      <c r="ZD10" s="394"/>
      <c r="ZE10" s="394"/>
      <c r="ZF10" s="394"/>
      <c r="ZG10" s="394"/>
      <c r="ZH10" s="394"/>
      <c r="ZI10" s="394"/>
      <c r="ZJ10" s="394"/>
      <c r="ZK10" s="394"/>
      <c r="ZL10" s="394"/>
      <c r="ZM10" s="394"/>
      <c r="ZN10" s="394"/>
      <c r="ZO10" s="394"/>
      <c r="ZP10" s="394"/>
      <c r="ZQ10" s="394"/>
      <c r="ZR10" s="394"/>
      <c r="ZS10" s="394"/>
      <c r="ZT10" s="394"/>
      <c r="ZU10" s="394"/>
      <c r="ZV10" s="394"/>
      <c r="ZW10" s="394"/>
      <c r="ZX10" s="394"/>
      <c r="ZY10" s="394"/>
      <c r="ZZ10" s="394"/>
      <c r="AAA10" s="394"/>
      <c r="AAB10" s="394"/>
      <c r="AAC10" s="394"/>
      <c r="AAD10" s="394"/>
      <c r="AAE10" s="394"/>
      <c r="AAF10" s="394"/>
      <c r="AAG10" s="394"/>
      <c r="AAH10" s="394"/>
      <c r="AAI10" s="394"/>
      <c r="AAJ10" s="394"/>
      <c r="AAK10" s="394"/>
      <c r="AAL10" s="394"/>
      <c r="AAM10" s="394"/>
      <c r="AAN10" s="394"/>
      <c r="AAO10" s="394"/>
      <c r="AAP10" s="394"/>
      <c r="AAQ10" s="394"/>
      <c r="AAR10" s="394"/>
      <c r="AAS10" s="394"/>
      <c r="AAT10" s="394"/>
      <c r="AAU10" s="394"/>
      <c r="AAV10" s="394"/>
      <c r="AAW10" s="394"/>
      <c r="AAX10" s="394"/>
      <c r="AAY10" s="394"/>
      <c r="AAZ10" s="394"/>
      <c r="ABA10" s="394"/>
      <c r="ABB10" s="394"/>
      <c r="ABC10" s="394"/>
      <c r="ABD10" s="394"/>
      <c r="ABE10" s="394"/>
      <c r="ABF10" s="394"/>
      <c r="ABG10" s="394"/>
      <c r="ABH10" s="394"/>
      <c r="ABI10" s="394"/>
      <c r="ABJ10" s="394"/>
      <c r="ABK10" s="394"/>
      <c r="ABL10" s="394"/>
      <c r="ABM10" s="394"/>
      <c r="ABN10" s="394"/>
      <c r="ABO10" s="394"/>
      <c r="ABP10" s="394"/>
      <c r="ABQ10" s="394"/>
      <c r="ABR10" s="394"/>
      <c r="ABS10" s="394"/>
      <c r="ABT10" s="394"/>
      <c r="ABU10" s="394"/>
      <c r="ABV10" s="394"/>
      <c r="ABW10" s="394"/>
      <c r="ABX10" s="394"/>
      <c r="ABY10" s="394"/>
      <c r="ABZ10" s="394"/>
      <c r="ACA10" s="394"/>
      <c r="ACB10" s="394"/>
      <c r="ACC10" s="394"/>
      <c r="ACD10" s="394"/>
      <c r="ACE10" s="394"/>
      <c r="ACF10" s="394"/>
      <c r="ACG10" s="394"/>
      <c r="ACH10" s="394"/>
      <c r="ACI10" s="394"/>
      <c r="ACJ10" s="394"/>
      <c r="ACK10" s="394"/>
      <c r="ACL10" s="394"/>
      <c r="ACM10" s="394"/>
      <c r="ACN10" s="394"/>
      <c r="ACO10" s="394"/>
      <c r="ACP10" s="394"/>
      <c r="ACQ10" s="394"/>
      <c r="ACR10" s="394"/>
      <c r="ACS10" s="394"/>
      <c r="ACT10" s="394"/>
      <c r="ACU10" s="394"/>
      <c r="ACV10" s="394"/>
      <c r="ACW10" s="394"/>
      <c r="ACX10" s="394"/>
      <c r="ACY10" s="394"/>
      <c r="ACZ10" s="394"/>
      <c r="ADA10" s="394"/>
      <c r="ADB10" s="394"/>
      <c r="ADC10" s="394"/>
      <c r="ADD10" s="394"/>
      <c r="ADE10" s="394"/>
      <c r="ADF10" s="394"/>
      <c r="ADG10" s="394"/>
      <c r="ADH10" s="394"/>
      <c r="ADI10" s="394"/>
      <c r="ADJ10" s="394"/>
      <c r="ADK10" s="394"/>
      <c r="ADL10" s="394"/>
      <c r="ADM10" s="394"/>
      <c r="ADN10" s="394"/>
      <c r="ADO10" s="394"/>
      <c r="ADP10" s="394"/>
      <c r="ADQ10" s="394"/>
      <c r="ADR10" s="394"/>
      <c r="ADS10" s="394"/>
      <c r="ADT10" s="394"/>
      <c r="ADU10" s="394"/>
      <c r="ADV10" s="394"/>
      <c r="ADW10" s="394"/>
      <c r="ADX10" s="394"/>
      <c r="ADY10" s="394"/>
      <c r="ADZ10" s="394"/>
      <c r="AEA10" s="394"/>
      <c r="AEB10" s="394"/>
      <c r="AEC10" s="394"/>
      <c r="AED10" s="394"/>
      <c r="AEE10" s="394"/>
      <c r="AEF10" s="394"/>
      <c r="AEG10" s="394"/>
      <c r="AEH10" s="394"/>
      <c r="AEI10" s="394"/>
      <c r="AEJ10" s="394"/>
      <c r="AEK10" s="394"/>
      <c r="AEL10" s="394"/>
      <c r="AEM10" s="394"/>
      <c r="AEN10" s="394"/>
      <c r="AEO10" s="394"/>
      <c r="AEP10" s="394"/>
      <c r="AEQ10" s="394"/>
      <c r="AER10" s="394"/>
      <c r="AES10" s="394"/>
      <c r="AET10" s="394"/>
      <c r="AEU10" s="394"/>
      <c r="AEV10" s="394"/>
      <c r="AEW10" s="394"/>
      <c r="AEX10" s="394"/>
      <c r="AEY10" s="394"/>
      <c r="AEZ10" s="394"/>
      <c r="AFA10" s="394"/>
      <c r="AFB10" s="394"/>
      <c r="AFC10" s="394"/>
      <c r="AFD10" s="394"/>
      <c r="AFE10" s="394"/>
      <c r="AFF10" s="394"/>
      <c r="AFG10" s="394"/>
      <c r="AFH10" s="394"/>
      <c r="AFI10" s="394"/>
      <c r="AFJ10" s="394"/>
      <c r="AFK10" s="394"/>
      <c r="AFL10" s="394"/>
      <c r="AFM10" s="394"/>
      <c r="AFN10" s="394"/>
      <c r="AFO10" s="394"/>
      <c r="AFP10" s="394"/>
      <c r="AFQ10" s="394"/>
      <c r="AFR10" s="394"/>
      <c r="AFS10" s="394"/>
      <c r="AFT10" s="394"/>
      <c r="AFU10" s="394"/>
      <c r="AFV10" s="394"/>
      <c r="AFW10" s="394"/>
      <c r="AFX10" s="394"/>
      <c r="AFY10" s="394"/>
      <c r="AFZ10" s="394"/>
      <c r="AGA10" s="394"/>
      <c r="AGB10" s="394"/>
      <c r="AGC10" s="394"/>
      <c r="AGD10" s="394"/>
      <c r="AGE10" s="394"/>
      <c r="AGF10" s="394"/>
      <c r="AGG10" s="394"/>
      <c r="AGH10" s="394"/>
      <c r="AGI10" s="394"/>
      <c r="AGJ10" s="394"/>
      <c r="AGK10" s="394"/>
      <c r="AGL10" s="394"/>
      <c r="AGM10" s="394"/>
      <c r="AGN10" s="394"/>
      <c r="AGO10" s="394"/>
      <c r="AGP10" s="394"/>
      <c r="AGQ10" s="394"/>
      <c r="AGR10" s="394"/>
      <c r="AGS10" s="394"/>
      <c r="AGT10" s="394"/>
      <c r="AGU10" s="394"/>
      <c r="AGV10" s="394"/>
      <c r="AGW10" s="394"/>
      <c r="AGX10" s="394"/>
      <c r="AGY10" s="394"/>
      <c r="AGZ10" s="394"/>
      <c r="AHA10" s="394"/>
      <c r="AHB10" s="394"/>
      <c r="AHC10" s="394"/>
      <c r="AHD10" s="394"/>
      <c r="AHE10" s="394"/>
      <c r="AHF10" s="394"/>
      <c r="AHG10" s="394"/>
      <c r="AHH10" s="394"/>
      <c r="AHI10" s="394"/>
      <c r="AHJ10" s="394"/>
      <c r="AHK10" s="394"/>
      <c r="AHL10" s="394"/>
      <c r="AHM10" s="394"/>
      <c r="AHN10" s="394"/>
      <c r="AHO10" s="394"/>
      <c r="AHP10" s="394"/>
      <c r="AHQ10" s="394"/>
      <c r="AHR10" s="394"/>
      <c r="AHS10" s="394"/>
      <c r="AHT10" s="394"/>
      <c r="AHU10" s="394"/>
      <c r="AHV10" s="394"/>
      <c r="AHW10" s="394"/>
      <c r="AHX10" s="394"/>
      <c r="AHY10" s="394"/>
      <c r="AHZ10" s="394"/>
      <c r="AIA10" s="394"/>
      <c r="AIB10" s="394"/>
      <c r="AIC10" s="394"/>
      <c r="AID10" s="394"/>
      <c r="AIE10" s="394"/>
      <c r="AIF10" s="394"/>
      <c r="AIG10" s="394"/>
      <c r="AIH10" s="394"/>
      <c r="AII10" s="394"/>
      <c r="AIJ10" s="394"/>
      <c r="AIK10" s="394"/>
      <c r="AIL10" s="394"/>
      <c r="AIM10" s="394"/>
      <c r="AIN10" s="394"/>
      <c r="AIO10" s="394"/>
      <c r="AIP10" s="394"/>
      <c r="AIQ10" s="394"/>
      <c r="AIR10" s="394"/>
      <c r="AIS10" s="394"/>
      <c r="AIT10" s="394"/>
      <c r="AIU10" s="394"/>
      <c r="AIV10" s="394"/>
      <c r="AIW10" s="394"/>
      <c r="AIX10" s="394"/>
      <c r="AIY10" s="394"/>
      <c r="AIZ10" s="394"/>
      <c r="AJA10" s="394"/>
      <c r="AJB10" s="394"/>
      <c r="AJC10" s="394"/>
      <c r="AJD10" s="394"/>
      <c r="AJE10" s="394"/>
      <c r="AJF10" s="394"/>
      <c r="AJG10" s="394"/>
      <c r="AJH10" s="394"/>
      <c r="AJI10" s="394"/>
      <c r="AJJ10" s="394"/>
      <c r="AJK10" s="394"/>
      <c r="AJL10" s="394"/>
      <c r="AJM10" s="394"/>
      <c r="AJN10" s="394"/>
      <c r="AJO10" s="394"/>
      <c r="AJP10" s="394"/>
      <c r="AJQ10" s="394"/>
      <c r="AJR10" s="394"/>
      <c r="AJS10" s="394"/>
      <c r="AJT10" s="394"/>
      <c r="AJU10" s="394"/>
      <c r="AJV10" s="394"/>
      <c r="AJW10" s="394"/>
      <c r="AJX10" s="394"/>
      <c r="AJY10" s="394"/>
      <c r="AJZ10" s="394"/>
      <c r="AKA10" s="394"/>
      <c r="AKB10" s="394"/>
      <c r="AKC10" s="394"/>
      <c r="AKD10" s="394"/>
      <c r="AKE10" s="394"/>
      <c r="AKF10" s="394"/>
      <c r="AKG10" s="394"/>
      <c r="AKH10" s="394"/>
      <c r="AKI10" s="394"/>
      <c r="AKJ10" s="394"/>
      <c r="AKK10" s="394"/>
      <c r="AKL10" s="394"/>
      <c r="AKM10" s="394"/>
      <c r="AKN10" s="394"/>
      <c r="AKO10" s="394"/>
      <c r="AKP10" s="394"/>
      <c r="AKQ10" s="394"/>
      <c r="AKR10" s="394"/>
      <c r="AKS10" s="394"/>
      <c r="AKT10" s="394"/>
      <c r="AKU10" s="394"/>
      <c r="AKV10" s="394"/>
      <c r="AKW10" s="394"/>
      <c r="AKX10" s="394"/>
      <c r="AKY10" s="394"/>
      <c r="AKZ10" s="394"/>
      <c r="ALA10" s="394"/>
      <c r="ALB10" s="394"/>
      <c r="ALC10" s="394"/>
      <c r="ALD10" s="394"/>
      <c r="ALE10" s="394"/>
      <c r="ALF10" s="394"/>
      <c r="ALG10" s="394"/>
      <c r="ALH10" s="394"/>
      <c r="ALI10" s="394"/>
      <c r="ALJ10" s="394"/>
      <c r="ALK10" s="394"/>
      <c r="ALL10" s="394"/>
      <c r="ALM10" s="394"/>
      <c r="ALN10" s="394"/>
      <c r="ALO10" s="394"/>
      <c r="ALP10" s="394"/>
      <c r="ALQ10" s="394"/>
      <c r="ALR10" s="394"/>
      <c r="ALS10" s="394"/>
      <c r="ALT10" s="394"/>
      <c r="ALU10" s="394"/>
      <c r="ALV10" s="394"/>
      <c r="ALW10" s="394"/>
      <c r="ALX10" s="394"/>
      <c r="ALY10" s="394"/>
      <c r="ALZ10" s="394"/>
      <c r="AMA10" s="394"/>
      <c r="AMB10" s="394"/>
      <c r="AMC10" s="394"/>
      <c r="AMD10" s="394"/>
      <c r="AME10" s="394"/>
      <c r="AMF10" s="394"/>
      <c r="AMG10" s="394"/>
      <c r="AMH10" s="394"/>
      <c r="AMI10" s="394"/>
      <c r="AMJ10" s="394"/>
      <c r="AMK10" s="394"/>
      <c r="AML10" s="394"/>
      <c r="AMM10" s="394"/>
      <c r="AMN10" s="394"/>
      <c r="AMO10" s="394"/>
      <c r="AMP10" s="394"/>
      <c r="AMQ10" s="394"/>
      <c r="AMR10" s="394"/>
      <c r="AMS10" s="394"/>
      <c r="AMT10" s="394"/>
      <c r="AMU10" s="394"/>
      <c r="AMV10" s="394"/>
      <c r="AMW10" s="394"/>
      <c r="AMX10" s="394"/>
      <c r="AMY10" s="394"/>
      <c r="AMZ10" s="394"/>
      <c r="ANA10" s="394"/>
      <c r="ANB10" s="394"/>
      <c r="ANC10" s="394"/>
      <c r="AND10" s="394"/>
      <c r="ANE10" s="394"/>
      <c r="ANF10" s="394"/>
      <c r="ANG10" s="394"/>
      <c r="ANH10" s="394"/>
      <c r="ANI10" s="394"/>
      <c r="ANJ10" s="394"/>
      <c r="ANK10" s="394"/>
      <c r="ANL10" s="394"/>
      <c r="ANM10" s="394"/>
      <c r="ANN10" s="394"/>
      <c r="ANO10" s="394"/>
      <c r="ANP10" s="394"/>
      <c r="ANQ10" s="394"/>
      <c r="ANR10" s="394"/>
      <c r="ANS10" s="394"/>
      <c r="ANT10" s="394"/>
      <c r="ANU10" s="394"/>
      <c r="ANV10" s="394"/>
      <c r="ANW10" s="394"/>
      <c r="ANX10" s="394"/>
      <c r="ANY10" s="394"/>
      <c r="ANZ10" s="394"/>
      <c r="AOA10" s="394"/>
      <c r="AOB10" s="394"/>
      <c r="AOC10" s="394"/>
      <c r="AOD10" s="394"/>
      <c r="AOE10" s="394"/>
      <c r="AOF10" s="394"/>
      <c r="AOG10" s="394"/>
      <c r="AOH10" s="394"/>
      <c r="AOI10" s="394"/>
      <c r="AOJ10" s="394"/>
      <c r="AOK10" s="394"/>
      <c r="AOL10" s="394"/>
      <c r="AOM10" s="394"/>
      <c r="AON10" s="394"/>
      <c r="AOO10" s="394"/>
      <c r="AOP10" s="394"/>
      <c r="AOQ10" s="394"/>
      <c r="AOR10" s="394"/>
      <c r="AOS10" s="394"/>
      <c r="AOT10" s="394"/>
      <c r="AOU10" s="394"/>
      <c r="AOV10" s="394"/>
      <c r="AOW10" s="394"/>
      <c r="AOX10" s="394"/>
      <c r="AOY10" s="394"/>
      <c r="AOZ10" s="394"/>
      <c r="APA10" s="394"/>
      <c r="APB10" s="394"/>
      <c r="APC10" s="394"/>
      <c r="APD10" s="394"/>
      <c r="APE10" s="394"/>
      <c r="APF10" s="394"/>
      <c r="APG10" s="394"/>
      <c r="APH10" s="394"/>
      <c r="API10" s="394"/>
      <c r="APJ10" s="394"/>
      <c r="APK10" s="394"/>
      <c r="APL10" s="394"/>
      <c r="APM10" s="394"/>
      <c r="APN10" s="394"/>
      <c r="APO10" s="394"/>
      <c r="APP10" s="394"/>
      <c r="APQ10" s="394"/>
      <c r="APR10" s="394"/>
      <c r="APS10" s="394"/>
      <c r="APT10" s="394"/>
      <c r="APU10" s="394"/>
      <c r="APV10" s="394"/>
      <c r="APW10" s="394"/>
      <c r="APX10" s="394"/>
      <c r="APY10" s="394"/>
      <c r="APZ10" s="394"/>
      <c r="AQA10" s="394"/>
      <c r="AQB10" s="394"/>
      <c r="AQC10" s="394"/>
      <c r="AQD10" s="394"/>
      <c r="AQE10" s="394"/>
      <c r="AQF10" s="394"/>
      <c r="AQG10" s="394"/>
      <c r="AQH10" s="394"/>
      <c r="AQI10" s="394"/>
      <c r="AQJ10" s="394"/>
      <c r="AQK10" s="394"/>
      <c r="AQL10" s="394"/>
      <c r="AQM10" s="394"/>
      <c r="AQN10" s="394"/>
      <c r="AQO10" s="394"/>
      <c r="AQP10" s="394"/>
      <c r="AQQ10" s="394"/>
      <c r="AQR10" s="394"/>
      <c r="AQS10" s="394"/>
      <c r="AQT10" s="394"/>
      <c r="AQU10" s="394"/>
      <c r="AQV10" s="394"/>
      <c r="AQW10" s="394"/>
      <c r="AQX10" s="394"/>
      <c r="AQY10" s="394"/>
      <c r="AQZ10" s="394"/>
      <c r="ARA10" s="394"/>
      <c r="ARB10" s="394"/>
      <c r="ARC10" s="394"/>
      <c r="ARD10" s="394"/>
      <c r="ARE10" s="394"/>
      <c r="ARF10" s="394"/>
      <c r="ARG10" s="394"/>
      <c r="ARH10" s="394"/>
      <c r="ARI10" s="394"/>
      <c r="ARJ10" s="394"/>
      <c r="ARK10" s="394"/>
      <c r="ARL10" s="394"/>
      <c r="ARM10" s="394"/>
      <c r="ARN10" s="394"/>
      <c r="ARO10" s="394"/>
      <c r="ARP10" s="394"/>
      <c r="ARQ10" s="394"/>
      <c r="ARR10" s="394"/>
      <c r="ARS10" s="394"/>
      <c r="ART10" s="394"/>
      <c r="ARU10" s="394"/>
      <c r="ARV10" s="394"/>
      <c r="ARW10" s="394"/>
      <c r="ARX10" s="394"/>
      <c r="ARY10" s="394"/>
      <c r="ARZ10" s="394"/>
      <c r="ASA10" s="394"/>
      <c r="ASB10" s="394"/>
      <c r="ASC10" s="394"/>
      <c r="ASD10" s="394"/>
      <c r="ASE10" s="394"/>
      <c r="ASF10" s="394"/>
      <c r="ASG10" s="394"/>
      <c r="ASH10" s="394"/>
      <c r="ASI10" s="394"/>
      <c r="ASJ10" s="394"/>
      <c r="ASK10" s="394"/>
      <c r="ASL10" s="394"/>
      <c r="ASM10" s="394"/>
      <c r="ASN10" s="394"/>
      <c r="ASO10" s="394"/>
      <c r="ASP10" s="394"/>
      <c r="ASQ10" s="394"/>
      <c r="ASR10" s="394"/>
      <c r="ASS10" s="394"/>
      <c r="AST10" s="394"/>
      <c r="ASU10" s="394"/>
      <c r="ASV10" s="394"/>
      <c r="ASW10" s="394"/>
      <c r="ASX10" s="394"/>
      <c r="ASY10" s="394"/>
      <c r="ASZ10" s="394"/>
      <c r="ATA10" s="394"/>
      <c r="ATB10" s="394"/>
      <c r="ATC10" s="394"/>
      <c r="ATD10" s="394"/>
      <c r="ATE10" s="394"/>
      <c r="ATF10" s="394"/>
      <c r="ATG10" s="394"/>
      <c r="ATH10" s="394"/>
      <c r="ATI10" s="394"/>
      <c r="ATJ10" s="394"/>
      <c r="ATK10" s="394"/>
      <c r="ATL10" s="394"/>
      <c r="ATM10" s="394"/>
      <c r="ATN10" s="394"/>
      <c r="ATO10" s="394"/>
      <c r="ATP10" s="394"/>
      <c r="ATQ10" s="394"/>
      <c r="ATR10" s="394"/>
      <c r="ATS10" s="394"/>
      <c r="ATT10" s="394"/>
      <c r="ATU10" s="394"/>
      <c r="ATV10" s="394"/>
      <c r="ATW10" s="394"/>
      <c r="ATX10" s="394"/>
      <c r="ATY10" s="394"/>
      <c r="ATZ10" s="394"/>
      <c r="AUA10" s="394"/>
      <c r="AUB10" s="394"/>
      <c r="AUC10" s="394"/>
      <c r="AUD10" s="394"/>
      <c r="AUE10" s="394"/>
      <c r="AUF10" s="394"/>
      <c r="AUG10" s="394"/>
      <c r="AUH10" s="394"/>
      <c r="AUI10" s="394"/>
      <c r="AUJ10" s="394"/>
      <c r="AUK10" s="394"/>
      <c r="AUL10" s="394"/>
      <c r="AUM10" s="394"/>
      <c r="AUN10" s="394"/>
      <c r="AUO10" s="394"/>
      <c r="AUP10" s="394"/>
      <c r="AUQ10" s="394"/>
      <c r="AUR10" s="394"/>
      <c r="AUS10" s="394"/>
      <c r="AUT10" s="394"/>
      <c r="AUU10" s="394"/>
      <c r="AUV10" s="394"/>
      <c r="AUW10" s="394"/>
      <c r="AUX10" s="394"/>
      <c r="AUY10" s="394"/>
      <c r="AUZ10" s="394"/>
      <c r="AVA10" s="394"/>
      <c r="AVB10" s="394"/>
      <c r="AVC10" s="394"/>
      <c r="AVD10" s="394"/>
      <c r="AVE10" s="394"/>
      <c r="AVF10" s="394"/>
      <c r="AVG10" s="394"/>
      <c r="AVH10" s="394"/>
      <c r="AVI10" s="394"/>
      <c r="AVJ10" s="394"/>
      <c r="AVK10" s="394"/>
      <c r="AVL10" s="394"/>
      <c r="AVM10" s="394"/>
      <c r="AVN10" s="394"/>
      <c r="AVO10" s="394"/>
      <c r="AVP10" s="394"/>
      <c r="AVQ10" s="394"/>
      <c r="AVR10" s="394"/>
      <c r="AVS10" s="394"/>
      <c r="AVT10" s="394"/>
      <c r="AVU10" s="394"/>
      <c r="AVV10" s="394"/>
      <c r="AVW10" s="394"/>
      <c r="AVX10" s="394"/>
      <c r="AVY10" s="394"/>
      <c r="AVZ10" s="394"/>
      <c r="AWA10" s="394"/>
      <c r="AWB10" s="394"/>
      <c r="AWC10" s="394"/>
      <c r="AWD10" s="394"/>
      <c r="AWE10" s="394"/>
      <c r="AWF10" s="394"/>
      <c r="AWG10" s="394"/>
      <c r="AWH10" s="394"/>
      <c r="AWI10" s="394"/>
      <c r="AWJ10" s="394"/>
      <c r="AWK10" s="394"/>
      <c r="AWL10" s="394"/>
      <c r="AWM10" s="394"/>
      <c r="AWN10" s="394"/>
      <c r="AWO10" s="394"/>
      <c r="AWP10" s="394"/>
      <c r="AWQ10" s="394"/>
      <c r="AWR10" s="394"/>
      <c r="AWS10" s="394"/>
      <c r="AWT10" s="394"/>
      <c r="AWU10" s="394"/>
      <c r="AWV10" s="394"/>
      <c r="AWW10" s="394"/>
      <c r="AWX10" s="394"/>
      <c r="AWY10" s="394"/>
      <c r="AWZ10" s="394"/>
      <c r="AXA10" s="394"/>
      <c r="AXB10" s="394"/>
      <c r="AXC10" s="394"/>
      <c r="AXD10" s="394"/>
      <c r="AXE10" s="394"/>
      <c r="AXF10" s="394"/>
      <c r="AXG10" s="394"/>
      <c r="AXH10" s="394"/>
      <c r="AXI10" s="394"/>
      <c r="AXJ10" s="394"/>
      <c r="AXK10" s="394"/>
      <c r="AXL10" s="394"/>
      <c r="AXM10" s="394"/>
      <c r="AXN10" s="394"/>
      <c r="AXO10" s="394"/>
      <c r="AXP10" s="394"/>
      <c r="AXQ10" s="394"/>
      <c r="AXR10" s="394"/>
      <c r="AXS10" s="394"/>
      <c r="AXT10" s="394"/>
      <c r="AXU10" s="394"/>
      <c r="AXV10" s="394"/>
      <c r="AXW10" s="394"/>
      <c r="AXX10" s="394"/>
      <c r="AXY10" s="394"/>
      <c r="AXZ10" s="394"/>
      <c r="AYA10" s="394"/>
      <c r="AYB10" s="394"/>
      <c r="AYC10" s="394"/>
      <c r="AYD10" s="394"/>
      <c r="AYE10" s="394"/>
      <c r="AYF10" s="394"/>
      <c r="AYG10" s="394"/>
      <c r="AYH10" s="394"/>
      <c r="AYI10" s="394"/>
      <c r="AYJ10" s="394"/>
      <c r="AYK10" s="394"/>
      <c r="AYL10" s="394"/>
      <c r="AYM10" s="394"/>
      <c r="AYN10" s="394"/>
      <c r="AYO10" s="394"/>
      <c r="AYP10" s="394"/>
      <c r="AYQ10" s="394"/>
      <c r="AYR10" s="394"/>
      <c r="AYS10" s="394"/>
      <c r="AYT10" s="394"/>
      <c r="AYU10" s="394"/>
      <c r="AYV10" s="394"/>
      <c r="AYW10" s="394"/>
      <c r="AYX10" s="394"/>
      <c r="AYY10" s="394"/>
      <c r="AYZ10" s="394"/>
      <c r="AZA10" s="394"/>
      <c r="AZB10" s="394"/>
      <c r="AZC10" s="394"/>
      <c r="AZD10" s="394"/>
      <c r="AZE10" s="394"/>
      <c r="AZF10" s="394"/>
      <c r="AZG10" s="394"/>
      <c r="AZH10" s="394"/>
      <c r="AZI10" s="394"/>
      <c r="AZJ10" s="394"/>
      <c r="AZK10" s="394"/>
      <c r="AZL10" s="394"/>
      <c r="AZM10" s="394"/>
      <c r="AZN10" s="394"/>
      <c r="AZO10" s="394"/>
      <c r="AZP10" s="394"/>
      <c r="AZQ10" s="394"/>
      <c r="AZR10" s="394"/>
      <c r="AZS10" s="394"/>
      <c r="AZT10" s="394"/>
      <c r="AZU10" s="394"/>
      <c r="AZV10" s="394"/>
      <c r="AZW10" s="394"/>
      <c r="AZX10" s="394"/>
      <c r="AZY10" s="394"/>
      <c r="AZZ10" s="394"/>
      <c r="BAA10" s="394"/>
      <c r="BAB10" s="394"/>
      <c r="BAC10" s="394"/>
      <c r="BAD10" s="394"/>
      <c r="BAE10" s="394"/>
      <c r="BAF10" s="394"/>
      <c r="BAG10" s="394"/>
      <c r="BAH10" s="394"/>
      <c r="BAI10" s="394"/>
      <c r="BAJ10" s="394"/>
      <c r="BAK10" s="394"/>
      <c r="BAL10" s="394"/>
      <c r="BAM10" s="394"/>
      <c r="BAN10" s="394"/>
      <c r="BAO10" s="394"/>
      <c r="BAP10" s="394"/>
      <c r="BAQ10" s="394"/>
      <c r="BAR10" s="394"/>
      <c r="BAS10" s="394"/>
      <c r="BAT10" s="394"/>
      <c r="BAU10" s="394"/>
      <c r="BAV10" s="394"/>
      <c r="BAW10" s="394"/>
      <c r="BAX10" s="394"/>
      <c r="BAY10" s="394"/>
      <c r="BAZ10" s="394"/>
      <c r="BBA10" s="394"/>
      <c r="BBB10" s="394"/>
      <c r="BBC10" s="394"/>
      <c r="BBD10" s="394"/>
      <c r="BBE10" s="394"/>
      <c r="BBF10" s="394"/>
      <c r="BBG10" s="394"/>
      <c r="BBH10" s="394"/>
      <c r="BBI10" s="394"/>
      <c r="BBJ10" s="394"/>
      <c r="BBK10" s="394"/>
      <c r="BBL10" s="394"/>
      <c r="BBM10" s="394"/>
      <c r="BBN10" s="394"/>
      <c r="BBO10" s="394"/>
      <c r="BBP10" s="394"/>
      <c r="BBQ10" s="394"/>
      <c r="BBR10" s="394"/>
      <c r="BBS10" s="394"/>
      <c r="BBT10" s="394"/>
      <c r="BBU10" s="394"/>
      <c r="BBV10" s="394"/>
      <c r="BBW10" s="394"/>
      <c r="BBX10" s="394"/>
      <c r="BBY10" s="394"/>
      <c r="BBZ10" s="394"/>
      <c r="BCA10" s="394"/>
      <c r="BCB10" s="394"/>
      <c r="BCC10" s="394"/>
      <c r="BCD10" s="394"/>
      <c r="BCE10" s="394"/>
      <c r="BCF10" s="394"/>
      <c r="BCG10" s="394"/>
      <c r="BCH10" s="394"/>
      <c r="BCI10" s="394"/>
      <c r="BCJ10" s="394"/>
      <c r="BCK10" s="394"/>
      <c r="BCL10" s="394"/>
      <c r="BCM10" s="394"/>
      <c r="BCN10" s="394"/>
      <c r="BCO10" s="394"/>
      <c r="BCP10" s="394"/>
      <c r="BCQ10" s="394"/>
      <c r="BCR10" s="394"/>
      <c r="BCS10" s="394"/>
      <c r="BCT10" s="394"/>
      <c r="BCU10" s="394"/>
      <c r="BCV10" s="394"/>
      <c r="BCW10" s="394"/>
      <c r="BCX10" s="394"/>
      <c r="BCY10" s="394"/>
      <c r="BCZ10" s="394"/>
      <c r="BDA10" s="394"/>
      <c r="BDB10" s="394"/>
      <c r="BDC10" s="394"/>
      <c r="BDD10" s="394"/>
      <c r="BDE10" s="394"/>
      <c r="BDF10" s="394"/>
      <c r="BDG10" s="394"/>
      <c r="BDH10" s="394"/>
      <c r="BDI10" s="394"/>
      <c r="BDJ10" s="394"/>
      <c r="BDK10" s="394"/>
      <c r="BDL10" s="394"/>
      <c r="BDM10" s="394"/>
      <c r="BDN10" s="394"/>
      <c r="BDO10" s="394"/>
      <c r="BDP10" s="394"/>
      <c r="BDQ10" s="394"/>
      <c r="BDR10" s="394"/>
      <c r="BDS10" s="394"/>
      <c r="BDT10" s="394"/>
      <c r="BDU10" s="394"/>
      <c r="BDV10" s="394"/>
      <c r="BDW10" s="394"/>
      <c r="BDX10" s="394"/>
      <c r="BDY10" s="394"/>
      <c r="BDZ10" s="394"/>
      <c r="BEA10" s="394"/>
      <c r="BEB10" s="394"/>
      <c r="BEC10" s="394"/>
      <c r="BED10" s="394"/>
      <c r="BEE10" s="394"/>
      <c r="BEF10" s="394"/>
      <c r="BEG10" s="394"/>
      <c r="BEH10" s="394"/>
      <c r="BEI10" s="394"/>
      <c r="BEJ10" s="394"/>
      <c r="BEK10" s="394"/>
      <c r="BEL10" s="394"/>
      <c r="BEM10" s="394"/>
      <c r="BEN10" s="394"/>
      <c r="BEO10" s="394"/>
      <c r="BEP10" s="394"/>
      <c r="BEQ10" s="394"/>
      <c r="BER10" s="394"/>
      <c r="BES10" s="394"/>
      <c r="BET10" s="394"/>
      <c r="BEU10" s="394"/>
      <c r="BEV10" s="394"/>
      <c r="BEW10" s="394"/>
      <c r="BEX10" s="394"/>
      <c r="BEY10" s="394"/>
      <c r="BEZ10" s="394"/>
      <c r="BFA10" s="394"/>
      <c r="BFB10" s="394"/>
      <c r="BFC10" s="394"/>
      <c r="BFD10" s="394"/>
      <c r="BFE10" s="394"/>
      <c r="BFF10" s="394"/>
      <c r="BFG10" s="394"/>
      <c r="BFH10" s="394"/>
      <c r="BFI10" s="394"/>
      <c r="BFJ10" s="394"/>
      <c r="BFK10" s="394"/>
      <c r="BFL10" s="394"/>
      <c r="BFM10" s="394"/>
      <c r="BFN10" s="394"/>
      <c r="BFO10" s="394"/>
      <c r="BFP10" s="394"/>
      <c r="BFQ10" s="394"/>
      <c r="BFR10" s="394"/>
      <c r="BFS10" s="394"/>
      <c r="BFT10" s="394"/>
      <c r="BFU10" s="394"/>
      <c r="BFV10" s="394"/>
      <c r="BFW10" s="394"/>
      <c r="BFX10" s="394"/>
      <c r="BFY10" s="394"/>
      <c r="BFZ10" s="394"/>
      <c r="BGA10" s="394"/>
      <c r="BGB10" s="394"/>
      <c r="BGC10" s="394"/>
      <c r="BGD10" s="394"/>
      <c r="BGE10" s="394"/>
      <c r="BGF10" s="394"/>
      <c r="BGG10" s="394"/>
      <c r="BGH10" s="394"/>
      <c r="BGI10" s="394"/>
      <c r="BGJ10" s="394"/>
      <c r="BGK10" s="394"/>
      <c r="BGL10" s="394"/>
      <c r="BGM10" s="394"/>
      <c r="BGN10" s="394"/>
      <c r="BGO10" s="394"/>
      <c r="BGP10" s="394"/>
      <c r="BGQ10" s="394"/>
      <c r="BGR10" s="394"/>
      <c r="BGS10" s="394"/>
      <c r="BGT10" s="394"/>
      <c r="BGU10" s="394"/>
      <c r="BGV10" s="394"/>
      <c r="BGW10" s="394"/>
      <c r="BGX10" s="394"/>
      <c r="BGY10" s="394"/>
      <c r="BGZ10" s="394"/>
      <c r="BHA10" s="394"/>
      <c r="BHB10" s="394"/>
      <c r="BHC10" s="394"/>
      <c r="BHD10" s="394"/>
      <c r="BHE10" s="394"/>
      <c r="BHF10" s="394"/>
      <c r="BHG10" s="394"/>
      <c r="BHH10" s="394"/>
      <c r="BHI10" s="394"/>
      <c r="BHJ10" s="394"/>
      <c r="BHK10" s="394"/>
      <c r="BHL10" s="394"/>
      <c r="BHM10" s="394"/>
      <c r="BHN10" s="394"/>
      <c r="BHO10" s="394"/>
      <c r="BHP10" s="394"/>
      <c r="BHQ10" s="394"/>
      <c r="BHR10" s="394"/>
      <c r="BHS10" s="394"/>
      <c r="BHT10" s="394"/>
      <c r="BHU10" s="394"/>
      <c r="BHV10" s="394"/>
      <c r="BHW10" s="394"/>
      <c r="BHX10" s="394"/>
      <c r="BHY10" s="394"/>
      <c r="BHZ10" s="394"/>
      <c r="BIA10" s="394"/>
      <c r="BIB10" s="394"/>
      <c r="BIC10" s="394"/>
      <c r="BID10" s="394"/>
      <c r="BIE10" s="394"/>
      <c r="BIF10" s="394"/>
      <c r="BIG10" s="394"/>
      <c r="BIH10" s="394"/>
      <c r="BII10" s="394"/>
      <c r="BIJ10" s="394"/>
      <c r="BIK10" s="394"/>
      <c r="BIL10" s="394"/>
      <c r="BIM10" s="394"/>
      <c r="BIN10" s="394"/>
      <c r="BIO10" s="394"/>
      <c r="BIP10" s="394"/>
      <c r="BIQ10" s="394"/>
      <c r="BIR10" s="394"/>
      <c r="BIS10" s="394"/>
      <c r="BIT10" s="394"/>
      <c r="BIU10" s="394"/>
      <c r="BIV10" s="394"/>
      <c r="BIW10" s="394"/>
      <c r="BIX10" s="394"/>
      <c r="BIY10" s="394"/>
      <c r="BIZ10" s="394"/>
      <c r="BJA10" s="394"/>
      <c r="BJB10" s="394"/>
      <c r="BJC10" s="394"/>
      <c r="BJD10" s="394"/>
      <c r="BJE10" s="394"/>
      <c r="BJF10" s="394"/>
      <c r="BJG10" s="394"/>
      <c r="BJH10" s="394"/>
      <c r="BJI10" s="394"/>
      <c r="BJJ10" s="394"/>
      <c r="BJK10" s="394"/>
      <c r="BJL10" s="394"/>
      <c r="BJM10" s="394"/>
      <c r="BJN10" s="394"/>
      <c r="BJO10" s="394"/>
      <c r="BJP10" s="394"/>
      <c r="BJQ10" s="394"/>
      <c r="BJR10" s="394"/>
      <c r="BJS10" s="394"/>
      <c r="BJT10" s="394"/>
      <c r="BJU10" s="394"/>
      <c r="BJV10" s="394"/>
      <c r="BJW10" s="394"/>
      <c r="BJX10" s="394"/>
      <c r="BJY10" s="394"/>
      <c r="BJZ10" s="394"/>
      <c r="BKA10" s="394"/>
      <c r="BKB10" s="394"/>
      <c r="BKC10" s="394"/>
      <c r="BKD10" s="394"/>
      <c r="BKE10" s="394"/>
      <c r="BKF10" s="394"/>
      <c r="BKG10" s="394"/>
      <c r="BKH10" s="394"/>
      <c r="BKI10" s="394"/>
      <c r="BKJ10" s="394"/>
      <c r="BKK10" s="394"/>
      <c r="BKL10" s="394"/>
      <c r="BKM10" s="394"/>
      <c r="BKN10" s="394"/>
      <c r="BKO10" s="394"/>
      <c r="BKP10" s="394"/>
      <c r="BKQ10" s="394"/>
      <c r="BKR10" s="394"/>
      <c r="BKS10" s="394"/>
      <c r="BKT10" s="394"/>
      <c r="BKU10" s="394"/>
      <c r="BKV10" s="394"/>
      <c r="BKW10" s="394"/>
      <c r="BKX10" s="394"/>
      <c r="BKY10" s="394"/>
      <c r="BKZ10" s="394"/>
      <c r="BLA10" s="394"/>
      <c r="BLB10" s="394"/>
      <c r="BLC10" s="394"/>
      <c r="BLD10" s="394"/>
      <c r="BLE10" s="394"/>
      <c r="BLF10" s="394"/>
      <c r="BLG10" s="394"/>
      <c r="BLH10" s="394"/>
      <c r="BLI10" s="394"/>
      <c r="BLJ10" s="394"/>
      <c r="BLK10" s="394"/>
      <c r="BLL10" s="394"/>
      <c r="BLM10" s="394"/>
      <c r="BLN10" s="394"/>
      <c r="BLO10" s="394"/>
      <c r="BLP10" s="394"/>
      <c r="BLQ10" s="394"/>
      <c r="BLR10" s="394"/>
      <c r="BLS10" s="394"/>
      <c r="BLT10" s="394"/>
      <c r="BLU10" s="394"/>
      <c r="BLV10" s="394"/>
      <c r="BLW10" s="394"/>
      <c r="BLX10" s="394"/>
      <c r="BLY10" s="394"/>
      <c r="BLZ10" s="394"/>
      <c r="BMA10" s="394"/>
      <c r="BMB10" s="394"/>
      <c r="BMC10" s="394"/>
      <c r="BMD10" s="394"/>
      <c r="BME10" s="394"/>
      <c r="BMF10" s="394"/>
      <c r="BMG10" s="394"/>
      <c r="BMH10" s="394"/>
      <c r="BMI10" s="394"/>
      <c r="BMJ10" s="394"/>
      <c r="BMK10" s="394"/>
      <c r="BML10" s="394"/>
      <c r="BMM10" s="394"/>
      <c r="BMN10" s="394"/>
      <c r="BMO10" s="394"/>
      <c r="BMP10" s="394"/>
      <c r="BMQ10" s="394"/>
      <c r="BMR10" s="394"/>
      <c r="BMS10" s="394"/>
      <c r="BMT10" s="394"/>
      <c r="BMU10" s="394"/>
      <c r="BMV10" s="394"/>
      <c r="BMW10" s="394"/>
      <c r="BMX10" s="394"/>
      <c r="BMY10" s="394"/>
      <c r="BMZ10" s="394"/>
      <c r="BNA10" s="394"/>
      <c r="BNB10" s="394"/>
      <c r="BNC10" s="394"/>
      <c r="BND10" s="394"/>
      <c r="BNE10" s="394"/>
      <c r="BNF10" s="394"/>
      <c r="BNG10" s="394"/>
      <c r="BNH10" s="394"/>
      <c r="BNI10" s="394"/>
      <c r="BNJ10" s="394"/>
      <c r="BNK10" s="394"/>
      <c r="BNL10" s="394"/>
      <c r="BNM10" s="394"/>
      <c r="BNN10" s="394"/>
      <c r="BNO10" s="394"/>
      <c r="BNP10" s="394"/>
      <c r="BNQ10" s="394"/>
      <c r="BNR10" s="394"/>
      <c r="BNS10" s="394"/>
      <c r="BNT10" s="394"/>
      <c r="BNU10" s="394"/>
      <c r="BNV10" s="394"/>
      <c r="BNW10" s="394"/>
      <c r="BNX10" s="394"/>
      <c r="BNY10" s="394"/>
      <c r="BNZ10" s="394"/>
      <c r="BOA10" s="394"/>
      <c r="BOB10" s="394"/>
      <c r="BOC10" s="394"/>
      <c r="BOD10" s="394"/>
      <c r="BOE10" s="394"/>
      <c r="BOF10" s="394"/>
      <c r="BOG10" s="394"/>
      <c r="BOH10" s="394"/>
      <c r="BOI10" s="394"/>
      <c r="BOJ10" s="394"/>
      <c r="BOK10" s="394"/>
      <c r="BOL10" s="394"/>
      <c r="BOM10" s="394"/>
      <c r="BON10" s="394"/>
      <c r="BOO10" s="394"/>
      <c r="BOP10" s="394"/>
      <c r="BOQ10" s="394"/>
      <c r="BOR10" s="394"/>
      <c r="BOS10" s="394"/>
      <c r="BOT10" s="394"/>
      <c r="BOU10" s="394"/>
      <c r="BOV10" s="394"/>
      <c r="BOW10" s="394"/>
      <c r="BOX10" s="394"/>
      <c r="BOY10" s="394"/>
      <c r="BOZ10" s="394"/>
      <c r="BPA10" s="394"/>
      <c r="BPB10" s="394"/>
      <c r="BPC10" s="394"/>
      <c r="BPD10" s="394"/>
      <c r="BPE10" s="394"/>
      <c r="BPF10" s="394"/>
      <c r="BPG10" s="394"/>
      <c r="BPH10" s="394"/>
      <c r="BPI10" s="394"/>
      <c r="BPJ10" s="394"/>
      <c r="BPK10" s="394"/>
      <c r="BPL10" s="394"/>
      <c r="BPM10" s="394"/>
      <c r="BPN10" s="394"/>
      <c r="BPO10" s="394"/>
      <c r="BPP10" s="394"/>
      <c r="BPQ10" s="394"/>
      <c r="BPR10" s="394"/>
      <c r="BPS10" s="394"/>
      <c r="BPT10" s="394"/>
      <c r="BPU10" s="394"/>
      <c r="BPV10" s="394"/>
      <c r="BPW10" s="394"/>
      <c r="BPX10" s="394"/>
      <c r="BPY10" s="394"/>
      <c r="BPZ10" s="394"/>
      <c r="BQA10" s="394"/>
      <c r="BQB10" s="394"/>
      <c r="BQC10" s="394"/>
      <c r="BQD10" s="394"/>
      <c r="BQE10" s="394"/>
      <c r="BQF10" s="394"/>
      <c r="BQG10" s="394"/>
      <c r="BQH10" s="394"/>
      <c r="BQI10" s="394"/>
      <c r="BQJ10" s="394"/>
      <c r="BQK10" s="394"/>
      <c r="BQL10" s="394"/>
      <c r="BQM10" s="394"/>
      <c r="BQN10" s="394"/>
      <c r="BQO10" s="394"/>
      <c r="BQP10" s="394"/>
      <c r="BQQ10" s="394"/>
      <c r="BQR10" s="394"/>
      <c r="BQS10" s="394"/>
      <c r="BQT10" s="394"/>
      <c r="BQU10" s="394"/>
      <c r="BQV10" s="394"/>
      <c r="BQW10" s="394"/>
      <c r="BQX10" s="394"/>
      <c r="BQY10" s="394"/>
      <c r="BQZ10" s="394"/>
      <c r="BRA10" s="394"/>
      <c r="BRB10" s="394"/>
      <c r="BRC10" s="394"/>
      <c r="BRD10" s="394"/>
      <c r="BRE10" s="394"/>
      <c r="BRF10" s="394"/>
      <c r="BRG10" s="394"/>
      <c r="BRH10" s="394"/>
      <c r="BRI10" s="394"/>
      <c r="BRJ10" s="394"/>
      <c r="BRK10" s="394"/>
      <c r="BRL10" s="394"/>
      <c r="BRM10" s="394"/>
      <c r="BRN10" s="394"/>
      <c r="BRO10" s="394"/>
      <c r="BRP10" s="394"/>
      <c r="BRQ10" s="394"/>
      <c r="BRR10" s="394"/>
      <c r="BRS10" s="394"/>
      <c r="BRT10" s="394"/>
      <c r="BRU10" s="394"/>
      <c r="BRV10" s="394"/>
      <c r="BRW10" s="394"/>
      <c r="BRX10" s="394"/>
      <c r="BRY10" s="394"/>
      <c r="BRZ10" s="394"/>
      <c r="BSA10" s="394"/>
      <c r="BSB10" s="394"/>
      <c r="BSC10" s="394"/>
      <c r="BSD10" s="394"/>
      <c r="BSE10" s="394"/>
      <c r="BSF10" s="394"/>
      <c r="BSG10" s="394"/>
      <c r="BSH10" s="394"/>
      <c r="BSI10" s="394"/>
      <c r="BSJ10" s="394"/>
      <c r="BSK10" s="394"/>
      <c r="BSL10" s="394"/>
      <c r="BSM10" s="394"/>
      <c r="BSN10" s="394"/>
      <c r="BSO10" s="394"/>
      <c r="BSP10" s="394"/>
      <c r="BSQ10" s="394"/>
      <c r="BSR10" s="394"/>
      <c r="BSS10" s="394"/>
      <c r="BST10" s="394"/>
      <c r="BSU10" s="394"/>
      <c r="BSV10" s="394"/>
      <c r="BSW10" s="394"/>
      <c r="BSX10" s="394"/>
      <c r="BSY10" s="394"/>
      <c r="BSZ10" s="394"/>
      <c r="BTA10" s="394"/>
      <c r="BTB10" s="394"/>
      <c r="BTC10" s="394"/>
      <c r="BTD10" s="394"/>
      <c r="BTE10" s="394"/>
      <c r="BTF10" s="394"/>
      <c r="BTG10" s="394"/>
      <c r="BTH10" s="394"/>
      <c r="BTI10" s="394"/>
    </row>
    <row r="11" spans="1:1881" s="4" customFormat="1" ht="85.5" customHeight="1" x14ac:dyDescent="0.25">
      <c r="A11" s="188">
        <v>576</v>
      </c>
      <c r="B11" s="150" t="s">
        <v>77</v>
      </c>
      <c r="C11" s="182" t="s">
        <v>136</v>
      </c>
      <c r="D11" s="306" t="s">
        <v>775</v>
      </c>
      <c r="E11" s="32" t="e">
        <f>HLOOKUP($D$2,'2019 Data(H)'!$C$1:$CP$300,226,FALSE)</f>
        <v>#N/A</v>
      </c>
      <c r="F11" s="624"/>
      <c r="G11" s="395">
        <f>IF(F11&lt;0,"Error: Enter as positive.",)</f>
        <v>0</v>
      </c>
      <c r="H11" s="192"/>
      <c r="I11" s="299"/>
      <c r="J11" s="365"/>
      <c r="K11" s="394"/>
      <c r="L11" s="833" t="s">
        <v>1109</v>
      </c>
      <c r="M11" s="610"/>
      <c r="N11" s="635"/>
      <c r="O11" s="394"/>
      <c r="P11" s="394"/>
      <c r="Q11" s="394"/>
      <c r="R11" s="394"/>
      <c r="S11" s="394"/>
      <c r="T11" s="394"/>
      <c r="U11" s="394"/>
      <c r="V11" s="394"/>
      <c r="W11" s="394"/>
      <c r="X11" s="394"/>
      <c r="Y11" s="394"/>
      <c r="Z11" s="394"/>
      <c r="AA11" s="394"/>
      <c r="AB11" s="394"/>
      <c r="AC11" s="394"/>
      <c r="AD11" s="394"/>
      <c r="AE11" s="394"/>
      <c r="AF11" s="394"/>
      <c r="AG11" s="394"/>
      <c r="AH11" s="394"/>
      <c r="AI11" s="394"/>
      <c r="AJ11" s="394"/>
      <c r="AK11" s="394"/>
      <c r="AL11" s="394"/>
      <c r="AM11" s="394"/>
      <c r="AN11" s="394"/>
      <c r="AO11" s="394"/>
      <c r="AP11" s="394"/>
      <c r="AQ11" s="394"/>
      <c r="AR11" s="394"/>
      <c r="AS11" s="394"/>
      <c r="AT11" s="394"/>
      <c r="AU11" s="394"/>
      <c r="AV11" s="394"/>
      <c r="AW11" s="394"/>
      <c r="AX11" s="394"/>
      <c r="AY11" s="394"/>
      <c r="AZ11" s="394"/>
      <c r="BA11" s="394"/>
      <c r="BB11" s="394"/>
      <c r="BC11" s="394"/>
      <c r="BD11" s="394"/>
      <c r="BE11" s="394"/>
      <c r="BF11" s="394"/>
      <c r="BG11" s="394"/>
      <c r="BH11" s="394"/>
      <c r="BI11" s="394"/>
      <c r="BJ11" s="394"/>
      <c r="BK11" s="394"/>
      <c r="BL11" s="394"/>
      <c r="BM11" s="394"/>
      <c r="BN11" s="394"/>
      <c r="BO11" s="394"/>
      <c r="BP11" s="394"/>
      <c r="BQ11" s="394"/>
      <c r="BR11" s="394"/>
      <c r="BS11" s="394"/>
      <c r="BT11" s="394"/>
      <c r="BU11" s="394"/>
      <c r="BV11" s="394"/>
      <c r="BW11" s="394"/>
      <c r="BX11" s="394"/>
      <c r="BY11" s="394"/>
      <c r="BZ11" s="394"/>
      <c r="CA11" s="394"/>
      <c r="CB11" s="394"/>
      <c r="CC11" s="394"/>
      <c r="CD11" s="394"/>
      <c r="CE11" s="394"/>
      <c r="CF11" s="394"/>
      <c r="CG11" s="394"/>
      <c r="CH11" s="394"/>
      <c r="CI11" s="394"/>
      <c r="CJ11" s="394"/>
      <c r="CK11" s="394"/>
      <c r="CL11" s="394"/>
      <c r="CM11" s="394"/>
      <c r="CN11" s="394"/>
      <c r="CO11" s="394"/>
      <c r="CP11" s="394"/>
      <c r="CQ11" s="394"/>
      <c r="CR11" s="394"/>
      <c r="CS11" s="394"/>
      <c r="CT11" s="394"/>
      <c r="CU11" s="394"/>
      <c r="CV11" s="394"/>
      <c r="CW11" s="394"/>
      <c r="CX11" s="394"/>
      <c r="CY11" s="394"/>
      <c r="CZ11" s="394"/>
      <c r="DA11" s="394"/>
      <c r="DB11" s="394"/>
      <c r="DC11" s="394"/>
      <c r="DD11" s="394"/>
      <c r="DE11" s="394"/>
      <c r="DF11" s="394"/>
      <c r="DG11" s="394"/>
      <c r="DH11" s="394"/>
      <c r="DI11" s="394"/>
      <c r="DJ11" s="394"/>
      <c r="DK11" s="394"/>
      <c r="DL11" s="394"/>
      <c r="DM11" s="394"/>
      <c r="DN11" s="394"/>
      <c r="DO11" s="394"/>
      <c r="DP11" s="394"/>
      <c r="DQ11" s="394"/>
      <c r="DR11" s="394"/>
      <c r="DS11" s="394"/>
      <c r="DT11" s="394"/>
      <c r="DU11" s="394"/>
      <c r="DV11" s="394"/>
      <c r="DW11" s="394"/>
      <c r="DX11" s="394"/>
      <c r="DY11" s="394"/>
      <c r="DZ11" s="394"/>
      <c r="EA11" s="394"/>
      <c r="EB11" s="394"/>
      <c r="EC11" s="394"/>
      <c r="ED11" s="394"/>
      <c r="EE11" s="394"/>
      <c r="EF11" s="394"/>
      <c r="EG11" s="394"/>
      <c r="EH11" s="394"/>
      <c r="EI11" s="394"/>
      <c r="EJ11" s="394"/>
      <c r="EK11" s="394"/>
      <c r="EL11" s="394"/>
      <c r="EM11" s="394"/>
      <c r="EN11" s="394"/>
      <c r="EO11" s="394"/>
      <c r="EP11" s="394"/>
      <c r="EQ11" s="394"/>
      <c r="ER11" s="394"/>
      <c r="ES11" s="394"/>
      <c r="ET11" s="394"/>
      <c r="EU11" s="394"/>
      <c r="EV11" s="394"/>
      <c r="EW11" s="394"/>
      <c r="EX11" s="394"/>
      <c r="EY11" s="394"/>
      <c r="EZ11" s="394"/>
      <c r="FA11" s="394"/>
      <c r="FB11" s="394"/>
      <c r="FC11" s="394"/>
      <c r="FD11" s="394"/>
      <c r="FE11" s="394"/>
      <c r="FF11" s="394"/>
      <c r="FG11" s="394"/>
      <c r="FH11" s="394"/>
      <c r="FI11" s="394"/>
      <c r="FJ11" s="394"/>
      <c r="FK11" s="394"/>
      <c r="FL11" s="394"/>
      <c r="FM11" s="394"/>
      <c r="FN11" s="394"/>
      <c r="FO11" s="394"/>
      <c r="FP11" s="394"/>
      <c r="FQ11" s="394"/>
      <c r="FR11" s="394"/>
      <c r="FS11" s="394"/>
      <c r="FT11" s="394"/>
      <c r="FU11" s="394"/>
      <c r="FV11" s="394"/>
      <c r="FW11" s="394"/>
      <c r="FX11" s="394"/>
      <c r="FY11" s="394"/>
      <c r="FZ11" s="394"/>
      <c r="GA11" s="394"/>
      <c r="GB11" s="394"/>
      <c r="GC11" s="394"/>
      <c r="GD11" s="394"/>
      <c r="GE11" s="394"/>
      <c r="GF11" s="394"/>
      <c r="GG11" s="394"/>
      <c r="GH11" s="394"/>
      <c r="GI11" s="394"/>
      <c r="GJ11" s="394"/>
      <c r="GK11" s="394"/>
      <c r="GL11" s="394"/>
      <c r="GM11" s="394"/>
      <c r="GN11" s="394"/>
      <c r="GO11" s="394"/>
      <c r="GP11" s="394"/>
      <c r="GQ11" s="394"/>
      <c r="GR11" s="394"/>
      <c r="GS11" s="394"/>
      <c r="GT11" s="394"/>
      <c r="GU11" s="394"/>
      <c r="GV11" s="394"/>
      <c r="GW11" s="394"/>
      <c r="GX11" s="394"/>
      <c r="GY11" s="394"/>
      <c r="GZ11" s="394"/>
      <c r="HA11" s="394"/>
      <c r="HB11" s="394"/>
      <c r="HC11" s="394"/>
      <c r="HD11" s="394"/>
      <c r="HE11" s="394"/>
      <c r="HF11" s="394"/>
      <c r="HG11" s="394"/>
      <c r="HH11" s="394"/>
      <c r="HI11" s="394"/>
      <c r="HJ11" s="394"/>
      <c r="HK11" s="394"/>
      <c r="HL11" s="394"/>
      <c r="HM11" s="394"/>
      <c r="HN11" s="394"/>
      <c r="HO11" s="394"/>
      <c r="HP11" s="394"/>
      <c r="HQ11" s="394"/>
      <c r="HR11" s="394"/>
      <c r="HS11" s="394"/>
      <c r="HT11" s="394"/>
      <c r="HU11" s="394"/>
      <c r="HV11" s="394"/>
      <c r="HW11" s="394"/>
      <c r="HX11" s="394"/>
      <c r="HY11" s="394"/>
      <c r="HZ11" s="394"/>
      <c r="IA11" s="394"/>
      <c r="IB11" s="394"/>
      <c r="IC11" s="394"/>
      <c r="ID11" s="394"/>
      <c r="IE11" s="394"/>
      <c r="IF11" s="394"/>
      <c r="IG11" s="394"/>
      <c r="IH11" s="394"/>
      <c r="II11" s="394"/>
      <c r="IJ11" s="394"/>
      <c r="IK11" s="394"/>
      <c r="IL11" s="394"/>
      <c r="IM11" s="394"/>
      <c r="IN11" s="394"/>
      <c r="IO11" s="394"/>
      <c r="IP11" s="394"/>
      <c r="IQ11" s="394"/>
      <c r="IR11" s="394"/>
      <c r="IS11" s="394"/>
      <c r="IT11" s="394"/>
      <c r="IU11" s="394"/>
      <c r="IV11" s="394"/>
      <c r="IW11" s="394"/>
      <c r="IX11" s="394"/>
      <c r="IY11" s="394"/>
      <c r="IZ11" s="394"/>
      <c r="JA11" s="394"/>
      <c r="JB11" s="394"/>
      <c r="JC11" s="394"/>
      <c r="JD11" s="394"/>
      <c r="JE11" s="394"/>
      <c r="JF11" s="394"/>
      <c r="JG11" s="394"/>
      <c r="JH11" s="394"/>
      <c r="JI11" s="394"/>
      <c r="JJ11" s="394"/>
      <c r="JK11" s="394"/>
      <c r="JL11" s="394"/>
      <c r="JM11" s="394"/>
      <c r="JN11" s="394"/>
      <c r="JO11" s="394"/>
      <c r="JP11" s="394"/>
      <c r="JQ11" s="394"/>
      <c r="JR11" s="394"/>
      <c r="JS11" s="394"/>
      <c r="JT11" s="394"/>
      <c r="JU11" s="394"/>
      <c r="JV11" s="394"/>
      <c r="JW11" s="394"/>
      <c r="JX11" s="394"/>
      <c r="JY11" s="394"/>
      <c r="JZ11" s="394"/>
      <c r="KA11" s="394"/>
      <c r="KB11" s="394"/>
      <c r="KC11" s="394"/>
      <c r="KD11" s="394"/>
      <c r="KE11" s="394"/>
      <c r="KF11" s="394"/>
      <c r="KG11" s="394"/>
      <c r="KH11" s="394"/>
      <c r="KI11" s="394"/>
      <c r="KJ11" s="394"/>
      <c r="KK11" s="394"/>
      <c r="KL11" s="394"/>
      <c r="KM11" s="394"/>
      <c r="KN11" s="394"/>
      <c r="KO11" s="394"/>
      <c r="KP11" s="394"/>
      <c r="KQ11" s="394"/>
      <c r="KR11" s="394"/>
      <c r="KS11" s="394"/>
      <c r="KT11" s="394"/>
      <c r="KU11" s="394"/>
      <c r="KV11" s="394"/>
      <c r="KW11" s="394"/>
      <c r="KX11" s="394"/>
      <c r="KY11" s="394"/>
      <c r="KZ11" s="394"/>
      <c r="LA11" s="394"/>
      <c r="LB11" s="394"/>
      <c r="LC11" s="394"/>
      <c r="LD11" s="394"/>
      <c r="LE11" s="394"/>
      <c r="LF11" s="394"/>
      <c r="LG11" s="394"/>
      <c r="LH11" s="394"/>
      <c r="LI11" s="394"/>
      <c r="LJ11" s="394"/>
      <c r="LK11" s="394"/>
      <c r="LL11" s="394"/>
      <c r="LM11" s="394"/>
      <c r="LN11" s="394"/>
      <c r="LO11" s="394"/>
      <c r="LP11" s="394"/>
      <c r="LQ11" s="394"/>
      <c r="LR11" s="394"/>
      <c r="LS11" s="394"/>
      <c r="LT11" s="394"/>
      <c r="LU11" s="394"/>
      <c r="LV11" s="394"/>
      <c r="LW11" s="394"/>
      <c r="LX11" s="394"/>
      <c r="LY11" s="394"/>
      <c r="LZ11" s="394"/>
      <c r="MA11" s="394"/>
      <c r="MB11" s="394"/>
      <c r="MC11" s="394"/>
      <c r="MD11" s="394"/>
      <c r="ME11" s="394"/>
      <c r="MF11" s="394"/>
      <c r="MG11" s="394"/>
      <c r="MH11" s="394"/>
      <c r="MI11" s="394"/>
      <c r="MJ11" s="394"/>
      <c r="MK11" s="394"/>
      <c r="ML11" s="394"/>
      <c r="MM11" s="394"/>
      <c r="MN11" s="394"/>
      <c r="MO11" s="394"/>
      <c r="MP11" s="394"/>
      <c r="MQ11" s="394"/>
      <c r="MR11" s="394"/>
      <c r="MS11" s="394"/>
      <c r="MT11" s="394"/>
      <c r="MU11" s="394"/>
      <c r="MV11" s="394"/>
      <c r="MW11" s="394"/>
      <c r="MX11" s="394"/>
      <c r="MY11" s="394"/>
      <c r="MZ11" s="394"/>
      <c r="NA11" s="394"/>
      <c r="NB11" s="394"/>
      <c r="NC11" s="394"/>
      <c r="ND11" s="394"/>
      <c r="NE11" s="394"/>
      <c r="NF11" s="394"/>
      <c r="NG11" s="394"/>
      <c r="NH11" s="394"/>
      <c r="NI11" s="394"/>
      <c r="NJ11" s="394"/>
      <c r="NK11" s="394"/>
      <c r="NL11" s="394"/>
      <c r="NM11" s="394"/>
      <c r="NN11" s="394"/>
      <c r="NO11" s="394"/>
      <c r="NP11" s="394"/>
      <c r="NQ11" s="394"/>
      <c r="NR11" s="394"/>
      <c r="NS11" s="394"/>
      <c r="NT11" s="394"/>
      <c r="NU11" s="394"/>
      <c r="NV11" s="394"/>
      <c r="NW11" s="394"/>
      <c r="NX11" s="394"/>
      <c r="NY11" s="394"/>
      <c r="NZ11" s="394"/>
      <c r="OA11" s="394"/>
      <c r="OB11" s="394"/>
      <c r="OC11" s="394"/>
      <c r="OD11" s="394"/>
      <c r="OE11" s="394"/>
      <c r="OF11" s="394"/>
      <c r="OG11" s="394"/>
      <c r="OH11" s="394"/>
      <c r="OI11" s="394"/>
      <c r="OJ11" s="394"/>
      <c r="OK11" s="394"/>
      <c r="OL11" s="394"/>
      <c r="OM11" s="394"/>
      <c r="ON11" s="394"/>
      <c r="OO11" s="394"/>
      <c r="OP11" s="394"/>
      <c r="OQ11" s="394"/>
      <c r="OR11" s="394"/>
      <c r="OS11" s="394"/>
      <c r="OT11" s="394"/>
      <c r="OU11" s="394"/>
      <c r="OV11" s="394"/>
      <c r="OW11" s="394"/>
      <c r="OX11" s="394"/>
      <c r="OY11" s="394"/>
      <c r="OZ11" s="394"/>
      <c r="PA11" s="394"/>
      <c r="PB11" s="394"/>
      <c r="PC11" s="394"/>
      <c r="PD11" s="394"/>
      <c r="PE11" s="394"/>
      <c r="PF11" s="394"/>
      <c r="PG11" s="394"/>
      <c r="PH11" s="394"/>
      <c r="PI11" s="394"/>
      <c r="PJ11" s="394"/>
      <c r="PK11" s="394"/>
      <c r="PL11" s="394"/>
      <c r="PM11" s="394"/>
      <c r="PN11" s="394"/>
      <c r="PO11" s="394"/>
      <c r="PP11" s="394"/>
      <c r="PQ11" s="394"/>
      <c r="PR11" s="394"/>
      <c r="PS11" s="394"/>
      <c r="PT11" s="394"/>
      <c r="PU11" s="394"/>
      <c r="PV11" s="394"/>
      <c r="PW11" s="394"/>
      <c r="PX11" s="394"/>
      <c r="PY11" s="394"/>
      <c r="PZ11" s="394"/>
      <c r="QA11" s="394"/>
      <c r="QB11" s="394"/>
      <c r="QC11" s="394"/>
      <c r="QD11" s="394"/>
      <c r="QE11" s="394"/>
      <c r="QF11" s="394"/>
      <c r="QG11" s="394"/>
      <c r="QH11" s="394"/>
      <c r="QI11" s="394"/>
      <c r="QJ11" s="394"/>
      <c r="QK11" s="394"/>
      <c r="QL11" s="394"/>
      <c r="QM11" s="394"/>
      <c r="QN11" s="394"/>
      <c r="QO11" s="394"/>
      <c r="QP11" s="394"/>
      <c r="QQ11" s="394"/>
      <c r="QR11" s="394"/>
      <c r="QS11" s="394"/>
      <c r="QT11" s="394"/>
      <c r="QU11" s="394"/>
      <c r="QV11" s="394"/>
      <c r="QW11" s="394"/>
      <c r="QX11" s="394"/>
      <c r="QY11" s="394"/>
      <c r="QZ11" s="394"/>
      <c r="RA11" s="394"/>
      <c r="RB11" s="394"/>
      <c r="RC11" s="394"/>
      <c r="RD11" s="394"/>
      <c r="RE11" s="394"/>
      <c r="RF11" s="394"/>
      <c r="RG11" s="394"/>
      <c r="RH11" s="394"/>
      <c r="RI11" s="394"/>
      <c r="RJ11" s="394"/>
      <c r="RK11" s="394"/>
      <c r="RL11" s="394"/>
      <c r="RM11" s="394"/>
      <c r="RN11" s="394"/>
      <c r="RO11" s="394"/>
      <c r="RP11" s="394"/>
      <c r="RQ11" s="394"/>
      <c r="RR11" s="394"/>
      <c r="RS11" s="394"/>
      <c r="RT11" s="394"/>
      <c r="RU11" s="394"/>
      <c r="RV11" s="394"/>
      <c r="RW11" s="394"/>
      <c r="RX11" s="394"/>
      <c r="RY11" s="394"/>
      <c r="RZ11" s="394"/>
      <c r="SA11" s="394"/>
      <c r="SB11" s="394"/>
      <c r="SC11" s="394"/>
      <c r="SD11" s="394"/>
      <c r="SE11" s="394"/>
      <c r="SF11" s="394"/>
      <c r="SG11" s="394"/>
      <c r="SH11" s="394"/>
      <c r="SI11" s="394"/>
      <c r="SJ11" s="394"/>
      <c r="SK11" s="394"/>
      <c r="SL11" s="394"/>
      <c r="SM11" s="394"/>
      <c r="SN11" s="394"/>
      <c r="SO11" s="394"/>
      <c r="SP11" s="394"/>
      <c r="SQ11" s="394"/>
      <c r="SR11" s="394"/>
      <c r="SS11" s="394"/>
      <c r="ST11" s="394"/>
      <c r="SU11" s="394"/>
      <c r="SV11" s="394"/>
      <c r="SW11" s="394"/>
      <c r="SX11" s="394"/>
      <c r="SY11" s="394"/>
      <c r="SZ11" s="394"/>
      <c r="TA11" s="394"/>
      <c r="TB11" s="394"/>
      <c r="TC11" s="394"/>
      <c r="TD11" s="394"/>
      <c r="TE11" s="394"/>
      <c r="TF11" s="394"/>
      <c r="TG11" s="394"/>
      <c r="TH11" s="394"/>
      <c r="TI11" s="394"/>
      <c r="TJ11" s="394"/>
      <c r="TK11" s="394"/>
      <c r="TL11" s="394"/>
      <c r="TM11" s="394"/>
      <c r="TN11" s="394"/>
      <c r="TO11" s="394"/>
      <c r="TP11" s="394"/>
      <c r="TQ11" s="394"/>
      <c r="TR11" s="394"/>
      <c r="TS11" s="394"/>
      <c r="TT11" s="394"/>
      <c r="TU11" s="394"/>
      <c r="TV11" s="394"/>
      <c r="TW11" s="394"/>
      <c r="TX11" s="394"/>
      <c r="TY11" s="394"/>
      <c r="TZ11" s="394"/>
      <c r="UA11" s="394"/>
      <c r="UB11" s="394"/>
      <c r="UC11" s="394"/>
      <c r="UD11" s="394"/>
      <c r="UE11" s="394"/>
      <c r="UF11" s="394"/>
      <c r="UG11" s="394"/>
      <c r="UH11" s="394"/>
      <c r="UI11" s="394"/>
      <c r="UJ11" s="394"/>
      <c r="UK11" s="394"/>
      <c r="UL11" s="394"/>
      <c r="UM11" s="394"/>
      <c r="UN11" s="394"/>
      <c r="UO11" s="394"/>
      <c r="UP11" s="394"/>
      <c r="UQ11" s="394"/>
      <c r="UR11" s="394"/>
      <c r="US11" s="394"/>
      <c r="UT11" s="394"/>
      <c r="UU11" s="394"/>
      <c r="UV11" s="394"/>
      <c r="UW11" s="394"/>
      <c r="UX11" s="394"/>
      <c r="UY11" s="394"/>
      <c r="UZ11" s="394"/>
      <c r="VA11" s="394"/>
      <c r="VB11" s="394"/>
      <c r="VC11" s="394"/>
      <c r="VD11" s="394"/>
      <c r="VE11" s="394"/>
      <c r="VF11" s="394"/>
      <c r="VG11" s="394"/>
      <c r="VH11" s="394"/>
      <c r="VI11" s="394"/>
      <c r="VJ11" s="394"/>
      <c r="VK11" s="394"/>
      <c r="VL11" s="394"/>
      <c r="VM11" s="394"/>
      <c r="VN11" s="394"/>
      <c r="VO11" s="394"/>
      <c r="VP11" s="394"/>
      <c r="VQ11" s="394"/>
      <c r="VR11" s="394"/>
      <c r="VS11" s="394"/>
      <c r="VT11" s="394"/>
      <c r="VU11" s="394"/>
      <c r="VV11" s="394"/>
      <c r="VW11" s="394"/>
      <c r="VX11" s="394"/>
      <c r="VY11" s="394"/>
      <c r="VZ11" s="394"/>
      <c r="WA11" s="394"/>
      <c r="WB11" s="394"/>
      <c r="WC11" s="394"/>
      <c r="WD11" s="394"/>
      <c r="WE11" s="394"/>
      <c r="WF11" s="394"/>
      <c r="WG11" s="394"/>
      <c r="WH11" s="394"/>
      <c r="WI11" s="394"/>
      <c r="WJ11" s="394"/>
      <c r="WK11" s="394"/>
      <c r="WL11" s="394"/>
      <c r="WM11" s="394"/>
      <c r="WN11" s="394"/>
      <c r="WO11" s="394"/>
      <c r="WP11" s="394"/>
      <c r="WQ11" s="394"/>
      <c r="WR11" s="394"/>
      <c r="WS11" s="394"/>
      <c r="WT11" s="394"/>
      <c r="WU11" s="394"/>
      <c r="WV11" s="394"/>
      <c r="WW11" s="394"/>
      <c r="WX11" s="394"/>
      <c r="WY11" s="394"/>
      <c r="WZ11" s="394"/>
      <c r="XA11" s="394"/>
      <c r="XB11" s="394"/>
      <c r="XC11" s="394"/>
      <c r="XD11" s="394"/>
      <c r="XE11" s="394"/>
      <c r="XF11" s="394"/>
      <c r="XG11" s="394"/>
      <c r="XH11" s="394"/>
      <c r="XI11" s="394"/>
      <c r="XJ11" s="394"/>
      <c r="XK11" s="394"/>
      <c r="XL11" s="394"/>
      <c r="XM11" s="394"/>
      <c r="XN11" s="394"/>
      <c r="XO11" s="394"/>
      <c r="XP11" s="394"/>
      <c r="XQ11" s="394"/>
      <c r="XR11" s="394"/>
      <c r="XS11" s="394"/>
      <c r="XT11" s="394"/>
      <c r="XU11" s="394"/>
      <c r="XV11" s="394"/>
      <c r="XW11" s="394"/>
      <c r="XX11" s="394"/>
      <c r="XY11" s="394"/>
      <c r="XZ11" s="394"/>
      <c r="YA11" s="394"/>
      <c r="YB11" s="394"/>
      <c r="YC11" s="394"/>
      <c r="YD11" s="394"/>
      <c r="YE11" s="394"/>
      <c r="YF11" s="394"/>
      <c r="YG11" s="394"/>
      <c r="YH11" s="394"/>
      <c r="YI11" s="394"/>
      <c r="YJ11" s="394"/>
      <c r="YK11" s="394"/>
      <c r="YL11" s="394"/>
      <c r="YM11" s="394"/>
      <c r="YN11" s="394"/>
      <c r="YO11" s="394"/>
      <c r="YP11" s="394"/>
      <c r="YQ11" s="394"/>
      <c r="YR11" s="394"/>
      <c r="YS11" s="394"/>
      <c r="YT11" s="394"/>
      <c r="YU11" s="394"/>
      <c r="YV11" s="394"/>
      <c r="YW11" s="394"/>
      <c r="YX11" s="394"/>
      <c r="YY11" s="394"/>
      <c r="YZ11" s="394"/>
      <c r="ZA11" s="394"/>
      <c r="ZB11" s="394"/>
      <c r="ZC11" s="394"/>
      <c r="ZD11" s="394"/>
      <c r="ZE11" s="394"/>
      <c r="ZF11" s="394"/>
      <c r="ZG11" s="394"/>
      <c r="ZH11" s="394"/>
      <c r="ZI11" s="394"/>
      <c r="ZJ11" s="394"/>
      <c r="ZK11" s="394"/>
      <c r="ZL11" s="394"/>
      <c r="ZM11" s="394"/>
      <c r="ZN11" s="394"/>
      <c r="ZO11" s="394"/>
      <c r="ZP11" s="394"/>
      <c r="ZQ11" s="394"/>
      <c r="ZR11" s="394"/>
      <c r="ZS11" s="394"/>
      <c r="ZT11" s="394"/>
      <c r="ZU11" s="394"/>
      <c r="ZV11" s="394"/>
      <c r="ZW11" s="394"/>
      <c r="ZX11" s="394"/>
      <c r="ZY11" s="394"/>
      <c r="ZZ11" s="394"/>
      <c r="AAA11" s="394"/>
      <c r="AAB11" s="394"/>
      <c r="AAC11" s="394"/>
      <c r="AAD11" s="394"/>
      <c r="AAE11" s="394"/>
      <c r="AAF11" s="394"/>
      <c r="AAG11" s="394"/>
      <c r="AAH11" s="394"/>
      <c r="AAI11" s="394"/>
      <c r="AAJ11" s="394"/>
      <c r="AAK11" s="394"/>
      <c r="AAL11" s="394"/>
      <c r="AAM11" s="394"/>
      <c r="AAN11" s="394"/>
      <c r="AAO11" s="394"/>
      <c r="AAP11" s="394"/>
      <c r="AAQ11" s="394"/>
      <c r="AAR11" s="394"/>
      <c r="AAS11" s="394"/>
      <c r="AAT11" s="394"/>
      <c r="AAU11" s="394"/>
      <c r="AAV11" s="394"/>
      <c r="AAW11" s="394"/>
      <c r="AAX11" s="394"/>
      <c r="AAY11" s="394"/>
      <c r="AAZ11" s="394"/>
      <c r="ABA11" s="394"/>
      <c r="ABB11" s="394"/>
      <c r="ABC11" s="394"/>
      <c r="ABD11" s="394"/>
      <c r="ABE11" s="394"/>
      <c r="ABF11" s="394"/>
      <c r="ABG11" s="394"/>
      <c r="ABH11" s="394"/>
      <c r="ABI11" s="394"/>
      <c r="ABJ11" s="394"/>
      <c r="ABK11" s="394"/>
      <c r="ABL11" s="394"/>
      <c r="ABM11" s="394"/>
      <c r="ABN11" s="394"/>
      <c r="ABO11" s="394"/>
      <c r="ABP11" s="394"/>
      <c r="ABQ11" s="394"/>
      <c r="ABR11" s="394"/>
      <c r="ABS11" s="394"/>
      <c r="ABT11" s="394"/>
      <c r="ABU11" s="394"/>
      <c r="ABV11" s="394"/>
      <c r="ABW11" s="394"/>
      <c r="ABX11" s="394"/>
      <c r="ABY11" s="394"/>
      <c r="ABZ11" s="394"/>
      <c r="ACA11" s="394"/>
      <c r="ACB11" s="394"/>
      <c r="ACC11" s="394"/>
      <c r="ACD11" s="394"/>
      <c r="ACE11" s="394"/>
      <c r="ACF11" s="394"/>
      <c r="ACG11" s="394"/>
      <c r="ACH11" s="394"/>
      <c r="ACI11" s="394"/>
      <c r="ACJ11" s="394"/>
      <c r="ACK11" s="394"/>
      <c r="ACL11" s="394"/>
      <c r="ACM11" s="394"/>
      <c r="ACN11" s="394"/>
      <c r="ACO11" s="394"/>
      <c r="ACP11" s="394"/>
      <c r="ACQ11" s="394"/>
      <c r="ACR11" s="394"/>
      <c r="ACS11" s="394"/>
      <c r="ACT11" s="394"/>
      <c r="ACU11" s="394"/>
      <c r="ACV11" s="394"/>
      <c r="ACW11" s="394"/>
      <c r="ACX11" s="394"/>
      <c r="ACY11" s="394"/>
      <c r="ACZ11" s="394"/>
      <c r="ADA11" s="394"/>
      <c r="ADB11" s="394"/>
      <c r="ADC11" s="394"/>
      <c r="ADD11" s="394"/>
      <c r="ADE11" s="394"/>
      <c r="ADF11" s="394"/>
      <c r="ADG11" s="394"/>
      <c r="ADH11" s="394"/>
      <c r="ADI11" s="394"/>
      <c r="ADJ11" s="394"/>
      <c r="ADK11" s="394"/>
      <c r="ADL11" s="394"/>
      <c r="ADM11" s="394"/>
      <c r="ADN11" s="394"/>
      <c r="ADO11" s="394"/>
      <c r="ADP11" s="394"/>
      <c r="ADQ11" s="394"/>
      <c r="ADR11" s="394"/>
      <c r="ADS11" s="394"/>
      <c r="ADT11" s="394"/>
      <c r="ADU11" s="394"/>
      <c r="ADV11" s="394"/>
      <c r="ADW11" s="394"/>
      <c r="ADX11" s="394"/>
      <c r="ADY11" s="394"/>
      <c r="ADZ11" s="394"/>
      <c r="AEA11" s="394"/>
      <c r="AEB11" s="394"/>
      <c r="AEC11" s="394"/>
      <c r="AED11" s="394"/>
      <c r="AEE11" s="394"/>
      <c r="AEF11" s="394"/>
      <c r="AEG11" s="394"/>
      <c r="AEH11" s="394"/>
      <c r="AEI11" s="394"/>
      <c r="AEJ11" s="394"/>
      <c r="AEK11" s="394"/>
      <c r="AEL11" s="394"/>
      <c r="AEM11" s="394"/>
      <c r="AEN11" s="394"/>
      <c r="AEO11" s="394"/>
      <c r="AEP11" s="394"/>
      <c r="AEQ11" s="394"/>
      <c r="AER11" s="394"/>
      <c r="AES11" s="394"/>
      <c r="AET11" s="394"/>
      <c r="AEU11" s="394"/>
      <c r="AEV11" s="394"/>
      <c r="AEW11" s="394"/>
      <c r="AEX11" s="394"/>
      <c r="AEY11" s="394"/>
      <c r="AEZ11" s="394"/>
      <c r="AFA11" s="394"/>
      <c r="AFB11" s="394"/>
      <c r="AFC11" s="394"/>
      <c r="AFD11" s="394"/>
      <c r="AFE11" s="394"/>
      <c r="AFF11" s="394"/>
      <c r="AFG11" s="394"/>
      <c r="AFH11" s="394"/>
      <c r="AFI11" s="394"/>
      <c r="AFJ11" s="394"/>
      <c r="AFK11" s="394"/>
      <c r="AFL11" s="394"/>
      <c r="AFM11" s="394"/>
      <c r="AFN11" s="394"/>
      <c r="AFO11" s="394"/>
      <c r="AFP11" s="394"/>
      <c r="AFQ11" s="394"/>
      <c r="AFR11" s="394"/>
      <c r="AFS11" s="394"/>
      <c r="AFT11" s="394"/>
      <c r="AFU11" s="394"/>
      <c r="AFV11" s="394"/>
      <c r="AFW11" s="394"/>
      <c r="AFX11" s="394"/>
      <c r="AFY11" s="394"/>
      <c r="AFZ11" s="394"/>
      <c r="AGA11" s="394"/>
      <c r="AGB11" s="394"/>
      <c r="AGC11" s="394"/>
      <c r="AGD11" s="394"/>
      <c r="AGE11" s="394"/>
      <c r="AGF11" s="394"/>
      <c r="AGG11" s="394"/>
      <c r="AGH11" s="394"/>
      <c r="AGI11" s="394"/>
      <c r="AGJ11" s="394"/>
      <c r="AGK11" s="394"/>
      <c r="AGL11" s="394"/>
      <c r="AGM11" s="394"/>
      <c r="AGN11" s="394"/>
      <c r="AGO11" s="394"/>
      <c r="AGP11" s="394"/>
      <c r="AGQ11" s="394"/>
      <c r="AGR11" s="394"/>
      <c r="AGS11" s="394"/>
      <c r="AGT11" s="394"/>
      <c r="AGU11" s="394"/>
      <c r="AGV11" s="394"/>
      <c r="AGW11" s="394"/>
      <c r="AGX11" s="394"/>
      <c r="AGY11" s="394"/>
      <c r="AGZ11" s="394"/>
      <c r="AHA11" s="394"/>
      <c r="AHB11" s="394"/>
      <c r="AHC11" s="394"/>
      <c r="AHD11" s="394"/>
      <c r="AHE11" s="394"/>
      <c r="AHF11" s="394"/>
      <c r="AHG11" s="394"/>
      <c r="AHH11" s="394"/>
      <c r="AHI11" s="394"/>
      <c r="AHJ11" s="394"/>
      <c r="AHK11" s="394"/>
      <c r="AHL11" s="394"/>
      <c r="AHM11" s="394"/>
      <c r="AHN11" s="394"/>
      <c r="AHO11" s="394"/>
      <c r="AHP11" s="394"/>
      <c r="AHQ11" s="394"/>
      <c r="AHR11" s="394"/>
      <c r="AHS11" s="394"/>
      <c r="AHT11" s="394"/>
      <c r="AHU11" s="394"/>
      <c r="AHV11" s="394"/>
      <c r="AHW11" s="394"/>
      <c r="AHX11" s="394"/>
      <c r="AHY11" s="394"/>
      <c r="AHZ11" s="394"/>
      <c r="AIA11" s="394"/>
      <c r="AIB11" s="394"/>
      <c r="AIC11" s="394"/>
      <c r="AID11" s="394"/>
      <c r="AIE11" s="394"/>
      <c r="AIF11" s="394"/>
      <c r="AIG11" s="394"/>
      <c r="AIH11" s="394"/>
      <c r="AII11" s="394"/>
      <c r="AIJ11" s="394"/>
      <c r="AIK11" s="394"/>
      <c r="AIL11" s="394"/>
      <c r="AIM11" s="394"/>
      <c r="AIN11" s="394"/>
      <c r="AIO11" s="394"/>
      <c r="AIP11" s="394"/>
      <c r="AIQ11" s="394"/>
      <c r="AIR11" s="394"/>
      <c r="AIS11" s="394"/>
      <c r="AIT11" s="394"/>
      <c r="AIU11" s="394"/>
      <c r="AIV11" s="394"/>
      <c r="AIW11" s="394"/>
      <c r="AIX11" s="394"/>
      <c r="AIY11" s="394"/>
      <c r="AIZ11" s="394"/>
      <c r="AJA11" s="394"/>
      <c r="AJB11" s="394"/>
      <c r="AJC11" s="394"/>
      <c r="AJD11" s="394"/>
      <c r="AJE11" s="394"/>
      <c r="AJF11" s="394"/>
      <c r="AJG11" s="394"/>
      <c r="AJH11" s="394"/>
      <c r="AJI11" s="394"/>
      <c r="AJJ11" s="394"/>
      <c r="AJK11" s="394"/>
      <c r="AJL11" s="394"/>
      <c r="AJM11" s="394"/>
      <c r="AJN11" s="394"/>
      <c r="AJO11" s="394"/>
      <c r="AJP11" s="394"/>
      <c r="AJQ11" s="394"/>
      <c r="AJR11" s="394"/>
      <c r="AJS11" s="394"/>
      <c r="AJT11" s="394"/>
      <c r="AJU11" s="394"/>
      <c r="AJV11" s="394"/>
      <c r="AJW11" s="394"/>
      <c r="AJX11" s="394"/>
      <c r="AJY11" s="394"/>
      <c r="AJZ11" s="394"/>
      <c r="AKA11" s="394"/>
      <c r="AKB11" s="394"/>
      <c r="AKC11" s="394"/>
      <c r="AKD11" s="394"/>
      <c r="AKE11" s="394"/>
      <c r="AKF11" s="394"/>
      <c r="AKG11" s="394"/>
      <c r="AKH11" s="394"/>
      <c r="AKI11" s="394"/>
      <c r="AKJ11" s="394"/>
      <c r="AKK11" s="394"/>
      <c r="AKL11" s="394"/>
      <c r="AKM11" s="394"/>
      <c r="AKN11" s="394"/>
      <c r="AKO11" s="394"/>
      <c r="AKP11" s="394"/>
      <c r="AKQ11" s="394"/>
      <c r="AKR11" s="394"/>
      <c r="AKS11" s="394"/>
      <c r="AKT11" s="394"/>
      <c r="AKU11" s="394"/>
      <c r="AKV11" s="394"/>
      <c r="AKW11" s="394"/>
      <c r="AKX11" s="394"/>
      <c r="AKY11" s="394"/>
      <c r="AKZ11" s="394"/>
      <c r="ALA11" s="394"/>
      <c r="ALB11" s="394"/>
      <c r="ALC11" s="394"/>
      <c r="ALD11" s="394"/>
      <c r="ALE11" s="394"/>
      <c r="ALF11" s="394"/>
      <c r="ALG11" s="394"/>
      <c r="ALH11" s="394"/>
      <c r="ALI11" s="394"/>
      <c r="ALJ11" s="394"/>
      <c r="ALK11" s="394"/>
      <c r="ALL11" s="394"/>
      <c r="ALM11" s="394"/>
      <c r="ALN11" s="394"/>
      <c r="ALO11" s="394"/>
      <c r="ALP11" s="394"/>
      <c r="ALQ11" s="394"/>
      <c r="ALR11" s="394"/>
      <c r="ALS11" s="394"/>
      <c r="ALT11" s="394"/>
      <c r="ALU11" s="394"/>
      <c r="ALV11" s="394"/>
      <c r="ALW11" s="394"/>
      <c r="ALX11" s="394"/>
      <c r="ALY11" s="394"/>
      <c r="ALZ11" s="394"/>
      <c r="AMA11" s="394"/>
      <c r="AMB11" s="394"/>
      <c r="AMC11" s="394"/>
      <c r="AMD11" s="394"/>
      <c r="AME11" s="394"/>
      <c r="AMF11" s="394"/>
      <c r="AMG11" s="394"/>
      <c r="AMH11" s="394"/>
      <c r="AMI11" s="394"/>
      <c r="AMJ11" s="394"/>
      <c r="AMK11" s="394"/>
      <c r="AML11" s="394"/>
      <c r="AMM11" s="394"/>
      <c r="AMN11" s="394"/>
      <c r="AMO11" s="394"/>
      <c r="AMP11" s="394"/>
      <c r="AMQ11" s="394"/>
      <c r="AMR11" s="394"/>
      <c r="AMS11" s="394"/>
      <c r="AMT11" s="394"/>
      <c r="AMU11" s="394"/>
      <c r="AMV11" s="394"/>
      <c r="AMW11" s="394"/>
      <c r="AMX11" s="394"/>
      <c r="AMY11" s="394"/>
      <c r="AMZ11" s="394"/>
      <c r="ANA11" s="394"/>
      <c r="ANB11" s="394"/>
      <c r="ANC11" s="394"/>
      <c r="AND11" s="394"/>
      <c r="ANE11" s="394"/>
      <c r="ANF11" s="394"/>
      <c r="ANG11" s="394"/>
      <c r="ANH11" s="394"/>
      <c r="ANI11" s="394"/>
      <c r="ANJ11" s="394"/>
      <c r="ANK11" s="394"/>
      <c r="ANL11" s="394"/>
      <c r="ANM11" s="394"/>
      <c r="ANN11" s="394"/>
      <c r="ANO11" s="394"/>
      <c r="ANP11" s="394"/>
      <c r="ANQ11" s="394"/>
      <c r="ANR11" s="394"/>
      <c r="ANS11" s="394"/>
      <c r="ANT11" s="394"/>
      <c r="ANU11" s="394"/>
      <c r="ANV11" s="394"/>
      <c r="ANW11" s="394"/>
      <c r="ANX11" s="394"/>
      <c r="ANY11" s="394"/>
      <c r="ANZ11" s="394"/>
      <c r="AOA11" s="394"/>
      <c r="AOB11" s="394"/>
      <c r="AOC11" s="394"/>
      <c r="AOD11" s="394"/>
      <c r="AOE11" s="394"/>
      <c r="AOF11" s="394"/>
      <c r="AOG11" s="394"/>
      <c r="AOH11" s="394"/>
      <c r="AOI11" s="394"/>
      <c r="AOJ11" s="394"/>
      <c r="AOK11" s="394"/>
      <c r="AOL11" s="394"/>
      <c r="AOM11" s="394"/>
      <c r="AON11" s="394"/>
      <c r="AOO11" s="394"/>
      <c r="AOP11" s="394"/>
      <c r="AOQ11" s="394"/>
      <c r="AOR11" s="394"/>
      <c r="AOS11" s="394"/>
      <c r="AOT11" s="394"/>
      <c r="AOU11" s="394"/>
      <c r="AOV11" s="394"/>
      <c r="AOW11" s="394"/>
      <c r="AOX11" s="394"/>
      <c r="AOY11" s="394"/>
      <c r="AOZ11" s="394"/>
      <c r="APA11" s="394"/>
      <c r="APB11" s="394"/>
      <c r="APC11" s="394"/>
      <c r="APD11" s="394"/>
      <c r="APE11" s="394"/>
      <c r="APF11" s="394"/>
      <c r="APG11" s="394"/>
      <c r="APH11" s="394"/>
      <c r="API11" s="394"/>
      <c r="APJ11" s="394"/>
      <c r="APK11" s="394"/>
      <c r="APL11" s="394"/>
      <c r="APM11" s="394"/>
      <c r="APN11" s="394"/>
      <c r="APO11" s="394"/>
      <c r="APP11" s="394"/>
      <c r="APQ11" s="394"/>
      <c r="APR11" s="394"/>
      <c r="APS11" s="394"/>
      <c r="APT11" s="394"/>
      <c r="APU11" s="394"/>
      <c r="APV11" s="394"/>
      <c r="APW11" s="394"/>
      <c r="APX11" s="394"/>
      <c r="APY11" s="394"/>
      <c r="APZ11" s="394"/>
      <c r="AQA11" s="394"/>
      <c r="AQB11" s="394"/>
      <c r="AQC11" s="394"/>
      <c r="AQD11" s="394"/>
      <c r="AQE11" s="394"/>
      <c r="AQF11" s="394"/>
      <c r="AQG11" s="394"/>
      <c r="AQH11" s="394"/>
      <c r="AQI11" s="394"/>
      <c r="AQJ11" s="394"/>
      <c r="AQK11" s="394"/>
      <c r="AQL11" s="394"/>
      <c r="AQM11" s="394"/>
      <c r="AQN11" s="394"/>
      <c r="AQO11" s="394"/>
      <c r="AQP11" s="394"/>
      <c r="AQQ11" s="394"/>
      <c r="AQR11" s="394"/>
      <c r="AQS11" s="394"/>
      <c r="AQT11" s="394"/>
      <c r="AQU11" s="394"/>
      <c r="AQV11" s="394"/>
      <c r="AQW11" s="394"/>
      <c r="AQX11" s="394"/>
      <c r="AQY11" s="394"/>
      <c r="AQZ11" s="394"/>
      <c r="ARA11" s="394"/>
      <c r="ARB11" s="394"/>
      <c r="ARC11" s="394"/>
      <c r="ARD11" s="394"/>
      <c r="ARE11" s="394"/>
      <c r="ARF11" s="394"/>
      <c r="ARG11" s="394"/>
      <c r="ARH11" s="394"/>
      <c r="ARI11" s="394"/>
      <c r="ARJ11" s="394"/>
      <c r="ARK11" s="394"/>
      <c r="ARL11" s="394"/>
      <c r="ARM11" s="394"/>
      <c r="ARN11" s="394"/>
      <c r="ARO11" s="394"/>
      <c r="ARP11" s="394"/>
      <c r="ARQ11" s="394"/>
      <c r="ARR11" s="394"/>
      <c r="ARS11" s="394"/>
      <c r="ART11" s="394"/>
      <c r="ARU11" s="394"/>
      <c r="ARV11" s="394"/>
      <c r="ARW11" s="394"/>
      <c r="ARX11" s="394"/>
      <c r="ARY11" s="394"/>
      <c r="ARZ11" s="394"/>
      <c r="ASA11" s="394"/>
      <c r="ASB11" s="394"/>
      <c r="ASC11" s="394"/>
      <c r="ASD11" s="394"/>
      <c r="ASE11" s="394"/>
      <c r="ASF11" s="394"/>
      <c r="ASG11" s="394"/>
      <c r="ASH11" s="394"/>
      <c r="ASI11" s="394"/>
      <c r="ASJ11" s="394"/>
      <c r="ASK11" s="394"/>
      <c r="ASL11" s="394"/>
      <c r="ASM11" s="394"/>
      <c r="ASN11" s="394"/>
      <c r="ASO11" s="394"/>
      <c r="ASP11" s="394"/>
      <c r="ASQ11" s="394"/>
      <c r="ASR11" s="394"/>
      <c r="ASS11" s="394"/>
      <c r="AST11" s="394"/>
      <c r="ASU11" s="394"/>
      <c r="ASV11" s="394"/>
      <c r="ASW11" s="394"/>
      <c r="ASX11" s="394"/>
      <c r="ASY11" s="394"/>
      <c r="ASZ11" s="394"/>
      <c r="ATA11" s="394"/>
      <c r="ATB11" s="394"/>
      <c r="ATC11" s="394"/>
      <c r="ATD11" s="394"/>
      <c r="ATE11" s="394"/>
      <c r="ATF11" s="394"/>
      <c r="ATG11" s="394"/>
      <c r="ATH11" s="394"/>
      <c r="ATI11" s="394"/>
      <c r="ATJ11" s="394"/>
      <c r="ATK11" s="394"/>
      <c r="ATL11" s="394"/>
      <c r="ATM11" s="394"/>
      <c r="ATN11" s="394"/>
      <c r="ATO11" s="394"/>
      <c r="ATP11" s="394"/>
      <c r="ATQ11" s="394"/>
      <c r="ATR11" s="394"/>
      <c r="ATS11" s="394"/>
      <c r="ATT11" s="394"/>
      <c r="ATU11" s="394"/>
      <c r="ATV11" s="394"/>
      <c r="ATW11" s="394"/>
      <c r="ATX11" s="394"/>
      <c r="ATY11" s="394"/>
      <c r="ATZ11" s="394"/>
      <c r="AUA11" s="394"/>
      <c r="AUB11" s="394"/>
      <c r="AUC11" s="394"/>
      <c r="AUD11" s="394"/>
      <c r="AUE11" s="394"/>
      <c r="AUF11" s="394"/>
      <c r="AUG11" s="394"/>
      <c r="AUH11" s="394"/>
      <c r="AUI11" s="394"/>
      <c r="AUJ11" s="394"/>
      <c r="AUK11" s="394"/>
      <c r="AUL11" s="394"/>
      <c r="AUM11" s="394"/>
      <c r="AUN11" s="394"/>
      <c r="AUO11" s="394"/>
      <c r="AUP11" s="394"/>
      <c r="AUQ11" s="394"/>
      <c r="AUR11" s="394"/>
      <c r="AUS11" s="394"/>
      <c r="AUT11" s="394"/>
      <c r="AUU11" s="394"/>
      <c r="AUV11" s="394"/>
      <c r="AUW11" s="394"/>
      <c r="AUX11" s="394"/>
      <c r="AUY11" s="394"/>
      <c r="AUZ11" s="394"/>
      <c r="AVA11" s="394"/>
      <c r="AVB11" s="394"/>
      <c r="AVC11" s="394"/>
      <c r="AVD11" s="394"/>
      <c r="AVE11" s="394"/>
      <c r="AVF11" s="394"/>
      <c r="AVG11" s="394"/>
      <c r="AVH11" s="394"/>
      <c r="AVI11" s="394"/>
      <c r="AVJ11" s="394"/>
      <c r="AVK11" s="394"/>
      <c r="AVL11" s="394"/>
      <c r="AVM11" s="394"/>
      <c r="AVN11" s="394"/>
      <c r="AVO11" s="394"/>
      <c r="AVP11" s="394"/>
      <c r="AVQ11" s="394"/>
      <c r="AVR11" s="394"/>
      <c r="AVS11" s="394"/>
      <c r="AVT11" s="394"/>
      <c r="AVU11" s="394"/>
      <c r="AVV11" s="394"/>
      <c r="AVW11" s="394"/>
      <c r="AVX11" s="394"/>
      <c r="AVY11" s="394"/>
      <c r="AVZ11" s="394"/>
      <c r="AWA11" s="394"/>
      <c r="AWB11" s="394"/>
      <c r="AWC11" s="394"/>
      <c r="AWD11" s="394"/>
      <c r="AWE11" s="394"/>
      <c r="AWF11" s="394"/>
      <c r="AWG11" s="394"/>
      <c r="AWH11" s="394"/>
      <c r="AWI11" s="394"/>
      <c r="AWJ11" s="394"/>
      <c r="AWK11" s="394"/>
      <c r="AWL11" s="394"/>
      <c r="AWM11" s="394"/>
      <c r="AWN11" s="394"/>
      <c r="AWO11" s="394"/>
      <c r="AWP11" s="394"/>
      <c r="AWQ11" s="394"/>
      <c r="AWR11" s="394"/>
      <c r="AWS11" s="394"/>
      <c r="AWT11" s="394"/>
      <c r="AWU11" s="394"/>
      <c r="AWV11" s="394"/>
      <c r="AWW11" s="394"/>
      <c r="AWX11" s="394"/>
      <c r="AWY11" s="394"/>
      <c r="AWZ11" s="394"/>
      <c r="AXA11" s="394"/>
      <c r="AXB11" s="394"/>
      <c r="AXC11" s="394"/>
      <c r="AXD11" s="394"/>
      <c r="AXE11" s="394"/>
      <c r="AXF11" s="394"/>
      <c r="AXG11" s="394"/>
      <c r="AXH11" s="394"/>
      <c r="AXI11" s="394"/>
      <c r="AXJ11" s="394"/>
      <c r="AXK11" s="394"/>
      <c r="AXL11" s="394"/>
      <c r="AXM11" s="394"/>
      <c r="AXN11" s="394"/>
      <c r="AXO11" s="394"/>
      <c r="AXP11" s="394"/>
      <c r="AXQ11" s="394"/>
      <c r="AXR11" s="394"/>
      <c r="AXS11" s="394"/>
      <c r="AXT11" s="394"/>
      <c r="AXU11" s="394"/>
      <c r="AXV11" s="394"/>
      <c r="AXW11" s="394"/>
      <c r="AXX11" s="394"/>
      <c r="AXY11" s="394"/>
      <c r="AXZ11" s="394"/>
      <c r="AYA11" s="394"/>
      <c r="AYB11" s="394"/>
      <c r="AYC11" s="394"/>
      <c r="AYD11" s="394"/>
      <c r="AYE11" s="394"/>
      <c r="AYF11" s="394"/>
      <c r="AYG11" s="394"/>
      <c r="AYH11" s="394"/>
      <c r="AYI11" s="394"/>
      <c r="AYJ11" s="394"/>
      <c r="AYK11" s="394"/>
      <c r="AYL11" s="394"/>
      <c r="AYM11" s="394"/>
      <c r="AYN11" s="394"/>
      <c r="AYO11" s="394"/>
      <c r="AYP11" s="394"/>
      <c r="AYQ11" s="394"/>
      <c r="AYR11" s="394"/>
      <c r="AYS11" s="394"/>
      <c r="AYT11" s="394"/>
      <c r="AYU11" s="394"/>
      <c r="AYV11" s="394"/>
      <c r="AYW11" s="394"/>
      <c r="AYX11" s="394"/>
      <c r="AYY11" s="394"/>
      <c r="AYZ11" s="394"/>
      <c r="AZA11" s="394"/>
      <c r="AZB11" s="394"/>
      <c r="AZC11" s="394"/>
      <c r="AZD11" s="394"/>
      <c r="AZE11" s="394"/>
      <c r="AZF11" s="394"/>
      <c r="AZG11" s="394"/>
      <c r="AZH11" s="394"/>
      <c r="AZI11" s="394"/>
      <c r="AZJ11" s="394"/>
      <c r="AZK11" s="394"/>
      <c r="AZL11" s="394"/>
      <c r="AZM11" s="394"/>
      <c r="AZN11" s="394"/>
      <c r="AZO11" s="394"/>
      <c r="AZP11" s="394"/>
      <c r="AZQ11" s="394"/>
      <c r="AZR11" s="394"/>
      <c r="AZS11" s="394"/>
      <c r="AZT11" s="394"/>
      <c r="AZU11" s="394"/>
      <c r="AZV11" s="394"/>
      <c r="AZW11" s="394"/>
      <c r="AZX11" s="394"/>
      <c r="AZY11" s="394"/>
      <c r="AZZ11" s="394"/>
      <c r="BAA11" s="394"/>
      <c r="BAB11" s="394"/>
      <c r="BAC11" s="394"/>
      <c r="BAD11" s="394"/>
      <c r="BAE11" s="394"/>
      <c r="BAF11" s="394"/>
      <c r="BAG11" s="394"/>
      <c r="BAH11" s="394"/>
      <c r="BAI11" s="394"/>
      <c r="BAJ11" s="394"/>
      <c r="BAK11" s="394"/>
      <c r="BAL11" s="394"/>
      <c r="BAM11" s="394"/>
      <c r="BAN11" s="394"/>
      <c r="BAO11" s="394"/>
      <c r="BAP11" s="394"/>
      <c r="BAQ11" s="394"/>
      <c r="BAR11" s="394"/>
      <c r="BAS11" s="394"/>
      <c r="BAT11" s="394"/>
      <c r="BAU11" s="394"/>
      <c r="BAV11" s="394"/>
      <c r="BAW11" s="394"/>
      <c r="BAX11" s="394"/>
      <c r="BAY11" s="394"/>
      <c r="BAZ11" s="394"/>
      <c r="BBA11" s="394"/>
      <c r="BBB11" s="394"/>
      <c r="BBC11" s="394"/>
      <c r="BBD11" s="394"/>
      <c r="BBE11" s="394"/>
      <c r="BBF11" s="394"/>
      <c r="BBG11" s="394"/>
      <c r="BBH11" s="394"/>
      <c r="BBI11" s="394"/>
      <c r="BBJ11" s="394"/>
      <c r="BBK11" s="394"/>
      <c r="BBL11" s="394"/>
      <c r="BBM11" s="394"/>
      <c r="BBN11" s="394"/>
      <c r="BBO11" s="394"/>
      <c r="BBP11" s="394"/>
      <c r="BBQ11" s="394"/>
      <c r="BBR11" s="394"/>
      <c r="BBS11" s="394"/>
      <c r="BBT11" s="394"/>
      <c r="BBU11" s="394"/>
      <c r="BBV11" s="394"/>
      <c r="BBW11" s="394"/>
      <c r="BBX11" s="394"/>
      <c r="BBY11" s="394"/>
      <c r="BBZ11" s="394"/>
      <c r="BCA11" s="394"/>
      <c r="BCB11" s="394"/>
      <c r="BCC11" s="394"/>
      <c r="BCD11" s="394"/>
      <c r="BCE11" s="394"/>
      <c r="BCF11" s="394"/>
      <c r="BCG11" s="394"/>
      <c r="BCH11" s="394"/>
      <c r="BCI11" s="394"/>
      <c r="BCJ11" s="394"/>
      <c r="BCK11" s="394"/>
      <c r="BCL11" s="394"/>
      <c r="BCM11" s="394"/>
      <c r="BCN11" s="394"/>
      <c r="BCO11" s="394"/>
      <c r="BCP11" s="394"/>
      <c r="BCQ11" s="394"/>
      <c r="BCR11" s="394"/>
      <c r="BCS11" s="394"/>
      <c r="BCT11" s="394"/>
      <c r="BCU11" s="394"/>
      <c r="BCV11" s="394"/>
      <c r="BCW11" s="394"/>
      <c r="BCX11" s="394"/>
      <c r="BCY11" s="394"/>
      <c r="BCZ11" s="394"/>
      <c r="BDA11" s="394"/>
      <c r="BDB11" s="394"/>
      <c r="BDC11" s="394"/>
      <c r="BDD11" s="394"/>
      <c r="BDE11" s="394"/>
      <c r="BDF11" s="394"/>
      <c r="BDG11" s="394"/>
      <c r="BDH11" s="394"/>
      <c r="BDI11" s="394"/>
      <c r="BDJ11" s="394"/>
      <c r="BDK11" s="394"/>
      <c r="BDL11" s="394"/>
      <c r="BDM11" s="394"/>
      <c r="BDN11" s="394"/>
      <c r="BDO11" s="394"/>
      <c r="BDP11" s="394"/>
      <c r="BDQ11" s="394"/>
      <c r="BDR11" s="394"/>
      <c r="BDS11" s="394"/>
      <c r="BDT11" s="394"/>
      <c r="BDU11" s="394"/>
      <c r="BDV11" s="394"/>
      <c r="BDW11" s="394"/>
      <c r="BDX11" s="394"/>
      <c r="BDY11" s="394"/>
      <c r="BDZ11" s="394"/>
      <c r="BEA11" s="394"/>
      <c r="BEB11" s="394"/>
      <c r="BEC11" s="394"/>
      <c r="BED11" s="394"/>
      <c r="BEE11" s="394"/>
      <c r="BEF11" s="394"/>
      <c r="BEG11" s="394"/>
      <c r="BEH11" s="394"/>
      <c r="BEI11" s="394"/>
      <c r="BEJ11" s="394"/>
      <c r="BEK11" s="394"/>
      <c r="BEL11" s="394"/>
      <c r="BEM11" s="394"/>
      <c r="BEN11" s="394"/>
      <c r="BEO11" s="394"/>
      <c r="BEP11" s="394"/>
      <c r="BEQ11" s="394"/>
      <c r="BER11" s="394"/>
      <c r="BES11" s="394"/>
      <c r="BET11" s="394"/>
      <c r="BEU11" s="394"/>
      <c r="BEV11" s="394"/>
      <c r="BEW11" s="394"/>
      <c r="BEX11" s="394"/>
      <c r="BEY11" s="394"/>
      <c r="BEZ11" s="394"/>
      <c r="BFA11" s="394"/>
      <c r="BFB11" s="394"/>
      <c r="BFC11" s="394"/>
      <c r="BFD11" s="394"/>
      <c r="BFE11" s="394"/>
      <c r="BFF11" s="394"/>
      <c r="BFG11" s="394"/>
      <c r="BFH11" s="394"/>
      <c r="BFI11" s="394"/>
      <c r="BFJ11" s="394"/>
      <c r="BFK11" s="394"/>
      <c r="BFL11" s="394"/>
      <c r="BFM11" s="394"/>
      <c r="BFN11" s="394"/>
      <c r="BFO11" s="394"/>
      <c r="BFP11" s="394"/>
      <c r="BFQ11" s="394"/>
      <c r="BFR11" s="394"/>
      <c r="BFS11" s="394"/>
      <c r="BFT11" s="394"/>
      <c r="BFU11" s="394"/>
      <c r="BFV11" s="394"/>
      <c r="BFW11" s="394"/>
      <c r="BFX11" s="394"/>
      <c r="BFY11" s="394"/>
      <c r="BFZ11" s="394"/>
      <c r="BGA11" s="394"/>
      <c r="BGB11" s="394"/>
      <c r="BGC11" s="394"/>
      <c r="BGD11" s="394"/>
      <c r="BGE11" s="394"/>
      <c r="BGF11" s="394"/>
      <c r="BGG11" s="394"/>
      <c r="BGH11" s="394"/>
      <c r="BGI11" s="394"/>
      <c r="BGJ11" s="394"/>
      <c r="BGK11" s="394"/>
      <c r="BGL11" s="394"/>
      <c r="BGM11" s="394"/>
      <c r="BGN11" s="394"/>
      <c r="BGO11" s="394"/>
      <c r="BGP11" s="394"/>
      <c r="BGQ11" s="394"/>
      <c r="BGR11" s="394"/>
      <c r="BGS11" s="394"/>
      <c r="BGT11" s="394"/>
      <c r="BGU11" s="394"/>
      <c r="BGV11" s="394"/>
      <c r="BGW11" s="394"/>
      <c r="BGX11" s="394"/>
      <c r="BGY11" s="394"/>
      <c r="BGZ11" s="394"/>
      <c r="BHA11" s="394"/>
      <c r="BHB11" s="394"/>
      <c r="BHC11" s="394"/>
      <c r="BHD11" s="394"/>
      <c r="BHE11" s="394"/>
      <c r="BHF11" s="394"/>
      <c r="BHG11" s="394"/>
      <c r="BHH11" s="394"/>
      <c r="BHI11" s="394"/>
      <c r="BHJ11" s="394"/>
      <c r="BHK11" s="394"/>
      <c r="BHL11" s="394"/>
      <c r="BHM11" s="394"/>
      <c r="BHN11" s="394"/>
      <c r="BHO11" s="394"/>
      <c r="BHP11" s="394"/>
      <c r="BHQ11" s="394"/>
      <c r="BHR11" s="394"/>
      <c r="BHS11" s="394"/>
      <c r="BHT11" s="394"/>
      <c r="BHU11" s="394"/>
      <c r="BHV11" s="394"/>
      <c r="BHW11" s="394"/>
      <c r="BHX11" s="394"/>
      <c r="BHY11" s="394"/>
      <c r="BHZ11" s="394"/>
      <c r="BIA11" s="394"/>
      <c r="BIB11" s="394"/>
      <c r="BIC11" s="394"/>
      <c r="BID11" s="394"/>
      <c r="BIE11" s="394"/>
      <c r="BIF11" s="394"/>
      <c r="BIG11" s="394"/>
      <c r="BIH11" s="394"/>
      <c r="BII11" s="394"/>
      <c r="BIJ11" s="394"/>
      <c r="BIK11" s="394"/>
      <c r="BIL11" s="394"/>
      <c r="BIM11" s="394"/>
      <c r="BIN11" s="394"/>
      <c r="BIO11" s="394"/>
      <c r="BIP11" s="394"/>
      <c r="BIQ11" s="394"/>
      <c r="BIR11" s="394"/>
      <c r="BIS11" s="394"/>
      <c r="BIT11" s="394"/>
      <c r="BIU11" s="394"/>
      <c r="BIV11" s="394"/>
      <c r="BIW11" s="394"/>
      <c r="BIX11" s="394"/>
      <c r="BIY11" s="394"/>
      <c r="BIZ11" s="394"/>
      <c r="BJA11" s="394"/>
      <c r="BJB11" s="394"/>
      <c r="BJC11" s="394"/>
      <c r="BJD11" s="394"/>
      <c r="BJE11" s="394"/>
      <c r="BJF11" s="394"/>
      <c r="BJG11" s="394"/>
      <c r="BJH11" s="394"/>
      <c r="BJI11" s="394"/>
      <c r="BJJ11" s="394"/>
      <c r="BJK11" s="394"/>
      <c r="BJL11" s="394"/>
      <c r="BJM11" s="394"/>
      <c r="BJN11" s="394"/>
      <c r="BJO11" s="394"/>
      <c r="BJP11" s="394"/>
      <c r="BJQ11" s="394"/>
      <c r="BJR11" s="394"/>
      <c r="BJS11" s="394"/>
      <c r="BJT11" s="394"/>
      <c r="BJU11" s="394"/>
      <c r="BJV11" s="394"/>
      <c r="BJW11" s="394"/>
      <c r="BJX11" s="394"/>
      <c r="BJY11" s="394"/>
      <c r="BJZ11" s="394"/>
      <c r="BKA11" s="394"/>
      <c r="BKB11" s="394"/>
      <c r="BKC11" s="394"/>
      <c r="BKD11" s="394"/>
      <c r="BKE11" s="394"/>
      <c r="BKF11" s="394"/>
      <c r="BKG11" s="394"/>
      <c r="BKH11" s="394"/>
      <c r="BKI11" s="394"/>
      <c r="BKJ11" s="394"/>
      <c r="BKK11" s="394"/>
      <c r="BKL11" s="394"/>
      <c r="BKM11" s="394"/>
      <c r="BKN11" s="394"/>
      <c r="BKO11" s="394"/>
      <c r="BKP11" s="394"/>
      <c r="BKQ11" s="394"/>
      <c r="BKR11" s="394"/>
      <c r="BKS11" s="394"/>
      <c r="BKT11" s="394"/>
      <c r="BKU11" s="394"/>
      <c r="BKV11" s="394"/>
      <c r="BKW11" s="394"/>
      <c r="BKX11" s="394"/>
      <c r="BKY11" s="394"/>
      <c r="BKZ11" s="394"/>
      <c r="BLA11" s="394"/>
      <c r="BLB11" s="394"/>
      <c r="BLC11" s="394"/>
      <c r="BLD11" s="394"/>
      <c r="BLE11" s="394"/>
      <c r="BLF11" s="394"/>
      <c r="BLG11" s="394"/>
      <c r="BLH11" s="394"/>
      <c r="BLI11" s="394"/>
      <c r="BLJ11" s="394"/>
      <c r="BLK11" s="394"/>
      <c r="BLL11" s="394"/>
      <c r="BLM11" s="394"/>
      <c r="BLN11" s="394"/>
      <c r="BLO11" s="394"/>
      <c r="BLP11" s="394"/>
      <c r="BLQ11" s="394"/>
      <c r="BLR11" s="394"/>
      <c r="BLS11" s="394"/>
      <c r="BLT11" s="394"/>
      <c r="BLU11" s="394"/>
      <c r="BLV11" s="394"/>
      <c r="BLW11" s="394"/>
      <c r="BLX11" s="394"/>
      <c r="BLY11" s="394"/>
      <c r="BLZ11" s="394"/>
      <c r="BMA11" s="394"/>
      <c r="BMB11" s="394"/>
      <c r="BMC11" s="394"/>
      <c r="BMD11" s="394"/>
      <c r="BME11" s="394"/>
      <c r="BMF11" s="394"/>
      <c r="BMG11" s="394"/>
      <c r="BMH11" s="394"/>
      <c r="BMI11" s="394"/>
      <c r="BMJ11" s="394"/>
      <c r="BMK11" s="394"/>
      <c r="BML11" s="394"/>
      <c r="BMM11" s="394"/>
      <c r="BMN11" s="394"/>
      <c r="BMO11" s="394"/>
      <c r="BMP11" s="394"/>
      <c r="BMQ11" s="394"/>
      <c r="BMR11" s="394"/>
      <c r="BMS11" s="394"/>
      <c r="BMT11" s="394"/>
      <c r="BMU11" s="394"/>
      <c r="BMV11" s="394"/>
      <c r="BMW11" s="394"/>
      <c r="BMX11" s="394"/>
      <c r="BMY11" s="394"/>
      <c r="BMZ11" s="394"/>
      <c r="BNA11" s="394"/>
      <c r="BNB11" s="394"/>
      <c r="BNC11" s="394"/>
      <c r="BND11" s="394"/>
      <c r="BNE11" s="394"/>
      <c r="BNF11" s="394"/>
      <c r="BNG11" s="394"/>
      <c r="BNH11" s="394"/>
      <c r="BNI11" s="394"/>
      <c r="BNJ11" s="394"/>
      <c r="BNK11" s="394"/>
      <c r="BNL11" s="394"/>
      <c r="BNM11" s="394"/>
      <c r="BNN11" s="394"/>
      <c r="BNO11" s="394"/>
      <c r="BNP11" s="394"/>
      <c r="BNQ11" s="394"/>
      <c r="BNR11" s="394"/>
      <c r="BNS11" s="394"/>
      <c r="BNT11" s="394"/>
      <c r="BNU11" s="394"/>
      <c r="BNV11" s="394"/>
      <c r="BNW11" s="394"/>
      <c r="BNX11" s="394"/>
      <c r="BNY11" s="394"/>
      <c r="BNZ11" s="394"/>
      <c r="BOA11" s="394"/>
      <c r="BOB11" s="394"/>
      <c r="BOC11" s="394"/>
      <c r="BOD11" s="394"/>
      <c r="BOE11" s="394"/>
      <c r="BOF11" s="394"/>
      <c r="BOG11" s="394"/>
      <c r="BOH11" s="394"/>
      <c r="BOI11" s="394"/>
      <c r="BOJ11" s="394"/>
      <c r="BOK11" s="394"/>
      <c r="BOL11" s="394"/>
      <c r="BOM11" s="394"/>
      <c r="BON11" s="394"/>
      <c r="BOO11" s="394"/>
      <c r="BOP11" s="394"/>
      <c r="BOQ11" s="394"/>
      <c r="BOR11" s="394"/>
      <c r="BOS11" s="394"/>
      <c r="BOT11" s="394"/>
      <c r="BOU11" s="394"/>
      <c r="BOV11" s="394"/>
      <c r="BOW11" s="394"/>
      <c r="BOX11" s="394"/>
      <c r="BOY11" s="394"/>
      <c r="BOZ11" s="394"/>
      <c r="BPA11" s="394"/>
      <c r="BPB11" s="394"/>
      <c r="BPC11" s="394"/>
      <c r="BPD11" s="394"/>
      <c r="BPE11" s="394"/>
      <c r="BPF11" s="394"/>
      <c r="BPG11" s="394"/>
      <c r="BPH11" s="394"/>
      <c r="BPI11" s="394"/>
      <c r="BPJ11" s="394"/>
      <c r="BPK11" s="394"/>
      <c r="BPL11" s="394"/>
      <c r="BPM11" s="394"/>
      <c r="BPN11" s="394"/>
      <c r="BPO11" s="394"/>
      <c r="BPP11" s="394"/>
      <c r="BPQ11" s="394"/>
      <c r="BPR11" s="394"/>
      <c r="BPS11" s="394"/>
      <c r="BPT11" s="394"/>
      <c r="BPU11" s="394"/>
      <c r="BPV11" s="394"/>
      <c r="BPW11" s="394"/>
      <c r="BPX11" s="394"/>
      <c r="BPY11" s="394"/>
      <c r="BPZ11" s="394"/>
      <c r="BQA11" s="394"/>
      <c r="BQB11" s="394"/>
      <c r="BQC11" s="394"/>
      <c r="BQD11" s="394"/>
      <c r="BQE11" s="394"/>
      <c r="BQF11" s="394"/>
      <c r="BQG11" s="394"/>
      <c r="BQH11" s="394"/>
      <c r="BQI11" s="394"/>
      <c r="BQJ11" s="394"/>
      <c r="BQK11" s="394"/>
      <c r="BQL11" s="394"/>
      <c r="BQM11" s="394"/>
      <c r="BQN11" s="394"/>
      <c r="BQO11" s="394"/>
      <c r="BQP11" s="394"/>
      <c r="BQQ11" s="394"/>
      <c r="BQR11" s="394"/>
      <c r="BQS11" s="394"/>
      <c r="BQT11" s="394"/>
      <c r="BQU11" s="394"/>
      <c r="BQV11" s="394"/>
      <c r="BQW11" s="394"/>
      <c r="BQX11" s="394"/>
      <c r="BQY11" s="394"/>
      <c r="BQZ11" s="394"/>
      <c r="BRA11" s="394"/>
      <c r="BRB11" s="394"/>
      <c r="BRC11" s="394"/>
      <c r="BRD11" s="394"/>
      <c r="BRE11" s="394"/>
      <c r="BRF11" s="394"/>
      <c r="BRG11" s="394"/>
      <c r="BRH11" s="394"/>
      <c r="BRI11" s="394"/>
      <c r="BRJ11" s="394"/>
      <c r="BRK11" s="394"/>
      <c r="BRL11" s="394"/>
      <c r="BRM11" s="394"/>
      <c r="BRN11" s="394"/>
      <c r="BRO11" s="394"/>
      <c r="BRP11" s="394"/>
      <c r="BRQ11" s="394"/>
      <c r="BRR11" s="394"/>
      <c r="BRS11" s="394"/>
      <c r="BRT11" s="394"/>
      <c r="BRU11" s="394"/>
      <c r="BRV11" s="394"/>
      <c r="BRW11" s="394"/>
      <c r="BRX11" s="394"/>
      <c r="BRY11" s="394"/>
      <c r="BRZ11" s="394"/>
      <c r="BSA11" s="394"/>
      <c r="BSB11" s="394"/>
      <c r="BSC11" s="394"/>
      <c r="BSD11" s="394"/>
      <c r="BSE11" s="394"/>
      <c r="BSF11" s="394"/>
      <c r="BSG11" s="394"/>
      <c r="BSH11" s="394"/>
      <c r="BSI11" s="394"/>
      <c r="BSJ11" s="394"/>
      <c r="BSK11" s="394"/>
      <c r="BSL11" s="394"/>
      <c r="BSM11" s="394"/>
      <c r="BSN11" s="394"/>
      <c r="BSO11" s="394"/>
      <c r="BSP11" s="394"/>
      <c r="BSQ11" s="394"/>
      <c r="BSR11" s="394"/>
      <c r="BSS11" s="394"/>
      <c r="BST11" s="394"/>
      <c r="BSU11" s="394"/>
      <c r="BSV11" s="394"/>
      <c r="BSW11" s="394"/>
      <c r="BSX11" s="394"/>
      <c r="BSY11" s="394"/>
      <c r="BSZ11" s="394"/>
      <c r="BTA11" s="394"/>
      <c r="BTB11" s="394"/>
      <c r="BTC11" s="394"/>
      <c r="BTD11" s="394"/>
      <c r="BTE11" s="394"/>
      <c r="BTF11" s="394"/>
      <c r="BTG11" s="394"/>
      <c r="BTH11" s="394"/>
      <c r="BTI11" s="394"/>
    </row>
    <row r="12" spans="1:1881" ht="99.75" customHeight="1" x14ac:dyDescent="0.25">
      <c r="A12" s="450">
        <v>626</v>
      </c>
      <c r="B12" s="451" t="s">
        <v>1204</v>
      </c>
      <c r="C12" s="452" t="s">
        <v>136</v>
      </c>
      <c r="D12" s="453" t="s">
        <v>1220</v>
      </c>
      <c r="E12" s="454" t="s">
        <v>832</v>
      </c>
      <c r="F12" s="624"/>
      <c r="G12" s="457">
        <f>IF(F12&lt;0,"Error: Enter as positive.",)</f>
        <v>0</v>
      </c>
      <c r="H12" s="438"/>
      <c r="I12" s="439"/>
      <c r="J12" s="365"/>
      <c r="L12" s="833" t="s">
        <v>1110</v>
      </c>
      <c r="M12" s="610"/>
      <c r="N12" s="635"/>
    </row>
    <row r="13" spans="1:1881" s="378" customFormat="1" ht="97.5" customHeight="1" x14ac:dyDescent="0.25">
      <c r="A13" s="455">
        <v>627</v>
      </c>
      <c r="B13" s="456" t="s">
        <v>830</v>
      </c>
      <c r="C13" s="452" t="s">
        <v>136</v>
      </c>
      <c r="D13" s="453" t="s">
        <v>1084</v>
      </c>
      <c r="E13" s="454" t="s">
        <v>832</v>
      </c>
      <c r="F13" s="624"/>
      <c r="G13" s="457">
        <f>IF(F13&gt;F12,"Please review account numbers 627 &gt;626",)</f>
        <v>0</v>
      </c>
      <c r="H13" s="438"/>
      <c r="I13" s="439"/>
      <c r="J13" s="365"/>
      <c r="K13" s="394"/>
      <c r="L13" s="833" t="s">
        <v>1111</v>
      </c>
      <c r="M13" s="610"/>
      <c r="N13" s="635"/>
      <c r="O13" s="394"/>
      <c r="P13" s="394"/>
      <c r="Q13" s="394"/>
      <c r="R13" s="394"/>
      <c r="S13" s="394"/>
      <c r="T13" s="394"/>
      <c r="U13" s="394"/>
      <c r="V13" s="394"/>
      <c r="W13" s="394"/>
      <c r="X13" s="394"/>
      <c r="Y13" s="394"/>
      <c r="Z13" s="394"/>
      <c r="AA13" s="394"/>
      <c r="AB13" s="394"/>
      <c r="AC13" s="394"/>
      <c r="AD13" s="394"/>
      <c r="AE13" s="394"/>
      <c r="AF13" s="394"/>
      <c r="AG13" s="394"/>
      <c r="AH13" s="394"/>
      <c r="AI13" s="394"/>
      <c r="AJ13" s="394"/>
      <c r="AK13" s="394"/>
      <c r="AL13" s="394"/>
      <c r="AM13" s="394"/>
      <c r="AN13" s="394"/>
      <c r="AO13" s="394"/>
      <c r="AP13" s="394"/>
      <c r="AQ13" s="394"/>
      <c r="AR13" s="394"/>
      <c r="AS13" s="394"/>
      <c r="AT13" s="394"/>
      <c r="AU13" s="394"/>
      <c r="AV13" s="394"/>
      <c r="AW13" s="394"/>
      <c r="AX13" s="394"/>
      <c r="AY13" s="394"/>
      <c r="AZ13" s="394"/>
      <c r="BA13" s="394"/>
      <c r="BB13" s="394"/>
      <c r="BC13" s="394"/>
      <c r="BD13" s="394"/>
      <c r="BE13" s="394"/>
      <c r="BF13" s="394"/>
      <c r="BG13" s="394"/>
      <c r="BH13" s="394"/>
      <c r="BI13" s="394"/>
      <c r="BJ13" s="394"/>
      <c r="BK13" s="394"/>
      <c r="BL13" s="394"/>
      <c r="BM13" s="394"/>
      <c r="BN13" s="394"/>
      <c r="BO13" s="394"/>
      <c r="BP13" s="394"/>
      <c r="BQ13" s="394"/>
      <c r="BR13" s="394"/>
      <c r="BS13" s="394"/>
      <c r="BT13" s="394"/>
      <c r="BU13" s="394"/>
      <c r="BV13" s="394"/>
      <c r="BW13" s="394"/>
      <c r="BX13" s="394"/>
      <c r="BY13" s="394"/>
      <c r="BZ13" s="394"/>
      <c r="CA13" s="394"/>
      <c r="CB13" s="394"/>
      <c r="CC13" s="394"/>
      <c r="CD13" s="394"/>
      <c r="CE13" s="394"/>
      <c r="CF13" s="394"/>
      <c r="CG13" s="394"/>
      <c r="CH13" s="394"/>
      <c r="CI13" s="394"/>
      <c r="CJ13" s="394"/>
      <c r="CK13" s="394"/>
      <c r="CL13" s="394"/>
      <c r="CM13" s="394"/>
      <c r="CN13" s="394"/>
      <c r="CO13" s="394"/>
      <c r="CP13" s="394"/>
      <c r="CQ13" s="394"/>
      <c r="CR13" s="394"/>
      <c r="CS13" s="394"/>
      <c r="CT13" s="394"/>
      <c r="CU13" s="394"/>
      <c r="CV13" s="394"/>
      <c r="CW13" s="394"/>
      <c r="CX13" s="394"/>
      <c r="CY13" s="394"/>
      <c r="CZ13" s="394"/>
      <c r="DA13" s="394"/>
      <c r="DB13" s="394"/>
      <c r="DC13" s="394"/>
      <c r="DD13" s="394"/>
      <c r="DE13" s="394"/>
      <c r="DF13" s="394"/>
      <c r="DG13" s="394"/>
      <c r="DH13" s="394"/>
      <c r="DI13" s="394"/>
      <c r="DJ13" s="394"/>
      <c r="DK13" s="394"/>
      <c r="DL13" s="394"/>
      <c r="DM13" s="394"/>
      <c r="DN13" s="394"/>
      <c r="DO13" s="394"/>
      <c r="DP13" s="394"/>
      <c r="DQ13" s="394"/>
      <c r="DR13" s="394"/>
      <c r="DS13" s="394"/>
      <c r="DT13" s="394"/>
      <c r="DU13" s="394"/>
      <c r="DV13" s="394"/>
      <c r="DW13" s="394"/>
      <c r="DX13" s="394"/>
      <c r="DY13" s="394"/>
      <c r="DZ13" s="394"/>
      <c r="EA13" s="394"/>
      <c r="EB13" s="394"/>
      <c r="EC13" s="394"/>
      <c r="ED13" s="394"/>
      <c r="EE13" s="394"/>
      <c r="EF13" s="394"/>
      <c r="EG13" s="394"/>
      <c r="EH13" s="394"/>
      <c r="EI13" s="394"/>
      <c r="EJ13" s="394"/>
      <c r="EK13" s="394"/>
      <c r="EL13" s="394"/>
      <c r="EM13" s="394"/>
      <c r="EN13" s="394"/>
      <c r="EO13" s="394"/>
      <c r="EP13" s="394"/>
      <c r="EQ13" s="394"/>
      <c r="ER13" s="394"/>
      <c r="ES13" s="394"/>
      <c r="ET13" s="394"/>
      <c r="EU13" s="394"/>
      <c r="EV13" s="394"/>
      <c r="EW13" s="394"/>
      <c r="EX13" s="394"/>
      <c r="EY13" s="394"/>
      <c r="EZ13" s="394"/>
      <c r="FA13" s="394"/>
      <c r="FB13" s="394"/>
      <c r="FC13" s="394"/>
      <c r="FD13" s="394"/>
      <c r="FE13" s="394"/>
      <c r="FF13" s="394"/>
      <c r="FG13" s="394"/>
      <c r="FH13" s="394"/>
      <c r="FI13" s="394"/>
      <c r="FJ13" s="394"/>
      <c r="FK13" s="394"/>
      <c r="FL13" s="394"/>
      <c r="FM13" s="394"/>
      <c r="FN13" s="394"/>
      <c r="FO13" s="394"/>
      <c r="FP13" s="394"/>
      <c r="FQ13" s="394"/>
      <c r="FR13" s="394"/>
      <c r="FS13" s="394"/>
      <c r="FT13" s="394"/>
      <c r="FU13" s="394"/>
      <c r="FV13" s="394"/>
      <c r="FW13" s="394"/>
      <c r="FX13" s="394"/>
      <c r="FY13" s="394"/>
      <c r="FZ13" s="394"/>
      <c r="GA13" s="394"/>
      <c r="GB13" s="394"/>
      <c r="GC13" s="394"/>
      <c r="GD13" s="394"/>
      <c r="GE13" s="394"/>
      <c r="GF13" s="394"/>
      <c r="GG13" s="394"/>
      <c r="GH13" s="394"/>
      <c r="GI13" s="394"/>
      <c r="GJ13" s="394"/>
      <c r="GK13" s="394"/>
      <c r="GL13" s="394"/>
      <c r="GM13" s="394"/>
      <c r="GN13" s="394"/>
      <c r="GO13" s="394"/>
      <c r="GP13" s="394"/>
      <c r="GQ13" s="394"/>
      <c r="GR13" s="394"/>
      <c r="GS13" s="394"/>
      <c r="GT13" s="394"/>
      <c r="GU13" s="394"/>
      <c r="GV13" s="394"/>
      <c r="GW13" s="394"/>
      <c r="GX13" s="394"/>
      <c r="GY13" s="394"/>
      <c r="GZ13" s="394"/>
      <c r="HA13" s="394"/>
      <c r="HB13" s="394"/>
      <c r="HC13" s="394"/>
      <c r="HD13" s="394"/>
      <c r="HE13" s="394"/>
      <c r="HF13" s="394"/>
      <c r="HG13" s="394"/>
      <c r="HH13" s="394"/>
      <c r="HI13" s="394"/>
      <c r="HJ13" s="394"/>
      <c r="HK13" s="394"/>
      <c r="HL13" s="394"/>
      <c r="HM13" s="394"/>
      <c r="HN13" s="394"/>
      <c r="HO13" s="394"/>
      <c r="HP13" s="394"/>
      <c r="HQ13" s="394"/>
      <c r="HR13" s="394"/>
      <c r="HS13" s="394"/>
      <c r="HT13" s="394"/>
      <c r="HU13" s="394"/>
      <c r="HV13" s="394"/>
      <c r="HW13" s="394"/>
      <c r="HX13" s="394"/>
      <c r="HY13" s="394"/>
      <c r="HZ13" s="394"/>
      <c r="IA13" s="394"/>
      <c r="IB13" s="394"/>
      <c r="IC13" s="394"/>
      <c r="ID13" s="394"/>
      <c r="IE13" s="394"/>
      <c r="IF13" s="394"/>
      <c r="IG13" s="394"/>
      <c r="IH13" s="394"/>
      <c r="II13" s="394"/>
      <c r="IJ13" s="394"/>
      <c r="IK13" s="394"/>
      <c r="IL13" s="394"/>
      <c r="IM13" s="394"/>
      <c r="IN13" s="394"/>
      <c r="IO13" s="394"/>
      <c r="IP13" s="394"/>
      <c r="IQ13" s="394"/>
      <c r="IR13" s="394"/>
      <c r="IS13" s="394"/>
      <c r="IT13" s="394"/>
      <c r="IU13" s="394"/>
      <c r="IV13" s="394"/>
      <c r="IW13" s="394"/>
      <c r="IX13" s="394"/>
      <c r="IY13" s="394"/>
      <c r="IZ13" s="394"/>
      <c r="JA13" s="394"/>
      <c r="JB13" s="394"/>
      <c r="JC13" s="394"/>
      <c r="JD13" s="394"/>
      <c r="JE13" s="394"/>
      <c r="JF13" s="394"/>
      <c r="JG13" s="394"/>
      <c r="JH13" s="394"/>
      <c r="JI13" s="394"/>
      <c r="JJ13" s="394"/>
      <c r="JK13" s="394"/>
      <c r="JL13" s="394"/>
      <c r="JM13" s="394"/>
      <c r="JN13" s="394"/>
      <c r="JO13" s="394"/>
      <c r="JP13" s="394"/>
      <c r="JQ13" s="394"/>
      <c r="JR13" s="394"/>
      <c r="JS13" s="394"/>
      <c r="JT13" s="394"/>
      <c r="JU13" s="394"/>
      <c r="JV13" s="394"/>
      <c r="JW13" s="394"/>
      <c r="JX13" s="394"/>
      <c r="JY13" s="394"/>
      <c r="JZ13" s="394"/>
      <c r="KA13" s="394"/>
      <c r="KB13" s="394"/>
      <c r="KC13" s="394"/>
      <c r="KD13" s="394"/>
      <c r="KE13" s="394"/>
      <c r="KF13" s="394"/>
      <c r="KG13" s="394"/>
      <c r="KH13" s="394"/>
      <c r="KI13" s="394"/>
      <c r="KJ13" s="394"/>
      <c r="KK13" s="394"/>
      <c r="KL13" s="394"/>
      <c r="KM13" s="394"/>
      <c r="KN13" s="394"/>
      <c r="KO13" s="394"/>
      <c r="KP13" s="394"/>
      <c r="KQ13" s="394"/>
      <c r="KR13" s="394"/>
      <c r="KS13" s="394"/>
      <c r="KT13" s="394"/>
      <c r="KU13" s="394"/>
      <c r="KV13" s="394"/>
      <c r="KW13" s="394"/>
      <c r="KX13" s="394"/>
      <c r="KY13" s="394"/>
      <c r="KZ13" s="394"/>
      <c r="LA13" s="394"/>
      <c r="LB13" s="394"/>
      <c r="LC13" s="394"/>
      <c r="LD13" s="394"/>
      <c r="LE13" s="394"/>
      <c r="LF13" s="394"/>
      <c r="LG13" s="394"/>
      <c r="LH13" s="394"/>
      <c r="LI13" s="394"/>
      <c r="LJ13" s="394"/>
      <c r="LK13" s="394"/>
      <c r="LL13" s="394"/>
      <c r="LM13" s="394"/>
      <c r="LN13" s="394"/>
      <c r="LO13" s="394"/>
      <c r="LP13" s="394"/>
      <c r="LQ13" s="394"/>
      <c r="LR13" s="394"/>
      <c r="LS13" s="394"/>
      <c r="LT13" s="394"/>
      <c r="LU13" s="394"/>
      <c r="LV13" s="394"/>
      <c r="LW13" s="394"/>
      <c r="LX13" s="394"/>
      <c r="LY13" s="394"/>
      <c r="LZ13" s="394"/>
      <c r="MA13" s="394"/>
      <c r="MB13" s="394"/>
      <c r="MC13" s="394"/>
      <c r="MD13" s="394"/>
      <c r="ME13" s="394"/>
      <c r="MF13" s="394"/>
      <c r="MG13" s="394"/>
      <c r="MH13" s="394"/>
      <c r="MI13" s="394"/>
      <c r="MJ13" s="394"/>
      <c r="MK13" s="394"/>
      <c r="ML13" s="394"/>
      <c r="MM13" s="394"/>
      <c r="MN13" s="394"/>
      <c r="MO13" s="394"/>
      <c r="MP13" s="394"/>
      <c r="MQ13" s="394"/>
      <c r="MR13" s="394"/>
      <c r="MS13" s="394"/>
      <c r="MT13" s="394"/>
      <c r="MU13" s="394"/>
      <c r="MV13" s="394"/>
      <c r="MW13" s="394"/>
      <c r="MX13" s="394"/>
      <c r="MY13" s="394"/>
      <c r="MZ13" s="394"/>
      <c r="NA13" s="394"/>
      <c r="NB13" s="394"/>
      <c r="NC13" s="394"/>
      <c r="ND13" s="394"/>
      <c r="NE13" s="394"/>
      <c r="NF13" s="394"/>
      <c r="NG13" s="394"/>
      <c r="NH13" s="394"/>
      <c r="NI13" s="394"/>
      <c r="NJ13" s="394"/>
      <c r="NK13" s="394"/>
      <c r="NL13" s="394"/>
      <c r="NM13" s="394"/>
      <c r="NN13" s="394"/>
      <c r="NO13" s="394"/>
      <c r="NP13" s="394"/>
      <c r="NQ13" s="394"/>
      <c r="NR13" s="394"/>
      <c r="NS13" s="394"/>
      <c r="NT13" s="394"/>
      <c r="NU13" s="394"/>
      <c r="NV13" s="394"/>
      <c r="NW13" s="394"/>
      <c r="NX13" s="394"/>
      <c r="NY13" s="394"/>
      <c r="NZ13" s="394"/>
      <c r="OA13" s="394"/>
      <c r="OB13" s="394"/>
      <c r="OC13" s="394"/>
      <c r="OD13" s="394"/>
      <c r="OE13" s="394"/>
      <c r="OF13" s="394"/>
      <c r="OG13" s="394"/>
      <c r="OH13" s="394"/>
      <c r="OI13" s="394"/>
      <c r="OJ13" s="394"/>
      <c r="OK13" s="394"/>
      <c r="OL13" s="394"/>
      <c r="OM13" s="394"/>
      <c r="ON13" s="394"/>
      <c r="OO13" s="394"/>
      <c r="OP13" s="394"/>
      <c r="OQ13" s="394"/>
      <c r="OR13" s="394"/>
      <c r="OS13" s="394"/>
      <c r="OT13" s="394"/>
      <c r="OU13" s="394"/>
      <c r="OV13" s="394"/>
      <c r="OW13" s="394"/>
      <c r="OX13" s="394"/>
      <c r="OY13" s="394"/>
      <c r="OZ13" s="394"/>
      <c r="PA13" s="394"/>
      <c r="PB13" s="394"/>
      <c r="PC13" s="394"/>
      <c r="PD13" s="394"/>
      <c r="PE13" s="394"/>
      <c r="PF13" s="394"/>
      <c r="PG13" s="394"/>
      <c r="PH13" s="394"/>
      <c r="PI13" s="394"/>
      <c r="PJ13" s="394"/>
      <c r="PK13" s="394"/>
      <c r="PL13" s="394"/>
      <c r="PM13" s="394"/>
      <c r="PN13" s="394"/>
      <c r="PO13" s="394"/>
      <c r="PP13" s="394"/>
      <c r="PQ13" s="394"/>
      <c r="PR13" s="394"/>
      <c r="PS13" s="394"/>
      <c r="PT13" s="394"/>
      <c r="PU13" s="394"/>
      <c r="PV13" s="394"/>
      <c r="PW13" s="394"/>
      <c r="PX13" s="394"/>
      <c r="PY13" s="394"/>
      <c r="PZ13" s="394"/>
      <c r="QA13" s="394"/>
      <c r="QB13" s="394"/>
      <c r="QC13" s="394"/>
      <c r="QD13" s="394"/>
      <c r="QE13" s="394"/>
      <c r="QF13" s="394"/>
      <c r="QG13" s="394"/>
      <c r="QH13" s="394"/>
      <c r="QI13" s="394"/>
      <c r="QJ13" s="394"/>
      <c r="QK13" s="394"/>
      <c r="QL13" s="394"/>
      <c r="QM13" s="394"/>
      <c r="QN13" s="394"/>
      <c r="QO13" s="394"/>
      <c r="QP13" s="394"/>
      <c r="QQ13" s="394"/>
      <c r="QR13" s="394"/>
      <c r="QS13" s="394"/>
      <c r="QT13" s="394"/>
      <c r="QU13" s="394"/>
      <c r="QV13" s="394"/>
      <c r="QW13" s="394"/>
      <c r="QX13" s="394"/>
      <c r="QY13" s="394"/>
      <c r="QZ13" s="394"/>
      <c r="RA13" s="394"/>
      <c r="RB13" s="394"/>
      <c r="RC13" s="394"/>
      <c r="RD13" s="394"/>
      <c r="RE13" s="394"/>
      <c r="RF13" s="394"/>
      <c r="RG13" s="394"/>
      <c r="RH13" s="394"/>
      <c r="RI13" s="394"/>
      <c r="RJ13" s="394"/>
      <c r="RK13" s="394"/>
      <c r="RL13" s="394"/>
      <c r="RM13" s="394"/>
      <c r="RN13" s="394"/>
      <c r="RO13" s="394"/>
      <c r="RP13" s="394"/>
      <c r="RQ13" s="394"/>
      <c r="RR13" s="394"/>
      <c r="RS13" s="394"/>
      <c r="RT13" s="394"/>
      <c r="RU13" s="394"/>
      <c r="RV13" s="394"/>
      <c r="RW13" s="394"/>
      <c r="RX13" s="394"/>
      <c r="RY13" s="394"/>
      <c r="RZ13" s="394"/>
      <c r="SA13" s="394"/>
      <c r="SB13" s="394"/>
      <c r="SC13" s="394"/>
      <c r="SD13" s="394"/>
      <c r="SE13" s="394"/>
      <c r="SF13" s="394"/>
      <c r="SG13" s="394"/>
      <c r="SH13" s="394"/>
      <c r="SI13" s="394"/>
      <c r="SJ13" s="394"/>
      <c r="SK13" s="394"/>
      <c r="SL13" s="394"/>
      <c r="SM13" s="394"/>
      <c r="SN13" s="394"/>
      <c r="SO13" s="394"/>
      <c r="SP13" s="394"/>
      <c r="SQ13" s="394"/>
      <c r="SR13" s="394"/>
      <c r="SS13" s="394"/>
      <c r="ST13" s="394"/>
      <c r="SU13" s="394"/>
      <c r="SV13" s="394"/>
      <c r="SW13" s="394"/>
      <c r="SX13" s="394"/>
      <c r="SY13" s="394"/>
      <c r="SZ13" s="394"/>
      <c r="TA13" s="394"/>
      <c r="TB13" s="394"/>
      <c r="TC13" s="394"/>
      <c r="TD13" s="394"/>
      <c r="TE13" s="394"/>
      <c r="TF13" s="394"/>
      <c r="TG13" s="394"/>
      <c r="TH13" s="394"/>
      <c r="TI13" s="394"/>
      <c r="TJ13" s="394"/>
      <c r="TK13" s="394"/>
      <c r="TL13" s="394"/>
      <c r="TM13" s="394"/>
      <c r="TN13" s="394"/>
      <c r="TO13" s="394"/>
      <c r="TP13" s="394"/>
      <c r="TQ13" s="394"/>
      <c r="TR13" s="394"/>
      <c r="TS13" s="394"/>
      <c r="TT13" s="394"/>
      <c r="TU13" s="394"/>
      <c r="TV13" s="394"/>
      <c r="TW13" s="394"/>
      <c r="TX13" s="394"/>
      <c r="TY13" s="394"/>
      <c r="TZ13" s="394"/>
      <c r="UA13" s="394"/>
      <c r="UB13" s="394"/>
      <c r="UC13" s="394"/>
      <c r="UD13" s="394"/>
      <c r="UE13" s="394"/>
      <c r="UF13" s="394"/>
      <c r="UG13" s="394"/>
      <c r="UH13" s="394"/>
      <c r="UI13" s="394"/>
      <c r="UJ13" s="394"/>
      <c r="UK13" s="394"/>
      <c r="UL13" s="394"/>
      <c r="UM13" s="394"/>
      <c r="UN13" s="394"/>
      <c r="UO13" s="394"/>
      <c r="UP13" s="394"/>
      <c r="UQ13" s="394"/>
      <c r="UR13" s="394"/>
      <c r="US13" s="394"/>
      <c r="UT13" s="394"/>
      <c r="UU13" s="394"/>
      <c r="UV13" s="394"/>
      <c r="UW13" s="394"/>
      <c r="UX13" s="394"/>
      <c r="UY13" s="394"/>
      <c r="UZ13" s="394"/>
      <c r="VA13" s="394"/>
      <c r="VB13" s="394"/>
      <c r="VC13" s="394"/>
      <c r="VD13" s="394"/>
      <c r="VE13" s="394"/>
      <c r="VF13" s="394"/>
      <c r="VG13" s="394"/>
      <c r="VH13" s="394"/>
      <c r="VI13" s="394"/>
      <c r="VJ13" s="394"/>
      <c r="VK13" s="394"/>
      <c r="VL13" s="394"/>
      <c r="VM13" s="394"/>
      <c r="VN13" s="394"/>
      <c r="VO13" s="394"/>
      <c r="VP13" s="394"/>
      <c r="VQ13" s="394"/>
      <c r="VR13" s="394"/>
      <c r="VS13" s="394"/>
      <c r="VT13" s="394"/>
      <c r="VU13" s="394"/>
      <c r="VV13" s="394"/>
      <c r="VW13" s="394"/>
      <c r="VX13" s="394"/>
      <c r="VY13" s="394"/>
      <c r="VZ13" s="394"/>
      <c r="WA13" s="394"/>
      <c r="WB13" s="394"/>
      <c r="WC13" s="394"/>
      <c r="WD13" s="394"/>
      <c r="WE13" s="394"/>
      <c r="WF13" s="394"/>
      <c r="WG13" s="394"/>
      <c r="WH13" s="394"/>
      <c r="WI13" s="394"/>
      <c r="WJ13" s="394"/>
      <c r="WK13" s="394"/>
      <c r="WL13" s="394"/>
      <c r="WM13" s="394"/>
      <c r="WN13" s="394"/>
      <c r="WO13" s="394"/>
      <c r="WP13" s="394"/>
      <c r="WQ13" s="394"/>
      <c r="WR13" s="394"/>
      <c r="WS13" s="394"/>
      <c r="WT13" s="394"/>
      <c r="WU13" s="394"/>
      <c r="WV13" s="394"/>
      <c r="WW13" s="394"/>
      <c r="WX13" s="394"/>
      <c r="WY13" s="394"/>
      <c r="WZ13" s="394"/>
      <c r="XA13" s="394"/>
      <c r="XB13" s="394"/>
      <c r="XC13" s="394"/>
      <c r="XD13" s="394"/>
      <c r="XE13" s="394"/>
      <c r="XF13" s="394"/>
      <c r="XG13" s="394"/>
      <c r="XH13" s="394"/>
      <c r="XI13" s="394"/>
      <c r="XJ13" s="394"/>
      <c r="XK13" s="394"/>
      <c r="XL13" s="394"/>
      <c r="XM13" s="394"/>
      <c r="XN13" s="394"/>
      <c r="XO13" s="394"/>
      <c r="XP13" s="394"/>
      <c r="XQ13" s="394"/>
      <c r="XR13" s="394"/>
      <c r="XS13" s="394"/>
      <c r="XT13" s="394"/>
      <c r="XU13" s="394"/>
      <c r="XV13" s="394"/>
      <c r="XW13" s="394"/>
      <c r="XX13" s="394"/>
      <c r="XY13" s="394"/>
      <c r="XZ13" s="394"/>
      <c r="YA13" s="394"/>
      <c r="YB13" s="394"/>
      <c r="YC13" s="394"/>
      <c r="YD13" s="394"/>
      <c r="YE13" s="394"/>
      <c r="YF13" s="394"/>
      <c r="YG13" s="394"/>
      <c r="YH13" s="394"/>
      <c r="YI13" s="394"/>
      <c r="YJ13" s="394"/>
      <c r="YK13" s="394"/>
      <c r="YL13" s="394"/>
      <c r="YM13" s="394"/>
      <c r="YN13" s="394"/>
      <c r="YO13" s="394"/>
      <c r="YP13" s="394"/>
      <c r="YQ13" s="394"/>
      <c r="YR13" s="394"/>
      <c r="YS13" s="394"/>
      <c r="YT13" s="394"/>
      <c r="YU13" s="394"/>
      <c r="YV13" s="394"/>
      <c r="YW13" s="394"/>
      <c r="YX13" s="394"/>
      <c r="YY13" s="394"/>
      <c r="YZ13" s="394"/>
      <c r="ZA13" s="394"/>
      <c r="ZB13" s="394"/>
      <c r="ZC13" s="394"/>
      <c r="ZD13" s="394"/>
      <c r="ZE13" s="394"/>
      <c r="ZF13" s="394"/>
      <c r="ZG13" s="394"/>
      <c r="ZH13" s="394"/>
      <c r="ZI13" s="394"/>
      <c r="ZJ13" s="394"/>
      <c r="ZK13" s="394"/>
      <c r="ZL13" s="394"/>
      <c r="ZM13" s="394"/>
      <c r="ZN13" s="394"/>
      <c r="ZO13" s="394"/>
      <c r="ZP13" s="394"/>
      <c r="ZQ13" s="394"/>
      <c r="ZR13" s="394"/>
      <c r="ZS13" s="394"/>
      <c r="ZT13" s="394"/>
      <c r="ZU13" s="394"/>
      <c r="ZV13" s="394"/>
      <c r="ZW13" s="394"/>
      <c r="ZX13" s="394"/>
      <c r="ZY13" s="394"/>
      <c r="ZZ13" s="394"/>
      <c r="AAA13" s="394"/>
      <c r="AAB13" s="394"/>
      <c r="AAC13" s="394"/>
      <c r="AAD13" s="394"/>
      <c r="AAE13" s="394"/>
      <c r="AAF13" s="394"/>
      <c r="AAG13" s="394"/>
      <c r="AAH13" s="394"/>
      <c r="AAI13" s="394"/>
      <c r="AAJ13" s="394"/>
      <c r="AAK13" s="394"/>
      <c r="AAL13" s="394"/>
      <c r="AAM13" s="394"/>
      <c r="AAN13" s="394"/>
      <c r="AAO13" s="394"/>
      <c r="AAP13" s="394"/>
      <c r="AAQ13" s="394"/>
      <c r="AAR13" s="394"/>
      <c r="AAS13" s="394"/>
      <c r="AAT13" s="394"/>
      <c r="AAU13" s="394"/>
      <c r="AAV13" s="394"/>
      <c r="AAW13" s="394"/>
      <c r="AAX13" s="394"/>
      <c r="AAY13" s="394"/>
      <c r="AAZ13" s="394"/>
      <c r="ABA13" s="394"/>
      <c r="ABB13" s="394"/>
      <c r="ABC13" s="394"/>
      <c r="ABD13" s="394"/>
      <c r="ABE13" s="394"/>
      <c r="ABF13" s="394"/>
      <c r="ABG13" s="394"/>
      <c r="ABH13" s="394"/>
      <c r="ABI13" s="394"/>
      <c r="ABJ13" s="394"/>
      <c r="ABK13" s="394"/>
      <c r="ABL13" s="394"/>
      <c r="ABM13" s="394"/>
      <c r="ABN13" s="394"/>
      <c r="ABO13" s="394"/>
      <c r="ABP13" s="394"/>
      <c r="ABQ13" s="394"/>
      <c r="ABR13" s="394"/>
      <c r="ABS13" s="394"/>
      <c r="ABT13" s="394"/>
      <c r="ABU13" s="394"/>
      <c r="ABV13" s="394"/>
      <c r="ABW13" s="394"/>
      <c r="ABX13" s="394"/>
      <c r="ABY13" s="394"/>
      <c r="ABZ13" s="394"/>
      <c r="ACA13" s="394"/>
      <c r="ACB13" s="394"/>
      <c r="ACC13" s="394"/>
      <c r="ACD13" s="394"/>
      <c r="ACE13" s="394"/>
      <c r="ACF13" s="394"/>
      <c r="ACG13" s="394"/>
      <c r="ACH13" s="394"/>
      <c r="ACI13" s="394"/>
      <c r="ACJ13" s="394"/>
      <c r="ACK13" s="394"/>
      <c r="ACL13" s="394"/>
      <c r="ACM13" s="394"/>
      <c r="ACN13" s="394"/>
      <c r="ACO13" s="394"/>
      <c r="ACP13" s="394"/>
      <c r="ACQ13" s="394"/>
      <c r="ACR13" s="394"/>
      <c r="ACS13" s="394"/>
      <c r="ACT13" s="394"/>
      <c r="ACU13" s="394"/>
      <c r="ACV13" s="394"/>
      <c r="ACW13" s="394"/>
      <c r="ACX13" s="394"/>
      <c r="ACY13" s="394"/>
      <c r="ACZ13" s="394"/>
      <c r="ADA13" s="394"/>
      <c r="ADB13" s="394"/>
      <c r="ADC13" s="394"/>
      <c r="ADD13" s="394"/>
      <c r="ADE13" s="394"/>
      <c r="ADF13" s="394"/>
      <c r="ADG13" s="394"/>
      <c r="ADH13" s="394"/>
      <c r="ADI13" s="394"/>
      <c r="ADJ13" s="394"/>
      <c r="ADK13" s="394"/>
      <c r="ADL13" s="394"/>
      <c r="ADM13" s="394"/>
      <c r="ADN13" s="394"/>
      <c r="ADO13" s="394"/>
      <c r="ADP13" s="394"/>
      <c r="ADQ13" s="394"/>
      <c r="ADR13" s="394"/>
      <c r="ADS13" s="394"/>
      <c r="ADT13" s="394"/>
      <c r="ADU13" s="394"/>
      <c r="ADV13" s="394"/>
      <c r="ADW13" s="394"/>
      <c r="ADX13" s="394"/>
      <c r="ADY13" s="394"/>
      <c r="ADZ13" s="394"/>
      <c r="AEA13" s="394"/>
      <c r="AEB13" s="394"/>
      <c r="AEC13" s="394"/>
      <c r="AED13" s="394"/>
      <c r="AEE13" s="394"/>
      <c r="AEF13" s="394"/>
      <c r="AEG13" s="394"/>
      <c r="AEH13" s="394"/>
      <c r="AEI13" s="394"/>
      <c r="AEJ13" s="394"/>
      <c r="AEK13" s="394"/>
      <c r="AEL13" s="394"/>
      <c r="AEM13" s="394"/>
      <c r="AEN13" s="394"/>
      <c r="AEO13" s="394"/>
      <c r="AEP13" s="394"/>
      <c r="AEQ13" s="394"/>
      <c r="AER13" s="394"/>
      <c r="AES13" s="394"/>
      <c r="AET13" s="394"/>
      <c r="AEU13" s="394"/>
      <c r="AEV13" s="394"/>
      <c r="AEW13" s="394"/>
      <c r="AEX13" s="394"/>
      <c r="AEY13" s="394"/>
      <c r="AEZ13" s="394"/>
      <c r="AFA13" s="394"/>
      <c r="AFB13" s="394"/>
      <c r="AFC13" s="394"/>
      <c r="AFD13" s="394"/>
      <c r="AFE13" s="394"/>
      <c r="AFF13" s="394"/>
      <c r="AFG13" s="394"/>
      <c r="AFH13" s="394"/>
      <c r="AFI13" s="394"/>
      <c r="AFJ13" s="394"/>
      <c r="AFK13" s="394"/>
      <c r="AFL13" s="394"/>
      <c r="AFM13" s="394"/>
      <c r="AFN13" s="394"/>
      <c r="AFO13" s="394"/>
      <c r="AFP13" s="394"/>
      <c r="AFQ13" s="394"/>
      <c r="AFR13" s="394"/>
      <c r="AFS13" s="394"/>
      <c r="AFT13" s="394"/>
      <c r="AFU13" s="394"/>
      <c r="AFV13" s="394"/>
      <c r="AFW13" s="394"/>
      <c r="AFX13" s="394"/>
      <c r="AFY13" s="394"/>
      <c r="AFZ13" s="394"/>
      <c r="AGA13" s="394"/>
      <c r="AGB13" s="394"/>
      <c r="AGC13" s="394"/>
      <c r="AGD13" s="394"/>
      <c r="AGE13" s="394"/>
      <c r="AGF13" s="394"/>
      <c r="AGG13" s="394"/>
      <c r="AGH13" s="394"/>
      <c r="AGI13" s="394"/>
      <c r="AGJ13" s="394"/>
      <c r="AGK13" s="394"/>
      <c r="AGL13" s="394"/>
      <c r="AGM13" s="394"/>
      <c r="AGN13" s="394"/>
      <c r="AGO13" s="394"/>
      <c r="AGP13" s="394"/>
      <c r="AGQ13" s="394"/>
      <c r="AGR13" s="394"/>
      <c r="AGS13" s="394"/>
      <c r="AGT13" s="394"/>
      <c r="AGU13" s="394"/>
      <c r="AGV13" s="394"/>
      <c r="AGW13" s="394"/>
      <c r="AGX13" s="394"/>
      <c r="AGY13" s="394"/>
      <c r="AGZ13" s="394"/>
      <c r="AHA13" s="394"/>
      <c r="AHB13" s="394"/>
      <c r="AHC13" s="394"/>
      <c r="AHD13" s="394"/>
      <c r="AHE13" s="394"/>
      <c r="AHF13" s="394"/>
      <c r="AHG13" s="394"/>
      <c r="AHH13" s="394"/>
      <c r="AHI13" s="394"/>
      <c r="AHJ13" s="394"/>
      <c r="AHK13" s="394"/>
      <c r="AHL13" s="394"/>
      <c r="AHM13" s="394"/>
      <c r="AHN13" s="394"/>
      <c r="AHO13" s="394"/>
      <c r="AHP13" s="394"/>
      <c r="AHQ13" s="394"/>
      <c r="AHR13" s="394"/>
      <c r="AHS13" s="394"/>
      <c r="AHT13" s="394"/>
      <c r="AHU13" s="394"/>
      <c r="AHV13" s="394"/>
      <c r="AHW13" s="394"/>
      <c r="AHX13" s="394"/>
      <c r="AHY13" s="394"/>
      <c r="AHZ13" s="394"/>
      <c r="AIA13" s="394"/>
      <c r="AIB13" s="394"/>
      <c r="AIC13" s="394"/>
      <c r="AID13" s="394"/>
      <c r="AIE13" s="394"/>
      <c r="AIF13" s="394"/>
      <c r="AIG13" s="394"/>
      <c r="AIH13" s="394"/>
      <c r="AII13" s="394"/>
      <c r="AIJ13" s="394"/>
      <c r="AIK13" s="394"/>
      <c r="AIL13" s="394"/>
      <c r="AIM13" s="394"/>
      <c r="AIN13" s="394"/>
      <c r="AIO13" s="394"/>
      <c r="AIP13" s="394"/>
      <c r="AIQ13" s="394"/>
      <c r="AIR13" s="394"/>
      <c r="AIS13" s="394"/>
      <c r="AIT13" s="394"/>
      <c r="AIU13" s="394"/>
      <c r="AIV13" s="394"/>
      <c r="AIW13" s="394"/>
      <c r="AIX13" s="394"/>
      <c r="AIY13" s="394"/>
      <c r="AIZ13" s="394"/>
      <c r="AJA13" s="394"/>
      <c r="AJB13" s="394"/>
      <c r="AJC13" s="394"/>
      <c r="AJD13" s="394"/>
      <c r="AJE13" s="394"/>
      <c r="AJF13" s="394"/>
      <c r="AJG13" s="394"/>
      <c r="AJH13" s="394"/>
      <c r="AJI13" s="394"/>
      <c r="AJJ13" s="394"/>
      <c r="AJK13" s="394"/>
      <c r="AJL13" s="394"/>
      <c r="AJM13" s="394"/>
      <c r="AJN13" s="394"/>
      <c r="AJO13" s="394"/>
      <c r="AJP13" s="394"/>
      <c r="AJQ13" s="394"/>
      <c r="AJR13" s="394"/>
      <c r="AJS13" s="394"/>
      <c r="AJT13" s="394"/>
      <c r="AJU13" s="394"/>
      <c r="AJV13" s="394"/>
      <c r="AJW13" s="394"/>
      <c r="AJX13" s="394"/>
      <c r="AJY13" s="394"/>
      <c r="AJZ13" s="394"/>
      <c r="AKA13" s="394"/>
      <c r="AKB13" s="394"/>
      <c r="AKC13" s="394"/>
      <c r="AKD13" s="394"/>
      <c r="AKE13" s="394"/>
      <c r="AKF13" s="394"/>
      <c r="AKG13" s="394"/>
      <c r="AKH13" s="394"/>
      <c r="AKI13" s="394"/>
      <c r="AKJ13" s="394"/>
      <c r="AKK13" s="394"/>
      <c r="AKL13" s="394"/>
      <c r="AKM13" s="394"/>
      <c r="AKN13" s="394"/>
      <c r="AKO13" s="394"/>
      <c r="AKP13" s="394"/>
      <c r="AKQ13" s="394"/>
      <c r="AKR13" s="394"/>
      <c r="AKS13" s="394"/>
      <c r="AKT13" s="394"/>
      <c r="AKU13" s="394"/>
      <c r="AKV13" s="394"/>
      <c r="AKW13" s="394"/>
      <c r="AKX13" s="394"/>
      <c r="AKY13" s="394"/>
      <c r="AKZ13" s="394"/>
      <c r="ALA13" s="394"/>
      <c r="ALB13" s="394"/>
      <c r="ALC13" s="394"/>
      <c r="ALD13" s="394"/>
      <c r="ALE13" s="394"/>
      <c r="ALF13" s="394"/>
      <c r="ALG13" s="394"/>
      <c r="ALH13" s="394"/>
      <c r="ALI13" s="394"/>
      <c r="ALJ13" s="394"/>
      <c r="ALK13" s="394"/>
      <c r="ALL13" s="394"/>
      <c r="ALM13" s="394"/>
      <c r="ALN13" s="394"/>
      <c r="ALO13" s="394"/>
      <c r="ALP13" s="394"/>
      <c r="ALQ13" s="394"/>
      <c r="ALR13" s="394"/>
      <c r="ALS13" s="394"/>
      <c r="ALT13" s="394"/>
      <c r="ALU13" s="394"/>
      <c r="ALV13" s="394"/>
      <c r="ALW13" s="394"/>
      <c r="ALX13" s="394"/>
      <c r="ALY13" s="394"/>
      <c r="ALZ13" s="394"/>
      <c r="AMA13" s="394"/>
      <c r="AMB13" s="394"/>
      <c r="AMC13" s="394"/>
      <c r="AMD13" s="394"/>
      <c r="AME13" s="394"/>
      <c r="AMF13" s="394"/>
      <c r="AMG13" s="394"/>
      <c r="AMH13" s="394"/>
      <c r="AMI13" s="394"/>
      <c r="AMJ13" s="394"/>
      <c r="AMK13" s="394"/>
      <c r="AML13" s="394"/>
      <c r="AMM13" s="394"/>
      <c r="AMN13" s="394"/>
      <c r="AMO13" s="394"/>
      <c r="AMP13" s="394"/>
      <c r="AMQ13" s="394"/>
      <c r="AMR13" s="394"/>
      <c r="AMS13" s="394"/>
      <c r="AMT13" s="394"/>
      <c r="AMU13" s="394"/>
      <c r="AMV13" s="394"/>
      <c r="AMW13" s="394"/>
      <c r="AMX13" s="394"/>
      <c r="AMY13" s="394"/>
      <c r="AMZ13" s="394"/>
      <c r="ANA13" s="394"/>
      <c r="ANB13" s="394"/>
      <c r="ANC13" s="394"/>
      <c r="AND13" s="394"/>
      <c r="ANE13" s="394"/>
      <c r="ANF13" s="394"/>
      <c r="ANG13" s="394"/>
      <c r="ANH13" s="394"/>
      <c r="ANI13" s="394"/>
      <c r="ANJ13" s="394"/>
      <c r="ANK13" s="394"/>
      <c r="ANL13" s="394"/>
      <c r="ANM13" s="394"/>
      <c r="ANN13" s="394"/>
      <c r="ANO13" s="394"/>
      <c r="ANP13" s="394"/>
      <c r="ANQ13" s="394"/>
      <c r="ANR13" s="394"/>
      <c r="ANS13" s="394"/>
      <c r="ANT13" s="394"/>
      <c r="ANU13" s="394"/>
      <c r="ANV13" s="394"/>
      <c r="ANW13" s="394"/>
      <c r="ANX13" s="394"/>
      <c r="ANY13" s="394"/>
      <c r="ANZ13" s="394"/>
      <c r="AOA13" s="394"/>
      <c r="AOB13" s="394"/>
      <c r="AOC13" s="394"/>
      <c r="AOD13" s="394"/>
      <c r="AOE13" s="394"/>
      <c r="AOF13" s="394"/>
      <c r="AOG13" s="394"/>
      <c r="AOH13" s="394"/>
      <c r="AOI13" s="394"/>
      <c r="AOJ13" s="394"/>
      <c r="AOK13" s="394"/>
      <c r="AOL13" s="394"/>
      <c r="AOM13" s="394"/>
      <c r="AON13" s="394"/>
      <c r="AOO13" s="394"/>
      <c r="AOP13" s="394"/>
      <c r="AOQ13" s="394"/>
      <c r="AOR13" s="394"/>
      <c r="AOS13" s="394"/>
      <c r="AOT13" s="394"/>
      <c r="AOU13" s="394"/>
      <c r="AOV13" s="394"/>
      <c r="AOW13" s="394"/>
      <c r="AOX13" s="394"/>
      <c r="AOY13" s="394"/>
      <c r="AOZ13" s="394"/>
      <c r="APA13" s="394"/>
      <c r="APB13" s="394"/>
      <c r="APC13" s="394"/>
      <c r="APD13" s="394"/>
      <c r="APE13" s="394"/>
      <c r="APF13" s="394"/>
      <c r="APG13" s="394"/>
      <c r="APH13" s="394"/>
      <c r="API13" s="394"/>
      <c r="APJ13" s="394"/>
      <c r="APK13" s="394"/>
      <c r="APL13" s="394"/>
      <c r="APM13" s="394"/>
      <c r="APN13" s="394"/>
      <c r="APO13" s="394"/>
      <c r="APP13" s="394"/>
      <c r="APQ13" s="394"/>
      <c r="APR13" s="394"/>
      <c r="APS13" s="394"/>
      <c r="APT13" s="394"/>
      <c r="APU13" s="394"/>
      <c r="APV13" s="394"/>
      <c r="APW13" s="394"/>
      <c r="APX13" s="394"/>
      <c r="APY13" s="394"/>
      <c r="APZ13" s="394"/>
      <c r="AQA13" s="394"/>
      <c r="AQB13" s="394"/>
      <c r="AQC13" s="394"/>
      <c r="AQD13" s="394"/>
      <c r="AQE13" s="394"/>
      <c r="AQF13" s="394"/>
      <c r="AQG13" s="394"/>
      <c r="AQH13" s="394"/>
      <c r="AQI13" s="394"/>
      <c r="AQJ13" s="394"/>
      <c r="AQK13" s="394"/>
      <c r="AQL13" s="394"/>
      <c r="AQM13" s="394"/>
      <c r="AQN13" s="394"/>
      <c r="AQO13" s="394"/>
      <c r="AQP13" s="394"/>
      <c r="AQQ13" s="394"/>
      <c r="AQR13" s="394"/>
      <c r="AQS13" s="394"/>
      <c r="AQT13" s="394"/>
      <c r="AQU13" s="394"/>
      <c r="AQV13" s="394"/>
      <c r="AQW13" s="394"/>
      <c r="AQX13" s="394"/>
      <c r="AQY13" s="394"/>
      <c r="AQZ13" s="394"/>
      <c r="ARA13" s="394"/>
      <c r="ARB13" s="394"/>
      <c r="ARC13" s="394"/>
      <c r="ARD13" s="394"/>
      <c r="ARE13" s="394"/>
      <c r="ARF13" s="394"/>
      <c r="ARG13" s="394"/>
      <c r="ARH13" s="394"/>
      <c r="ARI13" s="394"/>
      <c r="ARJ13" s="394"/>
      <c r="ARK13" s="394"/>
      <c r="ARL13" s="394"/>
      <c r="ARM13" s="394"/>
      <c r="ARN13" s="394"/>
      <c r="ARO13" s="394"/>
      <c r="ARP13" s="394"/>
      <c r="ARQ13" s="394"/>
      <c r="ARR13" s="394"/>
      <c r="ARS13" s="394"/>
      <c r="ART13" s="394"/>
      <c r="ARU13" s="394"/>
      <c r="ARV13" s="394"/>
      <c r="ARW13" s="394"/>
      <c r="ARX13" s="394"/>
      <c r="ARY13" s="394"/>
      <c r="ARZ13" s="394"/>
      <c r="ASA13" s="394"/>
      <c r="ASB13" s="394"/>
      <c r="ASC13" s="394"/>
      <c r="ASD13" s="394"/>
      <c r="ASE13" s="394"/>
      <c r="ASF13" s="394"/>
      <c r="ASG13" s="394"/>
      <c r="ASH13" s="394"/>
      <c r="ASI13" s="394"/>
      <c r="ASJ13" s="394"/>
      <c r="ASK13" s="394"/>
      <c r="ASL13" s="394"/>
      <c r="ASM13" s="394"/>
      <c r="ASN13" s="394"/>
      <c r="ASO13" s="394"/>
      <c r="ASP13" s="394"/>
      <c r="ASQ13" s="394"/>
      <c r="ASR13" s="394"/>
      <c r="ASS13" s="394"/>
      <c r="AST13" s="394"/>
      <c r="ASU13" s="394"/>
      <c r="ASV13" s="394"/>
      <c r="ASW13" s="394"/>
      <c r="ASX13" s="394"/>
      <c r="ASY13" s="394"/>
      <c r="ASZ13" s="394"/>
      <c r="ATA13" s="394"/>
      <c r="ATB13" s="394"/>
      <c r="ATC13" s="394"/>
      <c r="ATD13" s="394"/>
      <c r="ATE13" s="394"/>
      <c r="ATF13" s="394"/>
      <c r="ATG13" s="394"/>
      <c r="ATH13" s="394"/>
      <c r="ATI13" s="394"/>
      <c r="ATJ13" s="394"/>
      <c r="ATK13" s="394"/>
      <c r="ATL13" s="394"/>
      <c r="ATM13" s="394"/>
      <c r="ATN13" s="394"/>
      <c r="ATO13" s="394"/>
      <c r="ATP13" s="394"/>
      <c r="ATQ13" s="394"/>
      <c r="ATR13" s="394"/>
      <c r="ATS13" s="394"/>
      <c r="ATT13" s="394"/>
      <c r="ATU13" s="394"/>
      <c r="ATV13" s="394"/>
      <c r="ATW13" s="394"/>
      <c r="ATX13" s="394"/>
      <c r="ATY13" s="394"/>
      <c r="ATZ13" s="394"/>
      <c r="AUA13" s="394"/>
      <c r="AUB13" s="394"/>
      <c r="AUC13" s="394"/>
      <c r="AUD13" s="394"/>
      <c r="AUE13" s="394"/>
      <c r="AUF13" s="394"/>
      <c r="AUG13" s="394"/>
      <c r="AUH13" s="394"/>
      <c r="AUI13" s="394"/>
      <c r="AUJ13" s="394"/>
      <c r="AUK13" s="394"/>
      <c r="AUL13" s="394"/>
      <c r="AUM13" s="394"/>
      <c r="AUN13" s="394"/>
      <c r="AUO13" s="394"/>
      <c r="AUP13" s="394"/>
      <c r="AUQ13" s="394"/>
      <c r="AUR13" s="394"/>
      <c r="AUS13" s="394"/>
      <c r="AUT13" s="394"/>
      <c r="AUU13" s="394"/>
      <c r="AUV13" s="394"/>
      <c r="AUW13" s="394"/>
      <c r="AUX13" s="394"/>
      <c r="AUY13" s="394"/>
      <c r="AUZ13" s="394"/>
      <c r="AVA13" s="394"/>
      <c r="AVB13" s="394"/>
      <c r="AVC13" s="394"/>
      <c r="AVD13" s="394"/>
      <c r="AVE13" s="394"/>
      <c r="AVF13" s="394"/>
      <c r="AVG13" s="394"/>
      <c r="AVH13" s="394"/>
      <c r="AVI13" s="394"/>
      <c r="AVJ13" s="394"/>
      <c r="AVK13" s="394"/>
      <c r="AVL13" s="394"/>
      <c r="AVM13" s="394"/>
      <c r="AVN13" s="394"/>
      <c r="AVO13" s="394"/>
      <c r="AVP13" s="394"/>
      <c r="AVQ13" s="394"/>
      <c r="AVR13" s="394"/>
      <c r="AVS13" s="394"/>
      <c r="AVT13" s="394"/>
      <c r="AVU13" s="394"/>
      <c r="AVV13" s="394"/>
      <c r="AVW13" s="394"/>
      <c r="AVX13" s="394"/>
      <c r="AVY13" s="394"/>
      <c r="AVZ13" s="394"/>
      <c r="AWA13" s="394"/>
      <c r="AWB13" s="394"/>
      <c r="AWC13" s="394"/>
      <c r="AWD13" s="394"/>
      <c r="AWE13" s="394"/>
      <c r="AWF13" s="394"/>
      <c r="AWG13" s="394"/>
      <c r="AWH13" s="394"/>
      <c r="AWI13" s="394"/>
      <c r="AWJ13" s="394"/>
      <c r="AWK13" s="394"/>
      <c r="AWL13" s="394"/>
      <c r="AWM13" s="394"/>
      <c r="AWN13" s="394"/>
      <c r="AWO13" s="394"/>
      <c r="AWP13" s="394"/>
      <c r="AWQ13" s="394"/>
      <c r="AWR13" s="394"/>
      <c r="AWS13" s="394"/>
      <c r="AWT13" s="394"/>
      <c r="AWU13" s="394"/>
      <c r="AWV13" s="394"/>
      <c r="AWW13" s="394"/>
      <c r="AWX13" s="394"/>
      <c r="AWY13" s="394"/>
      <c r="AWZ13" s="394"/>
      <c r="AXA13" s="394"/>
      <c r="AXB13" s="394"/>
      <c r="AXC13" s="394"/>
      <c r="AXD13" s="394"/>
      <c r="AXE13" s="394"/>
      <c r="AXF13" s="394"/>
      <c r="AXG13" s="394"/>
      <c r="AXH13" s="394"/>
      <c r="AXI13" s="394"/>
      <c r="AXJ13" s="394"/>
      <c r="AXK13" s="394"/>
      <c r="AXL13" s="394"/>
      <c r="AXM13" s="394"/>
      <c r="AXN13" s="394"/>
      <c r="AXO13" s="394"/>
      <c r="AXP13" s="394"/>
      <c r="AXQ13" s="394"/>
      <c r="AXR13" s="394"/>
      <c r="AXS13" s="394"/>
      <c r="AXT13" s="394"/>
      <c r="AXU13" s="394"/>
      <c r="AXV13" s="394"/>
      <c r="AXW13" s="394"/>
      <c r="AXX13" s="394"/>
      <c r="AXY13" s="394"/>
      <c r="AXZ13" s="394"/>
      <c r="AYA13" s="394"/>
      <c r="AYB13" s="394"/>
      <c r="AYC13" s="394"/>
      <c r="AYD13" s="394"/>
      <c r="AYE13" s="394"/>
      <c r="AYF13" s="394"/>
      <c r="AYG13" s="394"/>
      <c r="AYH13" s="394"/>
      <c r="AYI13" s="394"/>
      <c r="AYJ13" s="394"/>
      <c r="AYK13" s="394"/>
      <c r="AYL13" s="394"/>
      <c r="AYM13" s="394"/>
      <c r="AYN13" s="394"/>
      <c r="AYO13" s="394"/>
      <c r="AYP13" s="394"/>
      <c r="AYQ13" s="394"/>
      <c r="AYR13" s="394"/>
      <c r="AYS13" s="394"/>
      <c r="AYT13" s="394"/>
      <c r="AYU13" s="394"/>
      <c r="AYV13" s="394"/>
      <c r="AYW13" s="394"/>
      <c r="AYX13" s="394"/>
      <c r="AYY13" s="394"/>
      <c r="AYZ13" s="394"/>
      <c r="AZA13" s="394"/>
      <c r="AZB13" s="394"/>
      <c r="AZC13" s="394"/>
      <c r="AZD13" s="394"/>
      <c r="AZE13" s="394"/>
      <c r="AZF13" s="394"/>
      <c r="AZG13" s="394"/>
      <c r="AZH13" s="394"/>
      <c r="AZI13" s="394"/>
      <c r="AZJ13" s="394"/>
      <c r="AZK13" s="394"/>
      <c r="AZL13" s="394"/>
      <c r="AZM13" s="394"/>
      <c r="AZN13" s="394"/>
      <c r="AZO13" s="394"/>
      <c r="AZP13" s="394"/>
      <c r="AZQ13" s="394"/>
      <c r="AZR13" s="394"/>
      <c r="AZS13" s="394"/>
      <c r="AZT13" s="394"/>
      <c r="AZU13" s="394"/>
      <c r="AZV13" s="394"/>
      <c r="AZW13" s="394"/>
      <c r="AZX13" s="394"/>
      <c r="AZY13" s="394"/>
      <c r="AZZ13" s="394"/>
      <c r="BAA13" s="394"/>
      <c r="BAB13" s="394"/>
      <c r="BAC13" s="394"/>
      <c r="BAD13" s="394"/>
      <c r="BAE13" s="394"/>
      <c r="BAF13" s="394"/>
      <c r="BAG13" s="394"/>
      <c r="BAH13" s="394"/>
      <c r="BAI13" s="394"/>
      <c r="BAJ13" s="394"/>
      <c r="BAK13" s="394"/>
      <c r="BAL13" s="394"/>
      <c r="BAM13" s="394"/>
      <c r="BAN13" s="394"/>
      <c r="BAO13" s="394"/>
      <c r="BAP13" s="394"/>
      <c r="BAQ13" s="394"/>
      <c r="BAR13" s="394"/>
      <c r="BAS13" s="394"/>
      <c r="BAT13" s="394"/>
      <c r="BAU13" s="394"/>
      <c r="BAV13" s="394"/>
      <c r="BAW13" s="394"/>
      <c r="BAX13" s="394"/>
      <c r="BAY13" s="394"/>
      <c r="BAZ13" s="394"/>
      <c r="BBA13" s="394"/>
      <c r="BBB13" s="394"/>
      <c r="BBC13" s="394"/>
      <c r="BBD13" s="394"/>
      <c r="BBE13" s="394"/>
      <c r="BBF13" s="394"/>
      <c r="BBG13" s="394"/>
      <c r="BBH13" s="394"/>
      <c r="BBI13" s="394"/>
      <c r="BBJ13" s="394"/>
      <c r="BBK13" s="394"/>
      <c r="BBL13" s="394"/>
      <c r="BBM13" s="394"/>
      <c r="BBN13" s="394"/>
      <c r="BBO13" s="394"/>
      <c r="BBP13" s="394"/>
      <c r="BBQ13" s="394"/>
      <c r="BBR13" s="394"/>
      <c r="BBS13" s="394"/>
      <c r="BBT13" s="394"/>
      <c r="BBU13" s="394"/>
      <c r="BBV13" s="394"/>
      <c r="BBW13" s="394"/>
      <c r="BBX13" s="394"/>
      <c r="BBY13" s="394"/>
      <c r="BBZ13" s="394"/>
      <c r="BCA13" s="394"/>
      <c r="BCB13" s="394"/>
      <c r="BCC13" s="394"/>
      <c r="BCD13" s="394"/>
      <c r="BCE13" s="394"/>
      <c r="BCF13" s="394"/>
      <c r="BCG13" s="394"/>
      <c r="BCH13" s="394"/>
      <c r="BCI13" s="394"/>
      <c r="BCJ13" s="394"/>
      <c r="BCK13" s="394"/>
      <c r="BCL13" s="394"/>
      <c r="BCM13" s="394"/>
      <c r="BCN13" s="394"/>
      <c r="BCO13" s="394"/>
      <c r="BCP13" s="394"/>
      <c r="BCQ13" s="394"/>
      <c r="BCR13" s="394"/>
      <c r="BCS13" s="394"/>
      <c r="BCT13" s="394"/>
      <c r="BCU13" s="394"/>
      <c r="BCV13" s="394"/>
      <c r="BCW13" s="394"/>
      <c r="BCX13" s="394"/>
      <c r="BCY13" s="394"/>
      <c r="BCZ13" s="394"/>
      <c r="BDA13" s="394"/>
      <c r="BDB13" s="394"/>
      <c r="BDC13" s="394"/>
      <c r="BDD13" s="394"/>
      <c r="BDE13" s="394"/>
      <c r="BDF13" s="394"/>
      <c r="BDG13" s="394"/>
      <c r="BDH13" s="394"/>
      <c r="BDI13" s="394"/>
      <c r="BDJ13" s="394"/>
      <c r="BDK13" s="394"/>
      <c r="BDL13" s="394"/>
      <c r="BDM13" s="394"/>
      <c r="BDN13" s="394"/>
      <c r="BDO13" s="394"/>
      <c r="BDP13" s="394"/>
      <c r="BDQ13" s="394"/>
      <c r="BDR13" s="394"/>
      <c r="BDS13" s="394"/>
      <c r="BDT13" s="394"/>
      <c r="BDU13" s="394"/>
      <c r="BDV13" s="394"/>
      <c r="BDW13" s="394"/>
      <c r="BDX13" s="394"/>
      <c r="BDY13" s="394"/>
      <c r="BDZ13" s="394"/>
      <c r="BEA13" s="394"/>
      <c r="BEB13" s="394"/>
      <c r="BEC13" s="394"/>
      <c r="BED13" s="394"/>
      <c r="BEE13" s="394"/>
      <c r="BEF13" s="394"/>
      <c r="BEG13" s="394"/>
      <c r="BEH13" s="394"/>
      <c r="BEI13" s="394"/>
      <c r="BEJ13" s="394"/>
      <c r="BEK13" s="394"/>
      <c r="BEL13" s="394"/>
      <c r="BEM13" s="394"/>
      <c r="BEN13" s="394"/>
      <c r="BEO13" s="394"/>
      <c r="BEP13" s="394"/>
      <c r="BEQ13" s="394"/>
      <c r="BER13" s="394"/>
      <c r="BES13" s="394"/>
      <c r="BET13" s="394"/>
      <c r="BEU13" s="394"/>
      <c r="BEV13" s="394"/>
      <c r="BEW13" s="394"/>
      <c r="BEX13" s="394"/>
      <c r="BEY13" s="394"/>
      <c r="BEZ13" s="394"/>
      <c r="BFA13" s="394"/>
      <c r="BFB13" s="394"/>
      <c r="BFC13" s="394"/>
      <c r="BFD13" s="394"/>
      <c r="BFE13" s="394"/>
      <c r="BFF13" s="394"/>
      <c r="BFG13" s="394"/>
      <c r="BFH13" s="394"/>
      <c r="BFI13" s="394"/>
      <c r="BFJ13" s="394"/>
      <c r="BFK13" s="394"/>
      <c r="BFL13" s="394"/>
      <c r="BFM13" s="394"/>
      <c r="BFN13" s="394"/>
      <c r="BFO13" s="394"/>
      <c r="BFP13" s="394"/>
      <c r="BFQ13" s="394"/>
      <c r="BFR13" s="394"/>
      <c r="BFS13" s="394"/>
      <c r="BFT13" s="394"/>
      <c r="BFU13" s="394"/>
      <c r="BFV13" s="394"/>
      <c r="BFW13" s="394"/>
      <c r="BFX13" s="394"/>
      <c r="BFY13" s="394"/>
      <c r="BFZ13" s="394"/>
      <c r="BGA13" s="394"/>
      <c r="BGB13" s="394"/>
      <c r="BGC13" s="394"/>
      <c r="BGD13" s="394"/>
      <c r="BGE13" s="394"/>
      <c r="BGF13" s="394"/>
      <c r="BGG13" s="394"/>
      <c r="BGH13" s="394"/>
      <c r="BGI13" s="394"/>
      <c r="BGJ13" s="394"/>
      <c r="BGK13" s="394"/>
      <c r="BGL13" s="394"/>
      <c r="BGM13" s="394"/>
      <c r="BGN13" s="394"/>
      <c r="BGO13" s="394"/>
      <c r="BGP13" s="394"/>
      <c r="BGQ13" s="394"/>
      <c r="BGR13" s="394"/>
      <c r="BGS13" s="394"/>
      <c r="BGT13" s="394"/>
      <c r="BGU13" s="394"/>
      <c r="BGV13" s="394"/>
      <c r="BGW13" s="394"/>
      <c r="BGX13" s="394"/>
      <c r="BGY13" s="394"/>
      <c r="BGZ13" s="394"/>
      <c r="BHA13" s="394"/>
      <c r="BHB13" s="394"/>
      <c r="BHC13" s="394"/>
      <c r="BHD13" s="394"/>
      <c r="BHE13" s="394"/>
      <c r="BHF13" s="394"/>
      <c r="BHG13" s="394"/>
      <c r="BHH13" s="394"/>
      <c r="BHI13" s="394"/>
      <c r="BHJ13" s="394"/>
      <c r="BHK13" s="394"/>
      <c r="BHL13" s="394"/>
      <c r="BHM13" s="394"/>
      <c r="BHN13" s="394"/>
      <c r="BHO13" s="394"/>
      <c r="BHP13" s="394"/>
      <c r="BHQ13" s="394"/>
      <c r="BHR13" s="394"/>
      <c r="BHS13" s="394"/>
      <c r="BHT13" s="394"/>
      <c r="BHU13" s="394"/>
      <c r="BHV13" s="394"/>
      <c r="BHW13" s="394"/>
      <c r="BHX13" s="394"/>
      <c r="BHY13" s="394"/>
      <c r="BHZ13" s="394"/>
      <c r="BIA13" s="394"/>
      <c r="BIB13" s="394"/>
      <c r="BIC13" s="394"/>
      <c r="BID13" s="394"/>
      <c r="BIE13" s="394"/>
      <c r="BIF13" s="394"/>
      <c r="BIG13" s="394"/>
      <c r="BIH13" s="394"/>
      <c r="BII13" s="394"/>
      <c r="BIJ13" s="394"/>
      <c r="BIK13" s="394"/>
      <c r="BIL13" s="394"/>
      <c r="BIM13" s="394"/>
      <c r="BIN13" s="394"/>
      <c r="BIO13" s="394"/>
      <c r="BIP13" s="394"/>
      <c r="BIQ13" s="394"/>
      <c r="BIR13" s="394"/>
      <c r="BIS13" s="394"/>
      <c r="BIT13" s="394"/>
      <c r="BIU13" s="394"/>
      <c r="BIV13" s="394"/>
      <c r="BIW13" s="394"/>
      <c r="BIX13" s="394"/>
      <c r="BIY13" s="394"/>
      <c r="BIZ13" s="394"/>
      <c r="BJA13" s="394"/>
      <c r="BJB13" s="394"/>
      <c r="BJC13" s="394"/>
      <c r="BJD13" s="394"/>
      <c r="BJE13" s="394"/>
      <c r="BJF13" s="394"/>
      <c r="BJG13" s="394"/>
      <c r="BJH13" s="394"/>
      <c r="BJI13" s="394"/>
      <c r="BJJ13" s="394"/>
      <c r="BJK13" s="394"/>
      <c r="BJL13" s="394"/>
      <c r="BJM13" s="394"/>
      <c r="BJN13" s="394"/>
      <c r="BJO13" s="394"/>
      <c r="BJP13" s="394"/>
      <c r="BJQ13" s="394"/>
      <c r="BJR13" s="394"/>
      <c r="BJS13" s="394"/>
      <c r="BJT13" s="394"/>
      <c r="BJU13" s="394"/>
      <c r="BJV13" s="394"/>
      <c r="BJW13" s="394"/>
      <c r="BJX13" s="394"/>
      <c r="BJY13" s="394"/>
      <c r="BJZ13" s="394"/>
      <c r="BKA13" s="394"/>
      <c r="BKB13" s="394"/>
      <c r="BKC13" s="394"/>
      <c r="BKD13" s="394"/>
      <c r="BKE13" s="394"/>
      <c r="BKF13" s="394"/>
      <c r="BKG13" s="394"/>
      <c r="BKH13" s="394"/>
      <c r="BKI13" s="394"/>
      <c r="BKJ13" s="394"/>
      <c r="BKK13" s="394"/>
      <c r="BKL13" s="394"/>
      <c r="BKM13" s="394"/>
      <c r="BKN13" s="394"/>
      <c r="BKO13" s="394"/>
      <c r="BKP13" s="394"/>
      <c r="BKQ13" s="394"/>
      <c r="BKR13" s="394"/>
      <c r="BKS13" s="394"/>
      <c r="BKT13" s="394"/>
      <c r="BKU13" s="394"/>
      <c r="BKV13" s="394"/>
      <c r="BKW13" s="394"/>
      <c r="BKX13" s="394"/>
      <c r="BKY13" s="394"/>
      <c r="BKZ13" s="394"/>
      <c r="BLA13" s="394"/>
      <c r="BLB13" s="394"/>
      <c r="BLC13" s="394"/>
      <c r="BLD13" s="394"/>
      <c r="BLE13" s="394"/>
      <c r="BLF13" s="394"/>
      <c r="BLG13" s="394"/>
      <c r="BLH13" s="394"/>
      <c r="BLI13" s="394"/>
      <c r="BLJ13" s="394"/>
      <c r="BLK13" s="394"/>
      <c r="BLL13" s="394"/>
      <c r="BLM13" s="394"/>
      <c r="BLN13" s="394"/>
      <c r="BLO13" s="394"/>
      <c r="BLP13" s="394"/>
      <c r="BLQ13" s="394"/>
      <c r="BLR13" s="394"/>
      <c r="BLS13" s="394"/>
      <c r="BLT13" s="394"/>
      <c r="BLU13" s="394"/>
      <c r="BLV13" s="394"/>
      <c r="BLW13" s="394"/>
      <c r="BLX13" s="394"/>
      <c r="BLY13" s="394"/>
      <c r="BLZ13" s="394"/>
      <c r="BMA13" s="394"/>
      <c r="BMB13" s="394"/>
      <c r="BMC13" s="394"/>
      <c r="BMD13" s="394"/>
      <c r="BME13" s="394"/>
      <c r="BMF13" s="394"/>
      <c r="BMG13" s="394"/>
      <c r="BMH13" s="394"/>
      <c r="BMI13" s="394"/>
      <c r="BMJ13" s="394"/>
      <c r="BMK13" s="394"/>
      <c r="BML13" s="394"/>
      <c r="BMM13" s="394"/>
      <c r="BMN13" s="394"/>
      <c r="BMO13" s="394"/>
      <c r="BMP13" s="394"/>
      <c r="BMQ13" s="394"/>
      <c r="BMR13" s="394"/>
      <c r="BMS13" s="394"/>
      <c r="BMT13" s="394"/>
      <c r="BMU13" s="394"/>
      <c r="BMV13" s="394"/>
      <c r="BMW13" s="394"/>
      <c r="BMX13" s="394"/>
      <c r="BMY13" s="394"/>
      <c r="BMZ13" s="394"/>
      <c r="BNA13" s="394"/>
      <c r="BNB13" s="394"/>
      <c r="BNC13" s="394"/>
      <c r="BND13" s="394"/>
      <c r="BNE13" s="394"/>
      <c r="BNF13" s="394"/>
      <c r="BNG13" s="394"/>
      <c r="BNH13" s="394"/>
      <c r="BNI13" s="394"/>
      <c r="BNJ13" s="394"/>
      <c r="BNK13" s="394"/>
      <c r="BNL13" s="394"/>
      <c r="BNM13" s="394"/>
      <c r="BNN13" s="394"/>
      <c r="BNO13" s="394"/>
      <c r="BNP13" s="394"/>
      <c r="BNQ13" s="394"/>
      <c r="BNR13" s="394"/>
      <c r="BNS13" s="394"/>
      <c r="BNT13" s="394"/>
      <c r="BNU13" s="394"/>
      <c r="BNV13" s="394"/>
      <c r="BNW13" s="394"/>
      <c r="BNX13" s="394"/>
      <c r="BNY13" s="394"/>
      <c r="BNZ13" s="394"/>
      <c r="BOA13" s="394"/>
      <c r="BOB13" s="394"/>
      <c r="BOC13" s="394"/>
      <c r="BOD13" s="394"/>
      <c r="BOE13" s="394"/>
      <c r="BOF13" s="394"/>
      <c r="BOG13" s="394"/>
      <c r="BOH13" s="394"/>
      <c r="BOI13" s="394"/>
      <c r="BOJ13" s="394"/>
      <c r="BOK13" s="394"/>
      <c r="BOL13" s="394"/>
      <c r="BOM13" s="394"/>
      <c r="BON13" s="394"/>
      <c r="BOO13" s="394"/>
      <c r="BOP13" s="394"/>
      <c r="BOQ13" s="394"/>
      <c r="BOR13" s="394"/>
      <c r="BOS13" s="394"/>
      <c r="BOT13" s="394"/>
      <c r="BOU13" s="394"/>
      <c r="BOV13" s="394"/>
      <c r="BOW13" s="394"/>
      <c r="BOX13" s="394"/>
      <c r="BOY13" s="394"/>
      <c r="BOZ13" s="394"/>
      <c r="BPA13" s="394"/>
      <c r="BPB13" s="394"/>
      <c r="BPC13" s="394"/>
      <c r="BPD13" s="394"/>
      <c r="BPE13" s="394"/>
      <c r="BPF13" s="394"/>
      <c r="BPG13" s="394"/>
      <c r="BPH13" s="394"/>
      <c r="BPI13" s="394"/>
      <c r="BPJ13" s="394"/>
      <c r="BPK13" s="394"/>
      <c r="BPL13" s="394"/>
      <c r="BPM13" s="394"/>
      <c r="BPN13" s="394"/>
      <c r="BPO13" s="394"/>
      <c r="BPP13" s="394"/>
      <c r="BPQ13" s="394"/>
      <c r="BPR13" s="394"/>
      <c r="BPS13" s="394"/>
      <c r="BPT13" s="394"/>
      <c r="BPU13" s="394"/>
      <c r="BPV13" s="394"/>
      <c r="BPW13" s="394"/>
      <c r="BPX13" s="394"/>
      <c r="BPY13" s="394"/>
      <c r="BPZ13" s="394"/>
      <c r="BQA13" s="394"/>
      <c r="BQB13" s="394"/>
      <c r="BQC13" s="394"/>
      <c r="BQD13" s="394"/>
      <c r="BQE13" s="394"/>
      <c r="BQF13" s="394"/>
      <c r="BQG13" s="394"/>
      <c r="BQH13" s="394"/>
      <c r="BQI13" s="394"/>
      <c r="BQJ13" s="394"/>
      <c r="BQK13" s="394"/>
      <c r="BQL13" s="394"/>
      <c r="BQM13" s="394"/>
      <c r="BQN13" s="394"/>
      <c r="BQO13" s="394"/>
      <c r="BQP13" s="394"/>
      <c r="BQQ13" s="394"/>
      <c r="BQR13" s="394"/>
      <c r="BQS13" s="394"/>
      <c r="BQT13" s="394"/>
      <c r="BQU13" s="394"/>
      <c r="BQV13" s="394"/>
      <c r="BQW13" s="394"/>
      <c r="BQX13" s="394"/>
      <c r="BQY13" s="394"/>
      <c r="BQZ13" s="394"/>
      <c r="BRA13" s="394"/>
      <c r="BRB13" s="394"/>
      <c r="BRC13" s="394"/>
      <c r="BRD13" s="394"/>
      <c r="BRE13" s="394"/>
      <c r="BRF13" s="394"/>
      <c r="BRG13" s="394"/>
      <c r="BRH13" s="394"/>
      <c r="BRI13" s="394"/>
      <c r="BRJ13" s="394"/>
      <c r="BRK13" s="394"/>
      <c r="BRL13" s="394"/>
      <c r="BRM13" s="394"/>
      <c r="BRN13" s="394"/>
      <c r="BRO13" s="394"/>
      <c r="BRP13" s="394"/>
      <c r="BRQ13" s="394"/>
      <c r="BRR13" s="394"/>
      <c r="BRS13" s="394"/>
      <c r="BRT13" s="394"/>
      <c r="BRU13" s="394"/>
      <c r="BRV13" s="394"/>
      <c r="BRW13" s="394"/>
      <c r="BRX13" s="394"/>
      <c r="BRY13" s="394"/>
      <c r="BRZ13" s="394"/>
      <c r="BSA13" s="394"/>
      <c r="BSB13" s="394"/>
      <c r="BSC13" s="394"/>
      <c r="BSD13" s="394"/>
      <c r="BSE13" s="394"/>
      <c r="BSF13" s="394"/>
      <c r="BSG13" s="394"/>
      <c r="BSH13" s="394"/>
      <c r="BSI13" s="394"/>
      <c r="BSJ13" s="394"/>
      <c r="BSK13" s="394"/>
      <c r="BSL13" s="394"/>
      <c r="BSM13" s="394"/>
      <c r="BSN13" s="394"/>
      <c r="BSO13" s="394"/>
      <c r="BSP13" s="394"/>
      <c r="BSQ13" s="394"/>
      <c r="BSR13" s="394"/>
      <c r="BSS13" s="394"/>
      <c r="BST13" s="394"/>
      <c r="BSU13" s="394"/>
      <c r="BSV13" s="394"/>
      <c r="BSW13" s="394"/>
      <c r="BSX13" s="394"/>
      <c r="BSY13" s="394"/>
      <c r="BSZ13" s="394"/>
      <c r="BTA13" s="394"/>
      <c r="BTB13" s="394"/>
      <c r="BTC13" s="394"/>
      <c r="BTD13" s="394"/>
      <c r="BTE13" s="394"/>
      <c r="BTF13" s="394"/>
      <c r="BTG13" s="394"/>
      <c r="BTH13" s="394"/>
      <c r="BTI13" s="394"/>
    </row>
    <row r="14" spans="1:1881" s="378" customFormat="1" ht="97.5" customHeight="1" x14ac:dyDescent="0.25">
      <c r="A14" s="455">
        <v>628</v>
      </c>
      <c r="B14" s="456" t="s">
        <v>830</v>
      </c>
      <c r="C14" s="452" t="s">
        <v>136</v>
      </c>
      <c r="D14" s="453" t="s">
        <v>1085</v>
      </c>
      <c r="E14" s="865" t="s">
        <v>832</v>
      </c>
      <c r="F14" s="624"/>
      <c r="G14" s="457">
        <f>IF(F14&gt;F12,"Please review account numbers 628 &gt; 626",)</f>
        <v>0</v>
      </c>
      <c r="H14" s="438"/>
      <c r="I14" s="439"/>
      <c r="J14" s="365"/>
      <c r="K14" s="394"/>
      <c r="L14" s="833" t="s">
        <v>1112</v>
      </c>
      <c r="M14" s="610"/>
      <c r="N14" s="635"/>
      <c r="O14" s="394"/>
      <c r="P14" s="394"/>
      <c r="Q14" s="394"/>
      <c r="R14" s="394"/>
      <c r="S14" s="394"/>
      <c r="T14" s="394"/>
      <c r="U14" s="394"/>
      <c r="V14" s="394"/>
      <c r="W14" s="394"/>
      <c r="X14" s="394"/>
      <c r="Y14" s="394"/>
      <c r="Z14" s="394"/>
      <c r="AA14" s="394"/>
      <c r="AB14" s="394"/>
      <c r="AC14" s="394"/>
      <c r="AD14" s="394"/>
      <c r="AE14" s="394"/>
      <c r="AF14" s="394"/>
      <c r="AG14" s="394"/>
      <c r="AH14" s="394"/>
      <c r="AI14" s="394"/>
      <c r="AJ14" s="394"/>
      <c r="AK14" s="394"/>
      <c r="AL14" s="394"/>
      <c r="AM14" s="394"/>
      <c r="AN14" s="394"/>
      <c r="AO14" s="394"/>
      <c r="AP14" s="394"/>
      <c r="AQ14" s="394"/>
      <c r="AR14" s="394"/>
      <c r="AS14" s="394"/>
      <c r="AT14" s="394"/>
      <c r="AU14" s="394"/>
      <c r="AV14" s="394"/>
      <c r="AW14" s="394"/>
      <c r="AX14" s="394"/>
      <c r="AY14" s="394"/>
      <c r="AZ14" s="394"/>
      <c r="BA14" s="394"/>
      <c r="BB14" s="394"/>
      <c r="BC14" s="394"/>
      <c r="BD14" s="394"/>
      <c r="BE14" s="394"/>
      <c r="BF14" s="394"/>
      <c r="BG14" s="394"/>
      <c r="BH14" s="394"/>
      <c r="BI14" s="394"/>
      <c r="BJ14" s="394"/>
      <c r="BK14" s="394"/>
      <c r="BL14" s="394"/>
      <c r="BM14" s="394"/>
      <c r="BN14" s="394"/>
      <c r="BO14" s="394"/>
      <c r="BP14" s="394"/>
      <c r="BQ14" s="394"/>
      <c r="BR14" s="394"/>
      <c r="BS14" s="394"/>
      <c r="BT14" s="394"/>
      <c r="BU14" s="394"/>
      <c r="BV14" s="394"/>
      <c r="BW14" s="394"/>
      <c r="BX14" s="394"/>
      <c r="BY14" s="394"/>
      <c r="BZ14" s="394"/>
      <c r="CA14" s="394"/>
      <c r="CB14" s="394"/>
      <c r="CC14" s="394"/>
      <c r="CD14" s="394"/>
      <c r="CE14" s="394"/>
      <c r="CF14" s="394"/>
      <c r="CG14" s="394"/>
      <c r="CH14" s="394"/>
      <c r="CI14" s="394"/>
      <c r="CJ14" s="394"/>
      <c r="CK14" s="394"/>
      <c r="CL14" s="394"/>
      <c r="CM14" s="394"/>
      <c r="CN14" s="394"/>
      <c r="CO14" s="394"/>
      <c r="CP14" s="394"/>
      <c r="CQ14" s="394"/>
      <c r="CR14" s="394"/>
      <c r="CS14" s="394"/>
      <c r="CT14" s="394"/>
      <c r="CU14" s="394"/>
      <c r="CV14" s="394"/>
      <c r="CW14" s="394"/>
      <c r="CX14" s="394"/>
      <c r="CY14" s="394"/>
      <c r="CZ14" s="394"/>
      <c r="DA14" s="394"/>
      <c r="DB14" s="394"/>
      <c r="DC14" s="394"/>
      <c r="DD14" s="394"/>
      <c r="DE14" s="394"/>
      <c r="DF14" s="394"/>
      <c r="DG14" s="394"/>
      <c r="DH14" s="394"/>
      <c r="DI14" s="394"/>
      <c r="DJ14" s="394"/>
      <c r="DK14" s="394"/>
      <c r="DL14" s="394"/>
      <c r="DM14" s="394"/>
      <c r="DN14" s="394"/>
      <c r="DO14" s="394"/>
      <c r="DP14" s="394"/>
      <c r="DQ14" s="394"/>
      <c r="DR14" s="394"/>
      <c r="DS14" s="394"/>
      <c r="DT14" s="394"/>
      <c r="DU14" s="394"/>
      <c r="DV14" s="394"/>
      <c r="DW14" s="394"/>
      <c r="DX14" s="394"/>
      <c r="DY14" s="394"/>
      <c r="DZ14" s="394"/>
      <c r="EA14" s="394"/>
      <c r="EB14" s="394"/>
      <c r="EC14" s="394"/>
      <c r="ED14" s="394"/>
      <c r="EE14" s="394"/>
      <c r="EF14" s="394"/>
      <c r="EG14" s="394"/>
      <c r="EH14" s="394"/>
      <c r="EI14" s="394"/>
      <c r="EJ14" s="394"/>
      <c r="EK14" s="394"/>
      <c r="EL14" s="394"/>
      <c r="EM14" s="394"/>
      <c r="EN14" s="394"/>
      <c r="EO14" s="394"/>
      <c r="EP14" s="394"/>
      <c r="EQ14" s="394"/>
      <c r="ER14" s="394"/>
      <c r="ES14" s="394"/>
      <c r="ET14" s="394"/>
      <c r="EU14" s="394"/>
      <c r="EV14" s="394"/>
      <c r="EW14" s="394"/>
      <c r="EX14" s="394"/>
      <c r="EY14" s="394"/>
      <c r="EZ14" s="394"/>
      <c r="FA14" s="394"/>
      <c r="FB14" s="394"/>
      <c r="FC14" s="394"/>
      <c r="FD14" s="394"/>
      <c r="FE14" s="394"/>
      <c r="FF14" s="394"/>
      <c r="FG14" s="394"/>
      <c r="FH14" s="394"/>
      <c r="FI14" s="394"/>
      <c r="FJ14" s="394"/>
      <c r="FK14" s="394"/>
      <c r="FL14" s="394"/>
      <c r="FM14" s="394"/>
      <c r="FN14" s="394"/>
      <c r="FO14" s="394"/>
      <c r="FP14" s="394"/>
      <c r="FQ14" s="394"/>
      <c r="FR14" s="394"/>
      <c r="FS14" s="394"/>
      <c r="FT14" s="394"/>
      <c r="FU14" s="394"/>
      <c r="FV14" s="394"/>
      <c r="FW14" s="394"/>
      <c r="FX14" s="394"/>
      <c r="FY14" s="394"/>
      <c r="FZ14" s="394"/>
      <c r="GA14" s="394"/>
      <c r="GB14" s="394"/>
      <c r="GC14" s="394"/>
      <c r="GD14" s="394"/>
      <c r="GE14" s="394"/>
      <c r="GF14" s="394"/>
      <c r="GG14" s="394"/>
      <c r="GH14" s="394"/>
      <c r="GI14" s="394"/>
      <c r="GJ14" s="394"/>
      <c r="GK14" s="394"/>
      <c r="GL14" s="394"/>
      <c r="GM14" s="394"/>
      <c r="GN14" s="394"/>
      <c r="GO14" s="394"/>
      <c r="GP14" s="394"/>
      <c r="GQ14" s="394"/>
      <c r="GR14" s="394"/>
      <c r="GS14" s="394"/>
      <c r="GT14" s="394"/>
      <c r="GU14" s="394"/>
      <c r="GV14" s="394"/>
      <c r="GW14" s="394"/>
      <c r="GX14" s="394"/>
      <c r="GY14" s="394"/>
      <c r="GZ14" s="394"/>
      <c r="HA14" s="394"/>
      <c r="HB14" s="394"/>
      <c r="HC14" s="394"/>
      <c r="HD14" s="394"/>
      <c r="HE14" s="394"/>
      <c r="HF14" s="394"/>
      <c r="HG14" s="394"/>
      <c r="HH14" s="394"/>
      <c r="HI14" s="394"/>
      <c r="HJ14" s="394"/>
      <c r="HK14" s="394"/>
      <c r="HL14" s="394"/>
      <c r="HM14" s="394"/>
      <c r="HN14" s="394"/>
      <c r="HO14" s="394"/>
      <c r="HP14" s="394"/>
      <c r="HQ14" s="394"/>
      <c r="HR14" s="394"/>
      <c r="HS14" s="394"/>
      <c r="HT14" s="394"/>
      <c r="HU14" s="394"/>
      <c r="HV14" s="394"/>
      <c r="HW14" s="394"/>
      <c r="HX14" s="394"/>
      <c r="HY14" s="394"/>
      <c r="HZ14" s="394"/>
      <c r="IA14" s="394"/>
      <c r="IB14" s="394"/>
      <c r="IC14" s="394"/>
      <c r="ID14" s="394"/>
      <c r="IE14" s="394"/>
      <c r="IF14" s="394"/>
      <c r="IG14" s="394"/>
      <c r="IH14" s="394"/>
      <c r="II14" s="394"/>
      <c r="IJ14" s="394"/>
      <c r="IK14" s="394"/>
      <c r="IL14" s="394"/>
      <c r="IM14" s="394"/>
      <c r="IN14" s="394"/>
      <c r="IO14" s="394"/>
      <c r="IP14" s="394"/>
      <c r="IQ14" s="394"/>
      <c r="IR14" s="394"/>
      <c r="IS14" s="394"/>
      <c r="IT14" s="394"/>
      <c r="IU14" s="394"/>
      <c r="IV14" s="394"/>
      <c r="IW14" s="394"/>
      <c r="IX14" s="394"/>
      <c r="IY14" s="394"/>
      <c r="IZ14" s="394"/>
      <c r="JA14" s="394"/>
      <c r="JB14" s="394"/>
      <c r="JC14" s="394"/>
      <c r="JD14" s="394"/>
      <c r="JE14" s="394"/>
      <c r="JF14" s="394"/>
      <c r="JG14" s="394"/>
      <c r="JH14" s="394"/>
      <c r="JI14" s="394"/>
      <c r="JJ14" s="394"/>
      <c r="JK14" s="394"/>
      <c r="JL14" s="394"/>
      <c r="JM14" s="394"/>
      <c r="JN14" s="394"/>
      <c r="JO14" s="394"/>
      <c r="JP14" s="394"/>
      <c r="JQ14" s="394"/>
      <c r="JR14" s="394"/>
      <c r="JS14" s="394"/>
      <c r="JT14" s="394"/>
      <c r="JU14" s="394"/>
      <c r="JV14" s="394"/>
      <c r="JW14" s="394"/>
      <c r="JX14" s="394"/>
      <c r="JY14" s="394"/>
      <c r="JZ14" s="394"/>
      <c r="KA14" s="394"/>
      <c r="KB14" s="394"/>
      <c r="KC14" s="394"/>
      <c r="KD14" s="394"/>
      <c r="KE14" s="394"/>
      <c r="KF14" s="394"/>
      <c r="KG14" s="394"/>
      <c r="KH14" s="394"/>
      <c r="KI14" s="394"/>
      <c r="KJ14" s="394"/>
      <c r="KK14" s="394"/>
      <c r="KL14" s="394"/>
      <c r="KM14" s="394"/>
      <c r="KN14" s="394"/>
      <c r="KO14" s="394"/>
      <c r="KP14" s="394"/>
      <c r="KQ14" s="394"/>
      <c r="KR14" s="394"/>
      <c r="KS14" s="394"/>
      <c r="KT14" s="394"/>
      <c r="KU14" s="394"/>
      <c r="KV14" s="394"/>
      <c r="KW14" s="394"/>
      <c r="KX14" s="394"/>
      <c r="KY14" s="394"/>
      <c r="KZ14" s="394"/>
      <c r="LA14" s="394"/>
      <c r="LB14" s="394"/>
      <c r="LC14" s="394"/>
      <c r="LD14" s="394"/>
      <c r="LE14" s="394"/>
      <c r="LF14" s="394"/>
      <c r="LG14" s="394"/>
      <c r="LH14" s="394"/>
      <c r="LI14" s="394"/>
      <c r="LJ14" s="394"/>
      <c r="LK14" s="394"/>
      <c r="LL14" s="394"/>
      <c r="LM14" s="394"/>
      <c r="LN14" s="394"/>
      <c r="LO14" s="394"/>
      <c r="LP14" s="394"/>
      <c r="LQ14" s="394"/>
      <c r="LR14" s="394"/>
      <c r="LS14" s="394"/>
      <c r="LT14" s="394"/>
      <c r="LU14" s="394"/>
      <c r="LV14" s="394"/>
      <c r="LW14" s="394"/>
      <c r="LX14" s="394"/>
      <c r="LY14" s="394"/>
      <c r="LZ14" s="394"/>
      <c r="MA14" s="394"/>
      <c r="MB14" s="394"/>
      <c r="MC14" s="394"/>
      <c r="MD14" s="394"/>
      <c r="ME14" s="394"/>
      <c r="MF14" s="394"/>
      <c r="MG14" s="394"/>
      <c r="MH14" s="394"/>
      <c r="MI14" s="394"/>
      <c r="MJ14" s="394"/>
      <c r="MK14" s="394"/>
      <c r="ML14" s="394"/>
      <c r="MM14" s="394"/>
      <c r="MN14" s="394"/>
      <c r="MO14" s="394"/>
      <c r="MP14" s="394"/>
      <c r="MQ14" s="394"/>
      <c r="MR14" s="394"/>
      <c r="MS14" s="394"/>
      <c r="MT14" s="394"/>
      <c r="MU14" s="394"/>
      <c r="MV14" s="394"/>
      <c r="MW14" s="394"/>
      <c r="MX14" s="394"/>
      <c r="MY14" s="394"/>
      <c r="MZ14" s="394"/>
      <c r="NA14" s="394"/>
      <c r="NB14" s="394"/>
      <c r="NC14" s="394"/>
      <c r="ND14" s="394"/>
      <c r="NE14" s="394"/>
      <c r="NF14" s="394"/>
      <c r="NG14" s="394"/>
      <c r="NH14" s="394"/>
      <c r="NI14" s="394"/>
      <c r="NJ14" s="394"/>
      <c r="NK14" s="394"/>
      <c r="NL14" s="394"/>
      <c r="NM14" s="394"/>
      <c r="NN14" s="394"/>
      <c r="NO14" s="394"/>
      <c r="NP14" s="394"/>
      <c r="NQ14" s="394"/>
      <c r="NR14" s="394"/>
      <c r="NS14" s="394"/>
      <c r="NT14" s="394"/>
      <c r="NU14" s="394"/>
      <c r="NV14" s="394"/>
      <c r="NW14" s="394"/>
      <c r="NX14" s="394"/>
      <c r="NY14" s="394"/>
      <c r="NZ14" s="394"/>
      <c r="OA14" s="394"/>
      <c r="OB14" s="394"/>
      <c r="OC14" s="394"/>
      <c r="OD14" s="394"/>
      <c r="OE14" s="394"/>
      <c r="OF14" s="394"/>
      <c r="OG14" s="394"/>
      <c r="OH14" s="394"/>
      <c r="OI14" s="394"/>
      <c r="OJ14" s="394"/>
      <c r="OK14" s="394"/>
      <c r="OL14" s="394"/>
      <c r="OM14" s="394"/>
      <c r="ON14" s="394"/>
      <c r="OO14" s="394"/>
      <c r="OP14" s="394"/>
      <c r="OQ14" s="394"/>
      <c r="OR14" s="394"/>
      <c r="OS14" s="394"/>
      <c r="OT14" s="394"/>
      <c r="OU14" s="394"/>
      <c r="OV14" s="394"/>
      <c r="OW14" s="394"/>
      <c r="OX14" s="394"/>
      <c r="OY14" s="394"/>
      <c r="OZ14" s="394"/>
      <c r="PA14" s="394"/>
      <c r="PB14" s="394"/>
      <c r="PC14" s="394"/>
      <c r="PD14" s="394"/>
      <c r="PE14" s="394"/>
      <c r="PF14" s="394"/>
      <c r="PG14" s="394"/>
      <c r="PH14" s="394"/>
      <c r="PI14" s="394"/>
      <c r="PJ14" s="394"/>
      <c r="PK14" s="394"/>
      <c r="PL14" s="394"/>
      <c r="PM14" s="394"/>
      <c r="PN14" s="394"/>
      <c r="PO14" s="394"/>
      <c r="PP14" s="394"/>
      <c r="PQ14" s="394"/>
      <c r="PR14" s="394"/>
      <c r="PS14" s="394"/>
      <c r="PT14" s="394"/>
      <c r="PU14" s="394"/>
      <c r="PV14" s="394"/>
      <c r="PW14" s="394"/>
      <c r="PX14" s="394"/>
      <c r="PY14" s="394"/>
      <c r="PZ14" s="394"/>
      <c r="QA14" s="394"/>
      <c r="QB14" s="394"/>
      <c r="QC14" s="394"/>
      <c r="QD14" s="394"/>
      <c r="QE14" s="394"/>
      <c r="QF14" s="394"/>
      <c r="QG14" s="394"/>
      <c r="QH14" s="394"/>
      <c r="QI14" s="394"/>
      <c r="QJ14" s="394"/>
      <c r="QK14" s="394"/>
      <c r="QL14" s="394"/>
      <c r="QM14" s="394"/>
      <c r="QN14" s="394"/>
      <c r="QO14" s="394"/>
      <c r="QP14" s="394"/>
      <c r="QQ14" s="394"/>
      <c r="QR14" s="394"/>
      <c r="QS14" s="394"/>
      <c r="QT14" s="394"/>
      <c r="QU14" s="394"/>
      <c r="QV14" s="394"/>
      <c r="QW14" s="394"/>
      <c r="QX14" s="394"/>
      <c r="QY14" s="394"/>
      <c r="QZ14" s="394"/>
      <c r="RA14" s="394"/>
      <c r="RB14" s="394"/>
      <c r="RC14" s="394"/>
      <c r="RD14" s="394"/>
      <c r="RE14" s="394"/>
      <c r="RF14" s="394"/>
      <c r="RG14" s="394"/>
      <c r="RH14" s="394"/>
      <c r="RI14" s="394"/>
      <c r="RJ14" s="394"/>
      <c r="RK14" s="394"/>
      <c r="RL14" s="394"/>
      <c r="RM14" s="394"/>
      <c r="RN14" s="394"/>
      <c r="RO14" s="394"/>
      <c r="RP14" s="394"/>
      <c r="RQ14" s="394"/>
      <c r="RR14" s="394"/>
      <c r="RS14" s="394"/>
      <c r="RT14" s="394"/>
      <c r="RU14" s="394"/>
      <c r="RV14" s="394"/>
      <c r="RW14" s="394"/>
      <c r="RX14" s="394"/>
      <c r="RY14" s="394"/>
      <c r="RZ14" s="394"/>
      <c r="SA14" s="394"/>
      <c r="SB14" s="394"/>
      <c r="SC14" s="394"/>
      <c r="SD14" s="394"/>
      <c r="SE14" s="394"/>
      <c r="SF14" s="394"/>
      <c r="SG14" s="394"/>
      <c r="SH14" s="394"/>
      <c r="SI14" s="394"/>
      <c r="SJ14" s="394"/>
      <c r="SK14" s="394"/>
      <c r="SL14" s="394"/>
      <c r="SM14" s="394"/>
      <c r="SN14" s="394"/>
      <c r="SO14" s="394"/>
      <c r="SP14" s="394"/>
      <c r="SQ14" s="394"/>
      <c r="SR14" s="394"/>
      <c r="SS14" s="394"/>
      <c r="ST14" s="394"/>
      <c r="SU14" s="394"/>
      <c r="SV14" s="394"/>
      <c r="SW14" s="394"/>
      <c r="SX14" s="394"/>
      <c r="SY14" s="394"/>
      <c r="SZ14" s="394"/>
      <c r="TA14" s="394"/>
      <c r="TB14" s="394"/>
      <c r="TC14" s="394"/>
      <c r="TD14" s="394"/>
      <c r="TE14" s="394"/>
      <c r="TF14" s="394"/>
      <c r="TG14" s="394"/>
      <c r="TH14" s="394"/>
      <c r="TI14" s="394"/>
      <c r="TJ14" s="394"/>
      <c r="TK14" s="394"/>
      <c r="TL14" s="394"/>
      <c r="TM14" s="394"/>
      <c r="TN14" s="394"/>
      <c r="TO14" s="394"/>
      <c r="TP14" s="394"/>
      <c r="TQ14" s="394"/>
      <c r="TR14" s="394"/>
      <c r="TS14" s="394"/>
      <c r="TT14" s="394"/>
      <c r="TU14" s="394"/>
      <c r="TV14" s="394"/>
      <c r="TW14" s="394"/>
      <c r="TX14" s="394"/>
      <c r="TY14" s="394"/>
      <c r="TZ14" s="394"/>
      <c r="UA14" s="394"/>
      <c r="UB14" s="394"/>
      <c r="UC14" s="394"/>
      <c r="UD14" s="394"/>
      <c r="UE14" s="394"/>
      <c r="UF14" s="394"/>
      <c r="UG14" s="394"/>
      <c r="UH14" s="394"/>
      <c r="UI14" s="394"/>
      <c r="UJ14" s="394"/>
      <c r="UK14" s="394"/>
      <c r="UL14" s="394"/>
      <c r="UM14" s="394"/>
      <c r="UN14" s="394"/>
      <c r="UO14" s="394"/>
      <c r="UP14" s="394"/>
      <c r="UQ14" s="394"/>
      <c r="UR14" s="394"/>
      <c r="US14" s="394"/>
      <c r="UT14" s="394"/>
      <c r="UU14" s="394"/>
      <c r="UV14" s="394"/>
      <c r="UW14" s="394"/>
      <c r="UX14" s="394"/>
      <c r="UY14" s="394"/>
      <c r="UZ14" s="394"/>
      <c r="VA14" s="394"/>
      <c r="VB14" s="394"/>
      <c r="VC14" s="394"/>
      <c r="VD14" s="394"/>
      <c r="VE14" s="394"/>
      <c r="VF14" s="394"/>
      <c r="VG14" s="394"/>
      <c r="VH14" s="394"/>
      <c r="VI14" s="394"/>
      <c r="VJ14" s="394"/>
      <c r="VK14" s="394"/>
      <c r="VL14" s="394"/>
      <c r="VM14" s="394"/>
      <c r="VN14" s="394"/>
      <c r="VO14" s="394"/>
      <c r="VP14" s="394"/>
      <c r="VQ14" s="394"/>
      <c r="VR14" s="394"/>
      <c r="VS14" s="394"/>
      <c r="VT14" s="394"/>
      <c r="VU14" s="394"/>
      <c r="VV14" s="394"/>
      <c r="VW14" s="394"/>
      <c r="VX14" s="394"/>
      <c r="VY14" s="394"/>
      <c r="VZ14" s="394"/>
      <c r="WA14" s="394"/>
      <c r="WB14" s="394"/>
      <c r="WC14" s="394"/>
      <c r="WD14" s="394"/>
      <c r="WE14" s="394"/>
      <c r="WF14" s="394"/>
      <c r="WG14" s="394"/>
      <c r="WH14" s="394"/>
      <c r="WI14" s="394"/>
      <c r="WJ14" s="394"/>
      <c r="WK14" s="394"/>
      <c r="WL14" s="394"/>
      <c r="WM14" s="394"/>
      <c r="WN14" s="394"/>
      <c r="WO14" s="394"/>
      <c r="WP14" s="394"/>
      <c r="WQ14" s="394"/>
      <c r="WR14" s="394"/>
      <c r="WS14" s="394"/>
      <c r="WT14" s="394"/>
      <c r="WU14" s="394"/>
      <c r="WV14" s="394"/>
      <c r="WW14" s="394"/>
      <c r="WX14" s="394"/>
      <c r="WY14" s="394"/>
      <c r="WZ14" s="394"/>
      <c r="XA14" s="394"/>
      <c r="XB14" s="394"/>
      <c r="XC14" s="394"/>
      <c r="XD14" s="394"/>
      <c r="XE14" s="394"/>
      <c r="XF14" s="394"/>
      <c r="XG14" s="394"/>
      <c r="XH14" s="394"/>
      <c r="XI14" s="394"/>
      <c r="XJ14" s="394"/>
      <c r="XK14" s="394"/>
      <c r="XL14" s="394"/>
      <c r="XM14" s="394"/>
      <c r="XN14" s="394"/>
      <c r="XO14" s="394"/>
      <c r="XP14" s="394"/>
      <c r="XQ14" s="394"/>
      <c r="XR14" s="394"/>
      <c r="XS14" s="394"/>
      <c r="XT14" s="394"/>
      <c r="XU14" s="394"/>
      <c r="XV14" s="394"/>
      <c r="XW14" s="394"/>
      <c r="XX14" s="394"/>
      <c r="XY14" s="394"/>
      <c r="XZ14" s="394"/>
      <c r="YA14" s="394"/>
      <c r="YB14" s="394"/>
      <c r="YC14" s="394"/>
      <c r="YD14" s="394"/>
      <c r="YE14" s="394"/>
      <c r="YF14" s="394"/>
      <c r="YG14" s="394"/>
      <c r="YH14" s="394"/>
      <c r="YI14" s="394"/>
      <c r="YJ14" s="394"/>
      <c r="YK14" s="394"/>
      <c r="YL14" s="394"/>
      <c r="YM14" s="394"/>
      <c r="YN14" s="394"/>
      <c r="YO14" s="394"/>
      <c r="YP14" s="394"/>
      <c r="YQ14" s="394"/>
      <c r="YR14" s="394"/>
      <c r="YS14" s="394"/>
      <c r="YT14" s="394"/>
      <c r="YU14" s="394"/>
      <c r="YV14" s="394"/>
      <c r="YW14" s="394"/>
      <c r="YX14" s="394"/>
      <c r="YY14" s="394"/>
      <c r="YZ14" s="394"/>
      <c r="ZA14" s="394"/>
      <c r="ZB14" s="394"/>
      <c r="ZC14" s="394"/>
      <c r="ZD14" s="394"/>
      <c r="ZE14" s="394"/>
      <c r="ZF14" s="394"/>
      <c r="ZG14" s="394"/>
      <c r="ZH14" s="394"/>
      <c r="ZI14" s="394"/>
      <c r="ZJ14" s="394"/>
      <c r="ZK14" s="394"/>
      <c r="ZL14" s="394"/>
      <c r="ZM14" s="394"/>
      <c r="ZN14" s="394"/>
      <c r="ZO14" s="394"/>
      <c r="ZP14" s="394"/>
      <c r="ZQ14" s="394"/>
      <c r="ZR14" s="394"/>
      <c r="ZS14" s="394"/>
      <c r="ZT14" s="394"/>
      <c r="ZU14" s="394"/>
      <c r="ZV14" s="394"/>
      <c r="ZW14" s="394"/>
      <c r="ZX14" s="394"/>
      <c r="ZY14" s="394"/>
      <c r="ZZ14" s="394"/>
      <c r="AAA14" s="394"/>
      <c r="AAB14" s="394"/>
      <c r="AAC14" s="394"/>
      <c r="AAD14" s="394"/>
      <c r="AAE14" s="394"/>
      <c r="AAF14" s="394"/>
      <c r="AAG14" s="394"/>
      <c r="AAH14" s="394"/>
      <c r="AAI14" s="394"/>
      <c r="AAJ14" s="394"/>
      <c r="AAK14" s="394"/>
      <c r="AAL14" s="394"/>
      <c r="AAM14" s="394"/>
      <c r="AAN14" s="394"/>
      <c r="AAO14" s="394"/>
      <c r="AAP14" s="394"/>
      <c r="AAQ14" s="394"/>
      <c r="AAR14" s="394"/>
      <c r="AAS14" s="394"/>
      <c r="AAT14" s="394"/>
      <c r="AAU14" s="394"/>
      <c r="AAV14" s="394"/>
      <c r="AAW14" s="394"/>
      <c r="AAX14" s="394"/>
      <c r="AAY14" s="394"/>
      <c r="AAZ14" s="394"/>
      <c r="ABA14" s="394"/>
      <c r="ABB14" s="394"/>
      <c r="ABC14" s="394"/>
      <c r="ABD14" s="394"/>
      <c r="ABE14" s="394"/>
      <c r="ABF14" s="394"/>
      <c r="ABG14" s="394"/>
      <c r="ABH14" s="394"/>
      <c r="ABI14" s="394"/>
      <c r="ABJ14" s="394"/>
      <c r="ABK14" s="394"/>
      <c r="ABL14" s="394"/>
      <c r="ABM14" s="394"/>
      <c r="ABN14" s="394"/>
      <c r="ABO14" s="394"/>
      <c r="ABP14" s="394"/>
      <c r="ABQ14" s="394"/>
      <c r="ABR14" s="394"/>
      <c r="ABS14" s="394"/>
      <c r="ABT14" s="394"/>
      <c r="ABU14" s="394"/>
      <c r="ABV14" s="394"/>
      <c r="ABW14" s="394"/>
      <c r="ABX14" s="394"/>
      <c r="ABY14" s="394"/>
      <c r="ABZ14" s="394"/>
      <c r="ACA14" s="394"/>
      <c r="ACB14" s="394"/>
      <c r="ACC14" s="394"/>
      <c r="ACD14" s="394"/>
      <c r="ACE14" s="394"/>
      <c r="ACF14" s="394"/>
      <c r="ACG14" s="394"/>
      <c r="ACH14" s="394"/>
      <c r="ACI14" s="394"/>
      <c r="ACJ14" s="394"/>
      <c r="ACK14" s="394"/>
      <c r="ACL14" s="394"/>
      <c r="ACM14" s="394"/>
      <c r="ACN14" s="394"/>
      <c r="ACO14" s="394"/>
      <c r="ACP14" s="394"/>
      <c r="ACQ14" s="394"/>
      <c r="ACR14" s="394"/>
      <c r="ACS14" s="394"/>
      <c r="ACT14" s="394"/>
      <c r="ACU14" s="394"/>
      <c r="ACV14" s="394"/>
      <c r="ACW14" s="394"/>
      <c r="ACX14" s="394"/>
      <c r="ACY14" s="394"/>
      <c r="ACZ14" s="394"/>
      <c r="ADA14" s="394"/>
      <c r="ADB14" s="394"/>
      <c r="ADC14" s="394"/>
      <c r="ADD14" s="394"/>
      <c r="ADE14" s="394"/>
      <c r="ADF14" s="394"/>
      <c r="ADG14" s="394"/>
      <c r="ADH14" s="394"/>
      <c r="ADI14" s="394"/>
      <c r="ADJ14" s="394"/>
      <c r="ADK14" s="394"/>
      <c r="ADL14" s="394"/>
      <c r="ADM14" s="394"/>
      <c r="ADN14" s="394"/>
      <c r="ADO14" s="394"/>
      <c r="ADP14" s="394"/>
      <c r="ADQ14" s="394"/>
      <c r="ADR14" s="394"/>
      <c r="ADS14" s="394"/>
      <c r="ADT14" s="394"/>
      <c r="ADU14" s="394"/>
      <c r="ADV14" s="394"/>
      <c r="ADW14" s="394"/>
      <c r="ADX14" s="394"/>
      <c r="ADY14" s="394"/>
      <c r="ADZ14" s="394"/>
      <c r="AEA14" s="394"/>
      <c r="AEB14" s="394"/>
      <c r="AEC14" s="394"/>
      <c r="AED14" s="394"/>
      <c r="AEE14" s="394"/>
      <c r="AEF14" s="394"/>
      <c r="AEG14" s="394"/>
      <c r="AEH14" s="394"/>
      <c r="AEI14" s="394"/>
      <c r="AEJ14" s="394"/>
      <c r="AEK14" s="394"/>
      <c r="AEL14" s="394"/>
      <c r="AEM14" s="394"/>
      <c r="AEN14" s="394"/>
      <c r="AEO14" s="394"/>
      <c r="AEP14" s="394"/>
      <c r="AEQ14" s="394"/>
      <c r="AER14" s="394"/>
      <c r="AES14" s="394"/>
      <c r="AET14" s="394"/>
      <c r="AEU14" s="394"/>
      <c r="AEV14" s="394"/>
      <c r="AEW14" s="394"/>
      <c r="AEX14" s="394"/>
      <c r="AEY14" s="394"/>
      <c r="AEZ14" s="394"/>
      <c r="AFA14" s="394"/>
      <c r="AFB14" s="394"/>
      <c r="AFC14" s="394"/>
      <c r="AFD14" s="394"/>
      <c r="AFE14" s="394"/>
      <c r="AFF14" s="394"/>
      <c r="AFG14" s="394"/>
      <c r="AFH14" s="394"/>
      <c r="AFI14" s="394"/>
      <c r="AFJ14" s="394"/>
      <c r="AFK14" s="394"/>
      <c r="AFL14" s="394"/>
      <c r="AFM14" s="394"/>
      <c r="AFN14" s="394"/>
      <c r="AFO14" s="394"/>
      <c r="AFP14" s="394"/>
      <c r="AFQ14" s="394"/>
      <c r="AFR14" s="394"/>
      <c r="AFS14" s="394"/>
      <c r="AFT14" s="394"/>
      <c r="AFU14" s="394"/>
      <c r="AFV14" s="394"/>
      <c r="AFW14" s="394"/>
      <c r="AFX14" s="394"/>
      <c r="AFY14" s="394"/>
      <c r="AFZ14" s="394"/>
      <c r="AGA14" s="394"/>
      <c r="AGB14" s="394"/>
      <c r="AGC14" s="394"/>
      <c r="AGD14" s="394"/>
      <c r="AGE14" s="394"/>
      <c r="AGF14" s="394"/>
      <c r="AGG14" s="394"/>
      <c r="AGH14" s="394"/>
      <c r="AGI14" s="394"/>
      <c r="AGJ14" s="394"/>
      <c r="AGK14" s="394"/>
      <c r="AGL14" s="394"/>
      <c r="AGM14" s="394"/>
      <c r="AGN14" s="394"/>
      <c r="AGO14" s="394"/>
      <c r="AGP14" s="394"/>
      <c r="AGQ14" s="394"/>
      <c r="AGR14" s="394"/>
      <c r="AGS14" s="394"/>
      <c r="AGT14" s="394"/>
      <c r="AGU14" s="394"/>
      <c r="AGV14" s="394"/>
      <c r="AGW14" s="394"/>
      <c r="AGX14" s="394"/>
      <c r="AGY14" s="394"/>
      <c r="AGZ14" s="394"/>
      <c r="AHA14" s="394"/>
      <c r="AHB14" s="394"/>
      <c r="AHC14" s="394"/>
      <c r="AHD14" s="394"/>
      <c r="AHE14" s="394"/>
      <c r="AHF14" s="394"/>
      <c r="AHG14" s="394"/>
      <c r="AHH14" s="394"/>
      <c r="AHI14" s="394"/>
      <c r="AHJ14" s="394"/>
      <c r="AHK14" s="394"/>
      <c r="AHL14" s="394"/>
      <c r="AHM14" s="394"/>
      <c r="AHN14" s="394"/>
      <c r="AHO14" s="394"/>
      <c r="AHP14" s="394"/>
      <c r="AHQ14" s="394"/>
      <c r="AHR14" s="394"/>
      <c r="AHS14" s="394"/>
      <c r="AHT14" s="394"/>
      <c r="AHU14" s="394"/>
      <c r="AHV14" s="394"/>
      <c r="AHW14" s="394"/>
      <c r="AHX14" s="394"/>
      <c r="AHY14" s="394"/>
      <c r="AHZ14" s="394"/>
      <c r="AIA14" s="394"/>
      <c r="AIB14" s="394"/>
      <c r="AIC14" s="394"/>
      <c r="AID14" s="394"/>
      <c r="AIE14" s="394"/>
      <c r="AIF14" s="394"/>
      <c r="AIG14" s="394"/>
      <c r="AIH14" s="394"/>
      <c r="AII14" s="394"/>
      <c r="AIJ14" s="394"/>
      <c r="AIK14" s="394"/>
      <c r="AIL14" s="394"/>
      <c r="AIM14" s="394"/>
      <c r="AIN14" s="394"/>
      <c r="AIO14" s="394"/>
      <c r="AIP14" s="394"/>
      <c r="AIQ14" s="394"/>
      <c r="AIR14" s="394"/>
      <c r="AIS14" s="394"/>
      <c r="AIT14" s="394"/>
      <c r="AIU14" s="394"/>
      <c r="AIV14" s="394"/>
      <c r="AIW14" s="394"/>
      <c r="AIX14" s="394"/>
      <c r="AIY14" s="394"/>
      <c r="AIZ14" s="394"/>
      <c r="AJA14" s="394"/>
      <c r="AJB14" s="394"/>
      <c r="AJC14" s="394"/>
      <c r="AJD14" s="394"/>
      <c r="AJE14" s="394"/>
      <c r="AJF14" s="394"/>
      <c r="AJG14" s="394"/>
      <c r="AJH14" s="394"/>
      <c r="AJI14" s="394"/>
      <c r="AJJ14" s="394"/>
      <c r="AJK14" s="394"/>
      <c r="AJL14" s="394"/>
      <c r="AJM14" s="394"/>
      <c r="AJN14" s="394"/>
      <c r="AJO14" s="394"/>
      <c r="AJP14" s="394"/>
      <c r="AJQ14" s="394"/>
      <c r="AJR14" s="394"/>
      <c r="AJS14" s="394"/>
      <c r="AJT14" s="394"/>
      <c r="AJU14" s="394"/>
      <c r="AJV14" s="394"/>
      <c r="AJW14" s="394"/>
      <c r="AJX14" s="394"/>
      <c r="AJY14" s="394"/>
      <c r="AJZ14" s="394"/>
      <c r="AKA14" s="394"/>
      <c r="AKB14" s="394"/>
      <c r="AKC14" s="394"/>
      <c r="AKD14" s="394"/>
      <c r="AKE14" s="394"/>
      <c r="AKF14" s="394"/>
      <c r="AKG14" s="394"/>
      <c r="AKH14" s="394"/>
      <c r="AKI14" s="394"/>
      <c r="AKJ14" s="394"/>
      <c r="AKK14" s="394"/>
      <c r="AKL14" s="394"/>
      <c r="AKM14" s="394"/>
      <c r="AKN14" s="394"/>
      <c r="AKO14" s="394"/>
      <c r="AKP14" s="394"/>
      <c r="AKQ14" s="394"/>
      <c r="AKR14" s="394"/>
      <c r="AKS14" s="394"/>
      <c r="AKT14" s="394"/>
      <c r="AKU14" s="394"/>
      <c r="AKV14" s="394"/>
      <c r="AKW14" s="394"/>
      <c r="AKX14" s="394"/>
      <c r="AKY14" s="394"/>
      <c r="AKZ14" s="394"/>
      <c r="ALA14" s="394"/>
      <c r="ALB14" s="394"/>
      <c r="ALC14" s="394"/>
      <c r="ALD14" s="394"/>
      <c r="ALE14" s="394"/>
      <c r="ALF14" s="394"/>
      <c r="ALG14" s="394"/>
      <c r="ALH14" s="394"/>
      <c r="ALI14" s="394"/>
      <c r="ALJ14" s="394"/>
      <c r="ALK14" s="394"/>
      <c r="ALL14" s="394"/>
      <c r="ALM14" s="394"/>
      <c r="ALN14" s="394"/>
      <c r="ALO14" s="394"/>
      <c r="ALP14" s="394"/>
      <c r="ALQ14" s="394"/>
      <c r="ALR14" s="394"/>
      <c r="ALS14" s="394"/>
      <c r="ALT14" s="394"/>
      <c r="ALU14" s="394"/>
      <c r="ALV14" s="394"/>
      <c r="ALW14" s="394"/>
      <c r="ALX14" s="394"/>
      <c r="ALY14" s="394"/>
      <c r="ALZ14" s="394"/>
      <c r="AMA14" s="394"/>
      <c r="AMB14" s="394"/>
      <c r="AMC14" s="394"/>
      <c r="AMD14" s="394"/>
      <c r="AME14" s="394"/>
      <c r="AMF14" s="394"/>
      <c r="AMG14" s="394"/>
      <c r="AMH14" s="394"/>
      <c r="AMI14" s="394"/>
      <c r="AMJ14" s="394"/>
      <c r="AMK14" s="394"/>
      <c r="AML14" s="394"/>
      <c r="AMM14" s="394"/>
      <c r="AMN14" s="394"/>
      <c r="AMO14" s="394"/>
      <c r="AMP14" s="394"/>
      <c r="AMQ14" s="394"/>
      <c r="AMR14" s="394"/>
      <c r="AMS14" s="394"/>
      <c r="AMT14" s="394"/>
      <c r="AMU14" s="394"/>
      <c r="AMV14" s="394"/>
      <c r="AMW14" s="394"/>
      <c r="AMX14" s="394"/>
      <c r="AMY14" s="394"/>
      <c r="AMZ14" s="394"/>
      <c r="ANA14" s="394"/>
      <c r="ANB14" s="394"/>
      <c r="ANC14" s="394"/>
      <c r="AND14" s="394"/>
      <c r="ANE14" s="394"/>
      <c r="ANF14" s="394"/>
      <c r="ANG14" s="394"/>
      <c r="ANH14" s="394"/>
      <c r="ANI14" s="394"/>
      <c r="ANJ14" s="394"/>
      <c r="ANK14" s="394"/>
      <c r="ANL14" s="394"/>
      <c r="ANM14" s="394"/>
      <c r="ANN14" s="394"/>
      <c r="ANO14" s="394"/>
      <c r="ANP14" s="394"/>
      <c r="ANQ14" s="394"/>
      <c r="ANR14" s="394"/>
      <c r="ANS14" s="394"/>
      <c r="ANT14" s="394"/>
      <c r="ANU14" s="394"/>
      <c r="ANV14" s="394"/>
      <c r="ANW14" s="394"/>
      <c r="ANX14" s="394"/>
      <c r="ANY14" s="394"/>
      <c r="ANZ14" s="394"/>
      <c r="AOA14" s="394"/>
      <c r="AOB14" s="394"/>
      <c r="AOC14" s="394"/>
      <c r="AOD14" s="394"/>
      <c r="AOE14" s="394"/>
      <c r="AOF14" s="394"/>
      <c r="AOG14" s="394"/>
      <c r="AOH14" s="394"/>
      <c r="AOI14" s="394"/>
      <c r="AOJ14" s="394"/>
      <c r="AOK14" s="394"/>
      <c r="AOL14" s="394"/>
      <c r="AOM14" s="394"/>
      <c r="AON14" s="394"/>
      <c r="AOO14" s="394"/>
      <c r="AOP14" s="394"/>
      <c r="AOQ14" s="394"/>
      <c r="AOR14" s="394"/>
      <c r="AOS14" s="394"/>
      <c r="AOT14" s="394"/>
      <c r="AOU14" s="394"/>
      <c r="AOV14" s="394"/>
      <c r="AOW14" s="394"/>
      <c r="AOX14" s="394"/>
      <c r="AOY14" s="394"/>
      <c r="AOZ14" s="394"/>
      <c r="APA14" s="394"/>
      <c r="APB14" s="394"/>
      <c r="APC14" s="394"/>
      <c r="APD14" s="394"/>
      <c r="APE14" s="394"/>
      <c r="APF14" s="394"/>
      <c r="APG14" s="394"/>
      <c r="APH14" s="394"/>
      <c r="API14" s="394"/>
      <c r="APJ14" s="394"/>
      <c r="APK14" s="394"/>
      <c r="APL14" s="394"/>
      <c r="APM14" s="394"/>
      <c r="APN14" s="394"/>
      <c r="APO14" s="394"/>
      <c r="APP14" s="394"/>
      <c r="APQ14" s="394"/>
      <c r="APR14" s="394"/>
      <c r="APS14" s="394"/>
      <c r="APT14" s="394"/>
      <c r="APU14" s="394"/>
      <c r="APV14" s="394"/>
      <c r="APW14" s="394"/>
      <c r="APX14" s="394"/>
      <c r="APY14" s="394"/>
      <c r="APZ14" s="394"/>
      <c r="AQA14" s="394"/>
      <c r="AQB14" s="394"/>
      <c r="AQC14" s="394"/>
      <c r="AQD14" s="394"/>
      <c r="AQE14" s="394"/>
      <c r="AQF14" s="394"/>
      <c r="AQG14" s="394"/>
      <c r="AQH14" s="394"/>
      <c r="AQI14" s="394"/>
      <c r="AQJ14" s="394"/>
      <c r="AQK14" s="394"/>
      <c r="AQL14" s="394"/>
      <c r="AQM14" s="394"/>
      <c r="AQN14" s="394"/>
      <c r="AQO14" s="394"/>
      <c r="AQP14" s="394"/>
      <c r="AQQ14" s="394"/>
      <c r="AQR14" s="394"/>
      <c r="AQS14" s="394"/>
      <c r="AQT14" s="394"/>
      <c r="AQU14" s="394"/>
      <c r="AQV14" s="394"/>
      <c r="AQW14" s="394"/>
      <c r="AQX14" s="394"/>
      <c r="AQY14" s="394"/>
      <c r="AQZ14" s="394"/>
      <c r="ARA14" s="394"/>
      <c r="ARB14" s="394"/>
      <c r="ARC14" s="394"/>
      <c r="ARD14" s="394"/>
      <c r="ARE14" s="394"/>
      <c r="ARF14" s="394"/>
      <c r="ARG14" s="394"/>
      <c r="ARH14" s="394"/>
      <c r="ARI14" s="394"/>
      <c r="ARJ14" s="394"/>
      <c r="ARK14" s="394"/>
      <c r="ARL14" s="394"/>
      <c r="ARM14" s="394"/>
      <c r="ARN14" s="394"/>
      <c r="ARO14" s="394"/>
      <c r="ARP14" s="394"/>
      <c r="ARQ14" s="394"/>
      <c r="ARR14" s="394"/>
      <c r="ARS14" s="394"/>
      <c r="ART14" s="394"/>
      <c r="ARU14" s="394"/>
      <c r="ARV14" s="394"/>
      <c r="ARW14" s="394"/>
      <c r="ARX14" s="394"/>
      <c r="ARY14" s="394"/>
      <c r="ARZ14" s="394"/>
      <c r="ASA14" s="394"/>
      <c r="ASB14" s="394"/>
      <c r="ASC14" s="394"/>
      <c r="ASD14" s="394"/>
      <c r="ASE14" s="394"/>
      <c r="ASF14" s="394"/>
      <c r="ASG14" s="394"/>
      <c r="ASH14" s="394"/>
      <c r="ASI14" s="394"/>
      <c r="ASJ14" s="394"/>
      <c r="ASK14" s="394"/>
      <c r="ASL14" s="394"/>
      <c r="ASM14" s="394"/>
      <c r="ASN14" s="394"/>
      <c r="ASO14" s="394"/>
      <c r="ASP14" s="394"/>
      <c r="ASQ14" s="394"/>
      <c r="ASR14" s="394"/>
      <c r="ASS14" s="394"/>
      <c r="AST14" s="394"/>
      <c r="ASU14" s="394"/>
      <c r="ASV14" s="394"/>
      <c r="ASW14" s="394"/>
      <c r="ASX14" s="394"/>
      <c r="ASY14" s="394"/>
      <c r="ASZ14" s="394"/>
      <c r="ATA14" s="394"/>
      <c r="ATB14" s="394"/>
      <c r="ATC14" s="394"/>
      <c r="ATD14" s="394"/>
      <c r="ATE14" s="394"/>
      <c r="ATF14" s="394"/>
      <c r="ATG14" s="394"/>
      <c r="ATH14" s="394"/>
      <c r="ATI14" s="394"/>
      <c r="ATJ14" s="394"/>
      <c r="ATK14" s="394"/>
      <c r="ATL14" s="394"/>
      <c r="ATM14" s="394"/>
      <c r="ATN14" s="394"/>
      <c r="ATO14" s="394"/>
      <c r="ATP14" s="394"/>
      <c r="ATQ14" s="394"/>
      <c r="ATR14" s="394"/>
      <c r="ATS14" s="394"/>
      <c r="ATT14" s="394"/>
      <c r="ATU14" s="394"/>
      <c r="ATV14" s="394"/>
      <c r="ATW14" s="394"/>
      <c r="ATX14" s="394"/>
      <c r="ATY14" s="394"/>
      <c r="ATZ14" s="394"/>
      <c r="AUA14" s="394"/>
      <c r="AUB14" s="394"/>
      <c r="AUC14" s="394"/>
      <c r="AUD14" s="394"/>
      <c r="AUE14" s="394"/>
      <c r="AUF14" s="394"/>
      <c r="AUG14" s="394"/>
      <c r="AUH14" s="394"/>
      <c r="AUI14" s="394"/>
      <c r="AUJ14" s="394"/>
      <c r="AUK14" s="394"/>
      <c r="AUL14" s="394"/>
      <c r="AUM14" s="394"/>
      <c r="AUN14" s="394"/>
      <c r="AUO14" s="394"/>
      <c r="AUP14" s="394"/>
      <c r="AUQ14" s="394"/>
      <c r="AUR14" s="394"/>
      <c r="AUS14" s="394"/>
      <c r="AUT14" s="394"/>
      <c r="AUU14" s="394"/>
      <c r="AUV14" s="394"/>
      <c r="AUW14" s="394"/>
      <c r="AUX14" s="394"/>
      <c r="AUY14" s="394"/>
      <c r="AUZ14" s="394"/>
      <c r="AVA14" s="394"/>
      <c r="AVB14" s="394"/>
      <c r="AVC14" s="394"/>
      <c r="AVD14" s="394"/>
      <c r="AVE14" s="394"/>
      <c r="AVF14" s="394"/>
      <c r="AVG14" s="394"/>
      <c r="AVH14" s="394"/>
      <c r="AVI14" s="394"/>
      <c r="AVJ14" s="394"/>
      <c r="AVK14" s="394"/>
      <c r="AVL14" s="394"/>
      <c r="AVM14" s="394"/>
      <c r="AVN14" s="394"/>
      <c r="AVO14" s="394"/>
      <c r="AVP14" s="394"/>
      <c r="AVQ14" s="394"/>
      <c r="AVR14" s="394"/>
      <c r="AVS14" s="394"/>
      <c r="AVT14" s="394"/>
      <c r="AVU14" s="394"/>
      <c r="AVV14" s="394"/>
      <c r="AVW14" s="394"/>
      <c r="AVX14" s="394"/>
      <c r="AVY14" s="394"/>
      <c r="AVZ14" s="394"/>
      <c r="AWA14" s="394"/>
      <c r="AWB14" s="394"/>
      <c r="AWC14" s="394"/>
      <c r="AWD14" s="394"/>
      <c r="AWE14" s="394"/>
      <c r="AWF14" s="394"/>
      <c r="AWG14" s="394"/>
      <c r="AWH14" s="394"/>
      <c r="AWI14" s="394"/>
      <c r="AWJ14" s="394"/>
      <c r="AWK14" s="394"/>
      <c r="AWL14" s="394"/>
      <c r="AWM14" s="394"/>
      <c r="AWN14" s="394"/>
      <c r="AWO14" s="394"/>
      <c r="AWP14" s="394"/>
      <c r="AWQ14" s="394"/>
      <c r="AWR14" s="394"/>
      <c r="AWS14" s="394"/>
      <c r="AWT14" s="394"/>
      <c r="AWU14" s="394"/>
      <c r="AWV14" s="394"/>
      <c r="AWW14" s="394"/>
      <c r="AWX14" s="394"/>
      <c r="AWY14" s="394"/>
      <c r="AWZ14" s="394"/>
      <c r="AXA14" s="394"/>
      <c r="AXB14" s="394"/>
      <c r="AXC14" s="394"/>
      <c r="AXD14" s="394"/>
      <c r="AXE14" s="394"/>
      <c r="AXF14" s="394"/>
      <c r="AXG14" s="394"/>
      <c r="AXH14" s="394"/>
      <c r="AXI14" s="394"/>
      <c r="AXJ14" s="394"/>
      <c r="AXK14" s="394"/>
      <c r="AXL14" s="394"/>
      <c r="AXM14" s="394"/>
      <c r="AXN14" s="394"/>
      <c r="AXO14" s="394"/>
      <c r="AXP14" s="394"/>
      <c r="AXQ14" s="394"/>
      <c r="AXR14" s="394"/>
      <c r="AXS14" s="394"/>
      <c r="AXT14" s="394"/>
      <c r="AXU14" s="394"/>
      <c r="AXV14" s="394"/>
      <c r="AXW14" s="394"/>
      <c r="AXX14" s="394"/>
      <c r="AXY14" s="394"/>
      <c r="AXZ14" s="394"/>
      <c r="AYA14" s="394"/>
      <c r="AYB14" s="394"/>
      <c r="AYC14" s="394"/>
      <c r="AYD14" s="394"/>
      <c r="AYE14" s="394"/>
      <c r="AYF14" s="394"/>
      <c r="AYG14" s="394"/>
      <c r="AYH14" s="394"/>
      <c r="AYI14" s="394"/>
      <c r="AYJ14" s="394"/>
      <c r="AYK14" s="394"/>
      <c r="AYL14" s="394"/>
      <c r="AYM14" s="394"/>
      <c r="AYN14" s="394"/>
      <c r="AYO14" s="394"/>
      <c r="AYP14" s="394"/>
      <c r="AYQ14" s="394"/>
      <c r="AYR14" s="394"/>
      <c r="AYS14" s="394"/>
      <c r="AYT14" s="394"/>
      <c r="AYU14" s="394"/>
      <c r="AYV14" s="394"/>
      <c r="AYW14" s="394"/>
      <c r="AYX14" s="394"/>
      <c r="AYY14" s="394"/>
      <c r="AYZ14" s="394"/>
      <c r="AZA14" s="394"/>
      <c r="AZB14" s="394"/>
      <c r="AZC14" s="394"/>
      <c r="AZD14" s="394"/>
      <c r="AZE14" s="394"/>
      <c r="AZF14" s="394"/>
      <c r="AZG14" s="394"/>
      <c r="AZH14" s="394"/>
      <c r="AZI14" s="394"/>
      <c r="AZJ14" s="394"/>
      <c r="AZK14" s="394"/>
      <c r="AZL14" s="394"/>
      <c r="AZM14" s="394"/>
      <c r="AZN14" s="394"/>
      <c r="AZO14" s="394"/>
      <c r="AZP14" s="394"/>
      <c r="AZQ14" s="394"/>
      <c r="AZR14" s="394"/>
      <c r="AZS14" s="394"/>
      <c r="AZT14" s="394"/>
      <c r="AZU14" s="394"/>
      <c r="AZV14" s="394"/>
      <c r="AZW14" s="394"/>
      <c r="AZX14" s="394"/>
      <c r="AZY14" s="394"/>
      <c r="AZZ14" s="394"/>
      <c r="BAA14" s="394"/>
      <c r="BAB14" s="394"/>
      <c r="BAC14" s="394"/>
      <c r="BAD14" s="394"/>
      <c r="BAE14" s="394"/>
      <c r="BAF14" s="394"/>
      <c r="BAG14" s="394"/>
      <c r="BAH14" s="394"/>
      <c r="BAI14" s="394"/>
      <c r="BAJ14" s="394"/>
      <c r="BAK14" s="394"/>
      <c r="BAL14" s="394"/>
      <c r="BAM14" s="394"/>
      <c r="BAN14" s="394"/>
      <c r="BAO14" s="394"/>
      <c r="BAP14" s="394"/>
      <c r="BAQ14" s="394"/>
      <c r="BAR14" s="394"/>
      <c r="BAS14" s="394"/>
      <c r="BAT14" s="394"/>
      <c r="BAU14" s="394"/>
      <c r="BAV14" s="394"/>
      <c r="BAW14" s="394"/>
      <c r="BAX14" s="394"/>
      <c r="BAY14" s="394"/>
      <c r="BAZ14" s="394"/>
      <c r="BBA14" s="394"/>
      <c r="BBB14" s="394"/>
      <c r="BBC14" s="394"/>
      <c r="BBD14" s="394"/>
      <c r="BBE14" s="394"/>
      <c r="BBF14" s="394"/>
      <c r="BBG14" s="394"/>
      <c r="BBH14" s="394"/>
      <c r="BBI14" s="394"/>
      <c r="BBJ14" s="394"/>
      <c r="BBK14" s="394"/>
      <c r="BBL14" s="394"/>
      <c r="BBM14" s="394"/>
      <c r="BBN14" s="394"/>
      <c r="BBO14" s="394"/>
      <c r="BBP14" s="394"/>
      <c r="BBQ14" s="394"/>
      <c r="BBR14" s="394"/>
      <c r="BBS14" s="394"/>
      <c r="BBT14" s="394"/>
      <c r="BBU14" s="394"/>
      <c r="BBV14" s="394"/>
      <c r="BBW14" s="394"/>
      <c r="BBX14" s="394"/>
      <c r="BBY14" s="394"/>
      <c r="BBZ14" s="394"/>
      <c r="BCA14" s="394"/>
      <c r="BCB14" s="394"/>
      <c r="BCC14" s="394"/>
      <c r="BCD14" s="394"/>
      <c r="BCE14" s="394"/>
      <c r="BCF14" s="394"/>
      <c r="BCG14" s="394"/>
      <c r="BCH14" s="394"/>
      <c r="BCI14" s="394"/>
      <c r="BCJ14" s="394"/>
      <c r="BCK14" s="394"/>
      <c r="BCL14" s="394"/>
      <c r="BCM14" s="394"/>
      <c r="BCN14" s="394"/>
      <c r="BCO14" s="394"/>
      <c r="BCP14" s="394"/>
      <c r="BCQ14" s="394"/>
      <c r="BCR14" s="394"/>
      <c r="BCS14" s="394"/>
      <c r="BCT14" s="394"/>
      <c r="BCU14" s="394"/>
      <c r="BCV14" s="394"/>
      <c r="BCW14" s="394"/>
      <c r="BCX14" s="394"/>
      <c r="BCY14" s="394"/>
      <c r="BCZ14" s="394"/>
      <c r="BDA14" s="394"/>
      <c r="BDB14" s="394"/>
      <c r="BDC14" s="394"/>
      <c r="BDD14" s="394"/>
      <c r="BDE14" s="394"/>
      <c r="BDF14" s="394"/>
      <c r="BDG14" s="394"/>
      <c r="BDH14" s="394"/>
      <c r="BDI14" s="394"/>
      <c r="BDJ14" s="394"/>
      <c r="BDK14" s="394"/>
      <c r="BDL14" s="394"/>
      <c r="BDM14" s="394"/>
      <c r="BDN14" s="394"/>
      <c r="BDO14" s="394"/>
      <c r="BDP14" s="394"/>
      <c r="BDQ14" s="394"/>
      <c r="BDR14" s="394"/>
      <c r="BDS14" s="394"/>
      <c r="BDT14" s="394"/>
      <c r="BDU14" s="394"/>
      <c r="BDV14" s="394"/>
      <c r="BDW14" s="394"/>
      <c r="BDX14" s="394"/>
      <c r="BDY14" s="394"/>
      <c r="BDZ14" s="394"/>
      <c r="BEA14" s="394"/>
      <c r="BEB14" s="394"/>
      <c r="BEC14" s="394"/>
      <c r="BED14" s="394"/>
      <c r="BEE14" s="394"/>
      <c r="BEF14" s="394"/>
      <c r="BEG14" s="394"/>
      <c r="BEH14" s="394"/>
      <c r="BEI14" s="394"/>
      <c r="BEJ14" s="394"/>
      <c r="BEK14" s="394"/>
      <c r="BEL14" s="394"/>
      <c r="BEM14" s="394"/>
      <c r="BEN14" s="394"/>
      <c r="BEO14" s="394"/>
      <c r="BEP14" s="394"/>
      <c r="BEQ14" s="394"/>
      <c r="BER14" s="394"/>
      <c r="BES14" s="394"/>
      <c r="BET14" s="394"/>
      <c r="BEU14" s="394"/>
      <c r="BEV14" s="394"/>
      <c r="BEW14" s="394"/>
      <c r="BEX14" s="394"/>
      <c r="BEY14" s="394"/>
      <c r="BEZ14" s="394"/>
      <c r="BFA14" s="394"/>
      <c r="BFB14" s="394"/>
      <c r="BFC14" s="394"/>
      <c r="BFD14" s="394"/>
      <c r="BFE14" s="394"/>
      <c r="BFF14" s="394"/>
      <c r="BFG14" s="394"/>
      <c r="BFH14" s="394"/>
      <c r="BFI14" s="394"/>
      <c r="BFJ14" s="394"/>
      <c r="BFK14" s="394"/>
      <c r="BFL14" s="394"/>
      <c r="BFM14" s="394"/>
      <c r="BFN14" s="394"/>
      <c r="BFO14" s="394"/>
      <c r="BFP14" s="394"/>
      <c r="BFQ14" s="394"/>
      <c r="BFR14" s="394"/>
      <c r="BFS14" s="394"/>
      <c r="BFT14" s="394"/>
      <c r="BFU14" s="394"/>
      <c r="BFV14" s="394"/>
      <c r="BFW14" s="394"/>
      <c r="BFX14" s="394"/>
      <c r="BFY14" s="394"/>
      <c r="BFZ14" s="394"/>
      <c r="BGA14" s="394"/>
      <c r="BGB14" s="394"/>
      <c r="BGC14" s="394"/>
      <c r="BGD14" s="394"/>
      <c r="BGE14" s="394"/>
      <c r="BGF14" s="394"/>
      <c r="BGG14" s="394"/>
      <c r="BGH14" s="394"/>
      <c r="BGI14" s="394"/>
      <c r="BGJ14" s="394"/>
      <c r="BGK14" s="394"/>
      <c r="BGL14" s="394"/>
      <c r="BGM14" s="394"/>
      <c r="BGN14" s="394"/>
      <c r="BGO14" s="394"/>
      <c r="BGP14" s="394"/>
      <c r="BGQ14" s="394"/>
      <c r="BGR14" s="394"/>
      <c r="BGS14" s="394"/>
      <c r="BGT14" s="394"/>
      <c r="BGU14" s="394"/>
      <c r="BGV14" s="394"/>
      <c r="BGW14" s="394"/>
      <c r="BGX14" s="394"/>
      <c r="BGY14" s="394"/>
      <c r="BGZ14" s="394"/>
      <c r="BHA14" s="394"/>
      <c r="BHB14" s="394"/>
      <c r="BHC14" s="394"/>
      <c r="BHD14" s="394"/>
      <c r="BHE14" s="394"/>
      <c r="BHF14" s="394"/>
      <c r="BHG14" s="394"/>
      <c r="BHH14" s="394"/>
      <c r="BHI14" s="394"/>
      <c r="BHJ14" s="394"/>
      <c r="BHK14" s="394"/>
      <c r="BHL14" s="394"/>
      <c r="BHM14" s="394"/>
      <c r="BHN14" s="394"/>
      <c r="BHO14" s="394"/>
      <c r="BHP14" s="394"/>
      <c r="BHQ14" s="394"/>
      <c r="BHR14" s="394"/>
      <c r="BHS14" s="394"/>
      <c r="BHT14" s="394"/>
      <c r="BHU14" s="394"/>
      <c r="BHV14" s="394"/>
      <c r="BHW14" s="394"/>
      <c r="BHX14" s="394"/>
      <c r="BHY14" s="394"/>
      <c r="BHZ14" s="394"/>
      <c r="BIA14" s="394"/>
      <c r="BIB14" s="394"/>
      <c r="BIC14" s="394"/>
      <c r="BID14" s="394"/>
      <c r="BIE14" s="394"/>
      <c r="BIF14" s="394"/>
      <c r="BIG14" s="394"/>
      <c r="BIH14" s="394"/>
      <c r="BII14" s="394"/>
      <c r="BIJ14" s="394"/>
      <c r="BIK14" s="394"/>
      <c r="BIL14" s="394"/>
      <c r="BIM14" s="394"/>
      <c r="BIN14" s="394"/>
      <c r="BIO14" s="394"/>
      <c r="BIP14" s="394"/>
      <c r="BIQ14" s="394"/>
      <c r="BIR14" s="394"/>
      <c r="BIS14" s="394"/>
      <c r="BIT14" s="394"/>
      <c r="BIU14" s="394"/>
      <c r="BIV14" s="394"/>
      <c r="BIW14" s="394"/>
      <c r="BIX14" s="394"/>
      <c r="BIY14" s="394"/>
      <c r="BIZ14" s="394"/>
      <c r="BJA14" s="394"/>
      <c r="BJB14" s="394"/>
      <c r="BJC14" s="394"/>
      <c r="BJD14" s="394"/>
      <c r="BJE14" s="394"/>
      <c r="BJF14" s="394"/>
      <c r="BJG14" s="394"/>
      <c r="BJH14" s="394"/>
      <c r="BJI14" s="394"/>
      <c r="BJJ14" s="394"/>
      <c r="BJK14" s="394"/>
      <c r="BJL14" s="394"/>
      <c r="BJM14" s="394"/>
      <c r="BJN14" s="394"/>
      <c r="BJO14" s="394"/>
      <c r="BJP14" s="394"/>
      <c r="BJQ14" s="394"/>
      <c r="BJR14" s="394"/>
      <c r="BJS14" s="394"/>
      <c r="BJT14" s="394"/>
      <c r="BJU14" s="394"/>
      <c r="BJV14" s="394"/>
      <c r="BJW14" s="394"/>
      <c r="BJX14" s="394"/>
      <c r="BJY14" s="394"/>
      <c r="BJZ14" s="394"/>
      <c r="BKA14" s="394"/>
      <c r="BKB14" s="394"/>
      <c r="BKC14" s="394"/>
      <c r="BKD14" s="394"/>
      <c r="BKE14" s="394"/>
      <c r="BKF14" s="394"/>
      <c r="BKG14" s="394"/>
      <c r="BKH14" s="394"/>
      <c r="BKI14" s="394"/>
      <c r="BKJ14" s="394"/>
      <c r="BKK14" s="394"/>
      <c r="BKL14" s="394"/>
      <c r="BKM14" s="394"/>
      <c r="BKN14" s="394"/>
      <c r="BKO14" s="394"/>
      <c r="BKP14" s="394"/>
      <c r="BKQ14" s="394"/>
      <c r="BKR14" s="394"/>
      <c r="BKS14" s="394"/>
      <c r="BKT14" s="394"/>
      <c r="BKU14" s="394"/>
      <c r="BKV14" s="394"/>
      <c r="BKW14" s="394"/>
      <c r="BKX14" s="394"/>
      <c r="BKY14" s="394"/>
      <c r="BKZ14" s="394"/>
      <c r="BLA14" s="394"/>
      <c r="BLB14" s="394"/>
      <c r="BLC14" s="394"/>
      <c r="BLD14" s="394"/>
      <c r="BLE14" s="394"/>
      <c r="BLF14" s="394"/>
      <c r="BLG14" s="394"/>
      <c r="BLH14" s="394"/>
      <c r="BLI14" s="394"/>
      <c r="BLJ14" s="394"/>
      <c r="BLK14" s="394"/>
      <c r="BLL14" s="394"/>
      <c r="BLM14" s="394"/>
      <c r="BLN14" s="394"/>
      <c r="BLO14" s="394"/>
      <c r="BLP14" s="394"/>
      <c r="BLQ14" s="394"/>
      <c r="BLR14" s="394"/>
      <c r="BLS14" s="394"/>
      <c r="BLT14" s="394"/>
      <c r="BLU14" s="394"/>
      <c r="BLV14" s="394"/>
      <c r="BLW14" s="394"/>
      <c r="BLX14" s="394"/>
      <c r="BLY14" s="394"/>
      <c r="BLZ14" s="394"/>
      <c r="BMA14" s="394"/>
      <c r="BMB14" s="394"/>
      <c r="BMC14" s="394"/>
      <c r="BMD14" s="394"/>
      <c r="BME14" s="394"/>
      <c r="BMF14" s="394"/>
      <c r="BMG14" s="394"/>
      <c r="BMH14" s="394"/>
      <c r="BMI14" s="394"/>
      <c r="BMJ14" s="394"/>
      <c r="BMK14" s="394"/>
      <c r="BML14" s="394"/>
      <c r="BMM14" s="394"/>
      <c r="BMN14" s="394"/>
      <c r="BMO14" s="394"/>
      <c r="BMP14" s="394"/>
      <c r="BMQ14" s="394"/>
      <c r="BMR14" s="394"/>
      <c r="BMS14" s="394"/>
      <c r="BMT14" s="394"/>
      <c r="BMU14" s="394"/>
      <c r="BMV14" s="394"/>
      <c r="BMW14" s="394"/>
      <c r="BMX14" s="394"/>
      <c r="BMY14" s="394"/>
      <c r="BMZ14" s="394"/>
      <c r="BNA14" s="394"/>
      <c r="BNB14" s="394"/>
      <c r="BNC14" s="394"/>
      <c r="BND14" s="394"/>
      <c r="BNE14" s="394"/>
      <c r="BNF14" s="394"/>
      <c r="BNG14" s="394"/>
      <c r="BNH14" s="394"/>
      <c r="BNI14" s="394"/>
      <c r="BNJ14" s="394"/>
      <c r="BNK14" s="394"/>
      <c r="BNL14" s="394"/>
      <c r="BNM14" s="394"/>
      <c r="BNN14" s="394"/>
      <c r="BNO14" s="394"/>
      <c r="BNP14" s="394"/>
      <c r="BNQ14" s="394"/>
      <c r="BNR14" s="394"/>
      <c r="BNS14" s="394"/>
      <c r="BNT14" s="394"/>
      <c r="BNU14" s="394"/>
      <c r="BNV14" s="394"/>
      <c r="BNW14" s="394"/>
      <c r="BNX14" s="394"/>
      <c r="BNY14" s="394"/>
      <c r="BNZ14" s="394"/>
      <c r="BOA14" s="394"/>
      <c r="BOB14" s="394"/>
      <c r="BOC14" s="394"/>
      <c r="BOD14" s="394"/>
      <c r="BOE14" s="394"/>
      <c r="BOF14" s="394"/>
      <c r="BOG14" s="394"/>
      <c r="BOH14" s="394"/>
      <c r="BOI14" s="394"/>
      <c r="BOJ14" s="394"/>
      <c r="BOK14" s="394"/>
      <c r="BOL14" s="394"/>
      <c r="BOM14" s="394"/>
      <c r="BON14" s="394"/>
      <c r="BOO14" s="394"/>
      <c r="BOP14" s="394"/>
      <c r="BOQ14" s="394"/>
      <c r="BOR14" s="394"/>
      <c r="BOS14" s="394"/>
      <c r="BOT14" s="394"/>
      <c r="BOU14" s="394"/>
      <c r="BOV14" s="394"/>
      <c r="BOW14" s="394"/>
      <c r="BOX14" s="394"/>
      <c r="BOY14" s="394"/>
      <c r="BOZ14" s="394"/>
      <c r="BPA14" s="394"/>
      <c r="BPB14" s="394"/>
      <c r="BPC14" s="394"/>
      <c r="BPD14" s="394"/>
      <c r="BPE14" s="394"/>
      <c r="BPF14" s="394"/>
      <c r="BPG14" s="394"/>
      <c r="BPH14" s="394"/>
      <c r="BPI14" s="394"/>
      <c r="BPJ14" s="394"/>
      <c r="BPK14" s="394"/>
      <c r="BPL14" s="394"/>
      <c r="BPM14" s="394"/>
      <c r="BPN14" s="394"/>
      <c r="BPO14" s="394"/>
      <c r="BPP14" s="394"/>
      <c r="BPQ14" s="394"/>
      <c r="BPR14" s="394"/>
      <c r="BPS14" s="394"/>
      <c r="BPT14" s="394"/>
      <c r="BPU14" s="394"/>
      <c r="BPV14" s="394"/>
      <c r="BPW14" s="394"/>
      <c r="BPX14" s="394"/>
      <c r="BPY14" s="394"/>
      <c r="BPZ14" s="394"/>
      <c r="BQA14" s="394"/>
      <c r="BQB14" s="394"/>
      <c r="BQC14" s="394"/>
      <c r="BQD14" s="394"/>
      <c r="BQE14" s="394"/>
      <c r="BQF14" s="394"/>
      <c r="BQG14" s="394"/>
      <c r="BQH14" s="394"/>
      <c r="BQI14" s="394"/>
      <c r="BQJ14" s="394"/>
      <c r="BQK14" s="394"/>
      <c r="BQL14" s="394"/>
      <c r="BQM14" s="394"/>
      <c r="BQN14" s="394"/>
      <c r="BQO14" s="394"/>
      <c r="BQP14" s="394"/>
      <c r="BQQ14" s="394"/>
      <c r="BQR14" s="394"/>
      <c r="BQS14" s="394"/>
      <c r="BQT14" s="394"/>
      <c r="BQU14" s="394"/>
      <c r="BQV14" s="394"/>
      <c r="BQW14" s="394"/>
      <c r="BQX14" s="394"/>
      <c r="BQY14" s="394"/>
      <c r="BQZ14" s="394"/>
      <c r="BRA14" s="394"/>
      <c r="BRB14" s="394"/>
      <c r="BRC14" s="394"/>
      <c r="BRD14" s="394"/>
      <c r="BRE14" s="394"/>
      <c r="BRF14" s="394"/>
      <c r="BRG14" s="394"/>
      <c r="BRH14" s="394"/>
      <c r="BRI14" s="394"/>
      <c r="BRJ14" s="394"/>
      <c r="BRK14" s="394"/>
      <c r="BRL14" s="394"/>
      <c r="BRM14" s="394"/>
      <c r="BRN14" s="394"/>
      <c r="BRO14" s="394"/>
      <c r="BRP14" s="394"/>
      <c r="BRQ14" s="394"/>
      <c r="BRR14" s="394"/>
      <c r="BRS14" s="394"/>
      <c r="BRT14" s="394"/>
      <c r="BRU14" s="394"/>
      <c r="BRV14" s="394"/>
      <c r="BRW14" s="394"/>
      <c r="BRX14" s="394"/>
      <c r="BRY14" s="394"/>
      <c r="BRZ14" s="394"/>
      <c r="BSA14" s="394"/>
      <c r="BSB14" s="394"/>
      <c r="BSC14" s="394"/>
      <c r="BSD14" s="394"/>
      <c r="BSE14" s="394"/>
      <c r="BSF14" s="394"/>
      <c r="BSG14" s="394"/>
      <c r="BSH14" s="394"/>
      <c r="BSI14" s="394"/>
      <c r="BSJ14" s="394"/>
      <c r="BSK14" s="394"/>
      <c r="BSL14" s="394"/>
      <c r="BSM14" s="394"/>
      <c r="BSN14" s="394"/>
      <c r="BSO14" s="394"/>
      <c r="BSP14" s="394"/>
      <c r="BSQ14" s="394"/>
      <c r="BSR14" s="394"/>
      <c r="BSS14" s="394"/>
      <c r="BST14" s="394"/>
      <c r="BSU14" s="394"/>
      <c r="BSV14" s="394"/>
      <c r="BSW14" s="394"/>
      <c r="BSX14" s="394"/>
      <c r="BSY14" s="394"/>
      <c r="BSZ14" s="394"/>
      <c r="BTA14" s="394"/>
      <c r="BTB14" s="394"/>
      <c r="BTC14" s="394"/>
      <c r="BTD14" s="394"/>
      <c r="BTE14" s="394"/>
      <c r="BTF14" s="394"/>
      <c r="BTG14" s="394"/>
      <c r="BTH14" s="394"/>
      <c r="BTI14" s="394"/>
    </row>
    <row r="15" spans="1:1881" s="378" customFormat="1" ht="97.5" customHeight="1" x14ac:dyDescent="0.25">
      <c r="A15" s="455">
        <v>629</v>
      </c>
      <c r="B15" s="456" t="s">
        <v>830</v>
      </c>
      <c r="C15" s="452" t="s">
        <v>136</v>
      </c>
      <c r="D15" s="453" t="s">
        <v>1086</v>
      </c>
      <c r="E15" s="865" t="s">
        <v>832</v>
      </c>
      <c r="F15" s="624"/>
      <c r="G15" s="457">
        <f>IF(F15&gt;F12,"Please review account numbers 629 &gt; 626",)</f>
        <v>0</v>
      </c>
      <c r="H15" s="438"/>
      <c r="I15" s="439"/>
      <c r="J15" s="365"/>
      <c r="K15" s="394"/>
      <c r="L15" s="833" t="s">
        <v>1113</v>
      </c>
      <c r="M15" s="610"/>
      <c r="N15" s="635"/>
      <c r="O15" s="394"/>
      <c r="P15" s="394"/>
      <c r="Q15" s="394"/>
      <c r="R15" s="394"/>
      <c r="S15" s="394"/>
      <c r="T15" s="394"/>
      <c r="U15" s="394"/>
      <c r="V15" s="394"/>
      <c r="W15" s="394"/>
      <c r="X15" s="394"/>
      <c r="Y15" s="394"/>
      <c r="Z15" s="394"/>
      <c r="AA15" s="394"/>
      <c r="AB15" s="394"/>
      <c r="AC15" s="394"/>
      <c r="AD15" s="394"/>
      <c r="AE15" s="394"/>
      <c r="AF15" s="394"/>
      <c r="AG15" s="394"/>
      <c r="AH15" s="394"/>
      <c r="AI15" s="394"/>
      <c r="AJ15" s="394"/>
      <c r="AK15" s="394"/>
      <c r="AL15" s="394"/>
      <c r="AM15" s="394"/>
      <c r="AN15" s="394"/>
      <c r="AO15" s="394"/>
      <c r="AP15" s="394"/>
      <c r="AQ15" s="394"/>
      <c r="AR15" s="394"/>
      <c r="AS15" s="394"/>
      <c r="AT15" s="394"/>
      <c r="AU15" s="394"/>
      <c r="AV15" s="394"/>
      <c r="AW15" s="394"/>
      <c r="AX15" s="394"/>
      <c r="AY15" s="394"/>
      <c r="AZ15" s="394"/>
      <c r="BA15" s="394"/>
      <c r="BB15" s="394"/>
      <c r="BC15" s="394"/>
      <c r="BD15" s="394"/>
      <c r="BE15" s="394"/>
      <c r="BF15" s="394"/>
      <c r="BG15" s="394"/>
      <c r="BH15" s="394"/>
      <c r="BI15" s="394"/>
      <c r="BJ15" s="394"/>
      <c r="BK15" s="394"/>
      <c r="BL15" s="394"/>
      <c r="BM15" s="394"/>
      <c r="BN15" s="394"/>
      <c r="BO15" s="394"/>
      <c r="BP15" s="394"/>
      <c r="BQ15" s="394"/>
      <c r="BR15" s="394"/>
      <c r="BS15" s="394"/>
      <c r="BT15" s="394"/>
      <c r="BU15" s="394"/>
      <c r="BV15" s="394"/>
      <c r="BW15" s="394"/>
      <c r="BX15" s="394"/>
      <c r="BY15" s="394"/>
      <c r="BZ15" s="394"/>
      <c r="CA15" s="394"/>
      <c r="CB15" s="394"/>
      <c r="CC15" s="394"/>
      <c r="CD15" s="394"/>
      <c r="CE15" s="394"/>
      <c r="CF15" s="394"/>
      <c r="CG15" s="394"/>
      <c r="CH15" s="394"/>
      <c r="CI15" s="394"/>
      <c r="CJ15" s="394"/>
      <c r="CK15" s="394"/>
      <c r="CL15" s="394"/>
      <c r="CM15" s="394"/>
      <c r="CN15" s="394"/>
      <c r="CO15" s="394"/>
      <c r="CP15" s="394"/>
      <c r="CQ15" s="394"/>
      <c r="CR15" s="394"/>
      <c r="CS15" s="394"/>
      <c r="CT15" s="394"/>
      <c r="CU15" s="394"/>
      <c r="CV15" s="394"/>
      <c r="CW15" s="394"/>
      <c r="CX15" s="394"/>
      <c r="CY15" s="394"/>
      <c r="CZ15" s="394"/>
      <c r="DA15" s="394"/>
      <c r="DB15" s="394"/>
      <c r="DC15" s="394"/>
      <c r="DD15" s="394"/>
      <c r="DE15" s="394"/>
      <c r="DF15" s="394"/>
      <c r="DG15" s="394"/>
      <c r="DH15" s="394"/>
      <c r="DI15" s="394"/>
      <c r="DJ15" s="394"/>
      <c r="DK15" s="394"/>
      <c r="DL15" s="394"/>
      <c r="DM15" s="394"/>
      <c r="DN15" s="394"/>
      <c r="DO15" s="394"/>
      <c r="DP15" s="394"/>
      <c r="DQ15" s="394"/>
      <c r="DR15" s="394"/>
      <c r="DS15" s="394"/>
      <c r="DT15" s="394"/>
      <c r="DU15" s="394"/>
      <c r="DV15" s="394"/>
      <c r="DW15" s="394"/>
      <c r="DX15" s="394"/>
      <c r="DY15" s="394"/>
      <c r="DZ15" s="394"/>
      <c r="EA15" s="394"/>
      <c r="EB15" s="394"/>
      <c r="EC15" s="394"/>
      <c r="ED15" s="394"/>
      <c r="EE15" s="394"/>
      <c r="EF15" s="394"/>
      <c r="EG15" s="394"/>
      <c r="EH15" s="394"/>
      <c r="EI15" s="394"/>
      <c r="EJ15" s="394"/>
      <c r="EK15" s="394"/>
      <c r="EL15" s="394"/>
      <c r="EM15" s="394"/>
      <c r="EN15" s="394"/>
      <c r="EO15" s="394"/>
      <c r="EP15" s="394"/>
      <c r="EQ15" s="394"/>
      <c r="ER15" s="394"/>
      <c r="ES15" s="394"/>
      <c r="ET15" s="394"/>
      <c r="EU15" s="394"/>
      <c r="EV15" s="394"/>
      <c r="EW15" s="394"/>
      <c r="EX15" s="394"/>
      <c r="EY15" s="394"/>
      <c r="EZ15" s="394"/>
      <c r="FA15" s="394"/>
      <c r="FB15" s="394"/>
      <c r="FC15" s="394"/>
      <c r="FD15" s="394"/>
      <c r="FE15" s="394"/>
      <c r="FF15" s="394"/>
      <c r="FG15" s="394"/>
      <c r="FH15" s="394"/>
      <c r="FI15" s="394"/>
      <c r="FJ15" s="394"/>
      <c r="FK15" s="394"/>
      <c r="FL15" s="394"/>
      <c r="FM15" s="394"/>
      <c r="FN15" s="394"/>
      <c r="FO15" s="394"/>
      <c r="FP15" s="394"/>
      <c r="FQ15" s="394"/>
      <c r="FR15" s="394"/>
      <c r="FS15" s="394"/>
      <c r="FT15" s="394"/>
      <c r="FU15" s="394"/>
      <c r="FV15" s="394"/>
      <c r="FW15" s="394"/>
      <c r="FX15" s="394"/>
      <c r="FY15" s="394"/>
      <c r="FZ15" s="394"/>
      <c r="GA15" s="394"/>
      <c r="GB15" s="394"/>
      <c r="GC15" s="394"/>
      <c r="GD15" s="394"/>
      <c r="GE15" s="394"/>
      <c r="GF15" s="394"/>
      <c r="GG15" s="394"/>
      <c r="GH15" s="394"/>
      <c r="GI15" s="394"/>
      <c r="GJ15" s="394"/>
      <c r="GK15" s="394"/>
      <c r="GL15" s="394"/>
      <c r="GM15" s="394"/>
      <c r="GN15" s="394"/>
      <c r="GO15" s="394"/>
      <c r="GP15" s="394"/>
      <c r="GQ15" s="394"/>
      <c r="GR15" s="394"/>
      <c r="GS15" s="394"/>
      <c r="GT15" s="394"/>
      <c r="GU15" s="394"/>
      <c r="GV15" s="394"/>
      <c r="GW15" s="394"/>
      <c r="GX15" s="394"/>
      <c r="GY15" s="394"/>
      <c r="GZ15" s="394"/>
      <c r="HA15" s="394"/>
      <c r="HB15" s="394"/>
      <c r="HC15" s="394"/>
      <c r="HD15" s="394"/>
      <c r="HE15" s="394"/>
      <c r="HF15" s="394"/>
      <c r="HG15" s="394"/>
      <c r="HH15" s="394"/>
      <c r="HI15" s="394"/>
      <c r="HJ15" s="394"/>
      <c r="HK15" s="394"/>
      <c r="HL15" s="394"/>
      <c r="HM15" s="394"/>
      <c r="HN15" s="394"/>
      <c r="HO15" s="394"/>
      <c r="HP15" s="394"/>
      <c r="HQ15" s="394"/>
      <c r="HR15" s="394"/>
      <c r="HS15" s="394"/>
      <c r="HT15" s="394"/>
      <c r="HU15" s="394"/>
      <c r="HV15" s="394"/>
      <c r="HW15" s="394"/>
      <c r="HX15" s="394"/>
      <c r="HY15" s="394"/>
      <c r="HZ15" s="394"/>
      <c r="IA15" s="394"/>
      <c r="IB15" s="394"/>
      <c r="IC15" s="394"/>
      <c r="ID15" s="394"/>
      <c r="IE15" s="394"/>
      <c r="IF15" s="394"/>
      <c r="IG15" s="394"/>
      <c r="IH15" s="394"/>
      <c r="II15" s="394"/>
      <c r="IJ15" s="394"/>
      <c r="IK15" s="394"/>
      <c r="IL15" s="394"/>
      <c r="IM15" s="394"/>
      <c r="IN15" s="394"/>
      <c r="IO15" s="394"/>
      <c r="IP15" s="394"/>
      <c r="IQ15" s="394"/>
      <c r="IR15" s="394"/>
      <c r="IS15" s="394"/>
      <c r="IT15" s="394"/>
      <c r="IU15" s="394"/>
      <c r="IV15" s="394"/>
      <c r="IW15" s="394"/>
      <c r="IX15" s="394"/>
      <c r="IY15" s="394"/>
      <c r="IZ15" s="394"/>
      <c r="JA15" s="394"/>
      <c r="JB15" s="394"/>
      <c r="JC15" s="394"/>
      <c r="JD15" s="394"/>
      <c r="JE15" s="394"/>
      <c r="JF15" s="394"/>
      <c r="JG15" s="394"/>
      <c r="JH15" s="394"/>
      <c r="JI15" s="394"/>
      <c r="JJ15" s="394"/>
      <c r="JK15" s="394"/>
      <c r="JL15" s="394"/>
      <c r="JM15" s="394"/>
      <c r="JN15" s="394"/>
      <c r="JO15" s="394"/>
      <c r="JP15" s="394"/>
      <c r="JQ15" s="394"/>
      <c r="JR15" s="394"/>
      <c r="JS15" s="394"/>
      <c r="JT15" s="394"/>
      <c r="JU15" s="394"/>
      <c r="JV15" s="394"/>
      <c r="JW15" s="394"/>
      <c r="JX15" s="394"/>
      <c r="JY15" s="394"/>
      <c r="JZ15" s="394"/>
      <c r="KA15" s="394"/>
      <c r="KB15" s="394"/>
      <c r="KC15" s="394"/>
      <c r="KD15" s="394"/>
      <c r="KE15" s="394"/>
      <c r="KF15" s="394"/>
      <c r="KG15" s="394"/>
      <c r="KH15" s="394"/>
      <c r="KI15" s="394"/>
      <c r="KJ15" s="394"/>
      <c r="KK15" s="394"/>
      <c r="KL15" s="394"/>
      <c r="KM15" s="394"/>
      <c r="KN15" s="394"/>
      <c r="KO15" s="394"/>
      <c r="KP15" s="394"/>
      <c r="KQ15" s="394"/>
      <c r="KR15" s="394"/>
      <c r="KS15" s="394"/>
      <c r="KT15" s="394"/>
      <c r="KU15" s="394"/>
      <c r="KV15" s="394"/>
      <c r="KW15" s="394"/>
      <c r="KX15" s="394"/>
      <c r="KY15" s="394"/>
      <c r="KZ15" s="394"/>
      <c r="LA15" s="394"/>
      <c r="LB15" s="394"/>
      <c r="LC15" s="394"/>
      <c r="LD15" s="394"/>
      <c r="LE15" s="394"/>
      <c r="LF15" s="394"/>
      <c r="LG15" s="394"/>
      <c r="LH15" s="394"/>
      <c r="LI15" s="394"/>
      <c r="LJ15" s="394"/>
      <c r="LK15" s="394"/>
      <c r="LL15" s="394"/>
      <c r="LM15" s="394"/>
      <c r="LN15" s="394"/>
      <c r="LO15" s="394"/>
      <c r="LP15" s="394"/>
      <c r="LQ15" s="394"/>
      <c r="LR15" s="394"/>
      <c r="LS15" s="394"/>
      <c r="LT15" s="394"/>
      <c r="LU15" s="394"/>
      <c r="LV15" s="394"/>
      <c r="LW15" s="394"/>
      <c r="LX15" s="394"/>
      <c r="LY15" s="394"/>
      <c r="LZ15" s="394"/>
      <c r="MA15" s="394"/>
      <c r="MB15" s="394"/>
      <c r="MC15" s="394"/>
      <c r="MD15" s="394"/>
      <c r="ME15" s="394"/>
      <c r="MF15" s="394"/>
      <c r="MG15" s="394"/>
      <c r="MH15" s="394"/>
      <c r="MI15" s="394"/>
      <c r="MJ15" s="394"/>
      <c r="MK15" s="394"/>
      <c r="ML15" s="394"/>
      <c r="MM15" s="394"/>
      <c r="MN15" s="394"/>
      <c r="MO15" s="394"/>
      <c r="MP15" s="394"/>
      <c r="MQ15" s="394"/>
      <c r="MR15" s="394"/>
      <c r="MS15" s="394"/>
      <c r="MT15" s="394"/>
      <c r="MU15" s="394"/>
      <c r="MV15" s="394"/>
      <c r="MW15" s="394"/>
      <c r="MX15" s="394"/>
      <c r="MY15" s="394"/>
      <c r="MZ15" s="394"/>
      <c r="NA15" s="394"/>
      <c r="NB15" s="394"/>
      <c r="NC15" s="394"/>
      <c r="ND15" s="394"/>
      <c r="NE15" s="394"/>
      <c r="NF15" s="394"/>
      <c r="NG15" s="394"/>
      <c r="NH15" s="394"/>
      <c r="NI15" s="394"/>
      <c r="NJ15" s="394"/>
      <c r="NK15" s="394"/>
      <c r="NL15" s="394"/>
      <c r="NM15" s="394"/>
      <c r="NN15" s="394"/>
      <c r="NO15" s="394"/>
      <c r="NP15" s="394"/>
      <c r="NQ15" s="394"/>
      <c r="NR15" s="394"/>
      <c r="NS15" s="394"/>
      <c r="NT15" s="394"/>
      <c r="NU15" s="394"/>
      <c r="NV15" s="394"/>
      <c r="NW15" s="394"/>
      <c r="NX15" s="394"/>
      <c r="NY15" s="394"/>
      <c r="NZ15" s="394"/>
      <c r="OA15" s="394"/>
      <c r="OB15" s="394"/>
      <c r="OC15" s="394"/>
      <c r="OD15" s="394"/>
      <c r="OE15" s="394"/>
      <c r="OF15" s="394"/>
      <c r="OG15" s="394"/>
      <c r="OH15" s="394"/>
      <c r="OI15" s="394"/>
      <c r="OJ15" s="394"/>
      <c r="OK15" s="394"/>
      <c r="OL15" s="394"/>
      <c r="OM15" s="394"/>
      <c r="ON15" s="394"/>
      <c r="OO15" s="394"/>
      <c r="OP15" s="394"/>
      <c r="OQ15" s="394"/>
      <c r="OR15" s="394"/>
      <c r="OS15" s="394"/>
      <c r="OT15" s="394"/>
      <c r="OU15" s="394"/>
      <c r="OV15" s="394"/>
      <c r="OW15" s="394"/>
      <c r="OX15" s="394"/>
      <c r="OY15" s="394"/>
      <c r="OZ15" s="394"/>
      <c r="PA15" s="394"/>
      <c r="PB15" s="394"/>
      <c r="PC15" s="394"/>
      <c r="PD15" s="394"/>
      <c r="PE15" s="394"/>
      <c r="PF15" s="394"/>
      <c r="PG15" s="394"/>
      <c r="PH15" s="394"/>
      <c r="PI15" s="394"/>
      <c r="PJ15" s="394"/>
      <c r="PK15" s="394"/>
      <c r="PL15" s="394"/>
      <c r="PM15" s="394"/>
      <c r="PN15" s="394"/>
      <c r="PO15" s="394"/>
      <c r="PP15" s="394"/>
      <c r="PQ15" s="394"/>
      <c r="PR15" s="394"/>
      <c r="PS15" s="394"/>
      <c r="PT15" s="394"/>
      <c r="PU15" s="394"/>
      <c r="PV15" s="394"/>
      <c r="PW15" s="394"/>
      <c r="PX15" s="394"/>
      <c r="PY15" s="394"/>
      <c r="PZ15" s="394"/>
      <c r="QA15" s="394"/>
      <c r="QB15" s="394"/>
      <c r="QC15" s="394"/>
      <c r="QD15" s="394"/>
      <c r="QE15" s="394"/>
      <c r="QF15" s="394"/>
      <c r="QG15" s="394"/>
      <c r="QH15" s="394"/>
      <c r="QI15" s="394"/>
      <c r="QJ15" s="394"/>
      <c r="QK15" s="394"/>
      <c r="QL15" s="394"/>
      <c r="QM15" s="394"/>
      <c r="QN15" s="394"/>
      <c r="QO15" s="394"/>
      <c r="QP15" s="394"/>
      <c r="QQ15" s="394"/>
      <c r="QR15" s="394"/>
      <c r="QS15" s="394"/>
      <c r="QT15" s="394"/>
      <c r="QU15" s="394"/>
      <c r="QV15" s="394"/>
      <c r="QW15" s="394"/>
      <c r="QX15" s="394"/>
      <c r="QY15" s="394"/>
      <c r="QZ15" s="394"/>
      <c r="RA15" s="394"/>
      <c r="RB15" s="394"/>
      <c r="RC15" s="394"/>
      <c r="RD15" s="394"/>
      <c r="RE15" s="394"/>
      <c r="RF15" s="394"/>
      <c r="RG15" s="394"/>
      <c r="RH15" s="394"/>
      <c r="RI15" s="394"/>
      <c r="RJ15" s="394"/>
      <c r="RK15" s="394"/>
      <c r="RL15" s="394"/>
      <c r="RM15" s="394"/>
      <c r="RN15" s="394"/>
      <c r="RO15" s="394"/>
      <c r="RP15" s="394"/>
      <c r="RQ15" s="394"/>
      <c r="RR15" s="394"/>
      <c r="RS15" s="394"/>
      <c r="RT15" s="394"/>
      <c r="RU15" s="394"/>
      <c r="RV15" s="394"/>
      <c r="RW15" s="394"/>
      <c r="RX15" s="394"/>
      <c r="RY15" s="394"/>
      <c r="RZ15" s="394"/>
      <c r="SA15" s="394"/>
      <c r="SB15" s="394"/>
      <c r="SC15" s="394"/>
      <c r="SD15" s="394"/>
      <c r="SE15" s="394"/>
      <c r="SF15" s="394"/>
      <c r="SG15" s="394"/>
      <c r="SH15" s="394"/>
      <c r="SI15" s="394"/>
      <c r="SJ15" s="394"/>
      <c r="SK15" s="394"/>
      <c r="SL15" s="394"/>
      <c r="SM15" s="394"/>
      <c r="SN15" s="394"/>
      <c r="SO15" s="394"/>
      <c r="SP15" s="394"/>
      <c r="SQ15" s="394"/>
      <c r="SR15" s="394"/>
      <c r="SS15" s="394"/>
      <c r="ST15" s="394"/>
      <c r="SU15" s="394"/>
      <c r="SV15" s="394"/>
      <c r="SW15" s="394"/>
      <c r="SX15" s="394"/>
      <c r="SY15" s="394"/>
      <c r="SZ15" s="394"/>
      <c r="TA15" s="394"/>
      <c r="TB15" s="394"/>
      <c r="TC15" s="394"/>
      <c r="TD15" s="394"/>
      <c r="TE15" s="394"/>
      <c r="TF15" s="394"/>
      <c r="TG15" s="394"/>
      <c r="TH15" s="394"/>
      <c r="TI15" s="394"/>
      <c r="TJ15" s="394"/>
      <c r="TK15" s="394"/>
      <c r="TL15" s="394"/>
      <c r="TM15" s="394"/>
      <c r="TN15" s="394"/>
      <c r="TO15" s="394"/>
      <c r="TP15" s="394"/>
      <c r="TQ15" s="394"/>
      <c r="TR15" s="394"/>
      <c r="TS15" s="394"/>
      <c r="TT15" s="394"/>
      <c r="TU15" s="394"/>
      <c r="TV15" s="394"/>
      <c r="TW15" s="394"/>
      <c r="TX15" s="394"/>
      <c r="TY15" s="394"/>
      <c r="TZ15" s="394"/>
      <c r="UA15" s="394"/>
      <c r="UB15" s="394"/>
      <c r="UC15" s="394"/>
      <c r="UD15" s="394"/>
      <c r="UE15" s="394"/>
      <c r="UF15" s="394"/>
      <c r="UG15" s="394"/>
      <c r="UH15" s="394"/>
      <c r="UI15" s="394"/>
      <c r="UJ15" s="394"/>
      <c r="UK15" s="394"/>
      <c r="UL15" s="394"/>
      <c r="UM15" s="394"/>
      <c r="UN15" s="394"/>
      <c r="UO15" s="394"/>
      <c r="UP15" s="394"/>
      <c r="UQ15" s="394"/>
      <c r="UR15" s="394"/>
      <c r="US15" s="394"/>
      <c r="UT15" s="394"/>
      <c r="UU15" s="394"/>
      <c r="UV15" s="394"/>
      <c r="UW15" s="394"/>
      <c r="UX15" s="394"/>
      <c r="UY15" s="394"/>
      <c r="UZ15" s="394"/>
      <c r="VA15" s="394"/>
      <c r="VB15" s="394"/>
      <c r="VC15" s="394"/>
      <c r="VD15" s="394"/>
      <c r="VE15" s="394"/>
      <c r="VF15" s="394"/>
      <c r="VG15" s="394"/>
      <c r="VH15" s="394"/>
      <c r="VI15" s="394"/>
      <c r="VJ15" s="394"/>
      <c r="VK15" s="394"/>
      <c r="VL15" s="394"/>
      <c r="VM15" s="394"/>
      <c r="VN15" s="394"/>
      <c r="VO15" s="394"/>
      <c r="VP15" s="394"/>
      <c r="VQ15" s="394"/>
      <c r="VR15" s="394"/>
      <c r="VS15" s="394"/>
      <c r="VT15" s="394"/>
      <c r="VU15" s="394"/>
      <c r="VV15" s="394"/>
      <c r="VW15" s="394"/>
      <c r="VX15" s="394"/>
      <c r="VY15" s="394"/>
      <c r="VZ15" s="394"/>
      <c r="WA15" s="394"/>
      <c r="WB15" s="394"/>
      <c r="WC15" s="394"/>
      <c r="WD15" s="394"/>
      <c r="WE15" s="394"/>
      <c r="WF15" s="394"/>
      <c r="WG15" s="394"/>
      <c r="WH15" s="394"/>
      <c r="WI15" s="394"/>
      <c r="WJ15" s="394"/>
      <c r="WK15" s="394"/>
      <c r="WL15" s="394"/>
      <c r="WM15" s="394"/>
      <c r="WN15" s="394"/>
      <c r="WO15" s="394"/>
      <c r="WP15" s="394"/>
      <c r="WQ15" s="394"/>
      <c r="WR15" s="394"/>
      <c r="WS15" s="394"/>
      <c r="WT15" s="394"/>
      <c r="WU15" s="394"/>
      <c r="WV15" s="394"/>
      <c r="WW15" s="394"/>
      <c r="WX15" s="394"/>
      <c r="WY15" s="394"/>
      <c r="WZ15" s="394"/>
      <c r="XA15" s="394"/>
      <c r="XB15" s="394"/>
      <c r="XC15" s="394"/>
      <c r="XD15" s="394"/>
      <c r="XE15" s="394"/>
      <c r="XF15" s="394"/>
      <c r="XG15" s="394"/>
      <c r="XH15" s="394"/>
      <c r="XI15" s="394"/>
      <c r="XJ15" s="394"/>
      <c r="XK15" s="394"/>
      <c r="XL15" s="394"/>
      <c r="XM15" s="394"/>
      <c r="XN15" s="394"/>
      <c r="XO15" s="394"/>
      <c r="XP15" s="394"/>
      <c r="XQ15" s="394"/>
      <c r="XR15" s="394"/>
      <c r="XS15" s="394"/>
      <c r="XT15" s="394"/>
      <c r="XU15" s="394"/>
      <c r="XV15" s="394"/>
      <c r="XW15" s="394"/>
      <c r="XX15" s="394"/>
      <c r="XY15" s="394"/>
      <c r="XZ15" s="394"/>
      <c r="YA15" s="394"/>
      <c r="YB15" s="394"/>
      <c r="YC15" s="394"/>
      <c r="YD15" s="394"/>
      <c r="YE15" s="394"/>
      <c r="YF15" s="394"/>
      <c r="YG15" s="394"/>
      <c r="YH15" s="394"/>
      <c r="YI15" s="394"/>
      <c r="YJ15" s="394"/>
      <c r="YK15" s="394"/>
      <c r="YL15" s="394"/>
      <c r="YM15" s="394"/>
      <c r="YN15" s="394"/>
      <c r="YO15" s="394"/>
      <c r="YP15" s="394"/>
      <c r="YQ15" s="394"/>
      <c r="YR15" s="394"/>
      <c r="YS15" s="394"/>
      <c r="YT15" s="394"/>
      <c r="YU15" s="394"/>
      <c r="YV15" s="394"/>
      <c r="YW15" s="394"/>
      <c r="YX15" s="394"/>
      <c r="YY15" s="394"/>
      <c r="YZ15" s="394"/>
      <c r="ZA15" s="394"/>
      <c r="ZB15" s="394"/>
      <c r="ZC15" s="394"/>
      <c r="ZD15" s="394"/>
      <c r="ZE15" s="394"/>
      <c r="ZF15" s="394"/>
      <c r="ZG15" s="394"/>
      <c r="ZH15" s="394"/>
      <c r="ZI15" s="394"/>
      <c r="ZJ15" s="394"/>
      <c r="ZK15" s="394"/>
      <c r="ZL15" s="394"/>
      <c r="ZM15" s="394"/>
      <c r="ZN15" s="394"/>
      <c r="ZO15" s="394"/>
      <c r="ZP15" s="394"/>
      <c r="ZQ15" s="394"/>
      <c r="ZR15" s="394"/>
      <c r="ZS15" s="394"/>
      <c r="ZT15" s="394"/>
      <c r="ZU15" s="394"/>
      <c r="ZV15" s="394"/>
      <c r="ZW15" s="394"/>
      <c r="ZX15" s="394"/>
      <c r="ZY15" s="394"/>
      <c r="ZZ15" s="394"/>
      <c r="AAA15" s="394"/>
      <c r="AAB15" s="394"/>
      <c r="AAC15" s="394"/>
      <c r="AAD15" s="394"/>
      <c r="AAE15" s="394"/>
      <c r="AAF15" s="394"/>
      <c r="AAG15" s="394"/>
      <c r="AAH15" s="394"/>
      <c r="AAI15" s="394"/>
      <c r="AAJ15" s="394"/>
      <c r="AAK15" s="394"/>
      <c r="AAL15" s="394"/>
      <c r="AAM15" s="394"/>
      <c r="AAN15" s="394"/>
      <c r="AAO15" s="394"/>
      <c r="AAP15" s="394"/>
      <c r="AAQ15" s="394"/>
      <c r="AAR15" s="394"/>
      <c r="AAS15" s="394"/>
      <c r="AAT15" s="394"/>
      <c r="AAU15" s="394"/>
      <c r="AAV15" s="394"/>
      <c r="AAW15" s="394"/>
      <c r="AAX15" s="394"/>
      <c r="AAY15" s="394"/>
      <c r="AAZ15" s="394"/>
      <c r="ABA15" s="394"/>
      <c r="ABB15" s="394"/>
      <c r="ABC15" s="394"/>
      <c r="ABD15" s="394"/>
      <c r="ABE15" s="394"/>
      <c r="ABF15" s="394"/>
      <c r="ABG15" s="394"/>
      <c r="ABH15" s="394"/>
      <c r="ABI15" s="394"/>
      <c r="ABJ15" s="394"/>
      <c r="ABK15" s="394"/>
      <c r="ABL15" s="394"/>
      <c r="ABM15" s="394"/>
      <c r="ABN15" s="394"/>
      <c r="ABO15" s="394"/>
      <c r="ABP15" s="394"/>
      <c r="ABQ15" s="394"/>
      <c r="ABR15" s="394"/>
      <c r="ABS15" s="394"/>
      <c r="ABT15" s="394"/>
      <c r="ABU15" s="394"/>
      <c r="ABV15" s="394"/>
      <c r="ABW15" s="394"/>
      <c r="ABX15" s="394"/>
      <c r="ABY15" s="394"/>
      <c r="ABZ15" s="394"/>
      <c r="ACA15" s="394"/>
      <c r="ACB15" s="394"/>
      <c r="ACC15" s="394"/>
      <c r="ACD15" s="394"/>
      <c r="ACE15" s="394"/>
      <c r="ACF15" s="394"/>
      <c r="ACG15" s="394"/>
      <c r="ACH15" s="394"/>
      <c r="ACI15" s="394"/>
      <c r="ACJ15" s="394"/>
      <c r="ACK15" s="394"/>
      <c r="ACL15" s="394"/>
      <c r="ACM15" s="394"/>
      <c r="ACN15" s="394"/>
      <c r="ACO15" s="394"/>
      <c r="ACP15" s="394"/>
      <c r="ACQ15" s="394"/>
      <c r="ACR15" s="394"/>
      <c r="ACS15" s="394"/>
      <c r="ACT15" s="394"/>
      <c r="ACU15" s="394"/>
      <c r="ACV15" s="394"/>
      <c r="ACW15" s="394"/>
      <c r="ACX15" s="394"/>
      <c r="ACY15" s="394"/>
      <c r="ACZ15" s="394"/>
      <c r="ADA15" s="394"/>
      <c r="ADB15" s="394"/>
      <c r="ADC15" s="394"/>
      <c r="ADD15" s="394"/>
      <c r="ADE15" s="394"/>
      <c r="ADF15" s="394"/>
      <c r="ADG15" s="394"/>
      <c r="ADH15" s="394"/>
      <c r="ADI15" s="394"/>
      <c r="ADJ15" s="394"/>
      <c r="ADK15" s="394"/>
      <c r="ADL15" s="394"/>
      <c r="ADM15" s="394"/>
      <c r="ADN15" s="394"/>
      <c r="ADO15" s="394"/>
      <c r="ADP15" s="394"/>
      <c r="ADQ15" s="394"/>
      <c r="ADR15" s="394"/>
      <c r="ADS15" s="394"/>
      <c r="ADT15" s="394"/>
      <c r="ADU15" s="394"/>
      <c r="ADV15" s="394"/>
      <c r="ADW15" s="394"/>
      <c r="ADX15" s="394"/>
      <c r="ADY15" s="394"/>
      <c r="ADZ15" s="394"/>
      <c r="AEA15" s="394"/>
      <c r="AEB15" s="394"/>
      <c r="AEC15" s="394"/>
      <c r="AED15" s="394"/>
      <c r="AEE15" s="394"/>
      <c r="AEF15" s="394"/>
      <c r="AEG15" s="394"/>
      <c r="AEH15" s="394"/>
      <c r="AEI15" s="394"/>
      <c r="AEJ15" s="394"/>
      <c r="AEK15" s="394"/>
      <c r="AEL15" s="394"/>
      <c r="AEM15" s="394"/>
      <c r="AEN15" s="394"/>
      <c r="AEO15" s="394"/>
      <c r="AEP15" s="394"/>
      <c r="AEQ15" s="394"/>
      <c r="AER15" s="394"/>
      <c r="AES15" s="394"/>
      <c r="AET15" s="394"/>
      <c r="AEU15" s="394"/>
      <c r="AEV15" s="394"/>
      <c r="AEW15" s="394"/>
      <c r="AEX15" s="394"/>
      <c r="AEY15" s="394"/>
      <c r="AEZ15" s="394"/>
      <c r="AFA15" s="394"/>
      <c r="AFB15" s="394"/>
      <c r="AFC15" s="394"/>
      <c r="AFD15" s="394"/>
      <c r="AFE15" s="394"/>
      <c r="AFF15" s="394"/>
      <c r="AFG15" s="394"/>
      <c r="AFH15" s="394"/>
      <c r="AFI15" s="394"/>
      <c r="AFJ15" s="394"/>
      <c r="AFK15" s="394"/>
      <c r="AFL15" s="394"/>
      <c r="AFM15" s="394"/>
      <c r="AFN15" s="394"/>
      <c r="AFO15" s="394"/>
      <c r="AFP15" s="394"/>
      <c r="AFQ15" s="394"/>
      <c r="AFR15" s="394"/>
      <c r="AFS15" s="394"/>
      <c r="AFT15" s="394"/>
      <c r="AFU15" s="394"/>
      <c r="AFV15" s="394"/>
      <c r="AFW15" s="394"/>
      <c r="AFX15" s="394"/>
      <c r="AFY15" s="394"/>
      <c r="AFZ15" s="394"/>
      <c r="AGA15" s="394"/>
      <c r="AGB15" s="394"/>
      <c r="AGC15" s="394"/>
      <c r="AGD15" s="394"/>
      <c r="AGE15" s="394"/>
      <c r="AGF15" s="394"/>
      <c r="AGG15" s="394"/>
      <c r="AGH15" s="394"/>
      <c r="AGI15" s="394"/>
      <c r="AGJ15" s="394"/>
      <c r="AGK15" s="394"/>
      <c r="AGL15" s="394"/>
      <c r="AGM15" s="394"/>
      <c r="AGN15" s="394"/>
      <c r="AGO15" s="394"/>
      <c r="AGP15" s="394"/>
      <c r="AGQ15" s="394"/>
      <c r="AGR15" s="394"/>
      <c r="AGS15" s="394"/>
      <c r="AGT15" s="394"/>
      <c r="AGU15" s="394"/>
      <c r="AGV15" s="394"/>
      <c r="AGW15" s="394"/>
      <c r="AGX15" s="394"/>
      <c r="AGY15" s="394"/>
      <c r="AGZ15" s="394"/>
      <c r="AHA15" s="394"/>
      <c r="AHB15" s="394"/>
      <c r="AHC15" s="394"/>
      <c r="AHD15" s="394"/>
      <c r="AHE15" s="394"/>
      <c r="AHF15" s="394"/>
      <c r="AHG15" s="394"/>
      <c r="AHH15" s="394"/>
      <c r="AHI15" s="394"/>
      <c r="AHJ15" s="394"/>
      <c r="AHK15" s="394"/>
      <c r="AHL15" s="394"/>
      <c r="AHM15" s="394"/>
      <c r="AHN15" s="394"/>
      <c r="AHO15" s="394"/>
      <c r="AHP15" s="394"/>
      <c r="AHQ15" s="394"/>
      <c r="AHR15" s="394"/>
      <c r="AHS15" s="394"/>
      <c r="AHT15" s="394"/>
      <c r="AHU15" s="394"/>
      <c r="AHV15" s="394"/>
      <c r="AHW15" s="394"/>
      <c r="AHX15" s="394"/>
      <c r="AHY15" s="394"/>
      <c r="AHZ15" s="394"/>
      <c r="AIA15" s="394"/>
      <c r="AIB15" s="394"/>
      <c r="AIC15" s="394"/>
      <c r="AID15" s="394"/>
      <c r="AIE15" s="394"/>
      <c r="AIF15" s="394"/>
      <c r="AIG15" s="394"/>
      <c r="AIH15" s="394"/>
      <c r="AII15" s="394"/>
      <c r="AIJ15" s="394"/>
      <c r="AIK15" s="394"/>
      <c r="AIL15" s="394"/>
      <c r="AIM15" s="394"/>
      <c r="AIN15" s="394"/>
      <c r="AIO15" s="394"/>
      <c r="AIP15" s="394"/>
      <c r="AIQ15" s="394"/>
      <c r="AIR15" s="394"/>
      <c r="AIS15" s="394"/>
      <c r="AIT15" s="394"/>
      <c r="AIU15" s="394"/>
      <c r="AIV15" s="394"/>
      <c r="AIW15" s="394"/>
      <c r="AIX15" s="394"/>
      <c r="AIY15" s="394"/>
      <c r="AIZ15" s="394"/>
      <c r="AJA15" s="394"/>
      <c r="AJB15" s="394"/>
      <c r="AJC15" s="394"/>
      <c r="AJD15" s="394"/>
      <c r="AJE15" s="394"/>
      <c r="AJF15" s="394"/>
      <c r="AJG15" s="394"/>
      <c r="AJH15" s="394"/>
      <c r="AJI15" s="394"/>
      <c r="AJJ15" s="394"/>
      <c r="AJK15" s="394"/>
      <c r="AJL15" s="394"/>
      <c r="AJM15" s="394"/>
      <c r="AJN15" s="394"/>
      <c r="AJO15" s="394"/>
      <c r="AJP15" s="394"/>
      <c r="AJQ15" s="394"/>
      <c r="AJR15" s="394"/>
      <c r="AJS15" s="394"/>
      <c r="AJT15" s="394"/>
      <c r="AJU15" s="394"/>
      <c r="AJV15" s="394"/>
      <c r="AJW15" s="394"/>
      <c r="AJX15" s="394"/>
      <c r="AJY15" s="394"/>
      <c r="AJZ15" s="394"/>
      <c r="AKA15" s="394"/>
      <c r="AKB15" s="394"/>
      <c r="AKC15" s="394"/>
      <c r="AKD15" s="394"/>
      <c r="AKE15" s="394"/>
      <c r="AKF15" s="394"/>
      <c r="AKG15" s="394"/>
      <c r="AKH15" s="394"/>
      <c r="AKI15" s="394"/>
      <c r="AKJ15" s="394"/>
      <c r="AKK15" s="394"/>
      <c r="AKL15" s="394"/>
      <c r="AKM15" s="394"/>
      <c r="AKN15" s="394"/>
      <c r="AKO15" s="394"/>
      <c r="AKP15" s="394"/>
      <c r="AKQ15" s="394"/>
      <c r="AKR15" s="394"/>
      <c r="AKS15" s="394"/>
      <c r="AKT15" s="394"/>
      <c r="AKU15" s="394"/>
      <c r="AKV15" s="394"/>
      <c r="AKW15" s="394"/>
      <c r="AKX15" s="394"/>
      <c r="AKY15" s="394"/>
      <c r="AKZ15" s="394"/>
      <c r="ALA15" s="394"/>
      <c r="ALB15" s="394"/>
      <c r="ALC15" s="394"/>
      <c r="ALD15" s="394"/>
      <c r="ALE15" s="394"/>
      <c r="ALF15" s="394"/>
      <c r="ALG15" s="394"/>
      <c r="ALH15" s="394"/>
      <c r="ALI15" s="394"/>
      <c r="ALJ15" s="394"/>
      <c r="ALK15" s="394"/>
      <c r="ALL15" s="394"/>
      <c r="ALM15" s="394"/>
      <c r="ALN15" s="394"/>
      <c r="ALO15" s="394"/>
      <c r="ALP15" s="394"/>
      <c r="ALQ15" s="394"/>
      <c r="ALR15" s="394"/>
      <c r="ALS15" s="394"/>
      <c r="ALT15" s="394"/>
      <c r="ALU15" s="394"/>
      <c r="ALV15" s="394"/>
      <c r="ALW15" s="394"/>
      <c r="ALX15" s="394"/>
      <c r="ALY15" s="394"/>
      <c r="ALZ15" s="394"/>
      <c r="AMA15" s="394"/>
      <c r="AMB15" s="394"/>
      <c r="AMC15" s="394"/>
      <c r="AMD15" s="394"/>
      <c r="AME15" s="394"/>
      <c r="AMF15" s="394"/>
      <c r="AMG15" s="394"/>
      <c r="AMH15" s="394"/>
      <c r="AMI15" s="394"/>
      <c r="AMJ15" s="394"/>
      <c r="AMK15" s="394"/>
      <c r="AML15" s="394"/>
      <c r="AMM15" s="394"/>
      <c r="AMN15" s="394"/>
      <c r="AMO15" s="394"/>
      <c r="AMP15" s="394"/>
      <c r="AMQ15" s="394"/>
      <c r="AMR15" s="394"/>
      <c r="AMS15" s="394"/>
      <c r="AMT15" s="394"/>
      <c r="AMU15" s="394"/>
      <c r="AMV15" s="394"/>
      <c r="AMW15" s="394"/>
      <c r="AMX15" s="394"/>
      <c r="AMY15" s="394"/>
      <c r="AMZ15" s="394"/>
      <c r="ANA15" s="394"/>
      <c r="ANB15" s="394"/>
      <c r="ANC15" s="394"/>
      <c r="AND15" s="394"/>
      <c r="ANE15" s="394"/>
      <c r="ANF15" s="394"/>
      <c r="ANG15" s="394"/>
      <c r="ANH15" s="394"/>
      <c r="ANI15" s="394"/>
      <c r="ANJ15" s="394"/>
      <c r="ANK15" s="394"/>
      <c r="ANL15" s="394"/>
      <c r="ANM15" s="394"/>
      <c r="ANN15" s="394"/>
      <c r="ANO15" s="394"/>
      <c r="ANP15" s="394"/>
      <c r="ANQ15" s="394"/>
      <c r="ANR15" s="394"/>
      <c r="ANS15" s="394"/>
      <c r="ANT15" s="394"/>
      <c r="ANU15" s="394"/>
      <c r="ANV15" s="394"/>
      <c r="ANW15" s="394"/>
      <c r="ANX15" s="394"/>
      <c r="ANY15" s="394"/>
      <c r="ANZ15" s="394"/>
      <c r="AOA15" s="394"/>
      <c r="AOB15" s="394"/>
      <c r="AOC15" s="394"/>
      <c r="AOD15" s="394"/>
      <c r="AOE15" s="394"/>
      <c r="AOF15" s="394"/>
      <c r="AOG15" s="394"/>
      <c r="AOH15" s="394"/>
      <c r="AOI15" s="394"/>
      <c r="AOJ15" s="394"/>
      <c r="AOK15" s="394"/>
      <c r="AOL15" s="394"/>
      <c r="AOM15" s="394"/>
      <c r="AON15" s="394"/>
      <c r="AOO15" s="394"/>
      <c r="AOP15" s="394"/>
      <c r="AOQ15" s="394"/>
      <c r="AOR15" s="394"/>
      <c r="AOS15" s="394"/>
      <c r="AOT15" s="394"/>
      <c r="AOU15" s="394"/>
      <c r="AOV15" s="394"/>
      <c r="AOW15" s="394"/>
      <c r="AOX15" s="394"/>
      <c r="AOY15" s="394"/>
      <c r="AOZ15" s="394"/>
      <c r="APA15" s="394"/>
      <c r="APB15" s="394"/>
      <c r="APC15" s="394"/>
      <c r="APD15" s="394"/>
      <c r="APE15" s="394"/>
      <c r="APF15" s="394"/>
      <c r="APG15" s="394"/>
      <c r="APH15" s="394"/>
      <c r="API15" s="394"/>
      <c r="APJ15" s="394"/>
      <c r="APK15" s="394"/>
      <c r="APL15" s="394"/>
      <c r="APM15" s="394"/>
      <c r="APN15" s="394"/>
      <c r="APO15" s="394"/>
      <c r="APP15" s="394"/>
      <c r="APQ15" s="394"/>
      <c r="APR15" s="394"/>
      <c r="APS15" s="394"/>
      <c r="APT15" s="394"/>
      <c r="APU15" s="394"/>
      <c r="APV15" s="394"/>
      <c r="APW15" s="394"/>
      <c r="APX15" s="394"/>
      <c r="APY15" s="394"/>
      <c r="APZ15" s="394"/>
      <c r="AQA15" s="394"/>
      <c r="AQB15" s="394"/>
      <c r="AQC15" s="394"/>
      <c r="AQD15" s="394"/>
      <c r="AQE15" s="394"/>
      <c r="AQF15" s="394"/>
      <c r="AQG15" s="394"/>
      <c r="AQH15" s="394"/>
      <c r="AQI15" s="394"/>
      <c r="AQJ15" s="394"/>
      <c r="AQK15" s="394"/>
      <c r="AQL15" s="394"/>
      <c r="AQM15" s="394"/>
      <c r="AQN15" s="394"/>
      <c r="AQO15" s="394"/>
      <c r="AQP15" s="394"/>
      <c r="AQQ15" s="394"/>
      <c r="AQR15" s="394"/>
      <c r="AQS15" s="394"/>
      <c r="AQT15" s="394"/>
      <c r="AQU15" s="394"/>
      <c r="AQV15" s="394"/>
      <c r="AQW15" s="394"/>
      <c r="AQX15" s="394"/>
      <c r="AQY15" s="394"/>
      <c r="AQZ15" s="394"/>
      <c r="ARA15" s="394"/>
      <c r="ARB15" s="394"/>
      <c r="ARC15" s="394"/>
      <c r="ARD15" s="394"/>
      <c r="ARE15" s="394"/>
      <c r="ARF15" s="394"/>
      <c r="ARG15" s="394"/>
      <c r="ARH15" s="394"/>
      <c r="ARI15" s="394"/>
      <c r="ARJ15" s="394"/>
      <c r="ARK15" s="394"/>
      <c r="ARL15" s="394"/>
      <c r="ARM15" s="394"/>
      <c r="ARN15" s="394"/>
      <c r="ARO15" s="394"/>
      <c r="ARP15" s="394"/>
      <c r="ARQ15" s="394"/>
      <c r="ARR15" s="394"/>
      <c r="ARS15" s="394"/>
      <c r="ART15" s="394"/>
      <c r="ARU15" s="394"/>
      <c r="ARV15" s="394"/>
      <c r="ARW15" s="394"/>
      <c r="ARX15" s="394"/>
      <c r="ARY15" s="394"/>
      <c r="ARZ15" s="394"/>
      <c r="ASA15" s="394"/>
      <c r="ASB15" s="394"/>
      <c r="ASC15" s="394"/>
      <c r="ASD15" s="394"/>
      <c r="ASE15" s="394"/>
      <c r="ASF15" s="394"/>
      <c r="ASG15" s="394"/>
      <c r="ASH15" s="394"/>
      <c r="ASI15" s="394"/>
      <c r="ASJ15" s="394"/>
      <c r="ASK15" s="394"/>
      <c r="ASL15" s="394"/>
      <c r="ASM15" s="394"/>
      <c r="ASN15" s="394"/>
      <c r="ASO15" s="394"/>
      <c r="ASP15" s="394"/>
      <c r="ASQ15" s="394"/>
      <c r="ASR15" s="394"/>
      <c r="ASS15" s="394"/>
      <c r="AST15" s="394"/>
      <c r="ASU15" s="394"/>
      <c r="ASV15" s="394"/>
      <c r="ASW15" s="394"/>
      <c r="ASX15" s="394"/>
      <c r="ASY15" s="394"/>
      <c r="ASZ15" s="394"/>
      <c r="ATA15" s="394"/>
      <c r="ATB15" s="394"/>
      <c r="ATC15" s="394"/>
      <c r="ATD15" s="394"/>
      <c r="ATE15" s="394"/>
      <c r="ATF15" s="394"/>
      <c r="ATG15" s="394"/>
      <c r="ATH15" s="394"/>
      <c r="ATI15" s="394"/>
      <c r="ATJ15" s="394"/>
      <c r="ATK15" s="394"/>
      <c r="ATL15" s="394"/>
      <c r="ATM15" s="394"/>
      <c r="ATN15" s="394"/>
      <c r="ATO15" s="394"/>
      <c r="ATP15" s="394"/>
      <c r="ATQ15" s="394"/>
      <c r="ATR15" s="394"/>
      <c r="ATS15" s="394"/>
      <c r="ATT15" s="394"/>
      <c r="ATU15" s="394"/>
      <c r="ATV15" s="394"/>
      <c r="ATW15" s="394"/>
      <c r="ATX15" s="394"/>
      <c r="ATY15" s="394"/>
      <c r="ATZ15" s="394"/>
      <c r="AUA15" s="394"/>
      <c r="AUB15" s="394"/>
      <c r="AUC15" s="394"/>
      <c r="AUD15" s="394"/>
      <c r="AUE15" s="394"/>
      <c r="AUF15" s="394"/>
      <c r="AUG15" s="394"/>
      <c r="AUH15" s="394"/>
      <c r="AUI15" s="394"/>
      <c r="AUJ15" s="394"/>
      <c r="AUK15" s="394"/>
      <c r="AUL15" s="394"/>
      <c r="AUM15" s="394"/>
      <c r="AUN15" s="394"/>
      <c r="AUO15" s="394"/>
      <c r="AUP15" s="394"/>
      <c r="AUQ15" s="394"/>
      <c r="AUR15" s="394"/>
      <c r="AUS15" s="394"/>
      <c r="AUT15" s="394"/>
      <c r="AUU15" s="394"/>
      <c r="AUV15" s="394"/>
      <c r="AUW15" s="394"/>
      <c r="AUX15" s="394"/>
      <c r="AUY15" s="394"/>
      <c r="AUZ15" s="394"/>
      <c r="AVA15" s="394"/>
      <c r="AVB15" s="394"/>
      <c r="AVC15" s="394"/>
      <c r="AVD15" s="394"/>
      <c r="AVE15" s="394"/>
      <c r="AVF15" s="394"/>
      <c r="AVG15" s="394"/>
      <c r="AVH15" s="394"/>
      <c r="AVI15" s="394"/>
      <c r="AVJ15" s="394"/>
      <c r="AVK15" s="394"/>
      <c r="AVL15" s="394"/>
      <c r="AVM15" s="394"/>
      <c r="AVN15" s="394"/>
      <c r="AVO15" s="394"/>
      <c r="AVP15" s="394"/>
      <c r="AVQ15" s="394"/>
      <c r="AVR15" s="394"/>
      <c r="AVS15" s="394"/>
      <c r="AVT15" s="394"/>
      <c r="AVU15" s="394"/>
      <c r="AVV15" s="394"/>
      <c r="AVW15" s="394"/>
      <c r="AVX15" s="394"/>
      <c r="AVY15" s="394"/>
      <c r="AVZ15" s="394"/>
      <c r="AWA15" s="394"/>
      <c r="AWB15" s="394"/>
      <c r="AWC15" s="394"/>
      <c r="AWD15" s="394"/>
      <c r="AWE15" s="394"/>
      <c r="AWF15" s="394"/>
      <c r="AWG15" s="394"/>
      <c r="AWH15" s="394"/>
      <c r="AWI15" s="394"/>
      <c r="AWJ15" s="394"/>
      <c r="AWK15" s="394"/>
      <c r="AWL15" s="394"/>
      <c r="AWM15" s="394"/>
      <c r="AWN15" s="394"/>
      <c r="AWO15" s="394"/>
      <c r="AWP15" s="394"/>
      <c r="AWQ15" s="394"/>
      <c r="AWR15" s="394"/>
      <c r="AWS15" s="394"/>
      <c r="AWT15" s="394"/>
      <c r="AWU15" s="394"/>
      <c r="AWV15" s="394"/>
      <c r="AWW15" s="394"/>
      <c r="AWX15" s="394"/>
      <c r="AWY15" s="394"/>
      <c r="AWZ15" s="394"/>
      <c r="AXA15" s="394"/>
      <c r="AXB15" s="394"/>
      <c r="AXC15" s="394"/>
      <c r="AXD15" s="394"/>
      <c r="AXE15" s="394"/>
      <c r="AXF15" s="394"/>
      <c r="AXG15" s="394"/>
      <c r="AXH15" s="394"/>
      <c r="AXI15" s="394"/>
      <c r="AXJ15" s="394"/>
      <c r="AXK15" s="394"/>
      <c r="AXL15" s="394"/>
      <c r="AXM15" s="394"/>
      <c r="AXN15" s="394"/>
      <c r="AXO15" s="394"/>
      <c r="AXP15" s="394"/>
      <c r="AXQ15" s="394"/>
      <c r="AXR15" s="394"/>
      <c r="AXS15" s="394"/>
      <c r="AXT15" s="394"/>
      <c r="AXU15" s="394"/>
      <c r="AXV15" s="394"/>
      <c r="AXW15" s="394"/>
      <c r="AXX15" s="394"/>
      <c r="AXY15" s="394"/>
      <c r="AXZ15" s="394"/>
      <c r="AYA15" s="394"/>
      <c r="AYB15" s="394"/>
      <c r="AYC15" s="394"/>
      <c r="AYD15" s="394"/>
      <c r="AYE15" s="394"/>
      <c r="AYF15" s="394"/>
      <c r="AYG15" s="394"/>
      <c r="AYH15" s="394"/>
      <c r="AYI15" s="394"/>
      <c r="AYJ15" s="394"/>
      <c r="AYK15" s="394"/>
      <c r="AYL15" s="394"/>
      <c r="AYM15" s="394"/>
      <c r="AYN15" s="394"/>
      <c r="AYO15" s="394"/>
      <c r="AYP15" s="394"/>
      <c r="AYQ15" s="394"/>
      <c r="AYR15" s="394"/>
      <c r="AYS15" s="394"/>
      <c r="AYT15" s="394"/>
      <c r="AYU15" s="394"/>
      <c r="AYV15" s="394"/>
      <c r="AYW15" s="394"/>
      <c r="AYX15" s="394"/>
      <c r="AYY15" s="394"/>
      <c r="AYZ15" s="394"/>
      <c r="AZA15" s="394"/>
      <c r="AZB15" s="394"/>
      <c r="AZC15" s="394"/>
      <c r="AZD15" s="394"/>
      <c r="AZE15" s="394"/>
      <c r="AZF15" s="394"/>
      <c r="AZG15" s="394"/>
      <c r="AZH15" s="394"/>
      <c r="AZI15" s="394"/>
      <c r="AZJ15" s="394"/>
      <c r="AZK15" s="394"/>
      <c r="AZL15" s="394"/>
      <c r="AZM15" s="394"/>
      <c r="AZN15" s="394"/>
      <c r="AZO15" s="394"/>
      <c r="AZP15" s="394"/>
      <c r="AZQ15" s="394"/>
      <c r="AZR15" s="394"/>
      <c r="AZS15" s="394"/>
      <c r="AZT15" s="394"/>
      <c r="AZU15" s="394"/>
      <c r="AZV15" s="394"/>
      <c r="AZW15" s="394"/>
      <c r="AZX15" s="394"/>
      <c r="AZY15" s="394"/>
      <c r="AZZ15" s="394"/>
      <c r="BAA15" s="394"/>
      <c r="BAB15" s="394"/>
      <c r="BAC15" s="394"/>
      <c r="BAD15" s="394"/>
      <c r="BAE15" s="394"/>
      <c r="BAF15" s="394"/>
      <c r="BAG15" s="394"/>
      <c r="BAH15" s="394"/>
      <c r="BAI15" s="394"/>
      <c r="BAJ15" s="394"/>
      <c r="BAK15" s="394"/>
      <c r="BAL15" s="394"/>
      <c r="BAM15" s="394"/>
      <c r="BAN15" s="394"/>
      <c r="BAO15" s="394"/>
      <c r="BAP15" s="394"/>
      <c r="BAQ15" s="394"/>
      <c r="BAR15" s="394"/>
      <c r="BAS15" s="394"/>
      <c r="BAT15" s="394"/>
      <c r="BAU15" s="394"/>
      <c r="BAV15" s="394"/>
      <c r="BAW15" s="394"/>
      <c r="BAX15" s="394"/>
      <c r="BAY15" s="394"/>
      <c r="BAZ15" s="394"/>
      <c r="BBA15" s="394"/>
      <c r="BBB15" s="394"/>
      <c r="BBC15" s="394"/>
      <c r="BBD15" s="394"/>
      <c r="BBE15" s="394"/>
      <c r="BBF15" s="394"/>
      <c r="BBG15" s="394"/>
      <c r="BBH15" s="394"/>
      <c r="BBI15" s="394"/>
      <c r="BBJ15" s="394"/>
      <c r="BBK15" s="394"/>
      <c r="BBL15" s="394"/>
      <c r="BBM15" s="394"/>
      <c r="BBN15" s="394"/>
      <c r="BBO15" s="394"/>
      <c r="BBP15" s="394"/>
      <c r="BBQ15" s="394"/>
      <c r="BBR15" s="394"/>
      <c r="BBS15" s="394"/>
      <c r="BBT15" s="394"/>
      <c r="BBU15" s="394"/>
      <c r="BBV15" s="394"/>
      <c r="BBW15" s="394"/>
      <c r="BBX15" s="394"/>
      <c r="BBY15" s="394"/>
      <c r="BBZ15" s="394"/>
      <c r="BCA15" s="394"/>
      <c r="BCB15" s="394"/>
      <c r="BCC15" s="394"/>
      <c r="BCD15" s="394"/>
      <c r="BCE15" s="394"/>
      <c r="BCF15" s="394"/>
      <c r="BCG15" s="394"/>
      <c r="BCH15" s="394"/>
      <c r="BCI15" s="394"/>
      <c r="BCJ15" s="394"/>
      <c r="BCK15" s="394"/>
      <c r="BCL15" s="394"/>
      <c r="BCM15" s="394"/>
      <c r="BCN15" s="394"/>
      <c r="BCO15" s="394"/>
      <c r="BCP15" s="394"/>
      <c r="BCQ15" s="394"/>
      <c r="BCR15" s="394"/>
      <c r="BCS15" s="394"/>
      <c r="BCT15" s="394"/>
      <c r="BCU15" s="394"/>
      <c r="BCV15" s="394"/>
      <c r="BCW15" s="394"/>
      <c r="BCX15" s="394"/>
      <c r="BCY15" s="394"/>
      <c r="BCZ15" s="394"/>
      <c r="BDA15" s="394"/>
      <c r="BDB15" s="394"/>
      <c r="BDC15" s="394"/>
      <c r="BDD15" s="394"/>
      <c r="BDE15" s="394"/>
      <c r="BDF15" s="394"/>
      <c r="BDG15" s="394"/>
      <c r="BDH15" s="394"/>
      <c r="BDI15" s="394"/>
      <c r="BDJ15" s="394"/>
      <c r="BDK15" s="394"/>
      <c r="BDL15" s="394"/>
      <c r="BDM15" s="394"/>
      <c r="BDN15" s="394"/>
      <c r="BDO15" s="394"/>
      <c r="BDP15" s="394"/>
      <c r="BDQ15" s="394"/>
      <c r="BDR15" s="394"/>
      <c r="BDS15" s="394"/>
      <c r="BDT15" s="394"/>
      <c r="BDU15" s="394"/>
      <c r="BDV15" s="394"/>
      <c r="BDW15" s="394"/>
      <c r="BDX15" s="394"/>
      <c r="BDY15" s="394"/>
      <c r="BDZ15" s="394"/>
      <c r="BEA15" s="394"/>
      <c r="BEB15" s="394"/>
      <c r="BEC15" s="394"/>
      <c r="BED15" s="394"/>
      <c r="BEE15" s="394"/>
      <c r="BEF15" s="394"/>
      <c r="BEG15" s="394"/>
      <c r="BEH15" s="394"/>
      <c r="BEI15" s="394"/>
      <c r="BEJ15" s="394"/>
      <c r="BEK15" s="394"/>
      <c r="BEL15" s="394"/>
      <c r="BEM15" s="394"/>
      <c r="BEN15" s="394"/>
      <c r="BEO15" s="394"/>
      <c r="BEP15" s="394"/>
      <c r="BEQ15" s="394"/>
      <c r="BER15" s="394"/>
      <c r="BES15" s="394"/>
      <c r="BET15" s="394"/>
      <c r="BEU15" s="394"/>
      <c r="BEV15" s="394"/>
      <c r="BEW15" s="394"/>
      <c r="BEX15" s="394"/>
      <c r="BEY15" s="394"/>
      <c r="BEZ15" s="394"/>
      <c r="BFA15" s="394"/>
      <c r="BFB15" s="394"/>
      <c r="BFC15" s="394"/>
      <c r="BFD15" s="394"/>
      <c r="BFE15" s="394"/>
      <c r="BFF15" s="394"/>
      <c r="BFG15" s="394"/>
      <c r="BFH15" s="394"/>
      <c r="BFI15" s="394"/>
      <c r="BFJ15" s="394"/>
      <c r="BFK15" s="394"/>
      <c r="BFL15" s="394"/>
      <c r="BFM15" s="394"/>
      <c r="BFN15" s="394"/>
      <c r="BFO15" s="394"/>
      <c r="BFP15" s="394"/>
      <c r="BFQ15" s="394"/>
      <c r="BFR15" s="394"/>
      <c r="BFS15" s="394"/>
      <c r="BFT15" s="394"/>
      <c r="BFU15" s="394"/>
      <c r="BFV15" s="394"/>
      <c r="BFW15" s="394"/>
      <c r="BFX15" s="394"/>
      <c r="BFY15" s="394"/>
      <c r="BFZ15" s="394"/>
      <c r="BGA15" s="394"/>
      <c r="BGB15" s="394"/>
      <c r="BGC15" s="394"/>
      <c r="BGD15" s="394"/>
      <c r="BGE15" s="394"/>
      <c r="BGF15" s="394"/>
      <c r="BGG15" s="394"/>
      <c r="BGH15" s="394"/>
      <c r="BGI15" s="394"/>
      <c r="BGJ15" s="394"/>
      <c r="BGK15" s="394"/>
      <c r="BGL15" s="394"/>
      <c r="BGM15" s="394"/>
      <c r="BGN15" s="394"/>
      <c r="BGO15" s="394"/>
      <c r="BGP15" s="394"/>
      <c r="BGQ15" s="394"/>
      <c r="BGR15" s="394"/>
      <c r="BGS15" s="394"/>
      <c r="BGT15" s="394"/>
      <c r="BGU15" s="394"/>
      <c r="BGV15" s="394"/>
      <c r="BGW15" s="394"/>
      <c r="BGX15" s="394"/>
      <c r="BGY15" s="394"/>
      <c r="BGZ15" s="394"/>
      <c r="BHA15" s="394"/>
      <c r="BHB15" s="394"/>
      <c r="BHC15" s="394"/>
      <c r="BHD15" s="394"/>
      <c r="BHE15" s="394"/>
      <c r="BHF15" s="394"/>
      <c r="BHG15" s="394"/>
      <c r="BHH15" s="394"/>
      <c r="BHI15" s="394"/>
      <c r="BHJ15" s="394"/>
      <c r="BHK15" s="394"/>
      <c r="BHL15" s="394"/>
      <c r="BHM15" s="394"/>
      <c r="BHN15" s="394"/>
      <c r="BHO15" s="394"/>
      <c r="BHP15" s="394"/>
      <c r="BHQ15" s="394"/>
      <c r="BHR15" s="394"/>
      <c r="BHS15" s="394"/>
      <c r="BHT15" s="394"/>
      <c r="BHU15" s="394"/>
      <c r="BHV15" s="394"/>
      <c r="BHW15" s="394"/>
      <c r="BHX15" s="394"/>
      <c r="BHY15" s="394"/>
      <c r="BHZ15" s="394"/>
      <c r="BIA15" s="394"/>
      <c r="BIB15" s="394"/>
      <c r="BIC15" s="394"/>
      <c r="BID15" s="394"/>
      <c r="BIE15" s="394"/>
      <c r="BIF15" s="394"/>
      <c r="BIG15" s="394"/>
      <c r="BIH15" s="394"/>
      <c r="BII15" s="394"/>
      <c r="BIJ15" s="394"/>
      <c r="BIK15" s="394"/>
      <c r="BIL15" s="394"/>
      <c r="BIM15" s="394"/>
      <c r="BIN15" s="394"/>
      <c r="BIO15" s="394"/>
      <c r="BIP15" s="394"/>
      <c r="BIQ15" s="394"/>
      <c r="BIR15" s="394"/>
      <c r="BIS15" s="394"/>
      <c r="BIT15" s="394"/>
      <c r="BIU15" s="394"/>
      <c r="BIV15" s="394"/>
      <c r="BIW15" s="394"/>
      <c r="BIX15" s="394"/>
      <c r="BIY15" s="394"/>
      <c r="BIZ15" s="394"/>
      <c r="BJA15" s="394"/>
      <c r="BJB15" s="394"/>
      <c r="BJC15" s="394"/>
      <c r="BJD15" s="394"/>
      <c r="BJE15" s="394"/>
      <c r="BJF15" s="394"/>
      <c r="BJG15" s="394"/>
      <c r="BJH15" s="394"/>
      <c r="BJI15" s="394"/>
      <c r="BJJ15" s="394"/>
      <c r="BJK15" s="394"/>
      <c r="BJL15" s="394"/>
      <c r="BJM15" s="394"/>
      <c r="BJN15" s="394"/>
      <c r="BJO15" s="394"/>
      <c r="BJP15" s="394"/>
      <c r="BJQ15" s="394"/>
      <c r="BJR15" s="394"/>
      <c r="BJS15" s="394"/>
      <c r="BJT15" s="394"/>
      <c r="BJU15" s="394"/>
      <c r="BJV15" s="394"/>
      <c r="BJW15" s="394"/>
      <c r="BJX15" s="394"/>
      <c r="BJY15" s="394"/>
      <c r="BJZ15" s="394"/>
      <c r="BKA15" s="394"/>
      <c r="BKB15" s="394"/>
      <c r="BKC15" s="394"/>
      <c r="BKD15" s="394"/>
      <c r="BKE15" s="394"/>
      <c r="BKF15" s="394"/>
      <c r="BKG15" s="394"/>
      <c r="BKH15" s="394"/>
      <c r="BKI15" s="394"/>
      <c r="BKJ15" s="394"/>
      <c r="BKK15" s="394"/>
      <c r="BKL15" s="394"/>
      <c r="BKM15" s="394"/>
      <c r="BKN15" s="394"/>
      <c r="BKO15" s="394"/>
      <c r="BKP15" s="394"/>
      <c r="BKQ15" s="394"/>
      <c r="BKR15" s="394"/>
      <c r="BKS15" s="394"/>
      <c r="BKT15" s="394"/>
      <c r="BKU15" s="394"/>
      <c r="BKV15" s="394"/>
      <c r="BKW15" s="394"/>
      <c r="BKX15" s="394"/>
      <c r="BKY15" s="394"/>
      <c r="BKZ15" s="394"/>
      <c r="BLA15" s="394"/>
      <c r="BLB15" s="394"/>
      <c r="BLC15" s="394"/>
      <c r="BLD15" s="394"/>
      <c r="BLE15" s="394"/>
      <c r="BLF15" s="394"/>
      <c r="BLG15" s="394"/>
      <c r="BLH15" s="394"/>
      <c r="BLI15" s="394"/>
      <c r="BLJ15" s="394"/>
      <c r="BLK15" s="394"/>
      <c r="BLL15" s="394"/>
      <c r="BLM15" s="394"/>
      <c r="BLN15" s="394"/>
      <c r="BLO15" s="394"/>
      <c r="BLP15" s="394"/>
      <c r="BLQ15" s="394"/>
      <c r="BLR15" s="394"/>
      <c r="BLS15" s="394"/>
      <c r="BLT15" s="394"/>
      <c r="BLU15" s="394"/>
      <c r="BLV15" s="394"/>
      <c r="BLW15" s="394"/>
      <c r="BLX15" s="394"/>
      <c r="BLY15" s="394"/>
      <c r="BLZ15" s="394"/>
      <c r="BMA15" s="394"/>
      <c r="BMB15" s="394"/>
      <c r="BMC15" s="394"/>
      <c r="BMD15" s="394"/>
      <c r="BME15" s="394"/>
      <c r="BMF15" s="394"/>
      <c r="BMG15" s="394"/>
      <c r="BMH15" s="394"/>
      <c r="BMI15" s="394"/>
      <c r="BMJ15" s="394"/>
      <c r="BMK15" s="394"/>
      <c r="BML15" s="394"/>
      <c r="BMM15" s="394"/>
      <c r="BMN15" s="394"/>
      <c r="BMO15" s="394"/>
      <c r="BMP15" s="394"/>
      <c r="BMQ15" s="394"/>
      <c r="BMR15" s="394"/>
      <c r="BMS15" s="394"/>
      <c r="BMT15" s="394"/>
      <c r="BMU15" s="394"/>
      <c r="BMV15" s="394"/>
      <c r="BMW15" s="394"/>
      <c r="BMX15" s="394"/>
      <c r="BMY15" s="394"/>
      <c r="BMZ15" s="394"/>
      <c r="BNA15" s="394"/>
      <c r="BNB15" s="394"/>
      <c r="BNC15" s="394"/>
      <c r="BND15" s="394"/>
      <c r="BNE15" s="394"/>
      <c r="BNF15" s="394"/>
      <c r="BNG15" s="394"/>
      <c r="BNH15" s="394"/>
      <c r="BNI15" s="394"/>
      <c r="BNJ15" s="394"/>
      <c r="BNK15" s="394"/>
      <c r="BNL15" s="394"/>
      <c r="BNM15" s="394"/>
      <c r="BNN15" s="394"/>
      <c r="BNO15" s="394"/>
      <c r="BNP15" s="394"/>
      <c r="BNQ15" s="394"/>
      <c r="BNR15" s="394"/>
      <c r="BNS15" s="394"/>
      <c r="BNT15" s="394"/>
      <c r="BNU15" s="394"/>
      <c r="BNV15" s="394"/>
      <c r="BNW15" s="394"/>
      <c r="BNX15" s="394"/>
      <c r="BNY15" s="394"/>
      <c r="BNZ15" s="394"/>
      <c r="BOA15" s="394"/>
      <c r="BOB15" s="394"/>
      <c r="BOC15" s="394"/>
      <c r="BOD15" s="394"/>
      <c r="BOE15" s="394"/>
      <c r="BOF15" s="394"/>
      <c r="BOG15" s="394"/>
      <c r="BOH15" s="394"/>
      <c r="BOI15" s="394"/>
      <c r="BOJ15" s="394"/>
      <c r="BOK15" s="394"/>
      <c r="BOL15" s="394"/>
      <c r="BOM15" s="394"/>
      <c r="BON15" s="394"/>
      <c r="BOO15" s="394"/>
      <c r="BOP15" s="394"/>
      <c r="BOQ15" s="394"/>
      <c r="BOR15" s="394"/>
      <c r="BOS15" s="394"/>
      <c r="BOT15" s="394"/>
      <c r="BOU15" s="394"/>
      <c r="BOV15" s="394"/>
      <c r="BOW15" s="394"/>
      <c r="BOX15" s="394"/>
      <c r="BOY15" s="394"/>
      <c r="BOZ15" s="394"/>
      <c r="BPA15" s="394"/>
      <c r="BPB15" s="394"/>
      <c r="BPC15" s="394"/>
      <c r="BPD15" s="394"/>
      <c r="BPE15" s="394"/>
      <c r="BPF15" s="394"/>
      <c r="BPG15" s="394"/>
      <c r="BPH15" s="394"/>
      <c r="BPI15" s="394"/>
      <c r="BPJ15" s="394"/>
      <c r="BPK15" s="394"/>
      <c r="BPL15" s="394"/>
      <c r="BPM15" s="394"/>
      <c r="BPN15" s="394"/>
      <c r="BPO15" s="394"/>
      <c r="BPP15" s="394"/>
      <c r="BPQ15" s="394"/>
      <c r="BPR15" s="394"/>
      <c r="BPS15" s="394"/>
      <c r="BPT15" s="394"/>
      <c r="BPU15" s="394"/>
      <c r="BPV15" s="394"/>
      <c r="BPW15" s="394"/>
      <c r="BPX15" s="394"/>
      <c r="BPY15" s="394"/>
      <c r="BPZ15" s="394"/>
      <c r="BQA15" s="394"/>
      <c r="BQB15" s="394"/>
      <c r="BQC15" s="394"/>
      <c r="BQD15" s="394"/>
      <c r="BQE15" s="394"/>
      <c r="BQF15" s="394"/>
      <c r="BQG15" s="394"/>
      <c r="BQH15" s="394"/>
      <c r="BQI15" s="394"/>
      <c r="BQJ15" s="394"/>
      <c r="BQK15" s="394"/>
      <c r="BQL15" s="394"/>
      <c r="BQM15" s="394"/>
      <c r="BQN15" s="394"/>
      <c r="BQO15" s="394"/>
      <c r="BQP15" s="394"/>
      <c r="BQQ15" s="394"/>
      <c r="BQR15" s="394"/>
      <c r="BQS15" s="394"/>
      <c r="BQT15" s="394"/>
      <c r="BQU15" s="394"/>
      <c r="BQV15" s="394"/>
      <c r="BQW15" s="394"/>
      <c r="BQX15" s="394"/>
      <c r="BQY15" s="394"/>
      <c r="BQZ15" s="394"/>
      <c r="BRA15" s="394"/>
      <c r="BRB15" s="394"/>
      <c r="BRC15" s="394"/>
      <c r="BRD15" s="394"/>
      <c r="BRE15" s="394"/>
      <c r="BRF15" s="394"/>
      <c r="BRG15" s="394"/>
      <c r="BRH15" s="394"/>
      <c r="BRI15" s="394"/>
      <c r="BRJ15" s="394"/>
      <c r="BRK15" s="394"/>
      <c r="BRL15" s="394"/>
      <c r="BRM15" s="394"/>
      <c r="BRN15" s="394"/>
      <c r="BRO15" s="394"/>
      <c r="BRP15" s="394"/>
      <c r="BRQ15" s="394"/>
      <c r="BRR15" s="394"/>
      <c r="BRS15" s="394"/>
      <c r="BRT15" s="394"/>
      <c r="BRU15" s="394"/>
      <c r="BRV15" s="394"/>
      <c r="BRW15" s="394"/>
      <c r="BRX15" s="394"/>
      <c r="BRY15" s="394"/>
      <c r="BRZ15" s="394"/>
      <c r="BSA15" s="394"/>
      <c r="BSB15" s="394"/>
      <c r="BSC15" s="394"/>
      <c r="BSD15" s="394"/>
      <c r="BSE15" s="394"/>
      <c r="BSF15" s="394"/>
      <c r="BSG15" s="394"/>
      <c r="BSH15" s="394"/>
      <c r="BSI15" s="394"/>
      <c r="BSJ15" s="394"/>
      <c r="BSK15" s="394"/>
      <c r="BSL15" s="394"/>
      <c r="BSM15" s="394"/>
      <c r="BSN15" s="394"/>
      <c r="BSO15" s="394"/>
      <c r="BSP15" s="394"/>
      <c r="BSQ15" s="394"/>
      <c r="BSR15" s="394"/>
      <c r="BSS15" s="394"/>
      <c r="BST15" s="394"/>
      <c r="BSU15" s="394"/>
      <c r="BSV15" s="394"/>
      <c r="BSW15" s="394"/>
      <c r="BSX15" s="394"/>
      <c r="BSY15" s="394"/>
      <c r="BSZ15" s="394"/>
      <c r="BTA15" s="394"/>
      <c r="BTB15" s="394"/>
      <c r="BTC15" s="394"/>
      <c r="BTD15" s="394"/>
      <c r="BTE15" s="394"/>
      <c r="BTF15" s="394"/>
      <c r="BTG15" s="394"/>
      <c r="BTH15" s="394"/>
      <c r="BTI15" s="394"/>
    </row>
    <row r="16" spans="1:1881" s="378" customFormat="1" ht="97.5" customHeight="1" x14ac:dyDescent="0.25">
      <c r="A16" s="455">
        <v>630</v>
      </c>
      <c r="B16" s="456" t="s">
        <v>830</v>
      </c>
      <c r="C16" s="452" t="s">
        <v>136</v>
      </c>
      <c r="D16" s="453" t="s">
        <v>1087</v>
      </c>
      <c r="E16" s="865" t="s">
        <v>832</v>
      </c>
      <c r="F16" s="624"/>
      <c r="G16" s="457">
        <f>IF(F16&gt;F12,"Please review account numbers 630 &gt; 626",)</f>
        <v>0</v>
      </c>
      <c r="H16" s="438"/>
      <c r="I16" s="439"/>
      <c r="J16" s="365"/>
      <c r="K16" s="394"/>
      <c r="L16" s="833" t="s">
        <v>1114</v>
      </c>
      <c r="M16" s="610"/>
      <c r="N16" s="635"/>
      <c r="O16" s="394"/>
      <c r="P16" s="394"/>
      <c r="Q16" s="394"/>
      <c r="R16" s="394"/>
      <c r="S16" s="394"/>
      <c r="T16" s="394"/>
      <c r="U16" s="394"/>
      <c r="V16" s="394"/>
      <c r="W16" s="394"/>
      <c r="X16" s="394"/>
      <c r="Y16" s="394"/>
      <c r="Z16" s="394"/>
      <c r="AA16" s="394"/>
      <c r="AB16" s="394"/>
      <c r="AC16" s="394"/>
      <c r="AD16" s="394"/>
      <c r="AE16" s="394"/>
      <c r="AF16" s="394"/>
      <c r="AG16" s="394"/>
      <c r="AH16" s="394"/>
      <c r="AI16" s="394"/>
      <c r="AJ16" s="394"/>
      <c r="AK16" s="394"/>
      <c r="AL16" s="394"/>
      <c r="AM16" s="394"/>
      <c r="AN16" s="394"/>
      <c r="AO16" s="394"/>
      <c r="AP16" s="394"/>
      <c r="AQ16" s="394"/>
      <c r="AR16" s="394"/>
      <c r="AS16" s="394"/>
      <c r="AT16" s="394"/>
      <c r="AU16" s="394"/>
      <c r="AV16" s="394"/>
      <c r="AW16" s="394"/>
      <c r="AX16" s="394"/>
      <c r="AY16" s="394"/>
      <c r="AZ16" s="394"/>
      <c r="BA16" s="394"/>
      <c r="BB16" s="394"/>
      <c r="BC16" s="394"/>
      <c r="BD16" s="394"/>
      <c r="BE16" s="394"/>
      <c r="BF16" s="394"/>
      <c r="BG16" s="394"/>
      <c r="BH16" s="394"/>
      <c r="BI16" s="394"/>
      <c r="BJ16" s="394"/>
      <c r="BK16" s="394"/>
      <c r="BL16" s="394"/>
      <c r="BM16" s="394"/>
      <c r="BN16" s="394"/>
      <c r="BO16" s="394"/>
      <c r="BP16" s="394"/>
      <c r="BQ16" s="394"/>
      <c r="BR16" s="394"/>
      <c r="BS16" s="394"/>
      <c r="BT16" s="394"/>
      <c r="BU16" s="394"/>
      <c r="BV16" s="394"/>
      <c r="BW16" s="394"/>
      <c r="BX16" s="394"/>
      <c r="BY16" s="394"/>
      <c r="BZ16" s="394"/>
      <c r="CA16" s="394"/>
      <c r="CB16" s="394"/>
      <c r="CC16" s="394"/>
      <c r="CD16" s="394"/>
      <c r="CE16" s="394"/>
      <c r="CF16" s="394"/>
      <c r="CG16" s="394"/>
      <c r="CH16" s="394"/>
      <c r="CI16" s="394"/>
      <c r="CJ16" s="394"/>
      <c r="CK16" s="394"/>
      <c r="CL16" s="394"/>
      <c r="CM16" s="394"/>
      <c r="CN16" s="394"/>
      <c r="CO16" s="394"/>
      <c r="CP16" s="394"/>
      <c r="CQ16" s="394"/>
      <c r="CR16" s="394"/>
      <c r="CS16" s="394"/>
      <c r="CT16" s="394"/>
      <c r="CU16" s="394"/>
      <c r="CV16" s="394"/>
      <c r="CW16" s="394"/>
      <c r="CX16" s="394"/>
      <c r="CY16" s="394"/>
      <c r="CZ16" s="394"/>
      <c r="DA16" s="394"/>
      <c r="DB16" s="394"/>
      <c r="DC16" s="394"/>
      <c r="DD16" s="394"/>
      <c r="DE16" s="394"/>
      <c r="DF16" s="394"/>
      <c r="DG16" s="394"/>
      <c r="DH16" s="394"/>
      <c r="DI16" s="394"/>
      <c r="DJ16" s="394"/>
      <c r="DK16" s="394"/>
      <c r="DL16" s="394"/>
      <c r="DM16" s="394"/>
      <c r="DN16" s="394"/>
      <c r="DO16" s="394"/>
      <c r="DP16" s="394"/>
      <c r="DQ16" s="394"/>
      <c r="DR16" s="394"/>
      <c r="DS16" s="394"/>
      <c r="DT16" s="394"/>
      <c r="DU16" s="394"/>
      <c r="DV16" s="394"/>
      <c r="DW16" s="394"/>
      <c r="DX16" s="394"/>
      <c r="DY16" s="394"/>
      <c r="DZ16" s="394"/>
      <c r="EA16" s="394"/>
      <c r="EB16" s="394"/>
      <c r="EC16" s="394"/>
      <c r="ED16" s="394"/>
      <c r="EE16" s="394"/>
      <c r="EF16" s="394"/>
      <c r="EG16" s="394"/>
      <c r="EH16" s="394"/>
      <c r="EI16" s="394"/>
      <c r="EJ16" s="394"/>
      <c r="EK16" s="394"/>
      <c r="EL16" s="394"/>
      <c r="EM16" s="394"/>
      <c r="EN16" s="394"/>
      <c r="EO16" s="394"/>
      <c r="EP16" s="394"/>
      <c r="EQ16" s="394"/>
      <c r="ER16" s="394"/>
      <c r="ES16" s="394"/>
      <c r="ET16" s="394"/>
      <c r="EU16" s="394"/>
      <c r="EV16" s="394"/>
      <c r="EW16" s="394"/>
      <c r="EX16" s="394"/>
      <c r="EY16" s="394"/>
      <c r="EZ16" s="394"/>
      <c r="FA16" s="394"/>
      <c r="FB16" s="394"/>
      <c r="FC16" s="394"/>
      <c r="FD16" s="394"/>
      <c r="FE16" s="394"/>
      <c r="FF16" s="394"/>
      <c r="FG16" s="394"/>
      <c r="FH16" s="394"/>
      <c r="FI16" s="394"/>
      <c r="FJ16" s="394"/>
      <c r="FK16" s="394"/>
      <c r="FL16" s="394"/>
      <c r="FM16" s="394"/>
      <c r="FN16" s="394"/>
      <c r="FO16" s="394"/>
      <c r="FP16" s="394"/>
      <c r="FQ16" s="394"/>
      <c r="FR16" s="394"/>
      <c r="FS16" s="394"/>
      <c r="FT16" s="394"/>
      <c r="FU16" s="394"/>
      <c r="FV16" s="394"/>
      <c r="FW16" s="394"/>
      <c r="FX16" s="394"/>
      <c r="FY16" s="394"/>
      <c r="FZ16" s="394"/>
      <c r="GA16" s="394"/>
      <c r="GB16" s="394"/>
      <c r="GC16" s="394"/>
      <c r="GD16" s="394"/>
      <c r="GE16" s="394"/>
      <c r="GF16" s="394"/>
      <c r="GG16" s="394"/>
      <c r="GH16" s="394"/>
      <c r="GI16" s="394"/>
      <c r="GJ16" s="394"/>
      <c r="GK16" s="394"/>
      <c r="GL16" s="394"/>
      <c r="GM16" s="394"/>
      <c r="GN16" s="394"/>
      <c r="GO16" s="394"/>
      <c r="GP16" s="394"/>
      <c r="GQ16" s="394"/>
      <c r="GR16" s="394"/>
      <c r="GS16" s="394"/>
      <c r="GT16" s="394"/>
      <c r="GU16" s="394"/>
      <c r="GV16" s="394"/>
      <c r="GW16" s="394"/>
      <c r="GX16" s="394"/>
      <c r="GY16" s="394"/>
      <c r="GZ16" s="394"/>
      <c r="HA16" s="394"/>
      <c r="HB16" s="394"/>
      <c r="HC16" s="394"/>
      <c r="HD16" s="394"/>
      <c r="HE16" s="394"/>
      <c r="HF16" s="394"/>
      <c r="HG16" s="394"/>
      <c r="HH16" s="394"/>
      <c r="HI16" s="394"/>
      <c r="HJ16" s="394"/>
      <c r="HK16" s="394"/>
      <c r="HL16" s="394"/>
      <c r="HM16" s="394"/>
      <c r="HN16" s="394"/>
      <c r="HO16" s="394"/>
      <c r="HP16" s="394"/>
      <c r="HQ16" s="394"/>
      <c r="HR16" s="394"/>
      <c r="HS16" s="394"/>
      <c r="HT16" s="394"/>
      <c r="HU16" s="394"/>
      <c r="HV16" s="394"/>
      <c r="HW16" s="394"/>
      <c r="HX16" s="394"/>
      <c r="HY16" s="394"/>
      <c r="HZ16" s="394"/>
      <c r="IA16" s="394"/>
      <c r="IB16" s="394"/>
      <c r="IC16" s="394"/>
      <c r="ID16" s="394"/>
      <c r="IE16" s="394"/>
      <c r="IF16" s="394"/>
      <c r="IG16" s="394"/>
      <c r="IH16" s="394"/>
      <c r="II16" s="394"/>
      <c r="IJ16" s="394"/>
      <c r="IK16" s="394"/>
      <c r="IL16" s="394"/>
      <c r="IM16" s="394"/>
      <c r="IN16" s="394"/>
      <c r="IO16" s="394"/>
      <c r="IP16" s="394"/>
      <c r="IQ16" s="394"/>
      <c r="IR16" s="394"/>
      <c r="IS16" s="394"/>
      <c r="IT16" s="394"/>
      <c r="IU16" s="394"/>
      <c r="IV16" s="394"/>
      <c r="IW16" s="394"/>
      <c r="IX16" s="394"/>
      <c r="IY16" s="394"/>
      <c r="IZ16" s="394"/>
      <c r="JA16" s="394"/>
      <c r="JB16" s="394"/>
      <c r="JC16" s="394"/>
      <c r="JD16" s="394"/>
      <c r="JE16" s="394"/>
      <c r="JF16" s="394"/>
      <c r="JG16" s="394"/>
      <c r="JH16" s="394"/>
      <c r="JI16" s="394"/>
      <c r="JJ16" s="394"/>
      <c r="JK16" s="394"/>
      <c r="JL16" s="394"/>
      <c r="JM16" s="394"/>
      <c r="JN16" s="394"/>
      <c r="JO16" s="394"/>
      <c r="JP16" s="394"/>
      <c r="JQ16" s="394"/>
      <c r="JR16" s="394"/>
      <c r="JS16" s="394"/>
      <c r="JT16" s="394"/>
      <c r="JU16" s="394"/>
      <c r="JV16" s="394"/>
      <c r="JW16" s="394"/>
      <c r="JX16" s="394"/>
      <c r="JY16" s="394"/>
      <c r="JZ16" s="394"/>
      <c r="KA16" s="394"/>
      <c r="KB16" s="394"/>
      <c r="KC16" s="394"/>
      <c r="KD16" s="394"/>
      <c r="KE16" s="394"/>
      <c r="KF16" s="394"/>
      <c r="KG16" s="394"/>
      <c r="KH16" s="394"/>
      <c r="KI16" s="394"/>
      <c r="KJ16" s="394"/>
      <c r="KK16" s="394"/>
      <c r="KL16" s="394"/>
      <c r="KM16" s="394"/>
      <c r="KN16" s="394"/>
      <c r="KO16" s="394"/>
      <c r="KP16" s="394"/>
      <c r="KQ16" s="394"/>
      <c r="KR16" s="394"/>
      <c r="KS16" s="394"/>
      <c r="KT16" s="394"/>
      <c r="KU16" s="394"/>
      <c r="KV16" s="394"/>
      <c r="KW16" s="394"/>
      <c r="KX16" s="394"/>
      <c r="KY16" s="394"/>
      <c r="KZ16" s="394"/>
      <c r="LA16" s="394"/>
      <c r="LB16" s="394"/>
      <c r="LC16" s="394"/>
      <c r="LD16" s="394"/>
      <c r="LE16" s="394"/>
      <c r="LF16" s="394"/>
      <c r="LG16" s="394"/>
      <c r="LH16" s="394"/>
      <c r="LI16" s="394"/>
      <c r="LJ16" s="394"/>
      <c r="LK16" s="394"/>
      <c r="LL16" s="394"/>
      <c r="LM16" s="394"/>
      <c r="LN16" s="394"/>
      <c r="LO16" s="394"/>
      <c r="LP16" s="394"/>
      <c r="LQ16" s="394"/>
      <c r="LR16" s="394"/>
      <c r="LS16" s="394"/>
      <c r="LT16" s="394"/>
      <c r="LU16" s="394"/>
      <c r="LV16" s="394"/>
      <c r="LW16" s="394"/>
      <c r="LX16" s="394"/>
      <c r="LY16" s="394"/>
      <c r="LZ16" s="394"/>
      <c r="MA16" s="394"/>
      <c r="MB16" s="394"/>
      <c r="MC16" s="394"/>
      <c r="MD16" s="394"/>
      <c r="ME16" s="394"/>
      <c r="MF16" s="394"/>
      <c r="MG16" s="394"/>
      <c r="MH16" s="394"/>
      <c r="MI16" s="394"/>
      <c r="MJ16" s="394"/>
      <c r="MK16" s="394"/>
      <c r="ML16" s="394"/>
      <c r="MM16" s="394"/>
      <c r="MN16" s="394"/>
      <c r="MO16" s="394"/>
      <c r="MP16" s="394"/>
      <c r="MQ16" s="394"/>
      <c r="MR16" s="394"/>
      <c r="MS16" s="394"/>
      <c r="MT16" s="394"/>
      <c r="MU16" s="394"/>
      <c r="MV16" s="394"/>
      <c r="MW16" s="394"/>
      <c r="MX16" s="394"/>
      <c r="MY16" s="394"/>
      <c r="MZ16" s="394"/>
      <c r="NA16" s="394"/>
      <c r="NB16" s="394"/>
      <c r="NC16" s="394"/>
      <c r="ND16" s="394"/>
      <c r="NE16" s="394"/>
      <c r="NF16" s="394"/>
      <c r="NG16" s="394"/>
      <c r="NH16" s="394"/>
      <c r="NI16" s="394"/>
      <c r="NJ16" s="394"/>
      <c r="NK16" s="394"/>
      <c r="NL16" s="394"/>
      <c r="NM16" s="394"/>
      <c r="NN16" s="394"/>
      <c r="NO16" s="394"/>
      <c r="NP16" s="394"/>
      <c r="NQ16" s="394"/>
      <c r="NR16" s="394"/>
      <c r="NS16" s="394"/>
      <c r="NT16" s="394"/>
      <c r="NU16" s="394"/>
      <c r="NV16" s="394"/>
      <c r="NW16" s="394"/>
      <c r="NX16" s="394"/>
      <c r="NY16" s="394"/>
      <c r="NZ16" s="394"/>
      <c r="OA16" s="394"/>
      <c r="OB16" s="394"/>
      <c r="OC16" s="394"/>
      <c r="OD16" s="394"/>
      <c r="OE16" s="394"/>
      <c r="OF16" s="394"/>
      <c r="OG16" s="394"/>
      <c r="OH16" s="394"/>
      <c r="OI16" s="394"/>
      <c r="OJ16" s="394"/>
      <c r="OK16" s="394"/>
      <c r="OL16" s="394"/>
      <c r="OM16" s="394"/>
      <c r="ON16" s="394"/>
      <c r="OO16" s="394"/>
      <c r="OP16" s="394"/>
      <c r="OQ16" s="394"/>
      <c r="OR16" s="394"/>
      <c r="OS16" s="394"/>
      <c r="OT16" s="394"/>
      <c r="OU16" s="394"/>
      <c r="OV16" s="394"/>
      <c r="OW16" s="394"/>
      <c r="OX16" s="394"/>
      <c r="OY16" s="394"/>
      <c r="OZ16" s="394"/>
      <c r="PA16" s="394"/>
      <c r="PB16" s="394"/>
      <c r="PC16" s="394"/>
      <c r="PD16" s="394"/>
      <c r="PE16" s="394"/>
      <c r="PF16" s="394"/>
      <c r="PG16" s="394"/>
      <c r="PH16" s="394"/>
      <c r="PI16" s="394"/>
      <c r="PJ16" s="394"/>
      <c r="PK16" s="394"/>
      <c r="PL16" s="394"/>
      <c r="PM16" s="394"/>
      <c r="PN16" s="394"/>
      <c r="PO16" s="394"/>
      <c r="PP16" s="394"/>
      <c r="PQ16" s="394"/>
      <c r="PR16" s="394"/>
      <c r="PS16" s="394"/>
      <c r="PT16" s="394"/>
      <c r="PU16" s="394"/>
      <c r="PV16" s="394"/>
      <c r="PW16" s="394"/>
      <c r="PX16" s="394"/>
      <c r="PY16" s="394"/>
      <c r="PZ16" s="394"/>
      <c r="QA16" s="394"/>
      <c r="QB16" s="394"/>
      <c r="QC16" s="394"/>
      <c r="QD16" s="394"/>
      <c r="QE16" s="394"/>
      <c r="QF16" s="394"/>
      <c r="QG16" s="394"/>
      <c r="QH16" s="394"/>
      <c r="QI16" s="394"/>
      <c r="QJ16" s="394"/>
      <c r="QK16" s="394"/>
      <c r="QL16" s="394"/>
      <c r="QM16" s="394"/>
      <c r="QN16" s="394"/>
      <c r="QO16" s="394"/>
      <c r="QP16" s="394"/>
      <c r="QQ16" s="394"/>
      <c r="QR16" s="394"/>
      <c r="QS16" s="394"/>
      <c r="QT16" s="394"/>
      <c r="QU16" s="394"/>
      <c r="QV16" s="394"/>
      <c r="QW16" s="394"/>
      <c r="QX16" s="394"/>
      <c r="QY16" s="394"/>
      <c r="QZ16" s="394"/>
      <c r="RA16" s="394"/>
      <c r="RB16" s="394"/>
      <c r="RC16" s="394"/>
      <c r="RD16" s="394"/>
      <c r="RE16" s="394"/>
      <c r="RF16" s="394"/>
      <c r="RG16" s="394"/>
      <c r="RH16" s="394"/>
      <c r="RI16" s="394"/>
      <c r="RJ16" s="394"/>
      <c r="RK16" s="394"/>
      <c r="RL16" s="394"/>
      <c r="RM16" s="394"/>
      <c r="RN16" s="394"/>
      <c r="RO16" s="394"/>
      <c r="RP16" s="394"/>
      <c r="RQ16" s="394"/>
      <c r="RR16" s="394"/>
      <c r="RS16" s="394"/>
      <c r="RT16" s="394"/>
      <c r="RU16" s="394"/>
      <c r="RV16" s="394"/>
      <c r="RW16" s="394"/>
      <c r="RX16" s="394"/>
      <c r="RY16" s="394"/>
      <c r="RZ16" s="394"/>
      <c r="SA16" s="394"/>
      <c r="SB16" s="394"/>
      <c r="SC16" s="394"/>
      <c r="SD16" s="394"/>
      <c r="SE16" s="394"/>
      <c r="SF16" s="394"/>
      <c r="SG16" s="394"/>
      <c r="SH16" s="394"/>
      <c r="SI16" s="394"/>
      <c r="SJ16" s="394"/>
      <c r="SK16" s="394"/>
      <c r="SL16" s="394"/>
      <c r="SM16" s="394"/>
      <c r="SN16" s="394"/>
      <c r="SO16" s="394"/>
      <c r="SP16" s="394"/>
      <c r="SQ16" s="394"/>
      <c r="SR16" s="394"/>
      <c r="SS16" s="394"/>
      <c r="ST16" s="394"/>
      <c r="SU16" s="394"/>
      <c r="SV16" s="394"/>
      <c r="SW16" s="394"/>
      <c r="SX16" s="394"/>
      <c r="SY16" s="394"/>
      <c r="SZ16" s="394"/>
      <c r="TA16" s="394"/>
      <c r="TB16" s="394"/>
      <c r="TC16" s="394"/>
      <c r="TD16" s="394"/>
      <c r="TE16" s="394"/>
      <c r="TF16" s="394"/>
      <c r="TG16" s="394"/>
      <c r="TH16" s="394"/>
      <c r="TI16" s="394"/>
      <c r="TJ16" s="394"/>
      <c r="TK16" s="394"/>
      <c r="TL16" s="394"/>
      <c r="TM16" s="394"/>
      <c r="TN16" s="394"/>
      <c r="TO16" s="394"/>
      <c r="TP16" s="394"/>
      <c r="TQ16" s="394"/>
      <c r="TR16" s="394"/>
      <c r="TS16" s="394"/>
      <c r="TT16" s="394"/>
      <c r="TU16" s="394"/>
      <c r="TV16" s="394"/>
      <c r="TW16" s="394"/>
      <c r="TX16" s="394"/>
      <c r="TY16" s="394"/>
      <c r="TZ16" s="394"/>
      <c r="UA16" s="394"/>
      <c r="UB16" s="394"/>
      <c r="UC16" s="394"/>
      <c r="UD16" s="394"/>
      <c r="UE16" s="394"/>
      <c r="UF16" s="394"/>
      <c r="UG16" s="394"/>
      <c r="UH16" s="394"/>
      <c r="UI16" s="394"/>
      <c r="UJ16" s="394"/>
      <c r="UK16" s="394"/>
      <c r="UL16" s="394"/>
      <c r="UM16" s="394"/>
      <c r="UN16" s="394"/>
      <c r="UO16" s="394"/>
      <c r="UP16" s="394"/>
      <c r="UQ16" s="394"/>
      <c r="UR16" s="394"/>
      <c r="US16" s="394"/>
      <c r="UT16" s="394"/>
      <c r="UU16" s="394"/>
      <c r="UV16" s="394"/>
      <c r="UW16" s="394"/>
      <c r="UX16" s="394"/>
      <c r="UY16" s="394"/>
      <c r="UZ16" s="394"/>
      <c r="VA16" s="394"/>
      <c r="VB16" s="394"/>
      <c r="VC16" s="394"/>
      <c r="VD16" s="394"/>
      <c r="VE16" s="394"/>
      <c r="VF16" s="394"/>
      <c r="VG16" s="394"/>
      <c r="VH16" s="394"/>
      <c r="VI16" s="394"/>
      <c r="VJ16" s="394"/>
      <c r="VK16" s="394"/>
      <c r="VL16" s="394"/>
      <c r="VM16" s="394"/>
      <c r="VN16" s="394"/>
      <c r="VO16" s="394"/>
      <c r="VP16" s="394"/>
      <c r="VQ16" s="394"/>
      <c r="VR16" s="394"/>
      <c r="VS16" s="394"/>
      <c r="VT16" s="394"/>
      <c r="VU16" s="394"/>
      <c r="VV16" s="394"/>
      <c r="VW16" s="394"/>
      <c r="VX16" s="394"/>
      <c r="VY16" s="394"/>
      <c r="VZ16" s="394"/>
      <c r="WA16" s="394"/>
      <c r="WB16" s="394"/>
      <c r="WC16" s="394"/>
      <c r="WD16" s="394"/>
      <c r="WE16" s="394"/>
      <c r="WF16" s="394"/>
      <c r="WG16" s="394"/>
      <c r="WH16" s="394"/>
      <c r="WI16" s="394"/>
      <c r="WJ16" s="394"/>
      <c r="WK16" s="394"/>
      <c r="WL16" s="394"/>
      <c r="WM16" s="394"/>
      <c r="WN16" s="394"/>
      <c r="WO16" s="394"/>
      <c r="WP16" s="394"/>
      <c r="WQ16" s="394"/>
      <c r="WR16" s="394"/>
      <c r="WS16" s="394"/>
      <c r="WT16" s="394"/>
      <c r="WU16" s="394"/>
      <c r="WV16" s="394"/>
      <c r="WW16" s="394"/>
      <c r="WX16" s="394"/>
      <c r="WY16" s="394"/>
      <c r="WZ16" s="394"/>
      <c r="XA16" s="394"/>
      <c r="XB16" s="394"/>
      <c r="XC16" s="394"/>
      <c r="XD16" s="394"/>
      <c r="XE16" s="394"/>
      <c r="XF16" s="394"/>
      <c r="XG16" s="394"/>
      <c r="XH16" s="394"/>
      <c r="XI16" s="394"/>
      <c r="XJ16" s="394"/>
      <c r="XK16" s="394"/>
      <c r="XL16" s="394"/>
      <c r="XM16" s="394"/>
      <c r="XN16" s="394"/>
      <c r="XO16" s="394"/>
      <c r="XP16" s="394"/>
      <c r="XQ16" s="394"/>
      <c r="XR16" s="394"/>
      <c r="XS16" s="394"/>
      <c r="XT16" s="394"/>
      <c r="XU16" s="394"/>
      <c r="XV16" s="394"/>
      <c r="XW16" s="394"/>
      <c r="XX16" s="394"/>
      <c r="XY16" s="394"/>
      <c r="XZ16" s="394"/>
      <c r="YA16" s="394"/>
      <c r="YB16" s="394"/>
      <c r="YC16" s="394"/>
      <c r="YD16" s="394"/>
      <c r="YE16" s="394"/>
      <c r="YF16" s="394"/>
      <c r="YG16" s="394"/>
      <c r="YH16" s="394"/>
      <c r="YI16" s="394"/>
      <c r="YJ16" s="394"/>
      <c r="YK16" s="394"/>
      <c r="YL16" s="394"/>
      <c r="YM16" s="394"/>
      <c r="YN16" s="394"/>
      <c r="YO16" s="394"/>
      <c r="YP16" s="394"/>
      <c r="YQ16" s="394"/>
      <c r="YR16" s="394"/>
      <c r="YS16" s="394"/>
      <c r="YT16" s="394"/>
      <c r="YU16" s="394"/>
      <c r="YV16" s="394"/>
      <c r="YW16" s="394"/>
      <c r="YX16" s="394"/>
      <c r="YY16" s="394"/>
      <c r="YZ16" s="394"/>
      <c r="ZA16" s="394"/>
      <c r="ZB16" s="394"/>
      <c r="ZC16" s="394"/>
      <c r="ZD16" s="394"/>
      <c r="ZE16" s="394"/>
      <c r="ZF16" s="394"/>
      <c r="ZG16" s="394"/>
      <c r="ZH16" s="394"/>
      <c r="ZI16" s="394"/>
      <c r="ZJ16" s="394"/>
      <c r="ZK16" s="394"/>
      <c r="ZL16" s="394"/>
      <c r="ZM16" s="394"/>
      <c r="ZN16" s="394"/>
      <c r="ZO16" s="394"/>
      <c r="ZP16" s="394"/>
      <c r="ZQ16" s="394"/>
      <c r="ZR16" s="394"/>
      <c r="ZS16" s="394"/>
      <c r="ZT16" s="394"/>
      <c r="ZU16" s="394"/>
      <c r="ZV16" s="394"/>
      <c r="ZW16" s="394"/>
      <c r="ZX16" s="394"/>
      <c r="ZY16" s="394"/>
      <c r="ZZ16" s="394"/>
      <c r="AAA16" s="394"/>
      <c r="AAB16" s="394"/>
      <c r="AAC16" s="394"/>
      <c r="AAD16" s="394"/>
      <c r="AAE16" s="394"/>
      <c r="AAF16" s="394"/>
      <c r="AAG16" s="394"/>
      <c r="AAH16" s="394"/>
      <c r="AAI16" s="394"/>
      <c r="AAJ16" s="394"/>
      <c r="AAK16" s="394"/>
      <c r="AAL16" s="394"/>
      <c r="AAM16" s="394"/>
      <c r="AAN16" s="394"/>
      <c r="AAO16" s="394"/>
      <c r="AAP16" s="394"/>
      <c r="AAQ16" s="394"/>
      <c r="AAR16" s="394"/>
      <c r="AAS16" s="394"/>
      <c r="AAT16" s="394"/>
      <c r="AAU16" s="394"/>
      <c r="AAV16" s="394"/>
      <c r="AAW16" s="394"/>
      <c r="AAX16" s="394"/>
      <c r="AAY16" s="394"/>
      <c r="AAZ16" s="394"/>
      <c r="ABA16" s="394"/>
      <c r="ABB16" s="394"/>
      <c r="ABC16" s="394"/>
      <c r="ABD16" s="394"/>
      <c r="ABE16" s="394"/>
      <c r="ABF16" s="394"/>
      <c r="ABG16" s="394"/>
      <c r="ABH16" s="394"/>
      <c r="ABI16" s="394"/>
      <c r="ABJ16" s="394"/>
      <c r="ABK16" s="394"/>
      <c r="ABL16" s="394"/>
      <c r="ABM16" s="394"/>
      <c r="ABN16" s="394"/>
      <c r="ABO16" s="394"/>
      <c r="ABP16" s="394"/>
      <c r="ABQ16" s="394"/>
      <c r="ABR16" s="394"/>
      <c r="ABS16" s="394"/>
      <c r="ABT16" s="394"/>
      <c r="ABU16" s="394"/>
      <c r="ABV16" s="394"/>
      <c r="ABW16" s="394"/>
      <c r="ABX16" s="394"/>
      <c r="ABY16" s="394"/>
      <c r="ABZ16" s="394"/>
      <c r="ACA16" s="394"/>
      <c r="ACB16" s="394"/>
      <c r="ACC16" s="394"/>
      <c r="ACD16" s="394"/>
      <c r="ACE16" s="394"/>
      <c r="ACF16" s="394"/>
      <c r="ACG16" s="394"/>
      <c r="ACH16" s="394"/>
      <c r="ACI16" s="394"/>
      <c r="ACJ16" s="394"/>
      <c r="ACK16" s="394"/>
      <c r="ACL16" s="394"/>
      <c r="ACM16" s="394"/>
      <c r="ACN16" s="394"/>
      <c r="ACO16" s="394"/>
      <c r="ACP16" s="394"/>
      <c r="ACQ16" s="394"/>
      <c r="ACR16" s="394"/>
      <c r="ACS16" s="394"/>
      <c r="ACT16" s="394"/>
      <c r="ACU16" s="394"/>
      <c r="ACV16" s="394"/>
      <c r="ACW16" s="394"/>
      <c r="ACX16" s="394"/>
      <c r="ACY16" s="394"/>
      <c r="ACZ16" s="394"/>
      <c r="ADA16" s="394"/>
      <c r="ADB16" s="394"/>
      <c r="ADC16" s="394"/>
      <c r="ADD16" s="394"/>
      <c r="ADE16" s="394"/>
      <c r="ADF16" s="394"/>
      <c r="ADG16" s="394"/>
      <c r="ADH16" s="394"/>
      <c r="ADI16" s="394"/>
      <c r="ADJ16" s="394"/>
      <c r="ADK16" s="394"/>
      <c r="ADL16" s="394"/>
      <c r="ADM16" s="394"/>
      <c r="ADN16" s="394"/>
      <c r="ADO16" s="394"/>
      <c r="ADP16" s="394"/>
      <c r="ADQ16" s="394"/>
      <c r="ADR16" s="394"/>
      <c r="ADS16" s="394"/>
      <c r="ADT16" s="394"/>
      <c r="ADU16" s="394"/>
      <c r="ADV16" s="394"/>
      <c r="ADW16" s="394"/>
      <c r="ADX16" s="394"/>
      <c r="ADY16" s="394"/>
      <c r="ADZ16" s="394"/>
      <c r="AEA16" s="394"/>
      <c r="AEB16" s="394"/>
      <c r="AEC16" s="394"/>
      <c r="AED16" s="394"/>
      <c r="AEE16" s="394"/>
      <c r="AEF16" s="394"/>
      <c r="AEG16" s="394"/>
      <c r="AEH16" s="394"/>
      <c r="AEI16" s="394"/>
      <c r="AEJ16" s="394"/>
      <c r="AEK16" s="394"/>
      <c r="AEL16" s="394"/>
      <c r="AEM16" s="394"/>
      <c r="AEN16" s="394"/>
      <c r="AEO16" s="394"/>
      <c r="AEP16" s="394"/>
      <c r="AEQ16" s="394"/>
      <c r="AER16" s="394"/>
      <c r="AES16" s="394"/>
      <c r="AET16" s="394"/>
      <c r="AEU16" s="394"/>
      <c r="AEV16" s="394"/>
      <c r="AEW16" s="394"/>
      <c r="AEX16" s="394"/>
      <c r="AEY16" s="394"/>
      <c r="AEZ16" s="394"/>
      <c r="AFA16" s="394"/>
      <c r="AFB16" s="394"/>
      <c r="AFC16" s="394"/>
      <c r="AFD16" s="394"/>
      <c r="AFE16" s="394"/>
      <c r="AFF16" s="394"/>
      <c r="AFG16" s="394"/>
      <c r="AFH16" s="394"/>
      <c r="AFI16" s="394"/>
      <c r="AFJ16" s="394"/>
      <c r="AFK16" s="394"/>
      <c r="AFL16" s="394"/>
      <c r="AFM16" s="394"/>
      <c r="AFN16" s="394"/>
      <c r="AFO16" s="394"/>
      <c r="AFP16" s="394"/>
      <c r="AFQ16" s="394"/>
      <c r="AFR16" s="394"/>
      <c r="AFS16" s="394"/>
      <c r="AFT16" s="394"/>
      <c r="AFU16" s="394"/>
      <c r="AFV16" s="394"/>
      <c r="AFW16" s="394"/>
      <c r="AFX16" s="394"/>
      <c r="AFY16" s="394"/>
      <c r="AFZ16" s="394"/>
      <c r="AGA16" s="394"/>
      <c r="AGB16" s="394"/>
      <c r="AGC16" s="394"/>
      <c r="AGD16" s="394"/>
      <c r="AGE16" s="394"/>
      <c r="AGF16" s="394"/>
      <c r="AGG16" s="394"/>
      <c r="AGH16" s="394"/>
      <c r="AGI16" s="394"/>
      <c r="AGJ16" s="394"/>
      <c r="AGK16" s="394"/>
      <c r="AGL16" s="394"/>
      <c r="AGM16" s="394"/>
      <c r="AGN16" s="394"/>
      <c r="AGO16" s="394"/>
      <c r="AGP16" s="394"/>
      <c r="AGQ16" s="394"/>
      <c r="AGR16" s="394"/>
      <c r="AGS16" s="394"/>
      <c r="AGT16" s="394"/>
      <c r="AGU16" s="394"/>
      <c r="AGV16" s="394"/>
      <c r="AGW16" s="394"/>
      <c r="AGX16" s="394"/>
      <c r="AGY16" s="394"/>
      <c r="AGZ16" s="394"/>
      <c r="AHA16" s="394"/>
      <c r="AHB16" s="394"/>
      <c r="AHC16" s="394"/>
      <c r="AHD16" s="394"/>
      <c r="AHE16" s="394"/>
      <c r="AHF16" s="394"/>
      <c r="AHG16" s="394"/>
      <c r="AHH16" s="394"/>
      <c r="AHI16" s="394"/>
      <c r="AHJ16" s="394"/>
      <c r="AHK16" s="394"/>
      <c r="AHL16" s="394"/>
      <c r="AHM16" s="394"/>
      <c r="AHN16" s="394"/>
      <c r="AHO16" s="394"/>
      <c r="AHP16" s="394"/>
      <c r="AHQ16" s="394"/>
      <c r="AHR16" s="394"/>
      <c r="AHS16" s="394"/>
      <c r="AHT16" s="394"/>
      <c r="AHU16" s="394"/>
      <c r="AHV16" s="394"/>
      <c r="AHW16" s="394"/>
      <c r="AHX16" s="394"/>
      <c r="AHY16" s="394"/>
      <c r="AHZ16" s="394"/>
      <c r="AIA16" s="394"/>
      <c r="AIB16" s="394"/>
      <c r="AIC16" s="394"/>
      <c r="AID16" s="394"/>
      <c r="AIE16" s="394"/>
      <c r="AIF16" s="394"/>
      <c r="AIG16" s="394"/>
      <c r="AIH16" s="394"/>
      <c r="AII16" s="394"/>
      <c r="AIJ16" s="394"/>
      <c r="AIK16" s="394"/>
      <c r="AIL16" s="394"/>
      <c r="AIM16" s="394"/>
      <c r="AIN16" s="394"/>
      <c r="AIO16" s="394"/>
      <c r="AIP16" s="394"/>
      <c r="AIQ16" s="394"/>
      <c r="AIR16" s="394"/>
      <c r="AIS16" s="394"/>
      <c r="AIT16" s="394"/>
      <c r="AIU16" s="394"/>
      <c r="AIV16" s="394"/>
      <c r="AIW16" s="394"/>
      <c r="AIX16" s="394"/>
      <c r="AIY16" s="394"/>
      <c r="AIZ16" s="394"/>
      <c r="AJA16" s="394"/>
      <c r="AJB16" s="394"/>
      <c r="AJC16" s="394"/>
      <c r="AJD16" s="394"/>
      <c r="AJE16" s="394"/>
      <c r="AJF16" s="394"/>
      <c r="AJG16" s="394"/>
      <c r="AJH16" s="394"/>
      <c r="AJI16" s="394"/>
      <c r="AJJ16" s="394"/>
      <c r="AJK16" s="394"/>
      <c r="AJL16" s="394"/>
      <c r="AJM16" s="394"/>
      <c r="AJN16" s="394"/>
      <c r="AJO16" s="394"/>
      <c r="AJP16" s="394"/>
      <c r="AJQ16" s="394"/>
      <c r="AJR16" s="394"/>
      <c r="AJS16" s="394"/>
      <c r="AJT16" s="394"/>
      <c r="AJU16" s="394"/>
      <c r="AJV16" s="394"/>
      <c r="AJW16" s="394"/>
      <c r="AJX16" s="394"/>
      <c r="AJY16" s="394"/>
      <c r="AJZ16" s="394"/>
      <c r="AKA16" s="394"/>
      <c r="AKB16" s="394"/>
      <c r="AKC16" s="394"/>
      <c r="AKD16" s="394"/>
      <c r="AKE16" s="394"/>
      <c r="AKF16" s="394"/>
      <c r="AKG16" s="394"/>
      <c r="AKH16" s="394"/>
      <c r="AKI16" s="394"/>
      <c r="AKJ16" s="394"/>
      <c r="AKK16" s="394"/>
      <c r="AKL16" s="394"/>
      <c r="AKM16" s="394"/>
      <c r="AKN16" s="394"/>
      <c r="AKO16" s="394"/>
      <c r="AKP16" s="394"/>
      <c r="AKQ16" s="394"/>
      <c r="AKR16" s="394"/>
      <c r="AKS16" s="394"/>
      <c r="AKT16" s="394"/>
      <c r="AKU16" s="394"/>
      <c r="AKV16" s="394"/>
      <c r="AKW16" s="394"/>
      <c r="AKX16" s="394"/>
      <c r="AKY16" s="394"/>
      <c r="AKZ16" s="394"/>
      <c r="ALA16" s="394"/>
      <c r="ALB16" s="394"/>
      <c r="ALC16" s="394"/>
      <c r="ALD16" s="394"/>
      <c r="ALE16" s="394"/>
      <c r="ALF16" s="394"/>
      <c r="ALG16" s="394"/>
      <c r="ALH16" s="394"/>
      <c r="ALI16" s="394"/>
      <c r="ALJ16" s="394"/>
      <c r="ALK16" s="394"/>
      <c r="ALL16" s="394"/>
      <c r="ALM16" s="394"/>
      <c r="ALN16" s="394"/>
      <c r="ALO16" s="394"/>
      <c r="ALP16" s="394"/>
      <c r="ALQ16" s="394"/>
      <c r="ALR16" s="394"/>
      <c r="ALS16" s="394"/>
      <c r="ALT16" s="394"/>
      <c r="ALU16" s="394"/>
      <c r="ALV16" s="394"/>
      <c r="ALW16" s="394"/>
      <c r="ALX16" s="394"/>
      <c r="ALY16" s="394"/>
      <c r="ALZ16" s="394"/>
      <c r="AMA16" s="394"/>
      <c r="AMB16" s="394"/>
      <c r="AMC16" s="394"/>
      <c r="AMD16" s="394"/>
      <c r="AME16" s="394"/>
      <c r="AMF16" s="394"/>
      <c r="AMG16" s="394"/>
      <c r="AMH16" s="394"/>
      <c r="AMI16" s="394"/>
      <c r="AMJ16" s="394"/>
      <c r="AMK16" s="394"/>
      <c r="AML16" s="394"/>
      <c r="AMM16" s="394"/>
      <c r="AMN16" s="394"/>
      <c r="AMO16" s="394"/>
      <c r="AMP16" s="394"/>
      <c r="AMQ16" s="394"/>
      <c r="AMR16" s="394"/>
      <c r="AMS16" s="394"/>
      <c r="AMT16" s="394"/>
      <c r="AMU16" s="394"/>
      <c r="AMV16" s="394"/>
      <c r="AMW16" s="394"/>
      <c r="AMX16" s="394"/>
      <c r="AMY16" s="394"/>
      <c r="AMZ16" s="394"/>
      <c r="ANA16" s="394"/>
      <c r="ANB16" s="394"/>
      <c r="ANC16" s="394"/>
      <c r="AND16" s="394"/>
      <c r="ANE16" s="394"/>
      <c r="ANF16" s="394"/>
      <c r="ANG16" s="394"/>
      <c r="ANH16" s="394"/>
      <c r="ANI16" s="394"/>
      <c r="ANJ16" s="394"/>
      <c r="ANK16" s="394"/>
      <c r="ANL16" s="394"/>
      <c r="ANM16" s="394"/>
      <c r="ANN16" s="394"/>
      <c r="ANO16" s="394"/>
      <c r="ANP16" s="394"/>
      <c r="ANQ16" s="394"/>
      <c r="ANR16" s="394"/>
      <c r="ANS16" s="394"/>
      <c r="ANT16" s="394"/>
      <c r="ANU16" s="394"/>
      <c r="ANV16" s="394"/>
      <c r="ANW16" s="394"/>
      <c r="ANX16" s="394"/>
      <c r="ANY16" s="394"/>
      <c r="ANZ16" s="394"/>
      <c r="AOA16" s="394"/>
      <c r="AOB16" s="394"/>
      <c r="AOC16" s="394"/>
      <c r="AOD16" s="394"/>
      <c r="AOE16" s="394"/>
      <c r="AOF16" s="394"/>
      <c r="AOG16" s="394"/>
      <c r="AOH16" s="394"/>
      <c r="AOI16" s="394"/>
      <c r="AOJ16" s="394"/>
      <c r="AOK16" s="394"/>
      <c r="AOL16" s="394"/>
      <c r="AOM16" s="394"/>
      <c r="AON16" s="394"/>
      <c r="AOO16" s="394"/>
      <c r="AOP16" s="394"/>
      <c r="AOQ16" s="394"/>
      <c r="AOR16" s="394"/>
      <c r="AOS16" s="394"/>
      <c r="AOT16" s="394"/>
      <c r="AOU16" s="394"/>
      <c r="AOV16" s="394"/>
      <c r="AOW16" s="394"/>
      <c r="AOX16" s="394"/>
      <c r="AOY16" s="394"/>
      <c r="AOZ16" s="394"/>
      <c r="APA16" s="394"/>
      <c r="APB16" s="394"/>
      <c r="APC16" s="394"/>
      <c r="APD16" s="394"/>
      <c r="APE16" s="394"/>
      <c r="APF16" s="394"/>
      <c r="APG16" s="394"/>
      <c r="APH16" s="394"/>
      <c r="API16" s="394"/>
      <c r="APJ16" s="394"/>
      <c r="APK16" s="394"/>
      <c r="APL16" s="394"/>
      <c r="APM16" s="394"/>
      <c r="APN16" s="394"/>
      <c r="APO16" s="394"/>
      <c r="APP16" s="394"/>
      <c r="APQ16" s="394"/>
      <c r="APR16" s="394"/>
      <c r="APS16" s="394"/>
      <c r="APT16" s="394"/>
      <c r="APU16" s="394"/>
      <c r="APV16" s="394"/>
      <c r="APW16" s="394"/>
      <c r="APX16" s="394"/>
      <c r="APY16" s="394"/>
      <c r="APZ16" s="394"/>
      <c r="AQA16" s="394"/>
      <c r="AQB16" s="394"/>
      <c r="AQC16" s="394"/>
      <c r="AQD16" s="394"/>
      <c r="AQE16" s="394"/>
      <c r="AQF16" s="394"/>
      <c r="AQG16" s="394"/>
      <c r="AQH16" s="394"/>
      <c r="AQI16" s="394"/>
      <c r="AQJ16" s="394"/>
      <c r="AQK16" s="394"/>
      <c r="AQL16" s="394"/>
      <c r="AQM16" s="394"/>
      <c r="AQN16" s="394"/>
      <c r="AQO16" s="394"/>
      <c r="AQP16" s="394"/>
      <c r="AQQ16" s="394"/>
      <c r="AQR16" s="394"/>
      <c r="AQS16" s="394"/>
      <c r="AQT16" s="394"/>
      <c r="AQU16" s="394"/>
      <c r="AQV16" s="394"/>
      <c r="AQW16" s="394"/>
      <c r="AQX16" s="394"/>
      <c r="AQY16" s="394"/>
      <c r="AQZ16" s="394"/>
      <c r="ARA16" s="394"/>
      <c r="ARB16" s="394"/>
      <c r="ARC16" s="394"/>
      <c r="ARD16" s="394"/>
      <c r="ARE16" s="394"/>
      <c r="ARF16" s="394"/>
      <c r="ARG16" s="394"/>
      <c r="ARH16" s="394"/>
      <c r="ARI16" s="394"/>
      <c r="ARJ16" s="394"/>
      <c r="ARK16" s="394"/>
      <c r="ARL16" s="394"/>
      <c r="ARM16" s="394"/>
      <c r="ARN16" s="394"/>
      <c r="ARO16" s="394"/>
      <c r="ARP16" s="394"/>
      <c r="ARQ16" s="394"/>
      <c r="ARR16" s="394"/>
      <c r="ARS16" s="394"/>
      <c r="ART16" s="394"/>
      <c r="ARU16" s="394"/>
      <c r="ARV16" s="394"/>
      <c r="ARW16" s="394"/>
      <c r="ARX16" s="394"/>
      <c r="ARY16" s="394"/>
      <c r="ARZ16" s="394"/>
      <c r="ASA16" s="394"/>
      <c r="ASB16" s="394"/>
      <c r="ASC16" s="394"/>
      <c r="ASD16" s="394"/>
      <c r="ASE16" s="394"/>
      <c r="ASF16" s="394"/>
      <c r="ASG16" s="394"/>
      <c r="ASH16" s="394"/>
      <c r="ASI16" s="394"/>
      <c r="ASJ16" s="394"/>
      <c r="ASK16" s="394"/>
      <c r="ASL16" s="394"/>
      <c r="ASM16" s="394"/>
      <c r="ASN16" s="394"/>
      <c r="ASO16" s="394"/>
      <c r="ASP16" s="394"/>
      <c r="ASQ16" s="394"/>
      <c r="ASR16" s="394"/>
      <c r="ASS16" s="394"/>
      <c r="AST16" s="394"/>
      <c r="ASU16" s="394"/>
      <c r="ASV16" s="394"/>
      <c r="ASW16" s="394"/>
      <c r="ASX16" s="394"/>
      <c r="ASY16" s="394"/>
      <c r="ASZ16" s="394"/>
      <c r="ATA16" s="394"/>
      <c r="ATB16" s="394"/>
      <c r="ATC16" s="394"/>
      <c r="ATD16" s="394"/>
      <c r="ATE16" s="394"/>
      <c r="ATF16" s="394"/>
      <c r="ATG16" s="394"/>
      <c r="ATH16" s="394"/>
      <c r="ATI16" s="394"/>
      <c r="ATJ16" s="394"/>
      <c r="ATK16" s="394"/>
      <c r="ATL16" s="394"/>
      <c r="ATM16" s="394"/>
      <c r="ATN16" s="394"/>
      <c r="ATO16" s="394"/>
      <c r="ATP16" s="394"/>
      <c r="ATQ16" s="394"/>
      <c r="ATR16" s="394"/>
      <c r="ATS16" s="394"/>
      <c r="ATT16" s="394"/>
      <c r="ATU16" s="394"/>
      <c r="ATV16" s="394"/>
      <c r="ATW16" s="394"/>
      <c r="ATX16" s="394"/>
      <c r="ATY16" s="394"/>
      <c r="ATZ16" s="394"/>
      <c r="AUA16" s="394"/>
      <c r="AUB16" s="394"/>
      <c r="AUC16" s="394"/>
      <c r="AUD16" s="394"/>
      <c r="AUE16" s="394"/>
      <c r="AUF16" s="394"/>
      <c r="AUG16" s="394"/>
      <c r="AUH16" s="394"/>
      <c r="AUI16" s="394"/>
      <c r="AUJ16" s="394"/>
      <c r="AUK16" s="394"/>
      <c r="AUL16" s="394"/>
      <c r="AUM16" s="394"/>
      <c r="AUN16" s="394"/>
      <c r="AUO16" s="394"/>
      <c r="AUP16" s="394"/>
      <c r="AUQ16" s="394"/>
      <c r="AUR16" s="394"/>
      <c r="AUS16" s="394"/>
      <c r="AUT16" s="394"/>
      <c r="AUU16" s="394"/>
      <c r="AUV16" s="394"/>
      <c r="AUW16" s="394"/>
      <c r="AUX16" s="394"/>
      <c r="AUY16" s="394"/>
      <c r="AUZ16" s="394"/>
      <c r="AVA16" s="394"/>
      <c r="AVB16" s="394"/>
      <c r="AVC16" s="394"/>
      <c r="AVD16" s="394"/>
      <c r="AVE16" s="394"/>
      <c r="AVF16" s="394"/>
      <c r="AVG16" s="394"/>
      <c r="AVH16" s="394"/>
      <c r="AVI16" s="394"/>
      <c r="AVJ16" s="394"/>
      <c r="AVK16" s="394"/>
      <c r="AVL16" s="394"/>
      <c r="AVM16" s="394"/>
      <c r="AVN16" s="394"/>
      <c r="AVO16" s="394"/>
      <c r="AVP16" s="394"/>
      <c r="AVQ16" s="394"/>
      <c r="AVR16" s="394"/>
      <c r="AVS16" s="394"/>
      <c r="AVT16" s="394"/>
      <c r="AVU16" s="394"/>
      <c r="AVV16" s="394"/>
      <c r="AVW16" s="394"/>
      <c r="AVX16" s="394"/>
      <c r="AVY16" s="394"/>
      <c r="AVZ16" s="394"/>
      <c r="AWA16" s="394"/>
      <c r="AWB16" s="394"/>
      <c r="AWC16" s="394"/>
      <c r="AWD16" s="394"/>
      <c r="AWE16" s="394"/>
      <c r="AWF16" s="394"/>
      <c r="AWG16" s="394"/>
      <c r="AWH16" s="394"/>
      <c r="AWI16" s="394"/>
      <c r="AWJ16" s="394"/>
      <c r="AWK16" s="394"/>
      <c r="AWL16" s="394"/>
      <c r="AWM16" s="394"/>
      <c r="AWN16" s="394"/>
      <c r="AWO16" s="394"/>
      <c r="AWP16" s="394"/>
      <c r="AWQ16" s="394"/>
      <c r="AWR16" s="394"/>
      <c r="AWS16" s="394"/>
      <c r="AWT16" s="394"/>
      <c r="AWU16" s="394"/>
      <c r="AWV16" s="394"/>
      <c r="AWW16" s="394"/>
      <c r="AWX16" s="394"/>
      <c r="AWY16" s="394"/>
      <c r="AWZ16" s="394"/>
      <c r="AXA16" s="394"/>
      <c r="AXB16" s="394"/>
      <c r="AXC16" s="394"/>
      <c r="AXD16" s="394"/>
      <c r="AXE16" s="394"/>
      <c r="AXF16" s="394"/>
      <c r="AXG16" s="394"/>
      <c r="AXH16" s="394"/>
      <c r="AXI16" s="394"/>
      <c r="AXJ16" s="394"/>
      <c r="AXK16" s="394"/>
      <c r="AXL16" s="394"/>
      <c r="AXM16" s="394"/>
      <c r="AXN16" s="394"/>
      <c r="AXO16" s="394"/>
      <c r="AXP16" s="394"/>
      <c r="AXQ16" s="394"/>
      <c r="AXR16" s="394"/>
      <c r="AXS16" s="394"/>
      <c r="AXT16" s="394"/>
      <c r="AXU16" s="394"/>
      <c r="AXV16" s="394"/>
      <c r="AXW16" s="394"/>
      <c r="AXX16" s="394"/>
      <c r="AXY16" s="394"/>
      <c r="AXZ16" s="394"/>
      <c r="AYA16" s="394"/>
      <c r="AYB16" s="394"/>
      <c r="AYC16" s="394"/>
      <c r="AYD16" s="394"/>
      <c r="AYE16" s="394"/>
      <c r="AYF16" s="394"/>
      <c r="AYG16" s="394"/>
      <c r="AYH16" s="394"/>
      <c r="AYI16" s="394"/>
      <c r="AYJ16" s="394"/>
      <c r="AYK16" s="394"/>
      <c r="AYL16" s="394"/>
      <c r="AYM16" s="394"/>
      <c r="AYN16" s="394"/>
      <c r="AYO16" s="394"/>
      <c r="AYP16" s="394"/>
      <c r="AYQ16" s="394"/>
      <c r="AYR16" s="394"/>
      <c r="AYS16" s="394"/>
      <c r="AYT16" s="394"/>
      <c r="AYU16" s="394"/>
      <c r="AYV16" s="394"/>
      <c r="AYW16" s="394"/>
      <c r="AYX16" s="394"/>
      <c r="AYY16" s="394"/>
      <c r="AYZ16" s="394"/>
      <c r="AZA16" s="394"/>
      <c r="AZB16" s="394"/>
      <c r="AZC16" s="394"/>
      <c r="AZD16" s="394"/>
      <c r="AZE16" s="394"/>
      <c r="AZF16" s="394"/>
      <c r="AZG16" s="394"/>
      <c r="AZH16" s="394"/>
      <c r="AZI16" s="394"/>
      <c r="AZJ16" s="394"/>
      <c r="AZK16" s="394"/>
      <c r="AZL16" s="394"/>
      <c r="AZM16" s="394"/>
      <c r="AZN16" s="394"/>
      <c r="AZO16" s="394"/>
      <c r="AZP16" s="394"/>
      <c r="AZQ16" s="394"/>
      <c r="AZR16" s="394"/>
      <c r="AZS16" s="394"/>
      <c r="AZT16" s="394"/>
      <c r="AZU16" s="394"/>
      <c r="AZV16" s="394"/>
      <c r="AZW16" s="394"/>
      <c r="AZX16" s="394"/>
      <c r="AZY16" s="394"/>
      <c r="AZZ16" s="394"/>
      <c r="BAA16" s="394"/>
      <c r="BAB16" s="394"/>
      <c r="BAC16" s="394"/>
      <c r="BAD16" s="394"/>
      <c r="BAE16" s="394"/>
      <c r="BAF16" s="394"/>
      <c r="BAG16" s="394"/>
      <c r="BAH16" s="394"/>
      <c r="BAI16" s="394"/>
      <c r="BAJ16" s="394"/>
      <c r="BAK16" s="394"/>
      <c r="BAL16" s="394"/>
      <c r="BAM16" s="394"/>
      <c r="BAN16" s="394"/>
      <c r="BAO16" s="394"/>
      <c r="BAP16" s="394"/>
      <c r="BAQ16" s="394"/>
      <c r="BAR16" s="394"/>
      <c r="BAS16" s="394"/>
      <c r="BAT16" s="394"/>
      <c r="BAU16" s="394"/>
      <c r="BAV16" s="394"/>
      <c r="BAW16" s="394"/>
      <c r="BAX16" s="394"/>
      <c r="BAY16" s="394"/>
      <c r="BAZ16" s="394"/>
      <c r="BBA16" s="394"/>
      <c r="BBB16" s="394"/>
      <c r="BBC16" s="394"/>
      <c r="BBD16" s="394"/>
      <c r="BBE16" s="394"/>
      <c r="BBF16" s="394"/>
      <c r="BBG16" s="394"/>
      <c r="BBH16" s="394"/>
      <c r="BBI16" s="394"/>
      <c r="BBJ16" s="394"/>
      <c r="BBK16" s="394"/>
      <c r="BBL16" s="394"/>
      <c r="BBM16" s="394"/>
      <c r="BBN16" s="394"/>
      <c r="BBO16" s="394"/>
      <c r="BBP16" s="394"/>
      <c r="BBQ16" s="394"/>
      <c r="BBR16" s="394"/>
      <c r="BBS16" s="394"/>
      <c r="BBT16" s="394"/>
      <c r="BBU16" s="394"/>
      <c r="BBV16" s="394"/>
      <c r="BBW16" s="394"/>
      <c r="BBX16" s="394"/>
      <c r="BBY16" s="394"/>
      <c r="BBZ16" s="394"/>
      <c r="BCA16" s="394"/>
      <c r="BCB16" s="394"/>
      <c r="BCC16" s="394"/>
      <c r="BCD16" s="394"/>
      <c r="BCE16" s="394"/>
      <c r="BCF16" s="394"/>
      <c r="BCG16" s="394"/>
      <c r="BCH16" s="394"/>
      <c r="BCI16" s="394"/>
      <c r="BCJ16" s="394"/>
      <c r="BCK16" s="394"/>
      <c r="BCL16" s="394"/>
      <c r="BCM16" s="394"/>
      <c r="BCN16" s="394"/>
      <c r="BCO16" s="394"/>
      <c r="BCP16" s="394"/>
      <c r="BCQ16" s="394"/>
      <c r="BCR16" s="394"/>
      <c r="BCS16" s="394"/>
      <c r="BCT16" s="394"/>
      <c r="BCU16" s="394"/>
      <c r="BCV16" s="394"/>
      <c r="BCW16" s="394"/>
      <c r="BCX16" s="394"/>
      <c r="BCY16" s="394"/>
      <c r="BCZ16" s="394"/>
      <c r="BDA16" s="394"/>
      <c r="BDB16" s="394"/>
      <c r="BDC16" s="394"/>
      <c r="BDD16" s="394"/>
      <c r="BDE16" s="394"/>
      <c r="BDF16" s="394"/>
      <c r="BDG16" s="394"/>
      <c r="BDH16" s="394"/>
      <c r="BDI16" s="394"/>
      <c r="BDJ16" s="394"/>
      <c r="BDK16" s="394"/>
      <c r="BDL16" s="394"/>
      <c r="BDM16" s="394"/>
      <c r="BDN16" s="394"/>
      <c r="BDO16" s="394"/>
      <c r="BDP16" s="394"/>
      <c r="BDQ16" s="394"/>
      <c r="BDR16" s="394"/>
      <c r="BDS16" s="394"/>
      <c r="BDT16" s="394"/>
      <c r="BDU16" s="394"/>
      <c r="BDV16" s="394"/>
      <c r="BDW16" s="394"/>
      <c r="BDX16" s="394"/>
      <c r="BDY16" s="394"/>
      <c r="BDZ16" s="394"/>
      <c r="BEA16" s="394"/>
      <c r="BEB16" s="394"/>
      <c r="BEC16" s="394"/>
      <c r="BED16" s="394"/>
      <c r="BEE16" s="394"/>
      <c r="BEF16" s="394"/>
      <c r="BEG16" s="394"/>
      <c r="BEH16" s="394"/>
      <c r="BEI16" s="394"/>
      <c r="BEJ16" s="394"/>
      <c r="BEK16" s="394"/>
      <c r="BEL16" s="394"/>
      <c r="BEM16" s="394"/>
      <c r="BEN16" s="394"/>
      <c r="BEO16" s="394"/>
      <c r="BEP16" s="394"/>
      <c r="BEQ16" s="394"/>
      <c r="BER16" s="394"/>
      <c r="BES16" s="394"/>
      <c r="BET16" s="394"/>
      <c r="BEU16" s="394"/>
      <c r="BEV16" s="394"/>
      <c r="BEW16" s="394"/>
      <c r="BEX16" s="394"/>
      <c r="BEY16" s="394"/>
      <c r="BEZ16" s="394"/>
      <c r="BFA16" s="394"/>
      <c r="BFB16" s="394"/>
      <c r="BFC16" s="394"/>
      <c r="BFD16" s="394"/>
      <c r="BFE16" s="394"/>
      <c r="BFF16" s="394"/>
      <c r="BFG16" s="394"/>
      <c r="BFH16" s="394"/>
      <c r="BFI16" s="394"/>
      <c r="BFJ16" s="394"/>
      <c r="BFK16" s="394"/>
      <c r="BFL16" s="394"/>
      <c r="BFM16" s="394"/>
      <c r="BFN16" s="394"/>
      <c r="BFO16" s="394"/>
      <c r="BFP16" s="394"/>
      <c r="BFQ16" s="394"/>
      <c r="BFR16" s="394"/>
      <c r="BFS16" s="394"/>
      <c r="BFT16" s="394"/>
      <c r="BFU16" s="394"/>
      <c r="BFV16" s="394"/>
      <c r="BFW16" s="394"/>
      <c r="BFX16" s="394"/>
      <c r="BFY16" s="394"/>
      <c r="BFZ16" s="394"/>
      <c r="BGA16" s="394"/>
      <c r="BGB16" s="394"/>
      <c r="BGC16" s="394"/>
      <c r="BGD16" s="394"/>
      <c r="BGE16" s="394"/>
      <c r="BGF16" s="394"/>
      <c r="BGG16" s="394"/>
      <c r="BGH16" s="394"/>
      <c r="BGI16" s="394"/>
      <c r="BGJ16" s="394"/>
      <c r="BGK16" s="394"/>
      <c r="BGL16" s="394"/>
      <c r="BGM16" s="394"/>
      <c r="BGN16" s="394"/>
      <c r="BGO16" s="394"/>
      <c r="BGP16" s="394"/>
      <c r="BGQ16" s="394"/>
      <c r="BGR16" s="394"/>
      <c r="BGS16" s="394"/>
      <c r="BGT16" s="394"/>
      <c r="BGU16" s="394"/>
      <c r="BGV16" s="394"/>
      <c r="BGW16" s="394"/>
      <c r="BGX16" s="394"/>
      <c r="BGY16" s="394"/>
      <c r="BGZ16" s="394"/>
      <c r="BHA16" s="394"/>
      <c r="BHB16" s="394"/>
      <c r="BHC16" s="394"/>
      <c r="BHD16" s="394"/>
      <c r="BHE16" s="394"/>
      <c r="BHF16" s="394"/>
      <c r="BHG16" s="394"/>
      <c r="BHH16" s="394"/>
      <c r="BHI16" s="394"/>
      <c r="BHJ16" s="394"/>
      <c r="BHK16" s="394"/>
      <c r="BHL16" s="394"/>
      <c r="BHM16" s="394"/>
      <c r="BHN16" s="394"/>
      <c r="BHO16" s="394"/>
      <c r="BHP16" s="394"/>
      <c r="BHQ16" s="394"/>
      <c r="BHR16" s="394"/>
      <c r="BHS16" s="394"/>
      <c r="BHT16" s="394"/>
      <c r="BHU16" s="394"/>
      <c r="BHV16" s="394"/>
      <c r="BHW16" s="394"/>
      <c r="BHX16" s="394"/>
      <c r="BHY16" s="394"/>
      <c r="BHZ16" s="394"/>
      <c r="BIA16" s="394"/>
      <c r="BIB16" s="394"/>
      <c r="BIC16" s="394"/>
      <c r="BID16" s="394"/>
      <c r="BIE16" s="394"/>
      <c r="BIF16" s="394"/>
      <c r="BIG16" s="394"/>
      <c r="BIH16" s="394"/>
      <c r="BII16" s="394"/>
      <c r="BIJ16" s="394"/>
      <c r="BIK16" s="394"/>
      <c r="BIL16" s="394"/>
      <c r="BIM16" s="394"/>
      <c r="BIN16" s="394"/>
      <c r="BIO16" s="394"/>
      <c r="BIP16" s="394"/>
      <c r="BIQ16" s="394"/>
      <c r="BIR16" s="394"/>
      <c r="BIS16" s="394"/>
      <c r="BIT16" s="394"/>
      <c r="BIU16" s="394"/>
      <c r="BIV16" s="394"/>
      <c r="BIW16" s="394"/>
      <c r="BIX16" s="394"/>
      <c r="BIY16" s="394"/>
      <c r="BIZ16" s="394"/>
      <c r="BJA16" s="394"/>
      <c r="BJB16" s="394"/>
      <c r="BJC16" s="394"/>
      <c r="BJD16" s="394"/>
      <c r="BJE16" s="394"/>
      <c r="BJF16" s="394"/>
      <c r="BJG16" s="394"/>
      <c r="BJH16" s="394"/>
      <c r="BJI16" s="394"/>
      <c r="BJJ16" s="394"/>
      <c r="BJK16" s="394"/>
      <c r="BJL16" s="394"/>
      <c r="BJM16" s="394"/>
      <c r="BJN16" s="394"/>
      <c r="BJO16" s="394"/>
      <c r="BJP16" s="394"/>
      <c r="BJQ16" s="394"/>
      <c r="BJR16" s="394"/>
      <c r="BJS16" s="394"/>
      <c r="BJT16" s="394"/>
      <c r="BJU16" s="394"/>
      <c r="BJV16" s="394"/>
      <c r="BJW16" s="394"/>
      <c r="BJX16" s="394"/>
      <c r="BJY16" s="394"/>
      <c r="BJZ16" s="394"/>
      <c r="BKA16" s="394"/>
      <c r="BKB16" s="394"/>
      <c r="BKC16" s="394"/>
      <c r="BKD16" s="394"/>
      <c r="BKE16" s="394"/>
      <c r="BKF16" s="394"/>
      <c r="BKG16" s="394"/>
      <c r="BKH16" s="394"/>
      <c r="BKI16" s="394"/>
      <c r="BKJ16" s="394"/>
      <c r="BKK16" s="394"/>
      <c r="BKL16" s="394"/>
      <c r="BKM16" s="394"/>
      <c r="BKN16" s="394"/>
      <c r="BKO16" s="394"/>
      <c r="BKP16" s="394"/>
      <c r="BKQ16" s="394"/>
      <c r="BKR16" s="394"/>
      <c r="BKS16" s="394"/>
      <c r="BKT16" s="394"/>
      <c r="BKU16" s="394"/>
      <c r="BKV16" s="394"/>
      <c r="BKW16" s="394"/>
      <c r="BKX16" s="394"/>
      <c r="BKY16" s="394"/>
      <c r="BKZ16" s="394"/>
      <c r="BLA16" s="394"/>
      <c r="BLB16" s="394"/>
      <c r="BLC16" s="394"/>
      <c r="BLD16" s="394"/>
      <c r="BLE16" s="394"/>
      <c r="BLF16" s="394"/>
      <c r="BLG16" s="394"/>
      <c r="BLH16" s="394"/>
      <c r="BLI16" s="394"/>
      <c r="BLJ16" s="394"/>
      <c r="BLK16" s="394"/>
      <c r="BLL16" s="394"/>
      <c r="BLM16" s="394"/>
      <c r="BLN16" s="394"/>
      <c r="BLO16" s="394"/>
      <c r="BLP16" s="394"/>
      <c r="BLQ16" s="394"/>
      <c r="BLR16" s="394"/>
      <c r="BLS16" s="394"/>
      <c r="BLT16" s="394"/>
      <c r="BLU16" s="394"/>
      <c r="BLV16" s="394"/>
      <c r="BLW16" s="394"/>
      <c r="BLX16" s="394"/>
      <c r="BLY16" s="394"/>
      <c r="BLZ16" s="394"/>
      <c r="BMA16" s="394"/>
      <c r="BMB16" s="394"/>
      <c r="BMC16" s="394"/>
      <c r="BMD16" s="394"/>
      <c r="BME16" s="394"/>
      <c r="BMF16" s="394"/>
      <c r="BMG16" s="394"/>
      <c r="BMH16" s="394"/>
      <c r="BMI16" s="394"/>
      <c r="BMJ16" s="394"/>
      <c r="BMK16" s="394"/>
      <c r="BML16" s="394"/>
      <c r="BMM16" s="394"/>
      <c r="BMN16" s="394"/>
      <c r="BMO16" s="394"/>
      <c r="BMP16" s="394"/>
      <c r="BMQ16" s="394"/>
      <c r="BMR16" s="394"/>
      <c r="BMS16" s="394"/>
      <c r="BMT16" s="394"/>
      <c r="BMU16" s="394"/>
      <c r="BMV16" s="394"/>
      <c r="BMW16" s="394"/>
      <c r="BMX16" s="394"/>
      <c r="BMY16" s="394"/>
      <c r="BMZ16" s="394"/>
      <c r="BNA16" s="394"/>
      <c r="BNB16" s="394"/>
      <c r="BNC16" s="394"/>
      <c r="BND16" s="394"/>
      <c r="BNE16" s="394"/>
      <c r="BNF16" s="394"/>
      <c r="BNG16" s="394"/>
      <c r="BNH16" s="394"/>
      <c r="BNI16" s="394"/>
      <c r="BNJ16" s="394"/>
      <c r="BNK16" s="394"/>
      <c r="BNL16" s="394"/>
      <c r="BNM16" s="394"/>
      <c r="BNN16" s="394"/>
      <c r="BNO16" s="394"/>
      <c r="BNP16" s="394"/>
      <c r="BNQ16" s="394"/>
      <c r="BNR16" s="394"/>
      <c r="BNS16" s="394"/>
      <c r="BNT16" s="394"/>
      <c r="BNU16" s="394"/>
      <c r="BNV16" s="394"/>
      <c r="BNW16" s="394"/>
      <c r="BNX16" s="394"/>
      <c r="BNY16" s="394"/>
      <c r="BNZ16" s="394"/>
      <c r="BOA16" s="394"/>
      <c r="BOB16" s="394"/>
      <c r="BOC16" s="394"/>
      <c r="BOD16" s="394"/>
      <c r="BOE16" s="394"/>
      <c r="BOF16" s="394"/>
      <c r="BOG16" s="394"/>
      <c r="BOH16" s="394"/>
      <c r="BOI16" s="394"/>
      <c r="BOJ16" s="394"/>
      <c r="BOK16" s="394"/>
      <c r="BOL16" s="394"/>
      <c r="BOM16" s="394"/>
      <c r="BON16" s="394"/>
      <c r="BOO16" s="394"/>
      <c r="BOP16" s="394"/>
      <c r="BOQ16" s="394"/>
      <c r="BOR16" s="394"/>
      <c r="BOS16" s="394"/>
      <c r="BOT16" s="394"/>
      <c r="BOU16" s="394"/>
      <c r="BOV16" s="394"/>
      <c r="BOW16" s="394"/>
      <c r="BOX16" s="394"/>
      <c r="BOY16" s="394"/>
      <c r="BOZ16" s="394"/>
      <c r="BPA16" s="394"/>
      <c r="BPB16" s="394"/>
      <c r="BPC16" s="394"/>
      <c r="BPD16" s="394"/>
      <c r="BPE16" s="394"/>
      <c r="BPF16" s="394"/>
      <c r="BPG16" s="394"/>
      <c r="BPH16" s="394"/>
      <c r="BPI16" s="394"/>
      <c r="BPJ16" s="394"/>
      <c r="BPK16" s="394"/>
      <c r="BPL16" s="394"/>
      <c r="BPM16" s="394"/>
      <c r="BPN16" s="394"/>
      <c r="BPO16" s="394"/>
      <c r="BPP16" s="394"/>
      <c r="BPQ16" s="394"/>
      <c r="BPR16" s="394"/>
      <c r="BPS16" s="394"/>
      <c r="BPT16" s="394"/>
      <c r="BPU16" s="394"/>
      <c r="BPV16" s="394"/>
      <c r="BPW16" s="394"/>
      <c r="BPX16" s="394"/>
      <c r="BPY16" s="394"/>
      <c r="BPZ16" s="394"/>
      <c r="BQA16" s="394"/>
      <c r="BQB16" s="394"/>
      <c r="BQC16" s="394"/>
      <c r="BQD16" s="394"/>
      <c r="BQE16" s="394"/>
      <c r="BQF16" s="394"/>
      <c r="BQG16" s="394"/>
      <c r="BQH16" s="394"/>
      <c r="BQI16" s="394"/>
      <c r="BQJ16" s="394"/>
      <c r="BQK16" s="394"/>
      <c r="BQL16" s="394"/>
      <c r="BQM16" s="394"/>
      <c r="BQN16" s="394"/>
      <c r="BQO16" s="394"/>
      <c r="BQP16" s="394"/>
      <c r="BQQ16" s="394"/>
      <c r="BQR16" s="394"/>
      <c r="BQS16" s="394"/>
      <c r="BQT16" s="394"/>
      <c r="BQU16" s="394"/>
      <c r="BQV16" s="394"/>
      <c r="BQW16" s="394"/>
      <c r="BQX16" s="394"/>
      <c r="BQY16" s="394"/>
      <c r="BQZ16" s="394"/>
      <c r="BRA16" s="394"/>
      <c r="BRB16" s="394"/>
      <c r="BRC16" s="394"/>
      <c r="BRD16" s="394"/>
      <c r="BRE16" s="394"/>
      <c r="BRF16" s="394"/>
      <c r="BRG16" s="394"/>
      <c r="BRH16" s="394"/>
      <c r="BRI16" s="394"/>
      <c r="BRJ16" s="394"/>
      <c r="BRK16" s="394"/>
      <c r="BRL16" s="394"/>
      <c r="BRM16" s="394"/>
      <c r="BRN16" s="394"/>
      <c r="BRO16" s="394"/>
      <c r="BRP16" s="394"/>
      <c r="BRQ16" s="394"/>
      <c r="BRR16" s="394"/>
      <c r="BRS16" s="394"/>
      <c r="BRT16" s="394"/>
      <c r="BRU16" s="394"/>
      <c r="BRV16" s="394"/>
      <c r="BRW16" s="394"/>
      <c r="BRX16" s="394"/>
      <c r="BRY16" s="394"/>
      <c r="BRZ16" s="394"/>
      <c r="BSA16" s="394"/>
      <c r="BSB16" s="394"/>
      <c r="BSC16" s="394"/>
      <c r="BSD16" s="394"/>
      <c r="BSE16" s="394"/>
      <c r="BSF16" s="394"/>
      <c r="BSG16" s="394"/>
      <c r="BSH16" s="394"/>
      <c r="BSI16" s="394"/>
      <c r="BSJ16" s="394"/>
      <c r="BSK16" s="394"/>
      <c r="BSL16" s="394"/>
      <c r="BSM16" s="394"/>
      <c r="BSN16" s="394"/>
      <c r="BSO16" s="394"/>
      <c r="BSP16" s="394"/>
      <c r="BSQ16" s="394"/>
      <c r="BSR16" s="394"/>
      <c r="BSS16" s="394"/>
      <c r="BST16" s="394"/>
      <c r="BSU16" s="394"/>
      <c r="BSV16" s="394"/>
      <c r="BSW16" s="394"/>
      <c r="BSX16" s="394"/>
      <c r="BSY16" s="394"/>
      <c r="BSZ16" s="394"/>
      <c r="BTA16" s="394"/>
      <c r="BTB16" s="394"/>
      <c r="BTC16" s="394"/>
      <c r="BTD16" s="394"/>
      <c r="BTE16" s="394"/>
      <c r="BTF16" s="394"/>
      <c r="BTG16" s="394"/>
      <c r="BTH16" s="394"/>
      <c r="BTI16" s="394"/>
    </row>
    <row r="17" spans="1:1881" s="378" customFormat="1" ht="97.5" customHeight="1" x14ac:dyDescent="0.25">
      <c r="A17" s="455">
        <v>631</v>
      </c>
      <c r="B17" s="456" t="s">
        <v>830</v>
      </c>
      <c r="C17" s="452" t="s">
        <v>136</v>
      </c>
      <c r="D17" s="453" t="s">
        <v>1088</v>
      </c>
      <c r="E17" s="865" t="s">
        <v>832</v>
      </c>
      <c r="F17" s="624"/>
      <c r="G17" s="457">
        <f>IF(F17&gt;F12,"Please review account numbers 631 &gt; 626",)</f>
        <v>0</v>
      </c>
      <c r="H17" s="438"/>
      <c r="I17" s="439"/>
      <c r="J17" s="365"/>
      <c r="K17" s="394"/>
      <c r="L17" s="833" t="s">
        <v>1115</v>
      </c>
      <c r="M17" s="610"/>
      <c r="N17" s="635"/>
      <c r="O17" s="394"/>
      <c r="P17" s="394"/>
      <c r="Q17" s="394"/>
      <c r="R17" s="394"/>
      <c r="S17" s="394"/>
      <c r="T17" s="394"/>
      <c r="U17" s="394"/>
      <c r="V17" s="394"/>
      <c r="W17" s="394"/>
      <c r="X17" s="394"/>
      <c r="Y17" s="394"/>
      <c r="Z17" s="394"/>
      <c r="AA17" s="394"/>
      <c r="AB17" s="394"/>
      <c r="AC17" s="394"/>
      <c r="AD17" s="394"/>
      <c r="AE17" s="394"/>
      <c r="AF17" s="394"/>
      <c r="AG17" s="394"/>
      <c r="AH17" s="394"/>
      <c r="AI17" s="394"/>
      <c r="AJ17" s="394"/>
      <c r="AK17" s="394"/>
      <c r="AL17" s="394"/>
      <c r="AM17" s="394"/>
      <c r="AN17" s="394"/>
      <c r="AO17" s="394"/>
      <c r="AP17" s="394"/>
      <c r="AQ17" s="394"/>
      <c r="AR17" s="394"/>
      <c r="AS17" s="394"/>
      <c r="AT17" s="394"/>
      <c r="AU17" s="394"/>
      <c r="AV17" s="394"/>
      <c r="AW17" s="394"/>
      <c r="AX17" s="394"/>
      <c r="AY17" s="394"/>
      <c r="AZ17" s="394"/>
      <c r="BA17" s="394"/>
      <c r="BB17" s="394"/>
      <c r="BC17" s="394"/>
      <c r="BD17" s="394"/>
      <c r="BE17" s="394"/>
      <c r="BF17" s="394"/>
      <c r="BG17" s="394"/>
      <c r="BH17" s="394"/>
      <c r="BI17" s="394"/>
      <c r="BJ17" s="394"/>
      <c r="BK17" s="394"/>
      <c r="BL17" s="394"/>
      <c r="BM17" s="394"/>
      <c r="BN17" s="394"/>
      <c r="BO17" s="394"/>
      <c r="BP17" s="394"/>
      <c r="BQ17" s="394"/>
      <c r="BR17" s="394"/>
      <c r="BS17" s="394"/>
      <c r="BT17" s="394"/>
      <c r="BU17" s="394"/>
      <c r="BV17" s="394"/>
      <c r="BW17" s="394"/>
      <c r="BX17" s="394"/>
      <c r="BY17" s="394"/>
      <c r="BZ17" s="394"/>
      <c r="CA17" s="394"/>
      <c r="CB17" s="394"/>
      <c r="CC17" s="394"/>
      <c r="CD17" s="394"/>
      <c r="CE17" s="394"/>
      <c r="CF17" s="394"/>
      <c r="CG17" s="394"/>
      <c r="CH17" s="394"/>
      <c r="CI17" s="394"/>
      <c r="CJ17" s="394"/>
      <c r="CK17" s="394"/>
      <c r="CL17" s="394"/>
      <c r="CM17" s="394"/>
      <c r="CN17" s="394"/>
      <c r="CO17" s="394"/>
      <c r="CP17" s="394"/>
      <c r="CQ17" s="394"/>
      <c r="CR17" s="394"/>
      <c r="CS17" s="394"/>
      <c r="CT17" s="394"/>
      <c r="CU17" s="394"/>
      <c r="CV17" s="394"/>
      <c r="CW17" s="394"/>
      <c r="CX17" s="394"/>
      <c r="CY17" s="394"/>
      <c r="CZ17" s="394"/>
      <c r="DA17" s="394"/>
      <c r="DB17" s="394"/>
      <c r="DC17" s="394"/>
      <c r="DD17" s="394"/>
      <c r="DE17" s="394"/>
      <c r="DF17" s="394"/>
      <c r="DG17" s="394"/>
      <c r="DH17" s="394"/>
      <c r="DI17" s="394"/>
      <c r="DJ17" s="394"/>
      <c r="DK17" s="394"/>
      <c r="DL17" s="394"/>
      <c r="DM17" s="394"/>
      <c r="DN17" s="394"/>
      <c r="DO17" s="394"/>
      <c r="DP17" s="394"/>
      <c r="DQ17" s="394"/>
      <c r="DR17" s="394"/>
      <c r="DS17" s="394"/>
      <c r="DT17" s="394"/>
      <c r="DU17" s="394"/>
      <c r="DV17" s="394"/>
      <c r="DW17" s="394"/>
      <c r="DX17" s="394"/>
      <c r="DY17" s="394"/>
      <c r="DZ17" s="394"/>
      <c r="EA17" s="394"/>
      <c r="EB17" s="394"/>
      <c r="EC17" s="394"/>
      <c r="ED17" s="394"/>
      <c r="EE17" s="394"/>
      <c r="EF17" s="394"/>
      <c r="EG17" s="394"/>
      <c r="EH17" s="394"/>
      <c r="EI17" s="394"/>
      <c r="EJ17" s="394"/>
      <c r="EK17" s="394"/>
      <c r="EL17" s="394"/>
      <c r="EM17" s="394"/>
      <c r="EN17" s="394"/>
      <c r="EO17" s="394"/>
      <c r="EP17" s="394"/>
      <c r="EQ17" s="394"/>
      <c r="ER17" s="394"/>
      <c r="ES17" s="394"/>
      <c r="ET17" s="394"/>
      <c r="EU17" s="394"/>
      <c r="EV17" s="394"/>
      <c r="EW17" s="394"/>
      <c r="EX17" s="394"/>
      <c r="EY17" s="394"/>
      <c r="EZ17" s="394"/>
      <c r="FA17" s="394"/>
      <c r="FB17" s="394"/>
      <c r="FC17" s="394"/>
      <c r="FD17" s="394"/>
      <c r="FE17" s="394"/>
      <c r="FF17" s="394"/>
      <c r="FG17" s="394"/>
      <c r="FH17" s="394"/>
      <c r="FI17" s="394"/>
      <c r="FJ17" s="394"/>
      <c r="FK17" s="394"/>
      <c r="FL17" s="394"/>
      <c r="FM17" s="394"/>
      <c r="FN17" s="394"/>
      <c r="FO17" s="394"/>
      <c r="FP17" s="394"/>
      <c r="FQ17" s="394"/>
      <c r="FR17" s="394"/>
      <c r="FS17" s="394"/>
      <c r="FT17" s="394"/>
      <c r="FU17" s="394"/>
      <c r="FV17" s="394"/>
      <c r="FW17" s="394"/>
      <c r="FX17" s="394"/>
      <c r="FY17" s="394"/>
      <c r="FZ17" s="394"/>
      <c r="GA17" s="394"/>
      <c r="GB17" s="394"/>
      <c r="GC17" s="394"/>
      <c r="GD17" s="394"/>
      <c r="GE17" s="394"/>
      <c r="GF17" s="394"/>
      <c r="GG17" s="394"/>
      <c r="GH17" s="394"/>
      <c r="GI17" s="394"/>
      <c r="GJ17" s="394"/>
      <c r="GK17" s="394"/>
      <c r="GL17" s="394"/>
      <c r="GM17" s="394"/>
      <c r="GN17" s="394"/>
      <c r="GO17" s="394"/>
      <c r="GP17" s="394"/>
      <c r="GQ17" s="394"/>
      <c r="GR17" s="394"/>
      <c r="GS17" s="394"/>
      <c r="GT17" s="394"/>
      <c r="GU17" s="394"/>
      <c r="GV17" s="394"/>
      <c r="GW17" s="394"/>
      <c r="GX17" s="394"/>
      <c r="GY17" s="394"/>
      <c r="GZ17" s="394"/>
      <c r="HA17" s="394"/>
      <c r="HB17" s="394"/>
      <c r="HC17" s="394"/>
      <c r="HD17" s="394"/>
      <c r="HE17" s="394"/>
      <c r="HF17" s="394"/>
      <c r="HG17" s="394"/>
      <c r="HH17" s="394"/>
      <c r="HI17" s="394"/>
      <c r="HJ17" s="394"/>
      <c r="HK17" s="394"/>
      <c r="HL17" s="394"/>
      <c r="HM17" s="394"/>
      <c r="HN17" s="394"/>
      <c r="HO17" s="394"/>
      <c r="HP17" s="394"/>
      <c r="HQ17" s="394"/>
      <c r="HR17" s="394"/>
      <c r="HS17" s="394"/>
      <c r="HT17" s="394"/>
      <c r="HU17" s="394"/>
      <c r="HV17" s="394"/>
      <c r="HW17" s="394"/>
      <c r="HX17" s="394"/>
      <c r="HY17" s="394"/>
      <c r="HZ17" s="394"/>
      <c r="IA17" s="394"/>
      <c r="IB17" s="394"/>
      <c r="IC17" s="394"/>
      <c r="ID17" s="394"/>
      <c r="IE17" s="394"/>
      <c r="IF17" s="394"/>
      <c r="IG17" s="394"/>
      <c r="IH17" s="394"/>
      <c r="II17" s="394"/>
      <c r="IJ17" s="394"/>
      <c r="IK17" s="394"/>
      <c r="IL17" s="394"/>
      <c r="IM17" s="394"/>
      <c r="IN17" s="394"/>
      <c r="IO17" s="394"/>
      <c r="IP17" s="394"/>
      <c r="IQ17" s="394"/>
      <c r="IR17" s="394"/>
      <c r="IS17" s="394"/>
      <c r="IT17" s="394"/>
      <c r="IU17" s="394"/>
      <c r="IV17" s="394"/>
      <c r="IW17" s="394"/>
      <c r="IX17" s="394"/>
      <c r="IY17" s="394"/>
      <c r="IZ17" s="394"/>
      <c r="JA17" s="394"/>
      <c r="JB17" s="394"/>
      <c r="JC17" s="394"/>
      <c r="JD17" s="394"/>
      <c r="JE17" s="394"/>
      <c r="JF17" s="394"/>
      <c r="JG17" s="394"/>
      <c r="JH17" s="394"/>
      <c r="JI17" s="394"/>
      <c r="JJ17" s="394"/>
      <c r="JK17" s="394"/>
      <c r="JL17" s="394"/>
      <c r="JM17" s="394"/>
      <c r="JN17" s="394"/>
      <c r="JO17" s="394"/>
      <c r="JP17" s="394"/>
      <c r="JQ17" s="394"/>
      <c r="JR17" s="394"/>
      <c r="JS17" s="394"/>
      <c r="JT17" s="394"/>
      <c r="JU17" s="394"/>
      <c r="JV17" s="394"/>
      <c r="JW17" s="394"/>
      <c r="JX17" s="394"/>
      <c r="JY17" s="394"/>
      <c r="JZ17" s="394"/>
      <c r="KA17" s="394"/>
      <c r="KB17" s="394"/>
      <c r="KC17" s="394"/>
      <c r="KD17" s="394"/>
      <c r="KE17" s="394"/>
      <c r="KF17" s="394"/>
      <c r="KG17" s="394"/>
      <c r="KH17" s="394"/>
      <c r="KI17" s="394"/>
      <c r="KJ17" s="394"/>
      <c r="KK17" s="394"/>
      <c r="KL17" s="394"/>
      <c r="KM17" s="394"/>
      <c r="KN17" s="394"/>
      <c r="KO17" s="394"/>
      <c r="KP17" s="394"/>
      <c r="KQ17" s="394"/>
      <c r="KR17" s="394"/>
      <c r="KS17" s="394"/>
      <c r="KT17" s="394"/>
      <c r="KU17" s="394"/>
      <c r="KV17" s="394"/>
      <c r="KW17" s="394"/>
      <c r="KX17" s="394"/>
      <c r="KY17" s="394"/>
      <c r="KZ17" s="394"/>
      <c r="LA17" s="394"/>
      <c r="LB17" s="394"/>
      <c r="LC17" s="394"/>
      <c r="LD17" s="394"/>
      <c r="LE17" s="394"/>
      <c r="LF17" s="394"/>
      <c r="LG17" s="394"/>
      <c r="LH17" s="394"/>
      <c r="LI17" s="394"/>
      <c r="LJ17" s="394"/>
      <c r="LK17" s="394"/>
      <c r="LL17" s="394"/>
      <c r="LM17" s="394"/>
      <c r="LN17" s="394"/>
      <c r="LO17" s="394"/>
      <c r="LP17" s="394"/>
      <c r="LQ17" s="394"/>
      <c r="LR17" s="394"/>
      <c r="LS17" s="394"/>
      <c r="LT17" s="394"/>
      <c r="LU17" s="394"/>
      <c r="LV17" s="394"/>
      <c r="LW17" s="394"/>
      <c r="LX17" s="394"/>
      <c r="LY17" s="394"/>
      <c r="LZ17" s="394"/>
      <c r="MA17" s="394"/>
      <c r="MB17" s="394"/>
      <c r="MC17" s="394"/>
      <c r="MD17" s="394"/>
      <c r="ME17" s="394"/>
      <c r="MF17" s="394"/>
      <c r="MG17" s="394"/>
      <c r="MH17" s="394"/>
      <c r="MI17" s="394"/>
      <c r="MJ17" s="394"/>
      <c r="MK17" s="394"/>
      <c r="ML17" s="394"/>
      <c r="MM17" s="394"/>
      <c r="MN17" s="394"/>
      <c r="MO17" s="394"/>
      <c r="MP17" s="394"/>
      <c r="MQ17" s="394"/>
      <c r="MR17" s="394"/>
      <c r="MS17" s="394"/>
      <c r="MT17" s="394"/>
      <c r="MU17" s="394"/>
      <c r="MV17" s="394"/>
      <c r="MW17" s="394"/>
      <c r="MX17" s="394"/>
      <c r="MY17" s="394"/>
      <c r="MZ17" s="394"/>
      <c r="NA17" s="394"/>
      <c r="NB17" s="394"/>
      <c r="NC17" s="394"/>
      <c r="ND17" s="394"/>
      <c r="NE17" s="394"/>
      <c r="NF17" s="394"/>
      <c r="NG17" s="394"/>
      <c r="NH17" s="394"/>
      <c r="NI17" s="394"/>
      <c r="NJ17" s="394"/>
      <c r="NK17" s="394"/>
      <c r="NL17" s="394"/>
      <c r="NM17" s="394"/>
      <c r="NN17" s="394"/>
      <c r="NO17" s="394"/>
      <c r="NP17" s="394"/>
      <c r="NQ17" s="394"/>
      <c r="NR17" s="394"/>
      <c r="NS17" s="394"/>
      <c r="NT17" s="394"/>
      <c r="NU17" s="394"/>
      <c r="NV17" s="394"/>
      <c r="NW17" s="394"/>
      <c r="NX17" s="394"/>
      <c r="NY17" s="394"/>
      <c r="NZ17" s="394"/>
      <c r="OA17" s="394"/>
      <c r="OB17" s="394"/>
      <c r="OC17" s="394"/>
      <c r="OD17" s="394"/>
      <c r="OE17" s="394"/>
      <c r="OF17" s="394"/>
      <c r="OG17" s="394"/>
      <c r="OH17" s="394"/>
      <c r="OI17" s="394"/>
      <c r="OJ17" s="394"/>
      <c r="OK17" s="394"/>
      <c r="OL17" s="394"/>
      <c r="OM17" s="394"/>
      <c r="ON17" s="394"/>
      <c r="OO17" s="394"/>
      <c r="OP17" s="394"/>
      <c r="OQ17" s="394"/>
      <c r="OR17" s="394"/>
      <c r="OS17" s="394"/>
      <c r="OT17" s="394"/>
      <c r="OU17" s="394"/>
      <c r="OV17" s="394"/>
      <c r="OW17" s="394"/>
      <c r="OX17" s="394"/>
      <c r="OY17" s="394"/>
      <c r="OZ17" s="394"/>
      <c r="PA17" s="394"/>
      <c r="PB17" s="394"/>
      <c r="PC17" s="394"/>
      <c r="PD17" s="394"/>
      <c r="PE17" s="394"/>
      <c r="PF17" s="394"/>
      <c r="PG17" s="394"/>
      <c r="PH17" s="394"/>
      <c r="PI17" s="394"/>
      <c r="PJ17" s="394"/>
      <c r="PK17" s="394"/>
      <c r="PL17" s="394"/>
      <c r="PM17" s="394"/>
      <c r="PN17" s="394"/>
      <c r="PO17" s="394"/>
      <c r="PP17" s="394"/>
      <c r="PQ17" s="394"/>
      <c r="PR17" s="394"/>
      <c r="PS17" s="394"/>
      <c r="PT17" s="394"/>
      <c r="PU17" s="394"/>
      <c r="PV17" s="394"/>
      <c r="PW17" s="394"/>
      <c r="PX17" s="394"/>
      <c r="PY17" s="394"/>
      <c r="PZ17" s="394"/>
      <c r="QA17" s="394"/>
      <c r="QB17" s="394"/>
      <c r="QC17" s="394"/>
      <c r="QD17" s="394"/>
      <c r="QE17" s="394"/>
      <c r="QF17" s="394"/>
      <c r="QG17" s="394"/>
      <c r="QH17" s="394"/>
      <c r="QI17" s="394"/>
      <c r="QJ17" s="394"/>
      <c r="QK17" s="394"/>
      <c r="QL17" s="394"/>
      <c r="QM17" s="394"/>
      <c r="QN17" s="394"/>
      <c r="QO17" s="394"/>
      <c r="QP17" s="394"/>
      <c r="QQ17" s="394"/>
      <c r="QR17" s="394"/>
      <c r="QS17" s="394"/>
      <c r="QT17" s="394"/>
      <c r="QU17" s="394"/>
      <c r="QV17" s="394"/>
      <c r="QW17" s="394"/>
      <c r="QX17" s="394"/>
      <c r="QY17" s="394"/>
      <c r="QZ17" s="394"/>
      <c r="RA17" s="394"/>
      <c r="RB17" s="394"/>
      <c r="RC17" s="394"/>
      <c r="RD17" s="394"/>
      <c r="RE17" s="394"/>
      <c r="RF17" s="394"/>
      <c r="RG17" s="394"/>
      <c r="RH17" s="394"/>
      <c r="RI17" s="394"/>
      <c r="RJ17" s="394"/>
      <c r="RK17" s="394"/>
      <c r="RL17" s="394"/>
      <c r="RM17" s="394"/>
      <c r="RN17" s="394"/>
      <c r="RO17" s="394"/>
      <c r="RP17" s="394"/>
      <c r="RQ17" s="394"/>
      <c r="RR17" s="394"/>
      <c r="RS17" s="394"/>
      <c r="RT17" s="394"/>
      <c r="RU17" s="394"/>
      <c r="RV17" s="394"/>
      <c r="RW17" s="394"/>
      <c r="RX17" s="394"/>
      <c r="RY17" s="394"/>
      <c r="RZ17" s="394"/>
      <c r="SA17" s="394"/>
      <c r="SB17" s="394"/>
      <c r="SC17" s="394"/>
      <c r="SD17" s="394"/>
      <c r="SE17" s="394"/>
      <c r="SF17" s="394"/>
      <c r="SG17" s="394"/>
      <c r="SH17" s="394"/>
      <c r="SI17" s="394"/>
      <c r="SJ17" s="394"/>
      <c r="SK17" s="394"/>
      <c r="SL17" s="394"/>
      <c r="SM17" s="394"/>
      <c r="SN17" s="394"/>
      <c r="SO17" s="394"/>
      <c r="SP17" s="394"/>
      <c r="SQ17" s="394"/>
      <c r="SR17" s="394"/>
      <c r="SS17" s="394"/>
      <c r="ST17" s="394"/>
      <c r="SU17" s="394"/>
      <c r="SV17" s="394"/>
      <c r="SW17" s="394"/>
      <c r="SX17" s="394"/>
      <c r="SY17" s="394"/>
      <c r="SZ17" s="394"/>
      <c r="TA17" s="394"/>
      <c r="TB17" s="394"/>
      <c r="TC17" s="394"/>
      <c r="TD17" s="394"/>
      <c r="TE17" s="394"/>
      <c r="TF17" s="394"/>
      <c r="TG17" s="394"/>
      <c r="TH17" s="394"/>
      <c r="TI17" s="394"/>
      <c r="TJ17" s="394"/>
      <c r="TK17" s="394"/>
      <c r="TL17" s="394"/>
      <c r="TM17" s="394"/>
      <c r="TN17" s="394"/>
      <c r="TO17" s="394"/>
      <c r="TP17" s="394"/>
      <c r="TQ17" s="394"/>
      <c r="TR17" s="394"/>
      <c r="TS17" s="394"/>
      <c r="TT17" s="394"/>
      <c r="TU17" s="394"/>
      <c r="TV17" s="394"/>
      <c r="TW17" s="394"/>
      <c r="TX17" s="394"/>
      <c r="TY17" s="394"/>
      <c r="TZ17" s="394"/>
      <c r="UA17" s="394"/>
      <c r="UB17" s="394"/>
      <c r="UC17" s="394"/>
      <c r="UD17" s="394"/>
      <c r="UE17" s="394"/>
      <c r="UF17" s="394"/>
      <c r="UG17" s="394"/>
      <c r="UH17" s="394"/>
      <c r="UI17" s="394"/>
      <c r="UJ17" s="394"/>
      <c r="UK17" s="394"/>
      <c r="UL17" s="394"/>
      <c r="UM17" s="394"/>
      <c r="UN17" s="394"/>
      <c r="UO17" s="394"/>
      <c r="UP17" s="394"/>
      <c r="UQ17" s="394"/>
      <c r="UR17" s="394"/>
      <c r="US17" s="394"/>
      <c r="UT17" s="394"/>
      <c r="UU17" s="394"/>
      <c r="UV17" s="394"/>
      <c r="UW17" s="394"/>
      <c r="UX17" s="394"/>
      <c r="UY17" s="394"/>
      <c r="UZ17" s="394"/>
      <c r="VA17" s="394"/>
      <c r="VB17" s="394"/>
      <c r="VC17" s="394"/>
      <c r="VD17" s="394"/>
      <c r="VE17" s="394"/>
      <c r="VF17" s="394"/>
      <c r="VG17" s="394"/>
      <c r="VH17" s="394"/>
      <c r="VI17" s="394"/>
      <c r="VJ17" s="394"/>
      <c r="VK17" s="394"/>
      <c r="VL17" s="394"/>
      <c r="VM17" s="394"/>
      <c r="VN17" s="394"/>
      <c r="VO17" s="394"/>
      <c r="VP17" s="394"/>
      <c r="VQ17" s="394"/>
      <c r="VR17" s="394"/>
      <c r="VS17" s="394"/>
      <c r="VT17" s="394"/>
      <c r="VU17" s="394"/>
      <c r="VV17" s="394"/>
      <c r="VW17" s="394"/>
      <c r="VX17" s="394"/>
      <c r="VY17" s="394"/>
      <c r="VZ17" s="394"/>
      <c r="WA17" s="394"/>
      <c r="WB17" s="394"/>
      <c r="WC17" s="394"/>
      <c r="WD17" s="394"/>
      <c r="WE17" s="394"/>
      <c r="WF17" s="394"/>
      <c r="WG17" s="394"/>
      <c r="WH17" s="394"/>
      <c r="WI17" s="394"/>
      <c r="WJ17" s="394"/>
      <c r="WK17" s="394"/>
      <c r="WL17" s="394"/>
      <c r="WM17" s="394"/>
      <c r="WN17" s="394"/>
      <c r="WO17" s="394"/>
      <c r="WP17" s="394"/>
      <c r="WQ17" s="394"/>
      <c r="WR17" s="394"/>
      <c r="WS17" s="394"/>
      <c r="WT17" s="394"/>
      <c r="WU17" s="394"/>
      <c r="WV17" s="394"/>
      <c r="WW17" s="394"/>
      <c r="WX17" s="394"/>
      <c r="WY17" s="394"/>
      <c r="WZ17" s="394"/>
      <c r="XA17" s="394"/>
      <c r="XB17" s="394"/>
      <c r="XC17" s="394"/>
      <c r="XD17" s="394"/>
      <c r="XE17" s="394"/>
      <c r="XF17" s="394"/>
      <c r="XG17" s="394"/>
      <c r="XH17" s="394"/>
      <c r="XI17" s="394"/>
      <c r="XJ17" s="394"/>
      <c r="XK17" s="394"/>
      <c r="XL17" s="394"/>
      <c r="XM17" s="394"/>
      <c r="XN17" s="394"/>
      <c r="XO17" s="394"/>
      <c r="XP17" s="394"/>
      <c r="XQ17" s="394"/>
      <c r="XR17" s="394"/>
      <c r="XS17" s="394"/>
      <c r="XT17" s="394"/>
      <c r="XU17" s="394"/>
      <c r="XV17" s="394"/>
      <c r="XW17" s="394"/>
      <c r="XX17" s="394"/>
      <c r="XY17" s="394"/>
      <c r="XZ17" s="394"/>
      <c r="YA17" s="394"/>
      <c r="YB17" s="394"/>
      <c r="YC17" s="394"/>
      <c r="YD17" s="394"/>
      <c r="YE17" s="394"/>
      <c r="YF17" s="394"/>
      <c r="YG17" s="394"/>
      <c r="YH17" s="394"/>
      <c r="YI17" s="394"/>
      <c r="YJ17" s="394"/>
      <c r="YK17" s="394"/>
      <c r="YL17" s="394"/>
      <c r="YM17" s="394"/>
      <c r="YN17" s="394"/>
      <c r="YO17" s="394"/>
      <c r="YP17" s="394"/>
      <c r="YQ17" s="394"/>
      <c r="YR17" s="394"/>
      <c r="YS17" s="394"/>
      <c r="YT17" s="394"/>
      <c r="YU17" s="394"/>
      <c r="YV17" s="394"/>
      <c r="YW17" s="394"/>
      <c r="YX17" s="394"/>
      <c r="YY17" s="394"/>
      <c r="YZ17" s="394"/>
      <c r="ZA17" s="394"/>
      <c r="ZB17" s="394"/>
      <c r="ZC17" s="394"/>
      <c r="ZD17" s="394"/>
      <c r="ZE17" s="394"/>
      <c r="ZF17" s="394"/>
      <c r="ZG17" s="394"/>
      <c r="ZH17" s="394"/>
      <c r="ZI17" s="394"/>
      <c r="ZJ17" s="394"/>
      <c r="ZK17" s="394"/>
      <c r="ZL17" s="394"/>
      <c r="ZM17" s="394"/>
      <c r="ZN17" s="394"/>
      <c r="ZO17" s="394"/>
      <c r="ZP17" s="394"/>
      <c r="ZQ17" s="394"/>
      <c r="ZR17" s="394"/>
      <c r="ZS17" s="394"/>
      <c r="ZT17" s="394"/>
      <c r="ZU17" s="394"/>
      <c r="ZV17" s="394"/>
      <c r="ZW17" s="394"/>
      <c r="ZX17" s="394"/>
      <c r="ZY17" s="394"/>
      <c r="ZZ17" s="394"/>
      <c r="AAA17" s="394"/>
      <c r="AAB17" s="394"/>
      <c r="AAC17" s="394"/>
      <c r="AAD17" s="394"/>
      <c r="AAE17" s="394"/>
      <c r="AAF17" s="394"/>
      <c r="AAG17" s="394"/>
      <c r="AAH17" s="394"/>
      <c r="AAI17" s="394"/>
      <c r="AAJ17" s="394"/>
      <c r="AAK17" s="394"/>
      <c r="AAL17" s="394"/>
      <c r="AAM17" s="394"/>
      <c r="AAN17" s="394"/>
      <c r="AAO17" s="394"/>
      <c r="AAP17" s="394"/>
      <c r="AAQ17" s="394"/>
      <c r="AAR17" s="394"/>
      <c r="AAS17" s="394"/>
      <c r="AAT17" s="394"/>
      <c r="AAU17" s="394"/>
      <c r="AAV17" s="394"/>
      <c r="AAW17" s="394"/>
      <c r="AAX17" s="394"/>
      <c r="AAY17" s="394"/>
      <c r="AAZ17" s="394"/>
      <c r="ABA17" s="394"/>
      <c r="ABB17" s="394"/>
      <c r="ABC17" s="394"/>
      <c r="ABD17" s="394"/>
      <c r="ABE17" s="394"/>
      <c r="ABF17" s="394"/>
      <c r="ABG17" s="394"/>
      <c r="ABH17" s="394"/>
      <c r="ABI17" s="394"/>
      <c r="ABJ17" s="394"/>
      <c r="ABK17" s="394"/>
      <c r="ABL17" s="394"/>
      <c r="ABM17" s="394"/>
      <c r="ABN17" s="394"/>
      <c r="ABO17" s="394"/>
      <c r="ABP17" s="394"/>
      <c r="ABQ17" s="394"/>
      <c r="ABR17" s="394"/>
      <c r="ABS17" s="394"/>
      <c r="ABT17" s="394"/>
      <c r="ABU17" s="394"/>
      <c r="ABV17" s="394"/>
      <c r="ABW17" s="394"/>
      <c r="ABX17" s="394"/>
      <c r="ABY17" s="394"/>
      <c r="ABZ17" s="394"/>
      <c r="ACA17" s="394"/>
      <c r="ACB17" s="394"/>
      <c r="ACC17" s="394"/>
      <c r="ACD17" s="394"/>
      <c r="ACE17" s="394"/>
      <c r="ACF17" s="394"/>
      <c r="ACG17" s="394"/>
      <c r="ACH17" s="394"/>
      <c r="ACI17" s="394"/>
      <c r="ACJ17" s="394"/>
      <c r="ACK17" s="394"/>
      <c r="ACL17" s="394"/>
      <c r="ACM17" s="394"/>
      <c r="ACN17" s="394"/>
      <c r="ACO17" s="394"/>
      <c r="ACP17" s="394"/>
      <c r="ACQ17" s="394"/>
      <c r="ACR17" s="394"/>
      <c r="ACS17" s="394"/>
      <c r="ACT17" s="394"/>
      <c r="ACU17" s="394"/>
      <c r="ACV17" s="394"/>
      <c r="ACW17" s="394"/>
      <c r="ACX17" s="394"/>
      <c r="ACY17" s="394"/>
      <c r="ACZ17" s="394"/>
      <c r="ADA17" s="394"/>
      <c r="ADB17" s="394"/>
      <c r="ADC17" s="394"/>
      <c r="ADD17" s="394"/>
      <c r="ADE17" s="394"/>
      <c r="ADF17" s="394"/>
      <c r="ADG17" s="394"/>
      <c r="ADH17" s="394"/>
      <c r="ADI17" s="394"/>
      <c r="ADJ17" s="394"/>
      <c r="ADK17" s="394"/>
      <c r="ADL17" s="394"/>
      <c r="ADM17" s="394"/>
      <c r="ADN17" s="394"/>
      <c r="ADO17" s="394"/>
      <c r="ADP17" s="394"/>
      <c r="ADQ17" s="394"/>
      <c r="ADR17" s="394"/>
      <c r="ADS17" s="394"/>
      <c r="ADT17" s="394"/>
      <c r="ADU17" s="394"/>
      <c r="ADV17" s="394"/>
      <c r="ADW17" s="394"/>
      <c r="ADX17" s="394"/>
      <c r="ADY17" s="394"/>
      <c r="ADZ17" s="394"/>
      <c r="AEA17" s="394"/>
      <c r="AEB17" s="394"/>
      <c r="AEC17" s="394"/>
      <c r="AED17" s="394"/>
      <c r="AEE17" s="394"/>
      <c r="AEF17" s="394"/>
      <c r="AEG17" s="394"/>
      <c r="AEH17" s="394"/>
      <c r="AEI17" s="394"/>
      <c r="AEJ17" s="394"/>
      <c r="AEK17" s="394"/>
      <c r="AEL17" s="394"/>
      <c r="AEM17" s="394"/>
      <c r="AEN17" s="394"/>
      <c r="AEO17" s="394"/>
      <c r="AEP17" s="394"/>
      <c r="AEQ17" s="394"/>
      <c r="AER17" s="394"/>
      <c r="AES17" s="394"/>
      <c r="AET17" s="394"/>
      <c r="AEU17" s="394"/>
      <c r="AEV17" s="394"/>
      <c r="AEW17" s="394"/>
      <c r="AEX17" s="394"/>
      <c r="AEY17" s="394"/>
      <c r="AEZ17" s="394"/>
      <c r="AFA17" s="394"/>
      <c r="AFB17" s="394"/>
      <c r="AFC17" s="394"/>
      <c r="AFD17" s="394"/>
      <c r="AFE17" s="394"/>
      <c r="AFF17" s="394"/>
      <c r="AFG17" s="394"/>
      <c r="AFH17" s="394"/>
      <c r="AFI17" s="394"/>
      <c r="AFJ17" s="394"/>
      <c r="AFK17" s="394"/>
      <c r="AFL17" s="394"/>
      <c r="AFM17" s="394"/>
      <c r="AFN17" s="394"/>
      <c r="AFO17" s="394"/>
      <c r="AFP17" s="394"/>
      <c r="AFQ17" s="394"/>
      <c r="AFR17" s="394"/>
      <c r="AFS17" s="394"/>
      <c r="AFT17" s="394"/>
      <c r="AFU17" s="394"/>
      <c r="AFV17" s="394"/>
      <c r="AFW17" s="394"/>
      <c r="AFX17" s="394"/>
      <c r="AFY17" s="394"/>
      <c r="AFZ17" s="394"/>
      <c r="AGA17" s="394"/>
      <c r="AGB17" s="394"/>
      <c r="AGC17" s="394"/>
      <c r="AGD17" s="394"/>
      <c r="AGE17" s="394"/>
      <c r="AGF17" s="394"/>
      <c r="AGG17" s="394"/>
      <c r="AGH17" s="394"/>
      <c r="AGI17" s="394"/>
      <c r="AGJ17" s="394"/>
      <c r="AGK17" s="394"/>
      <c r="AGL17" s="394"/>
      <c r="AGM17" s="394"/>
      <c r="AGN17" s="394"/>
      <c r="AGO17" s="394"/>
      <c r="AGP17" s="394"/>
      <c r="AGQ17" s="394"/>
      <c r="AGR17" s="394"/>
      <c r="AGS17" s="394"/>
      <c r="AGT17" s="394"/>
      <c r="AGU17" s="394"/>
      <c r="AGV17" s="394"/>
      <c r="AGW17" s="394"/>
      <c r="AGX17" s="394"/>
      <c r="AGY17" s="394"/>
      <c r="AGZ17" s="394"/>
      <c r="AHA17" s="394"/>
      <c r="AHB17" s="394"/>
      <c r="AHC17" s="394"/>
      <c r="AHD17" s="394"/>
      <c r="AHE17" s="394"/>
      <c r="AHF17" s="394"/>
      <c r="AHG17" s="394"/>
      <c r="AHH17" s="394"/>
      <c r="AHI17" s="394"/>
      <c r="AHJ17" s="394"/>
      <c r="AHK17" s="394"/>
      <c r="AHL17" s="394"/>
      <c r="AHM17" s="394"/>
      <c r="AHN17" s="394"/>
      <c r="AHO17" s="394"/>
      <c r="AHP17" s="394"/>
      <c r="AHQ17" s="394"/>
      <c r="AHR17" s="394"/>
      <c r="AHS17" s="394"/>
      <c r="AHT17" s="394"/>
      <c r="AHU17" s="394"/>
      <c r="AHV17" s="394"/>
      <c r="AHW17" s="394"/>
      <c r="AHX17" s="394"/>
      <c r="AHY17" s="394"/>
      <c r="AHZ17" s="394"/>
      <c r="AIA17" s="394"/>
      <c r="AIB17" s="394"/>
      <c r="AIC17" s="394"/>
      <c r="AID17" s="394"/>
      <c r="AIE17" s="394"/>
      <c r="AIF17" s="394"/>
      <c r="AIG17" s="394"/>
      <c r="AIH17" s="394"/>
      <c r="AII17" s="394"/>
      <c r="AIJ17" s="394"/>
      <c r="AIK17" s="394"/>
      <c r="AIL17" s="394"/>
      <c r="AIM17" s="394"/>
      <c r="AIN17" s="394"/>
      <c r="AIO17" s="394"/>
      <c r="AIP17" s="394"/>
      <c r="AIQ17" s="394"/>
      <c r="AIR17" s="394"/>
      <c r="AIS17" s="394"/>
      <c r="AIT17" s="394"/>
      <c r="AIU17" s="394"/>
      <c r="AIV17" s="394"/>
      <c r="AIW17" s="394"/>
      <c r="AIX17" s="394"/>
      <c r="AIY17" s="394"/>
      <c r="AIZ17" s="394"/>
      <c r="AJA17" s="394"/>
      <c r="AJB17" s="394"/>
      <c r="AJC17" s="394"/>
      <c r="AJD17" s="394"/>
      <c r="AJE17" s="394"/>
      <c r="AJF17" s="394"/>
      <c r="AJG17" s="394"/>
      <c r="AJH17" s="394"/>
      <c r="AJI17" s="394"/>
      <c r="AJJ17" s="394"/>
      <c r="AJK17" s="394"/>
      <c r="AJL17" s="394"/>
      <c r="AJM17" s="394"/>
      <c r="AJN17" s="394"/>
      <c r="AJO17" s="394"/>
      <c r="AJP17" s="394"/>
      <c r="AJQ17" s="394"/>
      <c r="AJR17" s="394"/>
      <c r="AJS17" s="394"/>
      <c r="AJT17" s="394"/>
      <c r="AJU17" s="394"/>
      <c r="AJV17" s="394"/>
      <c r="AJW17" s="394"/>
      <c r="AJX17" s="394"/>
      <c r="AJY17" s="394"/>
      <c r="AJZ17" s="394"/>
      <c r="AKA17" s="394"/>
      <c r="AKB17" s="394"/>
      <c r="AKC17" s="394"/>
      <c r="AKD17" s="394"/>
      <c r="AKE17" s="394"/>
      <c r="AKF17" s="394"/>
      <c r="AKG17" s="394"/>
      <c r="AKH17" s="394"/>
      <c r="AKI17" s="394"/>
      <c r="AKJ17" s="394"/>
      <c r="AKK17" s="394"/>
      <c r="AKL17" s="394"/>
      <c r="AKM17" s="394"/>
      <c r="AKN17" s="394"/>
      <c r="AKO17" s="394"/>
      <c r="AKP17" s="394"/>
      <c r="AKQ17" s="394"/>
      <c r="AKR17" s="394"/>
      <c r="AKS17" s="394"/>
      <c r="AKT17" s="394"/>
      <c r="AKU17" s="394"/>
      <c r="AKV17" s="394"/>
      <c r="AKW17" s="394"/>
      <c r="AKX17" s="394"/>
      <c r="AKY17" s="394"/>
      <c r="AKZ17" s="394"/>
      <c r="ALA17" s="394"/>
      <c r="ALB17" s="394"/>
      <c r="ALC17" s="394"/>
      <c r="ALD17" s="394"/>
      <c r="ALE17" s="394"/>
      <c r="ALF17" s="394"/>
      <c r="ALG17" s="394"/>
      <c r="ALH17" s="394"/>
      <c r="ALI17" s="394"/>
      <c r="ALJ17" s="394"/>
      <c r="ALK17" s="394"/>
      <c r="ALL17" s="394"/>
      <c r="ALM17" s="394"/>
      <c r="ALN17" s="394"/>
      <c r="ALO17" s="394"/>
      <c r="ALP17" s="394"/>
      <c r="ALQ17" s="394"/>
      <c r="ALR17" s="394"/>
      <c r="ALS17" s="394"/>
      <c r="ALT17" s="394"/>
      <c r="ALU17" s="394"/>
      <c r="ALV17" s="394"/>
      <c r="ALW17" s="394"/>
      <c r="ALX17" s="394"/>
      <c r="ALY17" s="394"/>
      <c r="ALZ17" s="394"/>
      <c r="AMA17" s="394"/>
      <c r="AMB17" s="394"/>
      <c r="AMC17" s="394"/>
      <c r="AMD17" s="394"/>
      <c r="AME17" s="394"/>
      <c r="AMF17" s="394"/>
      <c r="AMG17" s="394"/>
      <c r="AMH17" s="394"/>
      <c r="AMI17" s="394"/>
      <c r="AMJ17" s="394"/>
      <c r="AMK17" s="394"/>
      <c r="AML17" s="394"/>
      <c r="AMM17" s="394"/>
      <c r="AMN17" s="394"/>
      <c r="AMO17" s="394"/>
      <c r="AMP17" s="394"/>
      <c r="AMQ17" s="394"/>
      <c r="AMR17" s="394"/>
      <c r="AMS17" s="394"/>
      <c r="AMT17" s="394"/>
      <c r="AMU17" s="394"/>
      <c r="AMV17" s="394"/>
      <c r="AMW17" s="394"/>
      <c r="AMX17" s="394"/>
      <c r="AMY17" s="394"/>
      <c r="AMZ17" s="394"/>
      <c r="ANA17" s="394"/>
      <c r="ANB17" s="394"/>
      <c r="ANC17" s="394"/>
      <c r="AND17" s="394"/>
      <c r="ANE17" s="394"/>
      <c r="ANF17" s="394"/>
      <c r="ANG17" s="394"/>
      <c r="ANH17" s="394"/>
      <c r="ANI17" s="394"/>
      <c r="ANJ17" s="394"/>
      <c r="ANK17" s="394"/>
      <c r="ANL17" s="394"/>
      <c r="ANM17" s="394"/>
      <c r="ANN17" s="394"/>
      <c r="ANO17" s="394"/>
      <c r="ANP17" s="394"/>
      <c r="ANQ17" s="394"/>
      <c r="ANR17" s="394"/>
      <c r="ANS17" s="394"/>
      <c r="ANT17" s="394"/>
      <c r="ANU17" s="394"/>
      <c r="ANV17" s="394"/>
      <c r="ANW17" s="394"/>
      <c r="ANX17" s="394"/>
      <c r="ANY17" s="394"/>
      <c r="ANZ17" s="394"/>
      <c r="AOA17" s="394"/>
      <c r="AOB17" s="394"/>
      <c r="AOC17" s="394"/>
      <c r="AOD17" s="394"/>
      <c r="AOE17" s="394"/>
      <c r="AOF17" s="394"/>
      <c r="AOG17" s="394"/>
      <c r="AOH17" s="394"/>
      <c r="AOI17" s="394"/>
      <c r="AOJ17" s="394"/>
      <c r="AOK17" s="394"/>
      <c r="AOL17" s="394"/>
      <c r="AOM17" s="394"/>
      <c r="AON17" s="394"/>
      <c r="AOO17" s="394"/>
      <c r="AOP17" s="394"/>
      <c r="AOQ17" s="394"/>
      <c r="AOR17" s="394"/>
      <c r="AOS17" s="394"/>
      <c r="AOT17" s="394"/>
      <c r="AOU17" s="394"/>
      <c r="AOV17" s="394"/>
      <c r="AOW17" s="394"/>
      <c r="AOX17" s="394"/>
      <c r="AOY17" s="394"/>
      <c r="AOZ17" s="394"/>
      <c r="APA17" s="394"/>
      <c r="APB17" s="394"/>
      <c r="APC17" s="394"/>
      <c r="APD17" s="394"/>
      <c r="APE17" s="394"/>
      <c r="APF17" s="394"/>
      <c r="APG17" s="394"/>
      <c r="APH17" s="394"/>
      <c r="API17" s="394"/>
      <c r="APJ17" s="394"/>
      <c r="APK17" s="394"/>
      <c r="APL17" s="394"/>
      <c r="APM17" s="394"/>
      <c r="APN17" s="394"/>
      <c r="APO17" s="394"/>
      <c r="APP17" s="394"/>
      <c r="APQ17" s="394"/>
      <c r="APR17" s="394"/>
      <c r="APS17" s="394"/>
      <c r="APT17" s="394"/>
      <c r="APU17" s="394"/>
      <c r="APV17" s="394"/>
      <c r="APW17" s="394"/>
      <c r="APX17" s="394"/>
      <c r="APY17" s="394"/>
      <c r="APZ17" s="394"/>
      <c r="AQA17" s="394"/>
      <c r="AQB17" s="394"/>
      <c r="AQC17" s="394"/>
      <c r="AQD17" s="394"/>
      <c r="AQE17" s="394"/>
      <c r="AQF17" s="394"/>
      <c r="AQG17" s="394"/>
      <c r="AQH17" s="394"/>
      <c r="AQI17" s="394"/>
      <c r="AQJ17" s="394"/>
      <c r="AQK17" s="394"/>
      <c r="AQL17" s="394"/>
      <c r="AQM17" s="394"/>
      <c r="AQN17" s="394"/>
      <c r="AQO17" s="394"/>
      <c r="AQP17" s="394"/>
      <c r="AQQ17" s="394"/>
      <c r="AQR17" s="394"/>
      <c r="AQS17" s="394"/>
      <c r="AQT17" s="394"/>
      <c r="AQU17" s="394"/>
      <c r="AQV17" s="394"/>
      <c r="AQW17" s="394"/>
      <c r="AQX17" s="394"/>
      <c r="AQY17" s="394"/>
      <c r="AQZ17" s="394"/>
      <c r="ARA17" s="394"/>
      <c r="ARB17" s="394"/>
      <c r="ARC17" s="394"/>
      <c r="ARD17" s="394"/>
      <c r="ARE17" s="394"/>
      <c r="ARF17" s="394"/>
      <c r="ARG17" s="394"/>
      <c r="ARH17" s="394"/>
      <c r="ARI17" s="394"/>
      <c r="ARJ17" s="394"/>
      <c r="ARK17" s="394"/>
      <c r="ARL17" s="394"/>
      <c r="ARM17" s="394"/>
      <c r="ARN17" s="394"/>
      <c r="ARO17" s="394"/>
      <c r="ARP17" s="394"/>
      <c r="ARQ17" s="394"/>
      <c r="ARR17" s="394"/>
      <c r="ARS17" s="394"/>
      <c r="ART17" s="394"/>
      <c r="ARU17" s="394"/>
      <c r="ARV17" s="394"/>
      <c r="ARW17" s="394"/>
      <c r="ARX17" s="394"/>
      <c r="ARY17" s="394"/>
      <c r="ARZ17" s="394"/>
      <c r="ASA17" s="394"/>
      <c r="ASB17" s="394"/>
      <c r="ASC17" s="394"/>
      <c r="ASD17" s="394"/>
      <c r="ASE17" s="394"/>
      <c r="ASF17" s="394"/>
      <c r="ASG17" s="394"/>
      <c r="ASH17" s="394"/>
      <c r="ASI17" s="394"/>
      <c r="ASJ17" s="394"/>
      <c r="ASK17" s="394"/>
      <c r="ASL17" s="394"/>
      <c r="ASM17" s="394"/>
      <c r="ASN17" s="394"/>
      <c r="ASO17" s="394"/>
      <c r="ASP17" s="394"/>
      <c r="ASQ17" s="394"/>
      <c r="ASR17" s="394"/>
      <c r="ASS17" s="394"/>
      <c r="AST17" s="394"/>
      <c r="ASU17" s="394"/>
      <c r="ASV17" s="394"/>
      <c r="ASW17" s="394"/>
      <c r="ASX17" s="394"/>
      <c r="ASY17" s="394"/>
      <c r="ASZ17" s="394"/>
      <c r="ATA17" s="394"/>
      <c r="ATB17" s="394"/>
      <c r="ATC17" s="394"/>
      <c r="ATD17" s="394"/>
      <c r="ATE17" s="394"/>
      <c r="ATF17" s="394"/>
      <c r="ATG17" s="394"/>
      <c r="ATH17" s="394"/>
      <c r="ATI17" s="394"/>
      <c r="ATJ17" s="394"/>
      <c r="ATK17" s="394"/>
      <c r="ATL17" s="394"/>
      <c r="ATM17" s="394"/>
      <c r="ATN17" s="394"/>
      <c r="ATO17" s="394"/>
      <c r="ATP17" s="394"/>
      <c r="ATQ17" s="394"/>
      <c r="ATR17" s="394"/>
      <c r="ATS17" s="394"/>
      <c r="ATT17" s="394"/>
      <c r="ATU17" s="394"/>
      <c r="ATV17" s="394"/>
      <c r="ATW17" s="394"/>
      <c r="ATX17" s="394"/>
      <c r="ATY17" s="394"/>
      <c r="ATZ17" s="394"/>
      <c r="AUA17" s="394"/>
      <c r="AUB17" s="394"/>
      <c r="AUC17" s="394"/>
      <c r="AUD17" s="394"/>
      <c r="AUE17" s="394"/>
      <c r="AUF17" s="394"/>
      <c r="AUG17" s="394"/>
      <c r="AUH17" s="394"/>
      <c r="AUI17" s="394"/>
      <c r="AUJ17" s="394"/>
      <c r="AUK17" s="394"/>
      <c r="AUL17" s="394"/>
      <c r="AUM17" s="394"/>
      <c r="AUN17" s="394"/>
      <c r="AUO17" s="394"/>
      <c r="AUP17" s="394"/>
      <c r="AUQ17" s="394"/>
      <c r="AUR17" s="394"/>
      <c r="AUS17" s="394"/>
      <c r="AUT17" s="394"/>
      <c r="AUU17" s="394"/>
      <c r="AUV17" s="394"/>
      <c r="AUW17" s="394"/>
      <c r="AUX17" s="394"/>
      <c r="AUY17" s="394"/>
      <c r="AUZ17" s="394"/>
      <c r="AVA17" s="394"/>
      <c r="AVB17" s="394"/>
      <c r="AVC17" s="394"/>
      <c r="AVD17" s="394"/>
      <c r="AVE17" s="394"/>
      <c r="AVF17" s="394"/>
      <c r="AVG17" s="394"/>
      <c r="AVH17" s="394"/>
      <c r="AVI17" s="394"/>
      <c r="AVJ17" s="394"/>
      <c r="AVK17" s="394"/>
      <c r="AVL17" s="394"/>
      <c r="AVM17" s="394"/>
      <c r="AVN17" s="394"/>
      <c r="AVO17" s="394"/>
      <c r="AVP17" s="394"/>
      <c r="AVQ17" s="394"/>
      <c r="AVR17" s="394"/>
      <c r="AVS17" s="394"/>
      <c r="AVT17" s="394"/>
      <c r="AVU17" s="394"/>
      <c r="AVV17" s="394"/>
      <c r="AVW17" s="394"/>
      <c r="AVX17" s="394"/>
      <c r="AVY17" s="394"/>
      <c r="AVZ17" s="394"/>
      <c r="AWA17" s="394"/>
      <c r="AWB17" s="394"/>
      <c r="AWC17" s="394"/>
      <c r="AWD17" s="394"/>
      <c r="AWE17" s="394"/>
      <c r="AWF17" s="394"/>
      <c r="AWG17" s="394"/>
      <c r="AWH17" s="394"/>
      <c r="AWI17" s="394"/>
      <c r="AWJ17" s="394"/>
      <c r="AWK17" s="394"/>
      <c r="AWL17" s="394"/>
      <c r="AWM17" s="394"/>
      <c r="AWN17" s="394"/>
      <c r="AWO17" s="394"/>
      <c r="AWP17" s="394"/>
      <c r="AWQ17" s="394"/>
      <c r="AWR17" s="394"/>
      <c r="AWS17" s="394"/>
      <c r="AWT17" s="394"/>
      <c r="AWU17" s="394"/>
      <c r="AWV17" s="394"/>
      <c r="AWW17" s="394"/>
      <c r="AWX17" s="394"/>
      <c r="AWY17" s="394"/>
      <c r="AWZ17" s="394"/>
      <c r="AXA17" s="394"/>
      <c r="AXB17" s="394"/>
      <c r="AXC17" s="394"/>
      <c r="AXD17" s="394"/>
      <c r="AXE17" s="394"/>
      <c r="AXF17" s="394"/>
      <c r="AXG17" s="394"/>
      <c r="AXH17" s="394"/>
      <c r="AXI17" s="394"/>
      <c r="AXJ17" s="394"/>
      <c r="AXK17" s="394"/>
      <c r="AXL17" s="394"/>
      <c r="AXM17" s="394"/>
      <c r="AXN17" s="394"/>
      <c r="AXO17" s="394"/>
      <c r="AXP17" s="394"/>
      <c r="AXQ17" s="394"/>
      <c r="AXR17" s="394"/>
      <c r="AXS17" s="394"/>
      <c r="AXT17" s="394"/>
      <c r="AXU17" s="394"/>
      <c r="AXV17" s="394"/>
      <c r="AXW17" s="394"/>
      <c r="AXX17" s="394"/>
      <c r="AXY17" s="394"/>
      <c r="AXZ17" s="394"/>
      <c r="AYA17" s="394"/>
      <c r="AYB17" s="394"/>
      <c r="AYC17" s="394"/>
      <c r="AYD17" s="394"/>
      <c r="AYE17" s="394"/>
      <c r="AYF17" s="394"/>
      <c r="AYG17" s="394"/>
      <c r="AYH17" s="394"/>
      <c r="AYI17" s="394"/>
      <c r="AYJ17" s="394"/>
      <c r="AYK17" s="394"/>
      <c r="AYL17" s="394"/>
      <c r="AYM17" s="394"/>
      <c r="AYN17" s="394"/>
      <c r="AYO17" s="394"/>
      <c r="AYP17" s="394"/>
      <c r="AYQ17" s="394"/>
      <c r="AYR17" s="394"/>
      <c r="AYS17" s="394"/>
      <c r="AYT17" s="394"/>
      <c r="AYU17" s="394"/>
      <c r="AYV17" s="394"/>
      <c r="AYW17" s="394"/>
      <c r="AYX17" s="394"/>
      <c r="AYY17" s="394"/>
      <c r="AYZ17" s="394"/>
      <c r="AZA17" s="394"/>
      <c r="AZB17" s="394"/>
      <c r="AZC17" s="394"/>
      <c r="AZD17" s="394"/>
      <c r="AZE17" s="394"/>
      <c r="AZF17" s="394"/>
      <c r="AZG17" s="394"/>
      <c r="AZH17" s="394"/>
      <c r="AZI17" s="394"/>
      <c r="AZJ17" s="394"/>
      <c r="AZK17" s="394"/>
      <c r="AZL17" s="394"/>
      <c r="AZM17" s="394"/>
      <c r="AZN17" s="394"/>
      <c r="AZO17" s="394"/>
      <c r="AZP17" s="394"/>
      <c r="AZQ17" s="394"/>
      <c r="AZR17" s="394"/>
      <c r="AZS17" s="394"/>
      <c r="AZT17" s="394"/>
      <c r="AZU17" s="394"/>
      <c r="AZV17" s="394"/>
      <c r="AZW17" s="394"/>
      <c r="AZX17" s="394"/>
      <c r="AZY17" s="394"/>
      <c r="AZZ17" s="394"/>
      <c r="BAA17" s="394"/>
      <c r="BAB17" s="394"/>
      <c r="BAC17" s="394"/>
      <c r="BAD17" s="394"/>
      <c r="BAE17" s="394"/>
      <c r="BAF17" s="394"/>
      <c r="BAG17" s="394"/>
      <c r="BAH17" s="394"/>
      <c r="BAI17" s="394"/>
      <c r="BAJ17" s="394"/>
      <c r="BAK17" s="394"/>
      <c r="BAL17" s="394"/>
      <c r="BAM17" s="394"/>
      <c r="BAN17" s="394"/>
      <c r="BAO17" s="394"/>
      <c r="BAP17" s="394"/>
      <c r="BAQ17" s="394"/>
      <c r="BAR17" s="394"/>
      <c r="BAS17" s="394"/>
      <c r="BAT17" s="394"/>
      <c r="BAU17" s="394"/>
      <c r="BAV17" s="394"/>
      <c r="BAW17" s="394"/>
      <c r="BAX17" s="394"/>
      <c r="BAY17" s="394"/>
      <c r="BAZ17" s="394"/>
      <c r="BBA17" s="394"/>
      <c r="BBB17" s="394"/>
      <c r="BBC17" s="394"/>
      <c r="BBD17" s="394"/>
      <c r="BBE17" s="394"/>
      <c r="BBF17" s="394"/>
      <c r="BBG17" s="394"/>
      <c r="BBH17" s="394"/>
      <c r="BBI17" s="394"/>
      <c r="BBJ17" s="394"/>
      <c r="BBK17" s="394"/>
      <c r="BBL17" s="394"/>
      <c r="BBM17" s="394"/>
      <c r="BBN17" s="394"/>
      <c r="BBO17" s="394"/>
      <c r="BBP17" s="394"/>
      <c r="BBQ17" s="394"/>
      <c r="BBR17" s="394"/>
      <c r="BBS17" s="394"/>
      <c r="BBT17" s="394"/>
      <c r="BBU17" s="394"/>
      <c r="BBV17" s="394"/>
      <c r="BBW17" s="394"/>
      <c r="BBX17" s="394"/>
      <c r="BBY17" s="394"/>
      <c r="BBZ17" s="394"/>
      <c r="BCA17" s="394"/>
      <c r="BCB17" s="394"/>
      <c r="BCC17" s="394"/>
      <c r="BCD17" s="394"/>
      <c r="BCE17" s="394"/>
      <c r="BCF17" s="394"/>
      <c r="BCG17" s="394"/>
      <c r="BCH17" s="394"/>
      <c r="BCI17" s="394"/>
      <c r="BCJ17" s="394"/>
      <c r="BCK17" s="394"/>
      <c r="BCL17" s="394"/>
      <c r="BCM17" s="394"/>
      <c r="BCN17" s="394"/>
      <c r="BCO17" s="394"/>
      <c r="BCP17" s="394"/>
      <c r="BCQ17" s="394"/>
      <c r="BCR17" s="394"/>
      <c r="BCS17" s="394"/>
      <c r="BCT17" s="394"/>
      <c r="BCU17" s="394"/>
      <c r="BCV17" s="394"/>
      <c r="BCW17" s="394"/>
      <c r="BCX17" s="394"/>
      <c r="BCY17" s="394"/>
      <c r="BCZ17" s="394"/>
      <c r="BDA17" s="394"/>
      <c r="BDB17" s="394"/>
      <c r="BDC17" s="394"/>
      <c r="BDD17" s="394"/>
      <c r="BDE17" s="394"/>
      <c r="BDF17" s="394"/>
      <c r="BDG17" s="394"/>
      <c r="BDH17" s="394"/>
      <c r="BDI17" s="394"/>
      <c r="BDJ17" s="394"/>
      <c r="BDK17" s="394"/>
      <c r="BDL17" s="394"/>
      <c r="BDM17" s="394"/>
      <c r="BDN17" s="394"/>
      <c r="BDO17" s="394"/>
      <c r="BDP17" s="394"/>
      <c r="BDQ17" s="394"/>
      <c r="BDR17" s="394"/>
      <c r="BDS17" s="394"/>
      <c r="BDT17" s="394"/>
      <c r="BDU17" s="394"/>
      <c r="BDV17" s="394"/>
      <c r="BDW17" s="394"/>
      <c r="BDX17" s="394"/>
      <c r="BDY17" s="394"/>
      <c r="BDZ17" s="394"/>
      <c r="BEA17" s="394"/>
      <c r="BEB17" s="394"/>
      <c r="BEC17" s="394"/>
      <c r="BED17" s="394"/>
      <c r="BEE17" s="394"/>
      <c r="BEF17" s="394"/>
      <c r="BEG17" s="394"/>
      <c r="BEH17" s="394"/>
      <c r="BEI17" s="394"/>
      <c r="BEJ17" s="394"/>
      <c r="BEK17" s="394"/>
      <c r="BEL17" s="394"/>
      <c r="BEM17" s="394"/>
      <c r="BEN17" s="394"/>
      <c r="BEO17" s="394"/>
      <c r="BEP17" s="394"/>
      <c r="BEQ17" s="394"/>
      <c r="BER17" s="394"/>
      <c r="BES17" s="394"/>
      <c r="BET17" s="394"/>
      <c r="BEU17" s="394"/>
      <c r="BEV17" s="394"/>
      <c r="BEW17" s="394"/>
      <c r="BEX17" s="394"/>
      <c r="BEY17" s="394"/>
      <c r="BEZ17" s="394"/>
      <c r="BFA17" s="394"/>
      <c r="BFB17" s="394"/>
      <c r="BFC17" s="394"/>
      <c r="BFD17" s="394"/>
      <c r="BFE17" s="394"/>
      <c r="BFF17" s="394"/>
      <c r="BFG17" s="394"/>
      <c r="BFH17" s="394"/>
      <c r="BFI17" s="394"/>
      <c r="BFJ17" s="394"/>
      <c r="BFK17" s="394"/>
      <c r="BFL17" s="394"/>
      <c r="BFM17" s="394"/>
      <c r="BFN17" s="394"/>
      <c r="BFO17" s="394"/>
      <c r="BFP17" s="394"/>
      <c r="BFQ17" s="394"/>
      <c r="BFR17" s="394"/>
      <c r="BFS17" s="394"/>
      <c r="BFT17" s="394"/>
      <c r="BFU17" s="394"/>
      <c r="BFV17" s="394"/>
      <c r="BFW17" s="394"/>
      <c r="BFX17" s="394"/>
      <c r="BFY17" s="394"/>
      <c r="BFZ17" s="394"/>
      <c r="BGA17" s="394"/>
      <c r="BGB17" s="394"/>
      <c r="BGC17" s="394"/>
      <c r="BGD17" s="394"/>
      <c r="BGE17" s="394"/>
      <c r="BGF17" s="394"/>
      <c r="BGG17" s="394"/>
      <c r="BGH17" s="394"/>
      <c r="BGI17" s="394"/>
      <c r="BGJ17" s="394"/>
      <c r="BGK17" s="394"/>
      <c r="BGL17" s="394"/>
      <c r="BGM17" s="394"/>
      <c r="BGN17" s="394"/>
      <c r="BGO17" s="394"/>
      <c r="BGP17" s="394"/>
      <c r="BGQ17" s="394"/>
      <c r="BGR17" s="394"/>
      <c r="BGS17" s="394"/>
      <c r="BGT17" s="394"/>
      <c r="BGU17" s="394"/>
      <c r="BGV17" s="394"/>
      <c r="BGW17" s="394"/>
      <c r="BGX17" s="394"/>
      <c r="BGY17" s="394"/>
      <c r="BGZ17" s="394"/>
      <c r="BHA17" s="394"/>
      <c r="BHB17" s="394"/>
      <c r="BHC17" s="394"/>
      <c r="BHD17" s="394"/>
      <c r="BHE17" s="394"/>
      <c r="BHF17" s="394"/>
      <c r="BHG17" s="394"/>
      <c r="BHH17" s="394"/>
      <c r="BHI17" s="394"/>
      <c r="BHJ17" s="394"/>
      <c r="BHK17" s="394"/>
      <c r="BHL17" s="394"/>
      <c r="BHM17" s="394"/>
      <c r="BHN17" s="394"/>
      <c r="BHO17" s="394"/>
      <c r="BHP17" s="394"/>
      <c r="BHQ17" s="394"/>
      <c r="BHR17" s="394"/>
      <c r="BHS17" s="394"/>
      <c r="BHT17" s="394"/>
      <c r="BHU17" s="394"/>
      <c r="BHV17" s="394"/>
      <c r="BHW17" s="394"/>
      <c r="BHX17" s="394"/>
      <c r="BHY17" s="394"/>
      <c r="BHZ17" s="394"/>
      <c r="BIA17" s="394"/>
      <c r="BIB17" s="394"/>
      <c r="BIC17" s="394"/>
      <c r="BID17" s="394"/>
      <c r="BIE17" s="394"/>
      <c r="BIF17" s="394"/>
      <c r="BIG17" s="394"/>
      <c r="BIH17" s="394"/>
      <c r="BII17" s="394"/>
      <c r="BIJ17" s="394"/>
      <c r="BIK17" s="394"/>
      <c r="BIL17" s="394"/>
      <c r="BIM17" s="394"/>
      <c r="BIN17" s="394"/>
      <c r="BIO17" s="394"/>
      <c r="BIP17" s="394"/>
      <c r="BIQ17" s="394"/>
      <c r="BIR17" s="394"/>
      <c r="BIS17" s="394"/>
      <c r="BIT17" s="394"/>
      <c r="BIU17" s="394"/>
      <c r="BIV17" s="394"/>
      <c r="BIW17" s="394"/>
      <c r="BIX17" s="394"/>
      <c r="BIY17" s="394"/>
      <c r="BIZ17" s="394"/>
      <c r="BJA17" s="394"/>
      <c r="BJB17" s="394"/>
      <c r="BJC17" s="394"/>
      <c r="BJD17" s="394"/>
      <c r="BJE17" s="394"/>
      <c r="BJF17" s="394"/>
      <c r="BJG17" s="394"/>
      <c r="BJH17" s="394"/>
      <c r="BJI17" s="394"/>
      <c r="BJJ17" s="394"/>
      <c r="BJK17" s="394"/>
      <c r="BJL17" s="394"/>
      <c r="BJM17" s="394"/>
      <c r="BJN17" s="394"/>
      <c r="BJO17" s="394"/>
      <c r="BJP17" s="394"/>
      <c r="BJQ17" s="394"/>
      <c r="BJR17" s="394"/>
      <c r="BJS17" s="394"/>
      <c r="BJT17" s="394"/>
      <c r="BJU17" s="394"/>
      <c r="BJV17" s="394"/>
      <c r="BJW17" s="394"/>
      <c r="BJX17" s="394"/>
      <c r="BJY17" s="394"/>
      <c r="BJZ17" s="394"/>
      <c r="BKA17" s="394"/>
      <c r="BKB17" s="394"/>
      <c r="BKC17" s="394"/>
      <c r="BKD17" s="394"/>
      <c r="BKE17" s="394"/>
      <c r="BKF17" s="394"/>
      <c r="BKG17" s="394"/>
      <c r="BKH17" s="394"/>
      <c r="BKI17" s="394"/>
      <c r="BKJ17" s="394"/>
      <c r="BKK17" s="394"/>
      <c r="BKL17" s="394"/>
      <c r="BKM17" s="394"/>
      <c r="BKN17" s="394"/>
      <c r="BKO17" s="394"/>
      <c r="BKP17" s="394"/>
      <c r="BKQ17" s="394"/>
      <c r="BKR17" s="394"/>
      <c r="BKS17" s="394"/>
      <c r="BKT17" s="394"/>
      <c r="BKU17" s="394"/>
      <c r="BKV17" s="394"/>
      <c r="BKW17" s="394"/>
      <c r="BKX17" s="394"/>
      <c r="BKY17" s="394"/>
      <c r="BKZ17" s="394"/>
      <c r="BLA17" s="394"/>
      <c r="BLB17" s="394"/>
      <c r="BLC17" s="394"/>
      <c r="BLD17" s="394"/>
      <c r="BLE17" s="394"/>
      <c r="BLF17" s="394"/>
      <c r="BLG17" s="394"/>
      <c r="BLH17" s="394"/>
      <c r="BLI17" s="394"/>
      <c r="BLJ17" s="394"/>
      <c r="BLK17" s="394"/>
      <c r="BLL17" s="394"/>
      <c r="BLM17" s="394"/>
      <c r="BLN17" s="394"/>
      <c r="BLO17" s="394"/>
      <c r="BLP17" s="394"/>
      <c r="BLQ17" s="394"/>
      <c r="BLR17" s="394"/>
      <c r="BLS17" s="394"/>
      <c r="BLT17" s="394"/>
      <c r="BLU17" s="394"/>
      <c r="BLV17" s="394"/>
      <c r="BLW17" s="394"/>
      <c r="BLX17" s="394"/>
      <c r="BLY17" s="394"/>
      <c r="BLZ17" s="394"/>
      <c r="BMA17" s="394"/>
      <c r="BMB17" s="394"/>
      <c r="BMC17" s="394"/>
      <c r="BMD17" s="394"/>
      <c r="BME17" s="394"/>
      <c r="BMF17" s="394"/>
      <c r="BMG17" s="394"/>
      <c r="BMH17" s="394"/>
      <c r="BMI17" s="394"/>
      <c r="BMJ17" s="394"/>
      <c r="BMK17" s="394"/>
      <c r="BML17" s="394"/>
      <c r="BMM17" s="394"/>
      <c r="BMN17" s="394"/>
      <c r="BMO17" s="394"/>
      <c r="BMP17" s="394"/>
      <c r="BMQ17" s="394"/>
      <c r="BMR17" s="394"/>
      <c r="BMS17" s="394"/>
      <c r="BMT17" s="394"/>
      <c r="BMU17" s="394"/>
      <c r="BMV17" s="394"/>
      <c r="BMW17" s="394"/>
      <c r="BMX17" s="394"/>
      <c r="BMY17" s="394"/>
      <c r="BMZ17" s="394"/>
      <c r="BNA17" s="394"/>
      <c r="BNB17" s="394"/>
      <c r="BNC17" s="394"/>
      <c r="BND17" s="394"/>
      <c r="BNE17" s="394"/>
      <c r="BNF17" s="394"/>
      <c r="BNG17" s="394"/>
      <c r="BNH17" s="394"/>
      <c r="BNI17" s="394"/>
      <c r="BNJ17" s="394"/>
      <c r="BNK17" s="394"/>
      <c r="BNL17" s="394"/>
      <c r="BNM17" s="394"/>
      <c r="BNN17" s="394"/>
      <c r="BNO17" s="394"/>
      <c r="BNP17" s="394"/>
      <c r="BNQ17" s="394"/>
      <c r="BNR17" s="394"/>
      <c r="BNS17" s="394"/>
      <c r="BNT17" s="394"/>
      <c r="BNU17" s="394"/>
      <c r="BNV17" s="394"/>
      <c r="BNW17" s="394"/>
      <c r="BNX17" s="394"/>
      <c r="BNY17" s="394"/>
      <c r="BNZ17" s="394"/>
      <c r="BOA17" s="394"/>
      <c r="BOB17" s="394"/>
      <c r="BOC17" s="394"/>
      <c r="BOD17" s="394"/>
      <c r="BOE17" s="394"/>
      <c r="BOF17" s="394"/>
      <c r="BOG17" s="394"/>
      <c r="BOH17" s="394"/>
      <c r="BOI17" s="394"/>
      <c r="BOJ17" s="394"/>
      <c r="BOK17" s="394"/>
      <c r="BOL17" s="394"/>
      <c r="BOM17" s="394"/>
      <c r="BON17" s="394"/>
      <c r="BOO17" s="394"/>
      <c r="BOP17" s="394"/>
      <c r="BOQ17" s="394"/>
      <c r="BOR17" s="394"/>
      <c r="BOS17" s="394"/>
      <c r="BOT17" s="394"/>
      <c r="BOU17" s="394"/>
      <c r="BOV17" s="394"/>
      <c r="BOW17" s="394"/>
      <c r="BOX17" s="394"/>
      <c r="BOY17" s="394"/>
      <c r="BOZ17" s="394"/>
      <c r="BPA17" s="394"/>
      <c r="BPB17" s="394"/>
      <c r="BPC17" s="394"/>
      <c r="BPD17" s="394"/>
      <c r="BPE17" s="394"/>
      <c r="BPF17" s="394"/>
      <c r="BPG17" s="394"/>
      <c r="BPH17" s="394"/>
      <c r="BPI17" s="394"/>
      <c r="BPJ17" s="394"/>
      <c r="BPK17" s="394"/>
      <c r="BPL17" s="394"/>
      <c r="BPM17" s="394"/>
      <c r="BPN17" s="394"/>
      <c r="BPO17" s="394"/>
      <c r="BPP17" s="394"/>
      <c r="BPQ17" s="394"/>
      <c r="BPR17" s="394"/>
      <c r="BPS17" s="394"/>
      <c r="BPT17" s="394"/>
      <c r="BPU17" s="394"/>
      <c r="BPV17" s="394"/>
      <c r="BPW17" s="394"/>
      <c r="BPX17" s="394"/>
      <c r="BPY17" s="394"/>
      <c r="BPZ17" s="394"/>
      <c r="BQA17" s="394"/>
      <c r="BQB17" s="394"/>
      <c r="BQC17" s="394"/>
      <c r="BQD17" s="394"/>
      <c r="BQE17" s="394"/>
      <c r="BQF17" s="394"/>
      <c r="BQG17" s="394"/>
      <c r="BQH17" s="394"/>
      <c r="BQI17" s="394"/>
      <c r="BQJ17" s="394"/>
      <c r="BQK17" s="394"/>
      <c r="BQL17" s="394"/>
      <c r="BQM17" s="394"/>
      <c r="BQN17" s="394"/>
      <c r="BQO17" s="394"/>
      <c r="BQP17" s="394"/>
      <c r="BQQ17" s="394"/>
      <c r="BQR17" s="394"/>
      <c r="BQS17" s="394"/>
      <c r="BQT17" s="394"/>
      <c r="BQU17" s="394"/>
      <c r="BQV17" s="394"/>
      <c r="BQW17" s="394"/>
      <c r="BQX17" s="394"/>
      <c r="BQY17" s="394"/>
      <c r="BQZ17" s="394"/>
      <c r="BRA17" s="394"/>
      <c r="BRB17" s="394"/>
      <c r="BRC17" s="394"/>
      <c r="BRD17" s="394"/>
      <c r="BRE17" s="394"/>
      <c r="BRF17" s="394"/>
      <c r="BRG17" s="394"/>
      <c r="BRH17" s="394"/>
      <c r="BRI17" s="394"/>
      <c r="BRJ17" s="394"/>
      <c r="BRK17" s="394"/>
      <c r="BRL17" s="394"/>
      <c r="BRM17" s="394"/>
      <c r="BRN17" s="394"/>
      <c r="BRO17" s="394"/>
      <c r="BRP17" s="394"/>
      <c r="BRQ17" s="394"/>
      <c r="BRR17" s="394"/>
      <c r="BRS17" s="394"/>
      <c r="BRT17" s="394"/>
      <c r="BRU17" s="394"/>
      <c r="BRV17" s="394"/>
      <c r="BRW17" s="394"/>
      <c r="BRX17" s="394"/>
      <c r="BRY17" s="394"/>
      <c r="BRZ17" s="394"/>
      <c r="BSA17" s="394"/>
      <c r="BSB17" s="394"/>
      <c r="BSC17" s="394"/>
      <c r="BSD17" s="394"/>
      <c r="BSE17" s="394"/>
      <c r="BSF17" s="394"/>
      <c r="BSG17" s="394"/>
      <c r="BSH17" s="394"/>
      <c r="BSI17" s="394"/>
      <c r="BSJ17" s="394"/>
      <c r="BSK17" s="394"/>
      <c r="BSL17" s="394"/>
      <c r="BSM17" s="394"/>
      <c r="BSN17" s="394"/>
      <c r="BSO17" s="394"/>
      <c r="BSP17" s="394"/>
      <c r="BSQ17" s="394"/>
      <c r="BSR17" s="394"/>
      <c r="BSS17" s="394"/>
      <c r="BST17" s="394"/>
      <c r="BSU17" s="394"/>
      <c r="BSV17" s="394"/>
      <c r="BSW17" s="394"/>
      <c r="BSX17" s="394"/>
      <c r="BSY17" s="394"/>
      <c r="BSZ17" s="394"/>
      <c r="BTA17" s="394"/>
      <c r="BTB17" s="394"/>
      <c r="BTC17" s="394"/>
      <c r="BTD17" s="394"/>
      <c r="BTE17" s="394"/>
      <c r="BTF17" s="394"/>
      <c r="BTG17" s="394"/>
      <c r="BTH17" s="394"/>
      <c r="BTI17" s="394"/>
    </row>
    <row r="18" spans="1:1881" s="378" customFormat="1" ht="97.5" customHeight="1" x14ac:dyDescent="0.35">
      <c r="A18" s="455">
        <v>632</v>
      </c>
      <c r="B18" s="456" t="s">
        <v>830</v>
      </c>
      <c r="C18" s="452" t="s">
        <v>136</v>
      </c>
      <c r="D18" s="453" t="s">
        <v>1089</v>
      </c>
      <c r="E18" s="865" t="s">
        <v>832</v>
      </c>
      <c r="F18" s="624"/>
      <c r="G18" s="457">
        <f>IF(F18&gt;F12,"Please review account numbers 632 &gt; 626",)</f>
        <v>0</v>
      </c>
      <c r="H18" s="438"/>
      <c r="I18" s="440"/>
      <c r="J18" s="365"/>
      <c r="K18" s="442"/>
      <c r="L18" s="833" t="s">
        <v>1116</v>
      </c>
      <c r="M18" s="610"/>
      <c r="N18" s="635"/>
      <c r="O18" s="394"/>
      <c r="P18" s="394"/>
      <c r="Q18" s="394"/>
      <c r="R18" s="394"/>
      <c r="S18" s="394"/>
      <c r="T18" s="394"/>
      <c r="U18" s="394"/>
      <c r="V18" s="394"/>
      <c r="W18" s="394"/>
      <c r="X18" s="394"/>
      <c r="Y18" s="394"/>
      <c r="Z18" s="394"/>
      <c r="AA18" s="394"/>
      <c r="AB18" s="394"/>
      <c r="AC18" s="394"/>
      <c r="AD18" s="394"/>
      <c r="AE18" s="394"/>
      <c r="AF18" s="394"/>
      <c r="AG18" s="394"/>
      <c r="AH18" s="394"/>
      <c r="AI18" s="394"/>
      <c r="AJ18" s="394"/>
      <c r="AK18" s="394"/>
      <c r="AL18" s="394"/>
      <c r="AM18" s="394"/>
      <c r="AN18" s="394"/>
      <c r="AO18" s="394"/>
      <c r="AP18" s="394"/>
      <c r="AQ18" s="394"/>
      <c r="AR18" s="394"/>
      <c r="AS18" s="394"/>
      <c r="AT18" s="394"/>
      <c r="AU18" s="394"/>
      <c r="AV18" s="394"/>
      <c r="AW18" s="394"/>
      <c r="AX18" s="394"/>
      <c r="AY18" s="394"/>
      <c r="AZ18" s="394"/>
      <c r="BA18" s="394"/>
      <c r="BB18" s="394"/>
      <c r="BC18" s="394"/>
      <c r="BD18" s="394"/>
      <c r="BE18" s="394"/>
      <c r="BF18" s="394"/>
      <c r="BG18" s="394"/>
      <c r="BH18" s="394"/>
      <c r="BI18" s="394"/>
      <c r="BJ18" s="394"/>
      <c r="BK18" s="394"/>
      <c r="BL18" s="394"/>
      <c r="BM18" s="394"/>
      <c r="BN18" s="394"/>
      <c r="BO18" s="394"/>
      <c r="BP18" s="394"/>
      <c r="BQ18" s="394"/>
      <c r="BR18" s="394"/>
      <c r="BS18" s="394"/>
      <c r="BT18" s="394"/>
      <c r="BU18" s="394"/>
      <c r="BV18" s="394"/>
      <c r="BW18" s="394"/>
      <c r="BX18" s="394"/>
      <c r="BY18" s="394"/>
      <c r="BZ18" s="394"/>
      <c r="CA18" s="394"/>
      <c r="CB18" s="394"/>
      <c r="CC18" s="394"/>
      <c r="CD18" s="394"/>
      <c r="CE18" s="394"/>
      <c r="CF18" s="394"/>
      <c r="CG18" s="394"/>
      <c r="CH18" s="394"/>
      <c r="CI18" s="394"/>
      <c r="CJ18" s="394"/>
      <c r="CK18" s="394"/>
      <c r="CL18" s="394"/>
      <c r="CM18" s="394"/>
      <c r="CN18" s="394"/>
      <c r="CO18" s="394"/>
      <c r="CP18" s="394"/>
      <c r="CQ18" s="394"/>
      <c r="CR18" s="394"/>
      <c r="CS18" s="394"/>
      <c r="CT18" s="394"/>
      <c r="CU18" s="394"/>
      <c r="CV18" s="394"/>
      <c r="CW18" s="394"/>
      <c r="CX18" s="394"/>
      <c r="CY18" s="394"/>
      <c r="CZ18" s="394"/>
      <c r="DA18" s="394"/>
      <c r="DB18" s="394"/>
      <c r="DC18" s="394"/>
      <c r="DD18" s="394"/>
      <c r="DE18" s="394"/>
      <c r="DF18" s="394"/>
      <c r="DG18" s="394"/>
      <c r="DH18" s="394"/>
      <c r="DI18" s="394"/>
      <c r="DJ18" s="394"/>
      <c r="DK18" s="394"/>
      <c r="DL18" s="394"/>
      <c r="DM18" s="394"/>
      <c r="DN18" s="394"/>
      <c r="DO18" s="394"/>
      <c r="DP18" s="394"/>
      <c r="DQ18" s="394"/>
      <c r="DR18" s="394"/>
      <c r="DS18" s="394"/>
      <c r="DT18" s="394"/>
      <c r="DU18" s="394"/>
      <c r="DV18" s="394"/>
      <c r="DW18" s="394"/>
      <c r="DX18" s="394"/>
      <c r="DY18" s="394"/>
      <c r="DZ18" s="394"/>
      <c r="EA18" s="394"/>
      <c r="EB18" s="394"/>
      <c r="EC18" s="394"/>
      <c r="ED18" s="394"/>
      <c r="EE18" s="394"/>
      <c r="EF18" s="394"/>
      <c r="EG18" s="394"/>
      <c r="EH18" s="394"/>
      <c r="EI18" s="394"/>
      <c r="EJ18" s="394"/>
      <c r="EK18" s="394"/>
      <c r="EL18" s="394"/>
      <c r="EM18" s="394"/>
      <c r="EN18" s="394"/>
      <c r="EO18" s="394"/>
      <c r="EP18" s="394"/>
      <c r="EQ18" s="394"/>
      <c r="ER18" s="394"/>
      <c r="ES18" s="394"/>
      <c r="ET18" s="394"/>
      <c r="EU18" s="394"/>
      <c r="EV18" s="394"/>
      <c r="EW18" s="394"/>
      <c r="EX18" s="394"/>
      <c r="EY18" s="394"/>
      <c r="EZ18" s="394"/>
      <c r="FA18" s="394"/>
      <c r="FB18" s="394"/>
      <c r="FC18" s="394"/>
      <c r="FD18" s="394"/>
      <c r="FE18" s="394"/>
      <c r="FF18" s="394"/>
      <c r="FG18" s="394"/>
      <c r="FH18" s="394"/>
      <c r="FI18" s="394"/>
      <c r="FJ18" s="394"/>
      <c r="FK18" s="394"/>
      <c r="FL18" s="394"/>
      <c r="FM18" s="394"/>
      <c r="FN18" s="394"/>
      <c r="FO18" s="394"/>
      <c r="FP18" s="394"/>
      <c r="FQ18" s="394"/>
      <c r="FR18" s="394"/>
      <c r="FS18" s="394"/>
      <c r="FT18" s="394"/>
      <c r="FU18" s="394"/>
      <c r="FV18" s="394"/>
      <c r="FW18" s="394"/>
      <c r="FX18" s="394"/>
      <c r="FY18" s="394"/>
      <c r="FZ18" s="394"/>
      <c r="GA18" s="394"/>
      <c r="GB18" s="394"/>
      <c r="GC18" s="394"/>
      <c r="GD18" s="394"/>
      <c r="GE18" s="394"/>
      <c r="GF18" s="394"/>
      <c r="GG18" s="394"/>
      <c r="GH18" s="394"/>
      <c r="GI18" s="394"/>
      <c r="GJ18" s="394"/>
      <c r="GK18" s="394"/>
      <c r="GL18" s="394"/>
      <c r="GM18" s="394"/>
      <c r="GN18" s="394"/>
      <c r="GO18" s="394"/>
      <c r="GP18" s="394"/>
      <c r="GQ18" s="394"/>
      <c r="GR18" s="394"/>
      <c r="GS18" s="394"/>
      <c r="GT18" s="394"/>
      <c r="GU18" s="394"/>
      <c r="GV18" s="394"/>
      <c r="GW18" s="394"/>
      <c r="GX18" s="394"/>
      <c r="GY18" s="394"/>
      <c r="GZ18" s="394"/>
      <c r="HA18" s="394"/>
      <c r="HB18" s="394"/>
      <c r="HC18" s="394"/>
      <c r="HD18" s="394"/>
      <c r="HE18" s="394"/>
      <c r="HF18" s="394"/>
      <c r="HG18" s="394"/>
      <c r="HH18" s="394"/>
      <c r="HI18" s="394"/>
      <c r="HJ18" s="394"/>
      <c r="HK18" s="394"/>
      <c r="HL18" s="394"/>
      <c r="HM18" s="394"/>
      <c r="HN18" s="394"/>
      <c r="HO18" s="394"/>
      <c r="HP18" s="394"/>
      <c r="HQ18" s="394"/>
      <c r="HR18" s="394"/>
      <c r="HS18" s="394"/>
      <c r="HT18" s="394"/>
      <c r="HU18" s="394"/>
      <c r="HV18" s="394"/>
      <c r="HW18" s="394"/>
      <c r="HX18" s="394"/>
      <c r="HY18" s="394"/>
      <c r="HZ18" s="394"/>
      <c r="IA18" s="394"/>
      <c r="IB18" s="394"/>
      <c r="IC18" s="394"/>
      <c r="ID18" s="394"/>
      <c r="IE18" s="394"/>
      <c r="IF18" s="394"/>
      <c r="IG18" s="394"/>
      <c r="IH18" s="394"/>
      <c r="II18" s="394"/>
      <c r="IJ18" s="394"/>
      <c r="IK18" s="394"/>
      <c r="IL18" s="394"/>
      <c r="IM18" s="394"/>
      <c r="IN18" s="394"/>
      <c r="IO18" s="394"/>
      <c r="IP18" s="394"/>
      <c r="IQ18" s="394"/>
      <c r="IR18" s="394"/>
      <c r="IS18" s="394"/>
      <c r="IT18" s="394"/>
      <c r="IU18" s="394"/>
      <c r="IV18" s="394"/>
      <c r="IW18" s="394"/>
      <c r="IX18" s="394"/>
      <c r="IY18" s="394"/>
      <c r="IZ18" s="394"/>
      <c r="JA18" s="394"/>
      <c r="JB18" s="394"/>
      <c r="JC18" s="394"/>
      <c r="JD18" s="394"/>
      <c r="JE18" s="394"/>
      <c r="JF18" s="394"/>
      <c r="JG18" s="394"/>
      <c r="JH18" s="394"/>
      <c r="JI18" s="394"/>
      <c r="JJ18" s="394"/>
      <c r="JK18" s="394"/>
      <c r="JL18" s="394"/>
      <c r="JM18" s="394"/>
      <c r="JN18" s="394"/>
      <c r="JO18" s="394"/>
      <c r="JP18" s="394"/>
      <c r="JQ18" s="394"/>
      <c r="JR18" s="394"/>
      <c r="JS18" s="394"/>
      <c r="JT18" s="394"/>
      <c r="JU18" s="394"/>
      <c r="JV18" s="394"/>
      <c r="JW18" s="394"/>
      <c r="JX18" s="394"/>
      <c r="JY18" s="394"/>
      <c r="JZ18" s="394"/>
      <c r="KA18" s="394"/>
      <c r="KB18" s="394"/>
      <c r="KC18" s="394"/>
      <c r="KD18" s="394"/>
      <c r="KE18" s="394"/>
      <c r="KF18" s="394"/>
      <c r="KG18" s="394"/>
      <c r="KH18" s="394"/>
      <c r="KI18" s="394"/>
      <c r="KJ18" s="394"/>
      <c r="KK18" s="394"/>
      <c r="KL18" s="394"/>
      <c r="KM18" s="394"/>
      <c r="KN18" s="394"/>
      <c r="KO18" s="394"/>
      <c r="KP18" s="394"/>
      <c r="KQ18" s="394"/>
      <c r="KR18" s="394"/>
      <c r="KS18" s="394"/>
      <c r="KT18" s="394"/>
      <c r="KU18" s="394"/>
      <c r="KV18" s="394"/>
      <c r="KW18" s="394"/>
      <c r="KX18" s="394"/>
      <c r="KY18" s="394"/>
      <c r="KZ18" s="394"/>
      <c r="LA18" s="394"/>
      <c r="LB18" s="394"/>
      <c r="LC18" s="394"/>
      <c r="LD18" s="394"/>
      <c r="LE18" s="394"/>
      <c r="LF18" s="394"/>
      <c r="LG18" s="394"/>
      <c r="LH18" s="394"/>
      <c r="LI18" s="394"/>
      <c r="LJ18" s="394"/>
      <c r="LK18" s="394"/>
      <c r="LL18" s="394"/>
      <c r="LM18" s="394"/>
      <c r="LN18" s="394"/>
      <c r="LO18" s="394"/>
      <c r="LP18" s="394"/>
      <c r="LQ18" s="394"/>
      <c r="LR18" s="394"/>
      <c r="LS18" s="394"/>
      <c r="LT18" s="394"/>
      <c r="LU18" s="394"/>
      <c r="LV18" s="394"/>
      <c r="LW18" s="394"/>
      <c r="LX18" s="394"/>
      <c r="LY18" s="394"/>
      <c r="LZ18" s="394"/>
      <c r="MA18" s="394"/>
      <c r="MB18" s="394"/>
      <c r="MC18" s="394"/>
      <c r="MD18" s="394"/>
      <c r="ME18" s="394"/>
      <c r="MF18" s="394"/>
      <c r="MG18" s="394"/>
      <c r="MH18" s="394"/>
      <c r="MI18" s="394"/>
      <c r="MJ18" s="394"/>
      <c r="MK18" s="394"/>
      <c r="ML18" s="394"/>
      <c r="MM18" s="394"/>
      <c r="MN18" s="394"/>
      <c r="MO18" s="394"/>
      <c r="MP18" s="394"/>
      <c r="MQ18" s="394"/>
      <c r="MR18" s="394"/>
      <c r="MS18" s="394"/>
      <c r="MT18" s="394"/>
      <c r="MU18" s="394"/>
      <c r="MV18" s="394"/>
      <c r="MW18" s="394"/>
      <c r="MX18" s="394"/>
      <c r="MY18" s="394"/>
      <c r="MZ18" s="394"/>
      <c r="NA18" s="394"/>
      <c r="NB18" s="394"/>
      <c r="NC18" s="394"/>
      <c r="ND18" s="394"/>
      <c r="NE18" s="394"/>
      <c r="NF18" s="394"/>
      <c r="NG18" s="394"/>
      <c r="NH18" s="394"/>
      <c r="NI18" s="394"/>
      <c r="NJ18" s="394"/>
      <c r="NK18" s="394"/>
      <c r="NL18" s="394"/>
      <c r="NM18" s="394"/>
      <c r="NN18" s="394"/>
      <c r="NO18" s="394"/>
      <c r="NP18" s="394"/>
      <c r="NQ18" s="394"/>
      <c r="NR18" s="394"/>
      <c r="NS18" s="394"/>
      <c r="NT18" s="394"/>
      <c r="NU18" s="394"/>
      <c r="NV18" s="394"/>
      <c r="NW18" s="394"/>
      <c r="NX18" s="394"/>
      <c r="NY18" s="394"/>
      <c r="NZ18" s="394"/>
      <c r="OA18" s="394"/>
      <c r="OB18" s="394"/>
      <c r="OC18" s="394"/>
      <c r="OD18" s="394"/>
      <c r="OE18" s="394"/>
      <c r="OF18" s="394"/>
      <c r="OG18" s="394"/>
      <c r="OH18" s="394"/>
      <c r="OI18" s="394"/>
      <c r="OJ18" s="394"/>
      <c r="OK18" s="394"/>
      <c r="OL18" s="394"/>
      <c r="OM18" s="394"/>
      <c r="ON18" s="394"/>
      <c r="OO18" s="394"/>
      <c r="OP18" s="394"/>
      <c r="OQ18" s="394"/>
      <c r="OR18" s="394"/>
      <c r="OS18" s="394"/>
      <c r="OT18" s="394"/>
      <c r="OU18" s="394"/>
      <c r="OV18" s="394"/>
      <c r="OW18" s="394"/>
      <c r="OX18" s="394"/>
      <c r="OY18" s="394"/>
      <c r="OZ18" s="394"/>
      <c r="PA18" s="394"/>
      <c r="PB18" s="394"/>
      <c r="PC18" s="394"/>
      <c r="PD18" s="394"/>
      <c r="PE18" s="394"/>
      <c r="PF18" s="394"/>
      <c r="PG18" s="394"/>
      <c r="PH18" s="394"/>
      <c r="PI18" s="394"/>
      <c r="PJ18" s="394"/>
      <c r="PK18" s="394"/>
      <c r="PL18" s="394"/>
      <c r="PM18" s="394"/>
      <c r="PN18" s="394"/>
      <c r="PO18" s="394"/>
      <c r="PP18" s="394"/>
      <c r="PQ18" s="394"/>
      <c r="PR18" s="394"/>
      <c r="PS18" s="394"/>
      <c r="PT18" s="394"/>
      <c r="PU18" s="394"/>
      <c r="PV18" s="394"/>
      <c r="PW18" s="394"/>
      <c r="PX18" s="394"/>
      <c r="PY18" s="394"/>
      <c r="PZ18" s="394"/>
      <c r="QA18" s="394"/>
      <c r="QB18" s="394"/>
      <c r="QC18" s="394"/>
      <c r="QD18" s="394"/>
      <c r="QE18" s="394"/>
      <c r="QF18" s="394"/>
      <c r="QG18" s="394"/>
      <c r="QH18" s="394"/>
      <c r="QI18" s="394"/>
      <c r="QJ18" s="394"/>
      <c r="QK18" s="394"/>
      <c r="QL18" s="394"/>
      <c r="QM18" s="394"/>
      <c r="QN18" s="394"/>
      <c r="QO18" s="394"/>
      <c r="QP18" s="394"/>
      <c r="QQ18" s="394"/>
      <c r="QR18" s="394"/>
      <c r="QS18" s="394"/>
      <c r="QT18" s="394"/>
      <c r="QU18" s="394"/>
      <c r="QV18" s="394"/>
      <c r="QW18" s="394"/>
      <c r="QX18" s="394"/>
      <c r="QY18" s="394"/>
      <c r="QZ18" s="394"/>
      <c r="RA18" s="394"/>
      <c r="RB18" s="394"/>
      <c r="RC18" s="394"/>
      <c r="RD18" s="394"/>
      <c r="RE18" s="394"/>
      <c r="RF18" s="394"/>
      <c r="RG18" s="394"/>
      <c r="RH18" s="394"/>
      <c r="RI18" s="394"/>
      <c r="RJ18" s="394"/>
      <c r="RK18" s="394"/>
      <c r="RL18" s="394"/>
      <c r="RM18" s="394"/>
      <c r="RN18" s="394"/>
      <c r="RO18" s="394"/>
      <c r="RP18" s="394"/>
      <c r="RQ18" s="394"/>
      <c r="RR18" s="394"/>
      <c r="RS18" s="394"/>
      <c r="RT18" s="394"/>
      <c r="RU18" s="394"/>
      <c r="RV18" s="394"/>
      <c r="RW18" s="394"/>
      <c r="RX18" s="394"/>
      <c r="RY18" s="394"/>
      <c r="RZ18" s="394"/>
      <c r="SA18" s="394"/>
      <c r="SB18" s="394"/>
      <c r="SC18" s="394"/>
      <c r="SD18" s="394"/>
      <c r="SE18" s="394"/>
      <c r="SF18" s="394"/>
      <c r="SG18" s="394"/>
      <c r="SH18" s="394"/>
      <c r="SI18" s="394"/>
      <c r="SJ18" s="394"/>
      <c r="SK18" s="394"/>
      <c r="SL18" s="394"/>
      <c r="SM18" s="394"/>
      <c r="SN18" s="394"/>
      <c r="SO18" s="394"/>
      <c r="SP18" s="394"/>
      <c r="SQ18" s="394"/>
      <c r="SR18" s="394"/>
      <c r="SS18" s="394"/>
      <c r="ST18" s="394"/>
      <c r="SU18" s="394"/>
      <c r="SV18" s="394"/>
      <c r="SW18" s="394"/>
      <c r="SX18" s="394"/>
      <c r="SY18" s="394"/>
      <c r="SZ18" s="394"/>
      <c r="TA18" s="394"/>
      <c r="TB18" s="394"/>
      <c r="TC18" s="394"/>
      <c r="TD18" s="394"/>
      <c r="TE18" s="394"/>
      <c r="TF18" s="394"/>
      <c r="TG18" s="394"/>
      <c r="TH18" s="394"/>
      <c r="TI18" s="394"/>
      <c r="TJ18" s="394"/>
      <c r="TK18" s="394"/>
      <c r="TL18" s="394"/>
      <c r="TM18" s="394"/>
      <c r="TN18" s="394"/>
      <c r="TO18" s="394"/>
      <c r="TP18" s="394"/>
      <c r="TQ18" s="394"/>
      <c r="TR18" s="394"/>
      <c r="TS18" s="394"/>
      <c r="TT18" s="394"/>
      <c r="TU18" s="394"/>
      <c r="TV18" s="394"/>
      <c r="TW18" s="394"/>
      <c r="TX18" s="394"/>
      <c r="TY18" s="394"/>
      <c r="TZ18" s="394"/>
      <c r="UA18" s="394"/>
      <c r="UB18" s="394"/>
      <c r="UC18" s="394"/>
      <c r="UD18" s="394"/>
      <c r="UE18" s="394"/>
      <c r="UF18" s="394"/>
      <c r="UG18" s="394"/>
      <c r="UH18" s="394"/>
      <c r="UI18" s="394"/>
      <c r="UJ18" s="394"/>
      <c r="UK18" s="394"/>
      <c r="UL18" s="394"/>
      <c r="UM18" s="394"/>
      <c r="UN18" s="394"/>
      <c r="UO18" s="394"/>
      <c r="UP18" s="394"/>
      <c r="UQ18" s="394"/>
      <c r="UR18" s="394"/>
      <c r="US18" s="394"/>
      <c r="UT18" s="394"/>
      <c r="UU18" s="394"/>
      <c r="UV18" s="394"/>
      <c r="UW18" s="394"/>
      <c r="UX18" s="394"/>
      <c r="UY18" s="394"/>
      <c r="UZ18" s="394"/>
      <c r="VA18" s="394"/>
      <c r="VB18" s="394"/>
      <c r="VC18" s="394"/>
      <c r="VD18" s="394"/>
      <c r="VE18" s="394"/>
      <c r="VF18" s="394"/>
      <c r="VG18" s="394"/>
      <c r="VH18" s="394"/>
      <c r="VI18" s="394"/>
      <c r="VJ18" s="394"/>
      <c r="VK18" s="394"/>
      <c r="VL18" s="394"/>
      <c r="VM18" s="394"/>
      <c r="VN18" s="394"/>
      <c r="VO18" s="394"/>
      <c r="VP18" s="394"/>
      <c r="VQ18" s="394"/>
      <c r="VR18" s="394"/>
      <c r="VS18" s="394"/>
      <c r="VT18" s="394"/>
      <c r="VU18" s="394"/>
      <c r="VV18" s="394"/>
      <c r="VW18" s="394"/>
      <c r="VX18" s="394"/>
      <c r="VY18" s="394"/>
      <c r="VZ18" s="394"/>
      <c r="WA18" s="394"/>
      <c r="WB18" s="394"/>
      <c r="WC18" s="394"/>
      <c r="WD18" s="394"/>
      <c r="WE18" s="394"/>
      <c r="WF18" s="394"/>
      <c r="WG18" s="394"/>
      <c r="WH18" s="394"/>
      <c r="WI18" s="394"/>
      <c r="WJ18" s="394"/>
      <c r="WK18" s="394"/>
      <c r="WL18" s="394"/>
      <c r="WM18" s="394"/>
      <c r="WN18" s="394"/>
      <c r="WO18" s="394"/>
      <c r="WP18" s="394"/>
      <c r="WQ18" s="394"/>
      <c r="WR18" s="394"/>
      <c r="WS18" s="394"/>
      <c r="WT18" s="394"/>
      <c r="WU18" s="394"/>
      <c r="WV18" s="394"/>
      <c r="WW18" s="394"/>
      <c r="WX18" s="394"/>
      <c r="WY18" s="394"/>
      <c r="WZ18" s="394"/>
      <c r="XA18" s="394"/>
      <c r="XB18" s="394"/>
      <c r="XC18" s="394"/>
      <c r="XD18" s="394"/>
      <c r="XE18" s="394"/>
      <c r="XF18" s="394"/>
      <c r="XG18" s="394"/>
      <c r="XH18" s="394"/>
      <c r="XI18" s="394"/>
      <c r="XJ18" s="394"/>
      <c r="XK18" s="394"/>
      <c r="XL18" s="394"/>
      <c r="XM18" s="394"/>
      <c r="XN18" s="394"/>
      <c r="XO18" s="394"/>
      <c r="XP18" s="394"/>
      <c r="XQ18" s="394"/>
      <c r="XR18" s="394"/>
      <c r="XS18" s="394"/>
      <c r="XT18" s="394"/>
      <c r="XU18" s="394"/>
      <c r="XV18" s="394"/>
      <c r="XW18" s="394"/>
      <c r="XX18" s="394"/>
      <c r="XY18" s="394"/>
      <c r="XZ18" s="394"/>
      <c r="YA18" s="394"/>
      <c r="YB18" s="394"/>
      <c r="YC18" s="394"/>
      <c r="YD18" s="394"/>
      <c r="YE18" s="394"/>
      <c r="YF18" s="394"/>
      <c r="YG18" s="394"/>
      <c r="YH18" s="394"/>
      <c r="YI18" s="394"/>
      <c r="YJ18" s="394"/>
      <c r="YK18" s="394"/>
      <c r="YL18" s="394"/>
      <c r="YM18" s="394"/>
      <c r="YN18" s="394"/>
      <c r="YO18" s="394"/>
      <c r="YP18" s="394"/>
      <c r="YQ18" s="394"/>
      <c r="YR18" s="394"/>
      <c r="YS18" s="394"/>
      <c r="YT18" s="394"/>
      <c r="YU18" s="394"/>
      <c r="YV18" s="394"/>
      <c r="YW18" s="394"/>
      <c r="YX18" s="394"/>
      <c r="YY18" s="394"/>
      <c r="YZ18" s="394"/>
      <c r="ZA18" s="394"/>
      <c r="ZB18" s="394"/>
      <c r="ZC18" s="394"/>
      <c r="ZD18" s="394"/>
      <c r="ZE18" s="394"/>
      <c r="ZF18" s="394"/>
      <c r="ZG18" s="394"/>
      <c r="ZH18" s="394"/>
      <c r="ZI18" s="394"/>
      <c r="ZJ18" s="394"/>
      <c r="ZK18" s="394"/>
      <c r="ZL18" s="394"/>
      <c r="ZM18" s="394"/>
      <c r="ZN18" s="394"/>
      <c r="ZO18" s="394"/>
      <c r="ZP18" s="394"/>
      <c r="ZQ18" s="394"/>
      <c r="ZR18" s="394"/>
      <c r="ZS18" s="394"/>
      <c r="ZT18" s="394"/>
      <c r="ZU18" s="394"/>
      <c r="ZV18" s="394"/>
      <c r="ZW18" s="394"/>
      <c r="ZX18" s="394"/>
      <c r="ZY18" s="394"/>
      <c r="ZZ18" s="394"/>
      <c r="AAA18" s="394"/>
      <c r="AAB18" s="394"/>
      <c r="AAC18" s="394"/>
      <c r="AAD18" s="394"/>
      <c r="AAE18" s="394"/>
      <c r="AAF18" s="394"/>
      <c r="AAG18" s="394"/>
      <c r="AAH18" s="394"/>
      <c r="AAI18" s="394"/>
      <c r="AAJ18" s="394"/>
      <c r="AAK18" s="394"/>
      <c r="AAL18" s="394"/>
      <c r="AAM18" s="394"/>
      <c r="AAN18" s="394"/>
      <c r="AAO18" s="394"/>
      <c r="AAP18" s="394"/>
      <c r="AAQ18" s="394"/>
      <c r="AAR18" s="394"/>
      <c r="AAS18" s="394"/>
      <c r="AAT18" s="394"/>
      <c r="AAU18" s="394"/>
      <c r="AAV18" s="394"/>
      <c r="AAW18" s="394"/>
      <c r="AAX18" s="394"/>
      <c r="AAY18" s="394"/>
      <c r="AAZ18" s="394"/>
      <c r="ABA18" s="394"/>
      <c r="ABB18" s="394"/>
      <c r="ABC18" s="394"/>
      <c r="ABD18" s="394"/>
      <c r="ABE18" s="394"/>
      <c r="ABF18" s="394"/>
      <c r="ABG18" s="394"/>
      <c r="ABH18" s="394"/>
      <c r="ABI18" s="394"/>
      <c r="ABJ18" s="394"/>
      <c r="ABK18" s="394"/>
      <c r="ABL18" s="394"/>
      <c r="ABM18" s="394"/>
      <c r="ABN18" s="394"/>
      <c r="ABO18" s="394"/>
      <c r="ABP18" s="394"/>
      <c r="ABQ18" s="394"/>
      <c r="ABR18" s="394"/>
      <c r="ABS18" s="394"/>
      <c r="ABT18" s="394"/>
      <c r="ABU18" s="394"/>
      <c r="ABV18" s="394"/>
      <c r="ABW18" s="394"/>
      <c r="ABX18" s="394"/>
      <c r="ABY18" s="394"/>
      <c r="ABZ18" s="394"/>
      <c r="ACA18" s="394"/>
      <c r="ACB18" s="394"/>
      <c r="ACC18" s="394"/>
      <c r="ACD18" s="394"/>
      <c r="ACE18" s="394"/>
      <c r="ACF18" s="394"/>
      <c r="ACG18" s="394"/>
      <c r="ACH18" s="394"/>
      <c r="ACI18" s="394"/>
      <c r="ACJ18" s="394"/>
      <c r="ACK18" s="394"/>
      <c r="ACL18" s="394"/>
      <c r="ACM18" s="394"/>
      <c r="ACN18" s="394"/>
      <c r="ACO18" s="394"/>
      <c r="ACP18" s="394"/>
      <c r="ACQ18" s="394"/>
      <c r="ACR18" s="394"/>
      <c r="ACS18" s="394"/>
      <c r="ACT18" s="394"/>
      <c r="ACU18" s="394"/>
      <c r="ACV18" s="394"/>
      <c r="ACW18" s="394"/>
      <c r="ACX18" s="394"/>
      <c r="ACY18" s="394"/>
      <c r="ACZ18" s="394"/>
      <c r="ADA18" s="394"/>
      <c r="ADB18" s="394"/>
      <c r="ADC18" s="394"/>
      <c r="ADD18" s="394"/>
      <c r="ADE18" s="394"/>
      <c r="ADF18" s="394"/>
      <c r="ADG18" s="394"/>
      <c r="ADH18" s="394"/>
      <c r="ADI18" s="394"/>
      <c r="ADJ18" s="394"/>
      <c r="ADK18" s="394"/>
      <c r="ADL18" s="394"/>
      <c r="ADM18" s="394"/>
      <c r="ADN18" s="394"/>
      <c r="ADO18" s="394"/>
      <c r="ADP18" s="394"/>
      <c r="ADQ18" s="394"/>
      <c r="ADR18" s="394"/>
      <c r="ADS18" s="394"/>
      <c r="ADT18" s="394"/>
      <c r="ADU18" s="394"/>
      <c r="ADV18" s="394"/>
      <c r="ADW18" s="394"/>
      <c r="ADX18" s="394"/>
      <c r="ADY18" s="394"/>
      <c r="ADZ18" s="394"/>
      <c r="AEA18" s="394"/>
      <c r="AEB18" s="394"/>
      <c r="AEC18" s="394"/>
      <c r="AED18" s="394"/>
      <c r="AEE18" s="394"/>
      <c r="AEF18" s="394"/>
      <c r="AEG18" s="394"/>
      <c r="AEH18" s="394"/>
      <c r="AEI18" s="394"/>
      <c r="AEJ18" s="394"/>
      <c r="AEK18" s="394"/>
      <c r="AEL18" s="394"/>
      <c r="AEM18" s="394"/>
      <c r="AEN18" s="394"/>
      <c r="AEO18" s="394"/>
      <c r="AEP18" s="394"/>
      <c r="AEQ18" s="394"/>
      <c r="AER18" s="394"/>
      <c r="AES18" s="394"/>
      <c r="AET18" s="394"/>
      <c r="AEU18" s="394"/>
      <c r="AEV18" s="394"/>
      <c r="AEW18" s="394"/>
      <c r="AEX18" s="394"/>
      <c r="AEY18" s="394"/>
      <c r="AEZ18" s="394"/>
      <c r="AFA18" s="394"/>
      <c r="AFB18" s="394"/>
      <c r="AFC18" s="394"/>
      <c r="AFD18" s="394"/>
      <c r="AFE18" s="394"/>
      <c r="AFF18" s="394"/>
      <c r="AFG18" s="394"/>
      <c r="AFH18" s="394"/>
      <c r="AFI18" s="394"/>
      <c r="AFJ18" s="394"/>
      <c r="AFK18" s="394"/>
      <c r="AFL18" s="394"/>
      <c r="AFM18" s="394"/>
      <c r="AFN18" s="394"/>
      <c r="AFO18" s="394"/>
      <c r="AFP18" s="394"/>
      <c r="AFQ18" s="394"/>
      <c r="AFR18" s="394"/>
      <c r="AFS18" s="394"/>
      <c r="AFT18" s="394"/>
      <c r="AFU18" s="394"/>
      <c r="AFV18" s="394"/>
      <c r="AFW18" s="394"/>
      <c r="AFX18" s="394"/>
      <c r="AFY18" s="394"/>
      <c r="AFZ18" s="394"/>
      <c r="AGA18" s="394"/>
      <c r="AGB18" s="394"/>
      <c r="AGC18" s="394"/>
      <c r="AGD18" s="394"/>
      <c r="AGE18" s="394"/>
      <c r="AGF18" s="394"/>
      <c r="AGG18" s="394"/>
      <c r="AGH18" s="394"/>
      <c r="AGI18" s="394"/>
      <c r="AGJ18" s="394"/>
      <c r="AGK18" s="394"/>
      <c r="AGL18" s="394"/>
      <c r="AGM18" s="394"/>
      <c r="AGN18" s="394"/>
      <c r="AGO18" s="394"/>
      <c r="AGP18" s="394"/>
      <c r="AGQ18" s="394"/>
      <c r="AGR18" s="394"/>
      <c r="AGS18" s="394"/>
      <c r="AGT18" s="394"/>
      <c r="AGU18" s="394"/>
      <c r="AGV18" s="394"/>
      <c r="AGW18" s="394"/>
      <c r="AGX18" s="394"/>
      <c r="AGY18" s="394"/>
      <c r="AGZ18" s="394"/>
      <c r="AHA18" s="394"/>
      <c r="AHB18" s="394"/>
      <c r="AHC18" s="394"/>
      <c r="AHD18" s="394"/>
      <c r="AHE18" s="394"/>
      <c r="AHF18" s="394"/>
      <c r="AHG18" s="394"/>
      <c r="AHH18" s="394"/>
      <c r="AHI18" s="394"/>
      <c r="AHJ18" s="394"/>
      <c r="AHK18" s="394"/>
      <c r="AHL18" s="394"/>
      <c r="AHM18" s="394"/>
      <c r="AHN18" s="394"/>
      <c r="AHO18" s="394"/>
      <c r="AHP18" s="394"/>
      <c r="AHQ18" s="394"/>
      <c r="AHR18" s="394"/>
      <c r="AHS18" s="394"/>
      <c r="AHT18" s="394"/>
      <c r="AHU18" s="394"/>
      <c r="AHV18" s="394"/>
      <c r="AHW18" s="394"/>
      <c r="AHX18" s="394"/>
      <c r="AHY18" s="394"/>
      <c r="AHZ18" s="394"/>
      <c r="AIA18" s="394"/>
      <c r="AIB18" s="394"/>
      <c r="AIC18" s="394"/>
      <c r="AID18" s="394"/>
      <c r="AIE18" s="394"/>
      <c r="AIF18" s="394"/>
      <c r="AIG18" s="394"/>
      <c r="AIH18" s="394"/>
      <c r="AII18" s="394"/>
      <c r="AIJ18" s="394"/>
      <c r="AIK18" s="394"/>
      <c r="AIL18" s="394"/>
      <c r="AIM18" s="394"/>
      <c r="AIN18" s="394"/>
      <c r="AIO18" s="394"/>
      <c r="AIP18" s="394"/>
      <c r="AIQ18" s="394"/>
      <c r="AIR18" s="394"/>
      <c r="AIS18" s="394"/>
      <c r="AIT18" s="394"/>
      <c r="AIU18" s="394"/>
      <c r="AIV18" s="394"/>
      <c r="AIW18" s="394"/>
      <c r="AIX18" s="394"/>
      <c r="AIY18" s="394"/>
      <c r="AIZ18" s="394"/>
      <c r="AJA18" s="394"/>
      <c r="AJB18" s="394"/>
      <c r="AJC18" s="394"/>
      <c r="AJD18" s="394"/>
      <c r="AJE18" s="394"/>
      <c r="AJF18" s="394"/>
      <c r="AJG18" s="394"/>
      <c r="AJH18" s="394"/>
      <c r="AJI18" s="394"/>
      <c r="AJJ18" s="394"/>
      <c r="AJK18" s="394"/>
      <c r="AJL18" s="394"/>
      <c r="AJM18" s="394"/>
      <c r="AJN18" s="394"/>
      <c r="AJO18" s="394"/>
      <c r="AJP18" s="394"/>
      <c r="AJQ18" s="394"/>
      <c r="AJR18" s="394"/>
      <c r="AJS18" s="394"/>
      <c r="AJT18" s="394"/>
      <c r="AJU18" s="394"/>
      <c r="AJV18" s="394"/>
      <c r="AJW18" s="394"/>
      <c r="AJX18" s="394"/>
      <c r="AJY18" s="394"/>
      <c r="AJZ18" s="394"/>
      <c r="AKA18" s="394"/>
      <c r="AKB18" s="394"/>
      <c r="AKC18" s="394"/>
      <c r="AKD18" s="394"/>
      <c r="AKE18" s="394"/>
      <c r="AKF18" s="394"/>
      <c r="AKG18" s="394"/>
      <c r="AKH18" s="394"/>
      <c r="AKI18" s="394"/>
      <c r="AKJ18" s="394"/>
      <c r="AKK18" s="394"/>
      <c r="AKL18" s="394"/>
      <c r="AKM18" s="394"/>
      <c r="AKN18" s="394"/>
      <c r="AKO18" s="394"/>
      <c r="AKP18" s="394"/>
      <c r="AKQ18" s="394"/>
      <c r="AKR18" s="394"/>
      <c r="AKS18" s="394"/>
      <c r="AKT18" s="394"/>
      <c r="AKU18" s="394"/>
      <c r="AKV18" s="394"/>
      <c r="AKW18" s="394"/>
      <c r="AKX18" s="394"/>
      <c r="AKY18" s="394"/>
      <c r="AKZ18" s="394"/>
      <c r="ALA18" s="394"/>
      <c r="ALB18" s="394"/>
      <c r="ALC18" s="394"/>
      <c r="ALD18" s="394"/>
      <c r="ALE18" s="394"/>
      <c r="ALF18" s="394"/>
      <c r="ALG18" s="394"/>
      <c r="ALH18" s="394"/>
      <c r="ALI18" s="394"/>
      <c r="ALJ18" s="394"/>
      <c r="ALK18" s="394"/>
      <c r="ALL18" s="394"/>
      <c r="ALM18" s="394"/>
      <c r="ALN18" s="394"/>
      <c r="ALO18" s="394"/>
      <c r="ALP18" s="394"/>
      <c r="ALQ18" s="394"/>
      <c r="ALR18" s="394"/>
      <c r="ALS18" s="394"/>
      <c r="ALT18" s="394"/>
      <c r="ALU18" s="394"/>
      <c r="ALV18" s="394"/>
      <c r="ALW18" s="394"/>
      <c r="ALX18" s="394"/>
      <c r="ALY18" s="394"/>
      <c r="ALZ18" s="394"/>
      <c r="AMA18" s="394"/>
      <c r="AMB18" s="394"/>
      <c r="AMC18" s="394"/>
      <c r="AMD18" s="394"/>
      <c r="AME18" s="394"/>
      <c r="AMF18" s="394"/>
      <c r="AMG18" s="394"/>
      <c r="AMH18" s="394"/>
      <c r="AMI18" s="394"/>
      <c r="AMJ18" s="394"/>
      <c r="AMK18" s="394"/>
      <c r="AML18" s="394"/>
      <c r="AMM18" s="394"/>
      <c r="AMN18" s="394"/>
      <c r="AMO18" s="394"/>
      <c r="AMP18" s="394"/>
      <c r="AMQ18" s="394"/>
      <c r="AMR18" s="394"/>
      <c r="AMS18" s="394"/>
      <c r="AMT18" s="394"/>
      <c r="AMU18" s="394"/>
      <c r="AMV18" s="394"/>
      <c r="AMW18" s="394"/>
      <c r="AMX18" s="394"/>
      <c r="AMY18" s="394"/>
      <c r="AMZ18" s="394"/>
      <c r="ANA18" s="394"/>
      <c r="ANB18" s="394"/>
      <c r="ANC18" s="394"/>
      <c r="AND18" s="394"/>
      <c r="ANE18" s="394"/>
      <c r="ANF18" s="394"/>
      <c r="ANG18" s="394"/>
      <c r="ANH18" s="394"/>
      <c r="ANI18" s="394"/>
      <c r="ANJ18" s="394"/>
      <c r="ANK18" s="394"/>
      <c r="ANL18" s="394"/>
      <c r="ANM18" s="394"/>
      <c r="ANN18" s="394"/>
      <c r="ANO18" s="394"/>
      <c r="ANP18" s="394"/>
      <c r="ANQ18" s="394"/>
      <c r="ANR18" s="394"/>
      <c r="ANS18" s="394"/>
      <c r="ANT18" s="394"/>
      <c r="ANU18" s="394"/>
      <c r="ANV18" s="394"/>
      <c r="ANW18" s="394"/>
      <c r="ANX18" s="394"/>
      <c r="ANY18" s="394"/>
      <c r="ANZ18" s="394"/>
      <c r="AOA18" s="394"/>
      <c r="AOB18" s="394"/>
      <c r="AOC18" s="394"/>
      <c r="AOD18" s="394"/>
      <c r="AOE18" s="394"/>
      <c r="AOF18" s="394"/>
      <c r="AOG18" s="394"/>
      <c r="AOH18" s="394"/>
      <c r="AOI18" s="394"/>
      <c r="AOJ18" s="394"/>
      <c r="AOK18" s="394"/>
      <c r="AOL18" s="394"/>
      <c r="AOM18" s="394"/>
      <c r="AON18" s="394"/>
      <c r="AOO18" s="394"/>
      <c r="AOP18" s="394"/>
      <c r="AOQ18" s="394"/>
      <c r="AOR18" s="394"/>
      <c r="AOS18" s="394"/>
      <c r="AOT18" s="394"/>
      <c r="AOU18" s="394"/>
      <c r="AOV18" s="394"/>
      <c r="AOW18" s="394"/>
      <c r="AOX18" s="394"/>
      <c r="AOY18" s="394"/>
      <c r="AOZ18" s="394"/>
      <c r="APA18" s="394"/>
      <c r="APB18" s="394"/>
      <c r="APC18" s="394"/>
      <c r="APD18" s="394"/>
      <c r="APE18" s="394"/>
      <c r="APF18" s="394"/>
      <c r="APG18" s="394"/>
      <c r="APH18" s="394"/>
      <c r="API18" s="394"/>
      <c r="APJ18" s="394"/>
      <c r="APK18" s="394"/>
      <c r="APL18" s="394"/>
      <c r="APM18" s="394"/>
      <c r="APN18" s="394"/>
      <c r="APO18" s="394"/>
      <c r="APP18" s="394"/>
      <c r="APQ18" s="394"/>
      <c r="APR18" s="394"/>
      <c r="APS18" s="394"/>
      <c r="APT18" s="394"/>
      <c r="APU18" s="394"/>
      <c r="APV18" s="394"/>
      <c r="APW18" s="394"/>
      <c r="APX18" s="394"/>
      <c r="APY18" s="394"/>
      <c r="APZ18" s="394"/>
      <c r="AQA18" s="394"/>
      <c r="AQB18" s="394"/>
      <c r="AQC18" s="394"/>
      <c r="AQD18" s="394"/>
      <c r="AQE18" s="394"/>
      <c r="AQF18" s="394"/>
      <c r="AQG18" s="394"/>
      <c r="AQH18" s="394"/>
      <c r="AQI18" s="394"/>
      <c r="AQJ18" s="394"/>
      <c r="AQK18" s="394"/>
      <c r="AQL18" s="394"/>
      <c r="AQM18" s="394"/>
      <c r="AQN18" s="394"/>
      <c r="AQO18" s="394"/>
      <c r="AQP18" s="394"/>
      <c r="AQQ18" s="394"/>
      <c r="AQR18" s="394"/>
      <c r="AQS18" s="394"/>
      <c r="AQT18" s="394"/>
      <c r="AQU18" s="394"/>
      <c r="AQV18" s="394"/>
      <c r="AQW18" s="394"/>
      <c r="AQX18" s="394"/>
      <c r="AQY18" s="394"/>
      <c r="AQZ18" s="394"/>
      <c r="ARA18" s="394"/>
      <c r="ARB18" s="394"/>
      <c r="ARC18" s="394"/>
      <c r="ARD18" s="394"/>
      <c r="ARE18" s="394"/>
      <c r="ARF18" s="394"/>
      <c r="ARG18" s="394"/>
      <c r="ARH18" s="394"/>
      <c r="ARI18" s="394"/>
      <c r="ARJ18" s="394"/>
      <c r="ARK18" s="394"/>
      <c r="ARL18" s="394"/>
      <c r="ARM18" s="394"/>
      <c r="ARN18" s="394"/>
      <c r="ARO18" s="394"/>
      <c r="ARP18" s="394"/>
      <c r="ARQ18" s="394"/>
      <c r="ARR18" s="394"/>
      <c r="ARS18" s="394"/>
      <c r="ART18" s="394"/>
      <c r="ARU18" s="394"/>
      <c r="ARV18" s="394"/>
      <c r="ARW18" s="394"/>
      <c r="ARX18" s="394"/>
      <c r="ARY18" s="394"/>
      <c r="ARZ18" s="394"/>
      <c r="ASA18" s="394"/>
      <c r="ASB18" s="394"/>
      <c r="ASC18" s="394"/>
      <c r="ASD18" s="394"/>
      <c r="ASE18" s="394"/>
      <c r="ASF18" s="394"/>
      <c r="ASG18" s="394"/>
      <c r="ASH18" s="394"/>
      <c r="ASI18" s="394"/>
      <c r="ASJ18" s="394"/>
      <c r="ASK18" s="394"/>
      <c r="ASL18" s="394"/>
      <c r="ASM18" s="394"/>
      <c r="ASN18" s="394"/>
      <c r="ASO18" s="394"/>
      <c r="ASP18" s="394"/>
      <c r="ASQ18" s="394"/>
      <c r="ASR18" s="394"/>
      <c r="ASS18" s="394"/>
      <c r="AST18" s="394"/>
      <c r="ASU18" s="394"/>
      <c r="ASV18" s="394"/>
      <c r="ASW18" s="394"/>
      <c r="ASX18" s="394"/>
      <c r="ASY18" s="394"/>
      <c r="ASZ18" s="394"/>
      <c r="ATA18" s="394"/>
      <c r="ATB18" s="394"/>
      <c r="ATC18" s="394"/>
      <c r="ATD18" s="394"/>
      <c r="ATE18" s="394"/>
      <c r="ATF18" s="394"/>
      <c r="ATG18" s="394"/>
      <c r="ATH18" s="394"/>
      <c r="ATI18" s="394"/>
      <c r="ATJ18" s="394"/>
      <c r="ATK18" s="394"/>
      <c r="ATL18" s="394"/>
      <c r="ATM18" s="394"/>
      <c r="ATN18" s="394"/>
      <c r="ATO18" s="394"/>
      <c r="ATP18" s="394"/>
      <c r="ATQ18" s="394"/>
      <c r="ATR18" s="394"/>
      <c r="ATS18" s="394"/>
      <c r="ATT18" s="394"/>
      <c r="ATU18" s="394"/>
      <c r="ATV18" s="394"/>
      <c r="ATW18" s="394"/>
      <c r="ATX18" s="394"/>
      <c r="ATY18" s="394"/>
      <c r="ATZ18" s="394"/>
      <c r="AUA18" s="394"/>
      <c r="AUB18" s="394"/>
      <c r="AUC18" s="394"/>
      <c r="AUD18" s="394"/>
      <c r="AUE18" s="394"/>
      <c r="AUF18" s="394"/>
      <c r="AUG18" s="394"/>
      <c r="AUH18" s="394"/>
      <c r="AUI18" s="394"/>
      <c r="AUJ18" s="394"/>
      <c r="AUK18" s="394"/>
      <c r="AUL18" s="394"/>
      <c r="AUM18" s="394"/>
      <c r="AUN18" s="394"/>
      <c r="AUO18" s="394"/>
      <c r="AUP18" s="394"/>
      <c r="AUQ18" s="394"/>
      <c r="AUR18" s="394"/>
      <c r="AUS18" s="394"/>
      <c r="AUT18" s="394"/>
      <c r="AUU18" s="394"/>
      <c r="AUV18" s="394"/>
      <c r="AUW18" s="394"/>
      <c r="AUX18" s="394"/>
      <c r="AUY18" s="394"/>
      <c r="AUZ18" s="394"/>
      <c r="AVA18" s="394"/>
      <c r="AVB18" s="394"/>
      <c r="AVC18" s="394"/>
      <c r="AVD18" s="394"/>
      <c r="AVE18" s="394"/>
      <c r="AVF18" s="394"/>
      <c r="AVG18" s="394"/>
      <c r="AVH18" s="394"/>
      <c r="AVI18" s="394"/>
      <c r="AVJ18" s="394"/>
      <c r="AVK18" s="394"/>
      <c r="AVL18" s="394"/>
      <c r="AVM18" s="394"/>
      <c r="AVN18" s="394"/>
      <c r="AVO18" s="394"/>
      <c r="AVP18" s="394"/>
      <c r="AVQ18" s="394"/>
      <c r="AVR18" s="394"/>
      <c r="AVS18" s="394"/>
      <c r="AVT18" s="394"/>
      <c r="AVU18" s="394"/>
      <c r="AVV18" s="394"/>
      <c r="AVW18" s="394"/>
      <c r="AVX18" s="394"/>
      <c r="AVY18" s="394"/>
      <c r="AVZ18" s="394"/>
      <c r="AWA18" s="394"/>
      <c r="AWB18" s="394"/>
      <c r="AWC18" s="394"/>
      <c r="AWD18" s="394"/>
      <c r="AWE18" s="394"/>
      <c r="AWF18" s="394"/>
      <c r="AWG18" s="394"/>
      <c r="AWH18" s="394"/>
      <c r="AWI18" s="394"/>
      <c r="AWJ18" s="394"/>
      <c r="AWK18" s="394"/>
      <c r="AWL18" s="394"/>
      <c r="AWM18" s="394"/>
      <c r="AWN18" s="394"/>
      <c r="AWO18" s="394"/>
      <c r="AWP18" s="394"/>
      <c r="AWQ18" s="394"/>
      <c r="AWR18" s="394"/>
      <c r="AWS18" s="394"/>
      <c r="AWT18" s="394"/>
      <c r="AWU18" s="394"/>
      <c r="AWV18" s="394"/>
      <c r="AWW18" s="394"/>
      <c r="AWX18" s="394"/>
      <c r="AWY18" s="394"/>
      <c r="AWZ18" s="394"/>
      <c r="AXA18" s="394"/>
      <c r="AXB18" s="394"/>
      <c r="AXC18" s="394"/>
      <c r="AXD18" s="394"/>
      <c r="AXE18" s="394"/>
      <c r="AXF18" s="394"/>
      <c r="AXG18" s="394"/>
      <c r="AXH18" s="394"/>
      <c r="AXI18" s="394"/>
      <c r="AXJ18" s="394"/>
      <c r="AXK18" s="394"/>
      <c r="AXL18" s="394"/>
      <c r="AXM18" s="394"/>
      <c r="AXN18" s="394"/>
      <c r="AXO18" s="394"/>
      <c r="AXP18" s="394"/>
      <c r="AXQ18" s="394"/>
      <c r="AXR18" s="394"/>
      <c r="AXS18" s="394"/>
      <c r="AXT18" s="394"/>
      <c r="AXU18" s="394"/>
      <c r="AXV18" s="394"/>
      <c r="AXW18" s="394"/>
      <c r="AXX18" s="394"/>
      <c r="AXY18" s="394"/>
      <c r="AXZ18" s="394"/>
      <c r="AYA18" s="394"/>
      <c r="AYB18" s="394"/>
      <c r="AYC18" s="394"/>
      <c r="AYD18" s="394"/>
      <c r="AYE18" s="394"/>
      <c r="AYF18" s="394"/>
      <c r="AYG18" s="394"/>
      <c r="AYH18" s="394"/>
      <c r="AYI18" s="394"/>
      <c r="AYJ18" s="394"/>
      <c r="AYK18" s="394"/>
      <c r="AYL18" s="394"/>
      <c r="AYM18" s="394"/>
      <c r="AYN18" s="394"/>
      <c r="AYO18" s="394"/>
      <c r="AYP18" s="394"/>
      <c r="AYQ18" s="394"/>
      <c r="AYR18" s="394"/>
      <c r="AYS18" s="394"/>
      <c r="AYT18" s="394"/>
      <c r="AYU18" s="394"/>
      <c r="AYV18" s="394"/>
      <c r="AYW18" s="394"/>
      <c r="AYX18" s="394"/>
      <c r="AYY18" s="394"/>
      <c r="AYZ18" s="394"/>
      <c r="AZA18" s="394"/>
      <c r="AZB18" s="394"/>
      <c r="AZC18" s="394"/>
      <c r="AZD18" s="394"/>
      <c r="AZE18" s="394"/>
      <c r="AZF18" s="394"/>
      <c r="AZG18" s="394"/>
      <c r="AZH18" s="394"/>
      <c r="AZI18" s="394"/>
      <c r="AZJ18" s="394"/>
      <c r="AZK18" s="394"/>
      <c r="AZL18" s="394"/>
      <c r="AZM18" s="394"/>
      <c r="AZN18" s="394"/>
      <c r="AZO18" s="394"/>
      <c r="AZP18" s="394"/>
      <c r="AZQ18" s="394"/>
      <c r="AZR18" s="394"/>
      <c r="AZS18" s="394"/>
      <c r="AZT18" s="394"/>
      <c r="AZU18" s="394"/>
      <c r="AZV18" s="394"/>
      <c r="AZW18" s="394"/>
      <c r="AZX18" s="394"/>
      <c r="AZY18" s="394"/>
      <c r="AZZ18" s="394"/>
      <c r="BAA18" s="394"/>
      <c r="BAB18" s="394"/>
      <c r="BAC18" s="394"/>
      <c r="BAD18" s="394"/>
      <c r="BAE18" s="394"/>
      <c r="BAF18" s="394"/>
      <c r="BAG18" s="394"/>
      <c r="BAH18" s="394"/>
      <c r="BAI18" s="394"/>
      <c r="BAJ18" s="394"/>
      <c r="BAK18" s="394"/>
      <c r="BAL18" s="394"/>
      <c r="BAM18" s="394"/>
      <c r="BAN18" s="394"/>
      <c r="BAO18" s="394"/>
      <c r="BAP18" s="394"/>
      <c r="BAQ18" s="394"/>
      <c r="BAR18" s="394"/>
      <c r="BAS18" s="394"/>
      <c r="BAT18" s="394"/>
      <c r="BAU18" s="394"/>
      <c r="BAV18" s="394"/>
      <c r="BAW18" s="394"/>
      <c r="BAX18" s="394"/>
      <c r="BAY18" s="394"/>
      <c r="BAZ18" s="394"/>
      <c r="BBA18" s="394"/>
      <c r="BBB18" s="394"/>
      <c r="BBC18" s="394"/>
      <c r="BBD18" s="394"/>
      <c r="BBE18" s="394"/>
      <c r="BBF18" s="394"/>
      <c r="BBG18" s="394"/>
      <c r="BBH18" s="394"/>
      <c r="BBI18" s="394"/>
      <c r="BBJ18" s="394"/>
      <c r="BBK18" s="394"/>
      <c r="BBL18" s="394"/>
      <c r="BBM18" s="394"/>
      <c r="BBN18" s="394"/>
      <c r="BBO18" s="394"/>
      <c r="BBP18" s="394"/>
      <c r="BBQ18" s="394"/>
      <c r="BBR18" s="394"/>
      <c r="BBS18" s="394"/>
      <c r="BBT18" s="394"/>
      <c r="BBU18" s="394"/>
      <c r="BBV18" s="394"/>
      <c r="BBW18" s="394"/>
      <c r="BBX18" s="394"/>
      <c r="BBY18" s="394"/>
      <c r="BBZ18" s="394"/>
      <c r="BCA18" s="394"/>
      <c r="BCB18" s="394"/>
      <c r="BCC18" s="394"/>
      <c r="BCD18" s="394"/>
      <c r="BCE18" s="394"/>
      <c r="BCF18" s="394"/>
      <c r="BCG18" s="394"/>
      <c r="BCH18" s="394"/>
      <c r="BCI18" s="394"/>
      <c r="BCJ18" s="394"/>
      <c r="BCK18" s="394"/>
      <c r="BCL18" s="394"/>
      <c r="BCM18" s="394"/>
      <c r="BCN18" s="394"/>
      <c r="BCO18" s="394"/>
      <c r="BCP18" s="394"/>
      <c r="BCQ18" s="394"/>
      <c r="BCR18" s="394"/>
      <c r="BCS18" s="394"/>
      <c r="BCT18" s="394"/>
      <c r="BCU18" s="394"/>
      <c r="BCV18" s="394"/>
      <c r="BCW18" s="394"/>
      <c r="BCX18" s="394"/>
      <c r="BCY18" s="394"/>
      <c r="BCZ18" s="394"/>
      <c r="BDA18" s="394"/>
      <c r="BDB18" s="394"/>
      <c r="BDC18" s="394"/>
      <c r="BDD18" s="394"/>
      <c r="BDE18" s="394"/>
      <c r="BDF18" s="394"/>
      <c r="BDG18" s="394"/>
      <c r="BDH18" s="394"/>
      <c r="BDI18" s="394"/>
      <c r="BDJ18" s="394"/>
      <c r="BDK18" s="394"/>
      <c r="BDL18" s="394"/>
      <c r="BDM18" s="394"/>
      <c r="BDN18" s="394"/>
      <c r="BDO18" s="394"/>
      <c r="BDP18" s="394"/>
      <c r="BDQ18" s="394"/>
      <c r="BDR18" s="394"/>
      <c r="BDS18" s="394"/>
      <c r="BDT18" s="394"/>
      <c r="BDU18" s="394"/>
      <c r="BDV18" s="394"/>
      <c r="BDW18" s="394"/>
      <c r="BDX18" s="394"/>
      <c r="BDY18" s="394"/>
      <c r="BDZ18" s="394"/>
      <c r="BEA18" s="394"/>
      <c r="BEB18" s="394"/>
      <c r="BEC18" s="394"/>
      <c r="BED18" s="394"/>
      <c r="BEE18" s="394"/>
      <c r="BEF18" s="394"/>
      <c r="BEG18" s="394"/>
      <c r="BEH18" s="394"/>
      <c r="BEI18" s="394"/>
      <c r="BEJ18" s="394"/>
      <c r="BEK18" s="394"/>
      <c r="BEL18" s="394"/>
      <c r="BEM18" s="394"/>
      <c r="BEN18" s="394"/>
      <c r="BEO18" s="394"/>
      <c r="BEP18" s="394"/>
      <c r="BEQ18" s="394"/>
      <c r="BER18" s="394"/>
      <c r="BES18" s="394"/>
      <c r="BET18" s="394"/>
      <c r="BEU18" s="394"/>
      <c r="BEV18" s="394"/>
      <c r="BEW18" s="394"/>
      <c r="BEX18" s="394"/>
      <c r="BEY18" s="394"/>
      <c r="BEZ18" s="394"/>
      <c r="BFA18" s="394"/>
      <c r="BFB18" s="394"/>
      <c r="BFC18" s="394"/>
      <c r="BFD18" s="394"/>
      <c r="BFE18" s="394"/>
      <c r="BFF18" s="394"/>
      <c r="BFG18" s="394"/>
      <c r="BFH18" s="394"/>
      <c r="BFI18" s="394"/>
      <c r="BFJ18" s="394"/>
      <c r="BFK18" s="394"/>
      <c r="BFL18" s="394"/>
      <c r="BFM18" s="394"/>
      <c r="BFN18" s="394"/>
      <c r="BFO18" s="394"/>
      <c r="BFP18" s="394"/>
      <c r="BFQ18" s="394"/>
      <c r="BFR18" s="394"/>
      <c r="BFS18" s="394"/>
      <c r="BFT18" s="394"/>
      <c r="BFU18" s="394"/>
      <c r="BFV18" s="394"/>
      <c r="BFW18" s="394"/>
      <c r="BFX18" s="394"/>
      <c r="BFY18" s="394"/>
      <c r="BFZ18" s="394"/>
      <c r="BGA18" s="394"/>
      <c r="BGB18" s="394"/>
      <c r="BGC18" s="394"/>
      <c r="BGD18" s="394"/>
      <c r="BGE18" s="394"/>
      <c r="BGF18" s="394"/>
      <c r="BGG18" s="394"/>
      <c r="BGH18" s="394"/>
      <c r="BGI18" s="394"/>
      <c r="BGJ18" s="394"/>
      <c r="BGK18" s="394"/>
      <c r="BGL18" s="394"/>
      <c r="BGM18" s="394"/>
      <c r="BGN18" s="394"/>
      <c r="BGO18" s="394"/>
      <c r="BGP18" s="394"/>
      <c r="BGQ18" s="394"/>
      <c r="BGR18" s="394"/>
      <c r="BGS18" s="394"/>
      <c r="BGT18" s="394"/>
      <c r="BGU18" s="394"/>
      <c r="BGV18" s="394"/>
      <c r="BGW18" s="394"/>
      <c r="BGX18" s="394"/>
      <c r="BGY18" s="394"/>
      <c r="BGZ18" s="394"/>
      <c r="BHA18" s="394"/>
      <c r="BHB18" s="394"/>
      <c r="BHC18" s="394"/>
      <c r="BHD18" s="394"/>
      <c r="BHE18" s="394"/>
      <c r="BHF18" s="394"/>
      <c r="BHG18" s="394"/>
      <c r="BHH18" s="394"/>
      <c r="BHI18" s="394"/>
      <c r="BHJ18" s="394"/>
      <c r="BHK18" s="394"/>
      <c r="BHL18" s="394"/>
      <c r="BHM18" s="394"/>
      <c r="BHN18" s="394"/>
      <c r="BHO18" s="394"/>
      <c r="BHP18" s="394"/>
      <c r="BHQ18" s="394"/>
      <c r="BHR18" s="394"/>
      <c r="BHS18" s="394"/>
      <c r="BHT18" s="394"/>
      <c r="BHU18" s="394"/>
      <c r="BHV18" s="394"/>
      <c r="BHW18" s="394"/>
      <c r="BHX18" s="394"/>
      <c r="BHY18" s="394"/>
      <c r="BHZ18" s="394"/>
      <c r="BIA18" s="394"/>
      <c r="BIB18" s="394"/>
      <c r="BIC18" s="394"/>
      <c r="BID18" s="394"/>
      <c r="BIE18" s="394"/>
      <c r="BIF18" s="394"/>
      <c r="BIG18" s="394"/>
      <c r="BIH18" s="394"/>
      <c r="BII18" s="394"/>
      <c r="BIJ18" s="394"/>
      <c r="BIK18" s="394"/>
      <c r="BIL18" s="394"/>
      <c r="BIM18" s="394"/>
      <c r="BIN18" s="394"/>
      <c r="BIO18" s="394"/>
      <c r="BIP18" s="394"/>
      <c r="BIQ18" s="394"/>
      <c r="BIR18" s="394"/>
      <c r="BIS18" s="394"/>
      <c r="BIT18" s="394"/>
      <c r="BIU18" s="394"/>
      <c r="BIV18" s="394"/>
      <c r="BIW18" s="394"/>
      <c r="BIX18" s="394"/>
      <c r="BIY18" s="394"/>
      <c r="BIZ18" s="394"/>
      <c r="BJA18" s="394"/>
      <c r="BJB18" s="394"/>
      <c r="BJC18" s="394"/>
      <c r="BJD18" s="394"/>
      <c r="BJE18" s="394"/>
      <c r="BJF18" s="394"/>
      <c r="BJG18" s="394"/>
      <c r="BJH18" s="394"/>
      <c r="BJI18" s="394"/>
      <c r="BJJ18" s="394"/>
      <c r="BJK18" s="394"/>
      <c r="BJL18" s="394"/>
      <c r="BJM18" s="394"/>
      <c r="BJN18" s="394"/>
      <c r="BJO18" s="394"/>
      <c r="BJP18" s="394"/>
      <c r="BJQ18" s="394"/>
      <c r="BJR18" s="394"/>
      <c r="BJS18" s="394"/>
      <c r="BJT18" s="394"/>
      <c r="BJU18" s="394"/>
      <c r="BJV18" s="394"/>
      <c r="BJW18" s="394"/>
      <c r="BJX18" s="394"/>
      <c r="BJY18" s="394"/>
      <c r="BJZ18" s="394"/>
      <c r="BKA18" s="394"/>
      <c r="BKB18" s="394"/>
      <c r="BKC18" s="394"/>
      <c r="BKD18" s="394"/>
      <c r="BKE18" s="394"/>
      <c r="BKF18" s="394"/>
      <c r="BKG18" s="394"/>
      <c r="BKH18" s="394"/>
      <c r="BKI18" s="394"/>
      <c r="BKJ18" s="394"/>
      <c r="BKK18" s="394"/>
      <c r="BKL18" s="394"/>
      <c r="BKM18" s="394"/>
      <c r="BKN18" s="394"/>
      <c r="BKO18" s="394"/>
      <c r="BKP18" s="394"/>
      <c r="BKQ18" s="394"/>
      <c r="BKR18" s="394"/>
      <c r="BKS18" s="394"/>
      <c r="BKT18" s="394"/>
      <c r="BKU18" s="394"/>
      <c r="BKV18" s="394"/>
      <c r="BKW18" s="394"/>
      <c r="BKX18" s="394"/>
      <c r="BKY18" s="394"/>
      <c r="BKZ18" s="394"/>
      <c r="BLA18" s="394"/>
      <c r="BLB18" s="394"/>
      <c r="BLC18" s="394"/>
      <c r="BLD18" s="394"/>
      <c r="BLE18" s="394"/>
      <c r="BLF18" s="394"/>
      <c r="BLG18" s="394"/>
      <c r="BLH18" s="394"/>
      <c r="BLI18" s="394"/>
      <c r="BLJ18" s="394"/>
      <c r="BLK18" s="394"/>
      <c r="BLL18" s="394"/>
      <c r="BLM18" s="394"/>
      <c r="BLN18" s="394"/>
      <c r="BLO18" s="394"/>
      <c r="BLP18" s="394"/>
      <c r="BLQ18" s="394"/>
      <c r="BLR18" s="394"/>
      <c r="BLS18" s="394"/>
      <c r="BLT18" s="394"/>
      <c r="BLU18" s="394"/>
      <c r="BLV18" s="394"/>
      <c r="BLW18" s="394"/>
      <c r="BLX18" s="394"/>
      <c r="BLY18" s="394"/>
      <c r="BLZ18" s="394"/>
      <c r="BMA18" s="394"/>
      <c r="BMB18" s="394"/>
      <c r="BMC18" s="394"/>
      <c r="BMD18" s="394"/>
      <c r="BME18" s="394"/>
      <c r="BMF18" s="394"/>
      <c r="BMG18" s="394"/>
      <c r="BMH18" s="394"/>
      <c r="BMI18" s="394"/>
      <c r="BMJ18" s="394"/>
      <c r="BMK18" s="394"/>
      <c r="BML18" s="394"/>
      <c r="BMM18" s="394"/>
      <c r="BMN18" s="394"/>
      <c r="BMO18" s="394"/>
      <c r="BMP18" s="394"/>
      <c r="BMQ18" s="394"/>
      <c r="BMR18" s="394"/>
      <c r="BMS18" s="394"/>
      <c r="BMT18" s="394"/>
      <c r="BMU18" s="394"/>
      <c r="BMV18" s="394"/>
      <c r="BMW18" s="394"/>
      <c r="BMX18" s="394"/>
      <c r="BMY18" s="394"/>
      <c r="BMZ18" s="394"/>
      <c r="BNA18" s="394"/>
      <c r="BNB18" s="394"/>
      <c r="BNC18" s="394"/>
      <c r="BND18" s="394"/>
      <c r="BNE18" s="394"/>
      <c r="BNF18" s="394"/>
      <c r="BNG18" s="394"/>
      <c r="BNH18" s="394"/>
      <c r="BNI18" s="394"/>
      <c r="BNJ18" s="394"/>
      <c r="BNK18" s="394"/>
      <c r="BNL18" s="394"/>
      <c r="BNM18" s="394"/>
      <c r="BNN18" s="394"/>
      <c r="BNO18" s="394"/>
      <c r="BNP18" s="394"/>
      <c r="BNQ18" s="394"/>
      <c r="BNR18" s="394"/>
      <c r="BNS18" s="394"/>
      <c r="BNT18" s="394"/>
      <c r="BNU18" s="394"/>
      <c r="BNV18" s="394"/>
      <c r="BNW18" s="394"/>
      <c r="BNX18" s="394"/>
      <c r="BNY18" s="394"/>
      <c r="BNZ18" s="394"/>
      <c r="BOA18" s="394"/>
      <c r="BOB18" s="394"/>
      <c r="BOC18" s="394"/>
      <c r="BOD18" s="394"/>
      <c r="BOE18" s="394"/>
      <c r="BOF18" s="394"/>
      <c r="BOG18" s="394"/>
      <c r="BOH18" s="394"/>
      <c r="BOI18" s="394"/>
      <c r="BOJ18" s="394"/>
      <c r="BOK18" s="394"/>
      <c r="BOL18" s="394"/>
      <c r="BOM18" s="394"/>
      <c r="BON18" s="394"/>
      <c r="BOO18" s="394"/>
      <c r="BOP18" s="394"/>
      <c r="BOQ18" s="394"/>
      <c r="BOR18" s="394"/>
      <c r="BOS18" s="394"/>
      <c r="BOT18" s="394"/>
      <c r="BOU18" s="394"/>
      <c r="BOV18" s="394"/>
      <c r="BOW18" s="394"/>
      <c r="BOX18" s="394"/>
      <c r="BOY18" s="394"/>
      <c r="BOZ18" s="394"/>
      <c r="BPA18" s="394"/>
      <c r="BPB18" s="394"/>
      <c r="BPC18" s="394"/>
      <c r="BPD18" s="394"/>
      <c r="BPE18" s="394"/>
      <c r="BPF18" s="394"/>
      <c r="BPG18" s="394"/>
      <c r="BPH18" s="394"/>
      <c r="BPI18" s="394"/>
      <c r="BPJ18" s="394"/>
      <c r="BPK18" s="394"/>
      <c r="BPL18" s="394"/>
      <c r="BPM18" s="394"/>
      <c r="BPN18" s="394"/>
      <c r="BPO18" s="394"/>
      <c r="BPP18" s="394"/>
      <c r="BPQ18" s="394"/>
      <c r="BPR18" s="394"/>
      <c r="BPS18" s="394"/>
      <c r="BPT18" s="394"/>
      <c r="BPU18" s="394"/>
      <c r="BPV18" s="394"/>
      <c r="BPW18" s="394"/>
      <c r="BPX18" s="394"/>
      <c r="BPY18" s="394"/>
      <c r="BPZ18" s="394"/>
      <c r="BQA18" s="394"/>
      <c r="BQB18" s="394"/>
      <c r="BQC18" s="394"/>
      <c r="BQD18" s="394"/>
      <c r="BQE18" s="394"/>
      <c r="BQF18" s="394"/>
      <c r="BQG18" s="394"/>
      <c r="BQH18" s="394"/>
      <c r="BQI18" s="394"/>
      <c r="BQJ18" s="394"/>
      <c r="BQK18" s="394"/>
      <c r="BQL18" s="394"/>
      <c r="BQM18" s="394"/>
      <c r="BQN18" s="394"/>
      <c r="BQO18" s="394"/>
      <c r="BQP18" s="394"/>
      <c r="BQQ18" s="394"/>
      <c r="BQR18" s="394"/>
      <c r="BQS18" s="394"/>
      <c r="BQT18" s="394"/>
      <c r="BQU18" s="394"/>
      <c r="BQV18" s="394"/>
      <c r="BQW18" s="394"/>
      <c r="BQX18" s="394"/>
      <c r="BQY18" s="394"/>
      <c r="BQZ18" s="394"/>
      <c r="BRA18" s="394"/>
      <c r="BRB18" s="394"/>
      <c r="BRC18" s="394"/>
      <c r="BRD18" s="394"/>
      <c r="BRE18" s="394"/>
      <c r="BRF18" s="394"/>
      <c r="BRG18" s="394"/>
      <c r="BRH18" s="394"/>
      <c r="BRI18" s="394"/>
      <c r="BRJ18" s="394"/>
      <c r="BRK18" s="394"/>
      <c r="BRL18" s="394"/>
      <c r="BRM18" s="394"/>
      <c r="BRN18" s="394"/>
      <c r="BRO18" s="394"/>
      <c r="BRP18" s="394"/>
      <c r="BRQ18" s="394"/>
      <c r="BRR18" s="394"/>
      <c r="BRS18" s="394"/>
      <c r="BRT18" s="394"/>
      <c r="BRU18" s="394"/>
      <c r="BRV18" s="394"/>
      <c r="BRW18" s="394"/>
      <c r="BRX18" s="394"/>
      <c r="BRY18" s="394"/>
      <c r="BRZ18" s="394"/>
      <c r="BSA18" s="394"/>
      <c r="BSB18" s="394"/>
      <c r="BSC18" s="394"/>
      <c r="BSD18" s="394"/>
      <c r="BSE18" s="394"/>
      <c r="BSF18" s="394"/>
      <c r="BSG18" s="394"/>
      <c r="BSH18" s="394"/>
      <c r="BSI18" s="394"/>
      <c r="BSJ18" s="394"/>
      <c r="BSK18" s="394"/>
      <c r="BSL18" s="394"/>
      <c r="BSM18" s="394"/>
      <c r="BSN18" s="394"/>
      <c r="BSO18" s="394"/>
      <c r="BSP18" s="394"/>
      <c r="BSQ18" s="394"/>
      <c r="BSR18" s="394"/>
      <c r="BSS18" s="394"/>
      <c r="BST18" s="394"/>
      <c r="BSU18" s="394"/>
      <c r="BSV18" s="394"/>
      <c r="BSW18" s="394"/>
      <c r="BSX18" s="394"/>
      <c r="BSY18" s="394"/>
      <c r="BSZ18" s="394"/>
      <c r="BTA18" s="394"/>
      <c r="BTB18" s="394"/>
      <c r="BTC18" s="394"/>
      <c r="BTD18" s="394"/>
      <c r="BTE18" s="394"/>
      <c r="BTF18" s="394"/>
      <c r="BTG18" s="394"/>
      <c r="BTH18" s="394"/>
      <c r="BTI18" s="394"/>
    </row>
    <row r="19" spans="1:1881" ht="45.75" customHeight="1" x14ac:dyDescent="0.25">
      <c r="A19" s="188">
        <v>338</v>
      </c>
      <c r="B19" s="64" t="s">
        <v>63</v>
      </c>
      <c r="C19" s="182" t="s">
        <v>136</v>
      </c>
      <c r="D19" s="174" t="s">
        <v>139</v>
      </c>
      <c r="E19" s="32" t="e">
        <f>HLOOKUP($D$2,'2019 Data(H)'!$C$1:$CP$300,104,FALSE)</f>
        <v>#N/A</v>
      </c>
      <c r="F19" s="624"/>
      <c r="G19" s="395" t="str">
        <f>IF(F12&gt;F19,"Error: Please review accts 626 &gt; 338", "")</f>
        <v/>
      </c>
      <c r="H19" s="13"/>
      <c r="I19" s="298"/>
      <c r="J19" s="365"/>
      <c r="L19" s="833" t="s">
        <v>1117</v>
      </c>
      <c r="M19" s="610"/>
      <c r="N19" s="635"/>
    </row>
    <row r="20" spans="1:1881" ht="89.25" customHeight="1" x14ac:dyDescent="0.25">
      <c r="A20" s="188">
        <v>335</v>
      </c>
      <c r="B20" s="64" t="s">
        <v>63</v>
      </c>
      <c r="C20" s="182" t="s">
        <v>136</v>
      </c>
      <c r="D20" s="141" t="s">
        <v>1041</v>
      </c>
      <c r="E20" s="32" t="e">
        <f>HLOOKUP($D$2,'2019 Data(H)'!$C$1:$CP$300,101,FALSE)</f>
        <v>#N/A</v>
      </c>
      <c r="F20" s="624"/>
      <c r="G20" s="395">
        <f>IF(F20&lt;0,"Error: Enter as positive.",)</f>
        <v>0</v>
      </c>
      <c r="H20" s="13"/>
      <c r="I20" s="300"/>
      <c r="J20" s="365"/>
      <c r="L20" s="833" t="s">
        <v>1118</v>
      </c>
      <c r="M20" s="610"/>
      <c r="N20" s="635"/>
    </row>
    <row r="21" spans="1:1881" ht="40.5" x14ac:dyDescent="0.25">
      <c r="A21" s="188">
        <v>252</v>
      </c>
      <c r="B21" s="64" t="s">
        <v>63</v>
      </c>
      <c r="C21" s="182" t="s">
        <v>136</v>
      </c>
      <c r="D21" s="174" t="s">
        <v>140</v>
      </c>
      <c r="E21" s="32" t="e">
        <f>HLOOKUP($D$2,'2019 Data(H)'!$C$1:$CP$300,78,FALSE)</f>
        <v>#N/A</v>
      </c>
      <c r="F21" s="624"/>
      <c r="G21" s="552"/>
      <c r="H21" s="13"/>
      <c r="I21" s="31"/>
      <c r="J21" s="365"/>
      <c r="L21" s="833" t="s">
        <v>1119</v>
      </c>
      <c r="M21" s="610"/>
      <c r="N21" s="635"/>
    </row>
    <row r="22" spans="1:1881" ht="40.5" x14ac:dyDescent="0.25">
      <c r="A22" s="188">
        <v>253</v>
      </c>
      <c r="B22" s="64" t="s">
        <v>63</v>
      </c>
      <c r="C22" s="182" t="s">
        <v>136</v>
      </c>
      <c r="D22" s="175" t="s">
        <v>141</v>
      </c>
      <c r="E22" s="32" t="e">
        <f>HLOOKUP($D$2,'2019 Data(H)'!$C$1:$CP$300,79,FALSE)</f>
        <v>#N/A</v>
      </c>
      <c r="F22" s="624"/>
      <c r="G22" s="395"/>
      <c r="H22" s="13"/>
      <c r="I22" s="31"/>
      <c r="J22" s="365"/>
      <c r="L22" s="833" t="s">
        <v>1120</v>
      </c>
      <c r="M22" s="610"/>
      <c r="N22" s="635"/>
    </row>
    <row r="23" spans="1:1881" ht="62.25" customHeight="1" x14ac:dyDescent="0.25">
      <c r="A23" s="188">
        <v>254</v>
      </c>
      <c r="B23" s="64" t="s">
        <v>63</v>
      </c>
      <c r="C23" s="182" t="s">
        <v>136</v>
      </c>
      <c r="D23" s="175" t="s">
        <v>788</v>
      </c>
      <c r="E23" s="32" t="e">
        <f>HLOOKUP($D$2,'2019 Data(H)'!$C$1:$CP$300,80,FALSE)</f>
        <v>#N/A</v>
      </c>
      <c r="F23" s="624"/>
      <c r="G23" s="395">
        <f>IF(H23=0,,"Error: Total assets and deferred outflows less total liabilities and deferred inflows do not equal total net position. Account numbers  385-338-252-253-254 = 0.  The amount the formula is off is located in the cell to the right")</f>
        <v>0</v>
      </c>
      <c r="H23" s="192">
        <f>F9-F19-F21-F22-F23</f>
        <v>0</v>
      </c>
      <c r="I23" s="31"/>
      <c r="J23" s="365"/>
      <c r="L23" s="833" t="s">
        <v>1121</v>
      </c>
      <c r="M23" s="610"/>
      <c r="N23" s="635"/>
    </row>
    <row r="24" spans="1:1881" ht="21.75" customHeight="1" x14ac:dyDescent="0.25">
      <c r="A24" s="188"/>
      <c r="B24" s="161" t="s">
        <v>142</v>
      </c>
      <c r="C24" s="160"/>
      <c r="D24" s="154"/>
      <c r="E24" s="143"/>
      <c r="F24" s="723"/>
      <c r="G24" s="153"/>
      <c r="H24" s="13"/>
      <c r="I24" s="31"/>
      <c r="L24" s="833" t="s">
        <v>1122</v>
      </c>
      <c r="M24" s="610"/>
      <c r="N24" s="635"/>
    </row>
    <row r="25" spans="1:1881" ht="52.5" customHeight="1" x14ac:dyDescent="0.25">
      <c r="A25" s="188">
        <v>502</v>
      </c>
      <c r="B25" s="64" t="s">
        <v>62</v>
      </c>
      <c r="C25" s="182" t="s">
        <v>145</v>
      </c>
      <c r="D25" s="165" t="s">
        <v>143</v>
      </c>
      <c r="E25" s="32" t="e">
        <f>HLOOKUP($D$2,'2019 Data(H)'!$C$1:$CP$300,152,FALSE)</f>
        <v>#N/A</v>
      </c>
      <c r="F25" s="624"/>
      <c r="G25" s="395">
        <f>IF(F25&lt;0,"Note: Number is normally positive.",)</f>
        <v>0</v>
      </c>
      <c r="H25" s="13"/>
      <c r="I25" s="31"/>
      <c r="L25" s="833" t="s">
        <v>1123</v>
      </c>
      <c r="M25" s="610"/>
      <c r="N25" s="635"/>
    </row>
    <row r="26" spans="1:1881" ht="52.5" customHeight="1" x14ac:dyDescent="0.25">
      <c r="A26" s="188">
        <v>503</v>
      </c>
      <c r="B26" s="64" t="s">
        <v>62</v>
      </c>
      <c r="C26" s="182" t="s">
        <v>145</v>
      </c>
      <c r="D26" s="175" t="s">
        <v>144</v>
      </c>
      <c r="E26" s="32" t="e">
        <f>HLOOKUP($D$2,'2019 Data(H)'!$C$1:$CP$300,153,FALSE)</f>
        <v>#N/A</v>
      </c>
      <c r="F26" s="624"/>
      <c r="G26" s="395">
        <f>IF(F26&lt;0,"Note: Number is normally positive.",)</f>
        <v>0</v>
      </c>
      <c r="H26" s="13"/>
      <c r="I26" s="31"/>
      <c r="L26" s="833" t="s">
        <v>1124</v>
      </c>
      <c r="M26" s="610"/>
      <c r="N26" s="635"/>
    </row>
    <row r="27" spans="1:1881" ht="27" customHeight="1" x14ac:dyDescent="0.25">
      <c r="A27" s="188"/>
      <c r="B27" s="161" t="s">
        <v>146</v>
      </c>
      <c r="C27" s="160"/>
      <c r="D27" s="129"/>
      <c r="E27" s="143"/>
      <c r="F27" s="724"/>
      <c r="G27" s="551"/>
      <c r="H27" s="13"/>
      <c r="I27" s="31"/>
      <c r="L27" s="833" t="s">
        <v>1195</v>
      </c>
      <c r="M27" s="610"/>
      <c r="N27" s="635"/>
    </row>
    <row r="28" spans="1:1881" ht="49.5" customHeight="1" x14ac:dyDescent="0.25">
      <c r="A28" s="188">
        <v>344</v>
      </c>
      <c r="B28" s="64" t="s">
        <v>63</v>
      </c>
      <c r="C28" s="159" t="s">
        <v>154</v>
      </c>
      <c r="D28" s="175" t="s">
        <v>147</v>
      </c>
      <c r="E28" s="32" t="e">
        <f>HLOOKUP($D$2,'2019 Data(H)'!$C$1:$CP$300,110,FALSE)</f>
        <v>#N/A</v>
      </c>
      <c r="F28" s="624"/>
      <c r="G28" s="395">
        <f t="shared" ref="G28:G35" si="0">IF(F28&lt;0,"Error: Enter as positive.",)</f>
        <v>0</v>
      </c>
      <c r="H28" s="13"/>
      <c r="I28" s="31"/>
      <c r="L28" s="833" t="s">
        <v>1125</v>
      </c>
      <c r="M28" s="610"/>
      <c r="N28" s="635"/>
    </row>
    <row r="29" spans="1:1881" ht="49.5" customHeight="1" x14ac:dyDescent="0.25">
      <c r="A29" s="188">
        <v>388</v>
      </c>
      <c r="B29" s="64" t="s">
        <v>67</v>
      </c>
      <c r="C29" s="159" t="s">
        <v>154</v>
      </c>
      <c r="D29" s="175" t="s">
        <v>148</v>
      </c>
      <c r="E29" s="32" t="e">
        <f>HLOOKUP($D$2,'2019 Data(H)'!$C$1:$CP$300,147,FALSE)</f>
        <v>#N/A</v>
      </c>
      <c r="F29" s="624"/>
      <c r="G29" s="395">
        <f t="shared" si="0"/>
        <v>0</v>
      </c>
      <c r="H29" s="13"/>
      <c r="I29" s="31"/>
      <c r="J29" s="365"/>
      <c r="L29" s="833" t="s">
        <v>1126</v>
      </c>
      <c r="M29" s="610"/>
      <c r="N29" s="635"/>
    </row>
    <row r="30" spans="1:1881" ht="51.75" customHeight="1" x14ac:dyDescent="0.25">
      <c r="A30" s="188">
        <v>339</v>
      </c>
      <c r="B30" s="64" t="s">
        <v>63</v>
      </c>
      <c r="C30" s="159" t="s">
        <v>154</v>
      </c>
      <c r="D30" s="175" t="s">
        <v>149</v>
      </c>
      <c r="E30" s="32" t="e">
        <f>HLOOKUP($D$2,'2019 Data(H)'!$C$1:$CP$300,105,FALSE)</f>
        <v>#N/A</v>
      </c>
      <c r="F30" s="624"/>
      <c r="G30" s="395">
        <f t="shared" si="0"/>
        <v>0</v>
      </c>
      <c r="H30" s="13"/>
      <c r="I30" s="31"/>
      <c r="J30" s="365"/>
      <c r="L30" s="833" t="s">
        <v>1127</v>
      </c>
      <c r="M30" s="610"/>
      <c r="N30" s="635"/>
    </row>
    <row r="31" spans="1:1881" ht="50.25" customHeight="1" x14ac:dyDescent="0.25">
      <c r="A31" s="188">
        <v>504</v>
      </c>
      <c r="B31" s="64" t="s">
        <v>63</v>
      </c>
      <c r="C31" s="159" t="s">
        <v>154</v>
      </c>
      <c r="D31" s="175" t="s">
        <v>150</v>
      </c>
      <c r="E31" s="32" t="e">
        <f>HLOOKUP($D$2,'2019 Data(H)'!$C$1:$CP$300,154,FALSE)</f>
        <v>#N/A</v>
      </c>
      <c r="F31" s="624"/>
      <c r="G31" s="395">
        <f t="shared" si="0"/>
        <v>0</v>
      </c>
      <c r="H31" s="13"/>
      <c r="I31" s="31"/>
      <c r="J31" s="365"/>
      <c r="L31" s="833" t="s">
        <v>1128</v>
      </c>
      <c r="M31" s="610"/>
      <c r="N31" s="635"/>
    </row>
    <row r="32" spans="1:1881" ht="60" customHeight="1" x14ac:dyDescent="0.25">
      <c r="A32" s="188">
        <v>505</v>
      </c>
      <c r="B32" s="64" t="s">
        <v>63</v>
      </c>
      <c r="C32" s="159" t="s">
        <v>154</v>
      </c>
      <c r="D32" s="131" t="s">
        <v>151</v>
      </c>
      <c r="E32" s="32" t="e">
        <f>HLOOKUP($D$2,'2019 Data(H)'!$C$1:$CP$300,155,FALSE)</f>
        <v>#N/A</v>
      </c>
      <c r="F32" s="624"/>
      <c r="G32" s="395">
        <f t="shared" si="0"/>
        <v>0</v>
      </c>
      <c r="H32" s="13"/>
      <c r="I32" s="31"/>
      <c r="J32" s="365"/>
      <c r="L32" s="833" t="s">
        <v>1129</v>
      </c>
      <c r="M32" s="610"/>
      <c r="N32" s="635"/>
    </row>
    <row r="33" spans="1:1881" ht="67.900000000000006" customHeight="1" x14ac:dyDescent="0.25">
      <c r="A33" s="188">
        <v>341</v>
      </c>
      <c r="B33" s="64" t="s">
        <v>63</v>
      </c>
      <c r="C33" s="159" t="s">
        <v>154</v>
      </c>
      <c r="D33" s="130" t="s">
        <v>609</v>
      </c>
      <c r="E33" s="32" t="e">
        <f>HLOOKUP($D$2,'2019 Data(H)'!$C$1:$CP$300,107,FALSE)</f>
        <v>#N/A</v>
      </c>
      <c r="F33" s="624"/>
      <c r="G33" s="395">
        <f t="shared" si="0"/>
        <v>0</v>
      </c>
      <c r="H33" s="13"/>
      <c r="I33" s="31"/>
      <c r="J33" s="365"/>
      <c r="L33" s="833" t="s">
        <v>1130</v>
      </c>
      <c r="M33" s="610"/>
      <c r="N33" s="635"/>
    </row>
    <row r="34" spans="1:1881" ht="51" customHeight="1" x14ac:dyDescent="0.25">
      <c r="A34" s="188">
        <v>386</v>
      </c>
      <c r="B34" s="64" t="s">
        <v>63</v>
      </c>
      <c r="C34" s="159" t="s">
        <v>154</v>
      </c>
      <c r="D34" s="175" t="s">
        <v>155</v>
      </c>
      <c r="E34" s="32" t="e">
        <f>HLOOKUP($D$2,'2019 Data(H)'!$C$1:$CP$300,145,FALSE)</f>
        <v>#N/A</v>
      </c>
      <c r="F34" s="624"/>
      <c r="G34" s="395">
        <f t="shared" si="0"/>
        <v>0</v>
      </c>
      <c r="H34" s="13"/>
      <c r="I34" s="31"/>
      <c r="L34" s="833" t="s">
        <v>901</v>
      </c>
      <c r="M34" s="610"/>
      <c r="N34" s="635"/>
    </row>
    <row r="35" spans="1:1881" ht="51" customHeight="1" x14ac:dyDescent="0.25">
      <c r="A35" s="188">
        <v>387</v>
      </c>
      <c r="B35" s="64" t="s">
        <v>67</v>
      </c>
      <c r="C35" s="159" t="s">
        <v>154</v>
      </c>
      <c r="D35" s="175" t="s">
        <v>156</v>
      </c>
      <c r="E35" s="32" t="e">
        <f>HLOOKUP($D$2,'2019 Data(H)'!$C$1:$CP$300,146,FALSE)</f>
        <v>#N/A</v>
      </c>
      <c r="F35" s="624"/>
      <c r="G35" s="395">
        <f t="shared" si="0"/>
        <v>0</v>
      </c>
      <c r="H35" s="13"/>
      <c r="I35" s="31"/>
      <c r="L35" s="833" t="s">
        <v>1131</v>
      </c>
      <c r="M35" s="610"/>
      <c r="N35" s="635"/>
    </row>
    <row r="36" spans="1:1881" ht="78" customHeight="1" x14ac:dyDescent="0.25">
      <c r="A36" s="188">
        <v>389</v>
      </c>
      <c r="B36" s="64" t="s">
        <v>67</v>
      </c>
      <c r="C36" s="159" t="s">
        <v>154</v>
      </c>
      <c r="D36" s="165" t="s">
        <v>245</v>
      </c>
      <c r="E36" s="32" t="e">
        <f>HLOOKUP($D$2,'2019 Data(H)'!$C$1:$CP$300,148,FALSE)</f>
        <v>#N/A</v>
      </c>
      <c r="F36" s="624"/>
      <c r="G36" s="395"/>
      <c r="H36" s="13"/>
      <c r="I36" s="31"/>
      <c r="J36" s="365"/>
      <c r="L36" s="833" t="s">
        <v>1132</v>
      </c>
      <c r="M36" s="610"/>
      <c r="N36" s="635"/>
    </row>
    <row r="37" spans="1:1881" ht="74.25" customHeight="1" x14ac:dyDescent="0.25">
      <c r="A37" s="188">
        <v>255</v>
      </c>
      <c r="B37" s="64" t="s">
        <v>63</v>
      </c>
      <c r="C37" s="159" t="s">
        <v>154</v>
      </c>
      <c r="D37" s="165" t="s">
        <v>246</v>
      </c>
      <c r="E37" s="32" t="e">
        <f>HLOOKUP($D$2,'2019 Data(H)'!$C$1:$CP$300,81,FALSE)</f>
        <v>#N/A</v>
      </c>
      <c r="F37" s="624"/>
      <c r="G37" s="395">
        <f>IF(H37=0,,"Error: Total revenues less total expenses do not equal total change in net position. Account numbers 339+504+505+341+386-387+389-388-255 = 0  The amount the formula is off is located in the cell to the right")</f>
        <v>0</v>
      </c>
      <c r="H37" s="192">
        <f>F30+F31+F32+F33+F34-F35+F36-F29-F37</f>
        <v>0</v>
      </c>
      <c r="I37" s="31"/>
      <c r="J37" s="365"/>
      <c r="L37" s="833" t="s">
        <v>1133</v>
      </c>
      <c r="M37" s="610"/>
      <c r="N37" s="635"/>
    </row>
    <row r="38" spans="1:1881" ht="87.75" customHeight="1" x14ac:dyDescent="0.25">
      <c r="A38" s="188">
        <v>376</v>
      </c>
      <c r="B38" s="64" t="s">
        <v>63</v>
      </c>
      <c r="C38" s="159" t="s">
        <v>154</v>
      </c>
      <c r="D38" s="141" t="s">
        <v>610</v>
      </c>
      <c r="E38" s="32" t="e">
        <f>HLOOKUP($D$2,'2019 Data(H)'!$C$1:$CP$300,135,FALSE)</f>
        <v>#N/A</v>
      </c>
      <c r="F38" s="722"/>
      <c r="G38" s="395" t="e">
        <f>IF(H38=0,,"Error: Beginning Balance does not agree with our records.  Account numbers  252+253+254-255-376-(E21+ E22+ E23)=0  The amount the formula is off is located in the cell to the right")</f>
        <v>#N/A</v>
      </c>
      <c r="H38" s="291" t="e">
        <f>F21+F22+F23-F37-F38-(E21+E22+E23)</f>
        <v>#N/A</v>
      </c>
      <c r="I38" s="31"/>
      <c r="J38" s="365"/>
      <c r="L38" s="833" t="s">
        <v>1134</v>
      </c>
      <c r="M38" s="610"/>
      <c r="N38" s="635"/>
    </row>
    <row r="39" spans="1:1881" s="4" customFormat="1" ht="117.75" customHeight="1" x14ac:dyDescent="0.25">
      <c r="A39" s="188">
        <v>597</v>
      </c>
      <c r="B39" s="150" t="s">
        <v>702</v>
      </c>
      <c r="C39" s="150" t="s">
        <v>769</v>
      </c>
      <c r="D39" s="336" t="s">
        <v>770</v>
      </c>
      <c r="E39" s="32" t="e">
        <f>HLOOKUP($D$2,'2019 Data(H)'!$C$1:$CP$300,256,FALSE)</f>
        <v>#N/A</v>
      </c>
      <c r="F39" s="722"/>
      <c r="G39" s="395">
        <f>IF(F39&lt;0,"Note: Number is normally positive.",)</f>
        <v>0</v>
      </c>
      <c r="H39" s="17"/>
      <c r="I39" s="297"/>
      <c r="J39" s="365"/>
      <c r="K39" s="394"/>
      <c r="L39" s="833" t="s">
        <v>1135</v>
      </c>
      <c r="M39" s="610"/>
      <c r="N39" s="635"/>
      <c r="O39" s="394"/>
      <c r="P39" s="394"/>
      <c r="Q39" s="394"/>
      <c r="R39" s="394"/>
      <c r="S39" s="394"/>
      <c r="T39" s="394"/>
      <c r="U39" s="394"/>
      <c r="V39" s="394"/>
      <c r="W39" s="394"/>
      <c r="X39" s="394"/>
      <c r="Y39" s="394"/>
      <c r="Z39" s="394"/>
      <c r="AA39" s="394"/>
      <c r="AB39" s="394"/>
      <c r="AC39" s="394"/>
      <c r="AD39" s="394"/>
      <c r="AE39" s="394"/>
      <c r="AF39" s="394"/>
      <c r="AG39" s="394"/>
      <c r="AH39" s="394"/>
      <c r="AI39" s="394"/>
      <c r="AJ39" s="394"/>
      <c r="AK39" s="394"/>
      <c r="AL39" s="394"/>
      <c r="AM39" s="394"/>
      <c r="AN39" s="394"/>
      <c r="AO39" s="394"/>
      <c r="AP39" s="394"/>
      <c r="AQ39" s="394"/>
      <c r="AR39" s="394"/>
      <c r="AS39" s="394"/>
      <c r="AT39" s="394"/>
      <c r="AU39" s="394"/>
      <c r="AV39" s="394"/>
      <c r="AW39" s="394"/>
      <c r="AX39" s="394"/>
      <c r="AY39" s="394"/>
      <c r="AZ39" s="394"/>
      <c r="BA39" s="394"/>
      <c r="BB39" s="394"/>
      <c r="BC39" s="394"/>
      <c r="BD39" s="394"/>
      <c r="BE39" s="394"/>
      <c r="BF39" s="394"/>
      <c r="BG39" s="394"/>
      <c r="BH39" s="394"/>
      <c r="BI39" s="394"/>
      <c r="BJ39" s="394"/>
      <c r="BK39" s="394"/>
      <c r="BL39" s="394"/>
      <c r="BM39" s="394"/>
      <c r="BN39" s="394"/>
      <c r="BO39" s="394"/>
      <c r="BP39" s="394"/>
      <c r="BQ39" s="394"/>
      <c r="BR39" s="394"/>
      <c r="BS39" s="394"/>
      <c r="BT39" s="394"/>
      <c r="BU39" s="394"/>
      <c r="BV39" s="394"/>
      <c r="BW39" s="394"/>
      <c r="BX39" s="394"/>
      <c r="BY39" s="394"/>
      <c r="BZ39" s="394"/>
      <c r="CA39" s="394"/>
      <c r="CB39" s="394"/>
      <c r="CC39" s="394"/>
      <c r="CD39" s="394"/>
      <c r="CE39" s="394"/>
      <c r="CF39" s="394"/>
      <c r="CG39" s="394"/>
      <c r="CH39" s="394"/>
      <c r="CI39" s="394"/>
      <c r="CJ39" s="394"/>
      <c r="CK39" s="394"/>
      <c r="CL39" s="394"/>
      <c r="CM39" s="394"/>
      <c r="CN39" s="394"/>
      <c r="CO39" s="394"/>
      <c r="CP39" s="394"/>
      <c r="CQ39" s="394"/>
      <c r="CR39" s="394"/>
      <c r="CS39" s="394"/>
      <c r="CT39" s="394"/>
      <c r="CU39" s="394"/>
      <c r="CV39" s="394"/>
      <c r="CW39" s="394"/>
      <c r="CX39" s="394"/>
      <c r="CY39" s="394"/>
      <c r="CZ39" s="394"/>
      <c r="DA39" s="394"/>
      <c r="DB39" s="394"/>
      <c r="DC39" s="394"/>
      <c r="DD39" s="394"/>
      <c r="DE39" s="394"/>
      <c r="DF39" s="394"/>
      <c r="DG39" s="394"/>
      <c r="DH39" s="394"/>
      <c r="DI39" s="394"/>
      <c r="DJ39" s="394"/>
      <c r="DK39" s="394"/>
      <c r="DL39" s="394"/>
      <c r="DM39" s="394"/>
      <c r="DN39" s="394"/>
      <c r="DO39" s="394"/>
      <c r="DP39" s="394"/>
      <c r="DQ39" s="394"/>
      <c r="DR39" s="394"/>
      <c r="DS39" s="394"/>
      <c r="DT39" s="394"/>
      <c r="DU39" s="394"/>
      <c r="DV39" s="394"/>
      <c r="DW39" s="394"/>
      <c r="DX39" s="394"/>
      <c r="DY39" s="394"/>
      <c r="DZ39" s="394"/>
      <c r="EA39" s="394"/>
      <c r="EB39" s="394"/>
      <c r="EC39" s="394"/>
      <c r="ED39" s="394"/>
      <c r="EE39" s="394"/>
      <c r="EF39" s="394"/>
      <c r="EG39" s="394"/>
      <c r="EH39" s="394"/>
      <c r="EI39" s="394"/>
      <c r="EJ39" s="394"/>
      <c r="EK39" s="394"/>
      <c r="EL39" s="394"/>
      <c r="EM39" s="394"/>
      <c r="EN39" s="394"/>
      <c r="EO39" s="394"/>
      <c r="EP39" s="394"/>
      <c r="EQ39" s="394"/>
      <c r="ER39" s="394"/>
      <c r="ES39" s="394"/>
      <c r="ET39" s="394"/>
      <c r="EU39" s="394"/>
      <c r="EV39" s="394"/>
      <c r="EW39" s="394"/>
      <c r="EX39" s="394"/>
      <c r="EY39" s="394"/>
      <c r="EZ39" s="394"/>
      <c r="FA39" s="394"/>
      <c r="FB39" s="394"/>
      <c r="FC39" s="394"/>
      <c r="FD39" s="394"/>
      <c r="FE39" s="394"/>
      <c r="FF39" s="394"/>
      <c r="FG39" s="394"/>
      <c r="FH39" s="394"/>
      <c r="FI39" s="394"/>
      <c r="FJ39" s="394"/>
      <c r="FK39" s="394"/>
      <c r="FL39" s="394"/>
      <c r="FM39" s="394"/>
      <c r="FN39" s="394"/>
      <c r="FO39" s="394"/>
      <c r="FP39" s="394"/>
      <c r="FQ39" s="394"/>
      <c r="FR39" s="394"/>
      <c r="FS39" s="394"/>
      <c r="FT39" s="394"/>
      <c r="FU39" s="394"/>
      <c r="FV39" s="394"/>
      <c r="FW39" s="394"/>
      <c r="FX39" s="394"/>
      <c r="FY39" s="394"/>
      <c r="FZ39" s="394"/>
      <c r="GA39" s="394"/>
      <c r="GB39" s="394"/>
      <c r="GC39" s="394"/>
      <c r="GD39" s="394"/>
      <c r="GE39" s="394"/>
      <c r="GF39" s="394"/>
      <c r="GG39" s="394"/>
      <c r="GH39" s="394"/>
      <c r="GI39" s="394"/>
      <c r="GJ39" s="394"/>
      <c r="GK39" s="394"/>
      <c r="GL39" s="394"/>
      <c r="GM39" s="394"/>
      <c r="GN39" s="394"/>
      <c r="GO39" s="394"/>
      <c r="GP39" s="394"/>
      <c r="GQ39" s="394"/>
      <c r="GR39" s="394"/>
      <c r="GS39" s="394"/>
      <c r="GT39" s="394"/>
      <c r="GU39" s="394"/>
      <c r="GV39" s="394"/>
      <c r="GW39" s="394"/>
      <c r="GX39" s="394"/>
      <c r="GY39" s="394"/>
      <c r="GZ39" s="394"/>
      <c r="HA39" s="394"/>
      <c r="HB39" s="394"/>
      <c r="HC39" s="394"/>
      <c r="HD39" s="394"/>
      <c r="HE39" s="394"/>
      <c r="HF39" s="394"/>
      <c r="HG39" s="394"/>
      <c r="HH39" s="394"/>
      <c r="HI39" s="394"/>
      <c r="HJ39" s="394"/>
      <c r="HK39" s="394"/>
      <c r="HL39" s="394"/>
      <c r="HM39" s="394"/>
      <c r="HN39" s="394"/>
      <c r="HO39" s="394"/>
      <c r="HP39" s="394"/>
      <c r="HQ39" s="394"/>
      <c r="HR39" s="394"/>
      <c r="HS39" s="394"/>
      <c r="HT39" s="394"/>
      <c r="HU39" s="394"/>
      <c r="HV39" s="394"/>
      <c r="HW39" s="394"/>
      <c r="HX39" s="394"/>
      <c r="HY39" s="394"/>
      <c r="HZ39" s="394"/>
      <c r="IA39" s="394"/>
      <c r="IB39" s="394"/>
      <c r="IC39" s="394"/>
      <c r="ID39" s="394"/>
      <c r="IE39" s="394"/>
      <c r="IF39" s="394"/>
      <c r="IG39" s="394"/>
      <c r="IH39" s="394"/>
      <c r="II39" s="394"/>
      <c r="IJ39" s="394"/>
      <c r="IK39" s="394"/>
      <c r="IL39" s="394"/>
      <c r="IM39" s="394"/>
      <c r="IN39" s="394"/>
      <c r="IO39" s="394"/>
      <c r="IP39" s="394"/>
      <c r="IQ39" s="394"/>
      <c r="IR39" s="394"/>
      <c r="IS39" s="394"/>
      <c r="IT39" s="394"/>
      <c r="IU39" s="394"/>
      <c r="IV39" s="394"/>
      <c r="IW39" s="394"/>
      <c r="IX39" s="394"/>
      <c r="IY39" s="394"/>
      <c r="IZ39" s="394"/>
      <c r="JA39" s="394"/>
      <c r="JB39" s="394"/>
      <c r="JC39" s="394"/>
      <c r="JD39" s="394"/>
      <c r="JE39" s="394"/>
      <c r="JF39" s="394"/>
      <c r="JG39" s="394"/>
      <c r="JH39" s="394"/>
      <c r="JI39" s="394"/>
      <c r="JJ39" s="394"/>
      <c r="JK39" s="394"/>
      <c r="JL39" s="394"/>
      <c r="JM39" s="394"/>
      <c r="JN39" s="394"/>
      <c r="JO39" s="394"/>
      <c r="JP39" s="394"/>
      <c r="JQ39" s="394"/>
      <c r="JR39" s="394"/>
      <c r="JS39" s="394"/>
      <c r="JT39" s="394"/>
      <c r="JU39" s="394"/>
      <c r="JV39" s="394"/>
      <c r="JW39" s="394"/>
      <c r="JX39" s="394"/>
      <c r="JY39" s="394"/>
      <c r="JZ39" s="394"/>
      <c r="KA39" s="394"/>
      <c r="KB39" s="394"/>
      <c r="KC39" s="394"/>
      <c r="KD39" s="394"/>
      <c r="KE39" s="394"/>
      <c r="KF39" s="394"/>
      <c r="KG39" s="394"/>
      <c r="KH39" s="394"/>
      <c r="KI39" s="394"/>
      <c r="KJ39" s="394"/>
      <c r="KK39" s="394"/>
      <c r="KL39" s="394"/>
      <c r="KM39" s="394"/>
      <c r="KN39" s="394"/>
      <c r="KO39" s="394"/>
      <c r="KP39" s="394"/>
      <c r="KQ39" s="394"/>
      <c r="KR39" s="394"/>
      <c r="KS39" s="394"/>
      <c r="KT39" s="394"/>
      <c r="KU39" s="394"/>
      <c r="KV39" s="394"/>
      <c r="KW39" s="394"/>
      <c r="KX39" s="394"/>
      <c r="KY39" s="394"/>
      <c r="KZ39" s="394"/>
      <c r="LA39" s="394"/>
      <c r="LB39" s="394"/>
      <c r="LC39" s="394"/>
      <c r="LD39" s="394"/>
      <c r="LE39" s="394"/>
      <c r="LF39" s="394"/>
      <c r="LG39" s="394"/>
      <c r="LH39" s="394"/>
      <c r="LI39" s="394"/>
      <c r="LJ39" s="394"/>
      <c r="LK39" s="394"/>
      <c r="LL39" s="394"/>
      <c r="LM39" s="394"/>
      <c r="LN39" s="394"/>
      <c r="LO39" s="394"/>
      <c r="LP39" s="394"/>
      <c r="LQ39" s="394"/>
      <c r="LR39" s="394"/>
      <c r="LS39" s="394"/>
      <c r="LT39" s="394"/>
      <c r="LU39" s="394"/>
      <c r="LV39" s="394"/>
      <c r="LW39" s="394"/>
      <c r="LX39" s="394"/>
      <c r="LY39" s="394"/>
      <c r="LZ39" s="394"/>
      <c r="MA39" s="394"/>
      <c r="MB39" s="394"/>
      <c r="MC39" s="394"/>
      <c r="MD39" s="394"/>
      <c r="ME39" s="394"/>
      <c r="MF39" s="394"/>
      <c r="MG39" s="394"/>
      <c r="MH39" s="394"/>
      <c r="MI39" s="394"/>
      <c r="MJ39" s="394"/>
      <c r="MK39" s="394"/>
      <c r="ML39" s="394"/>
      <c r="MM39" s="394"/>
      <c r="MN39" s="394"/>
      <c r="MO39" s="394"/>
      <c r="MP39" s="394"/>
      <c r="MQ39" s="394"/>
      <c r="MR39" s="394"/>
      <c r="MS39" s="394"/>
      <c r="MT39" s="394"/>
      <c r="MU39" s="394"/>
      <c r="MV39" s="394"/>
      <c r="MW39" s="394"/>
      <c r="MX39" s="394"/>
      <c r="MY39" s="394"/>
      <c r="MZ39" s="394"/>
      <c r="NA39" s="394"/>
      <c r="NB39" s="394"/>
      <c r="NC39" s="394"/>
      <c r="ND39" s="394"/>
      <c r="NE39" s="394"/>
      <c r="NF39" s="394"/>
      <c r="NG39" s="394"/>
      <c r="NH39" s="394"/>
      <c r="NI39" s="394"/>
      <c r="NJ39" s="394"/>
      <c r="NK39" s="394"/>
      <c r="NL39" s="394"/>
      <c r="NM39" s="394"/>
      <c r="NN39" s="394"/>
      <c r="NO39" s="394"/>
      <c r="NP39" s="394"/>
      <c r="NQ39" s="394"/>
      <c r="NR39" s="394"/>
      <c r="NS39" s="394"/>
      <c r="NT39" s="394"/>
      <c r="NU39" s="394"/>
      <c r="NV39" s="394"/>
      <c r="NW39" s="394"/>
      <c r="NX39" s="394"/>
      <c r="NY39" s="394"/>
      <c r="NZ39" s="394"/>
      <c r="OA39" s="394"/>
      <c r="OB39" s="394"/>
      <c r="OC39" s="394"/>
      <c r="OD39" s="394"/>
      <c r="OE39" s="394"/>
      <c r="OF39" s="394"/>
      <c r="OG39" s="394"/>
      <c r="OH39" s="394"/>
      <c r="OI39" s="394"/>
      <c r="OJ39" s="394"/>
      <c r="OK39" s="394"/>
      <c r="OL39" s="394"/>
      <c r="OM39" s="394"/>
      <c r="ON39" s="394"/>
      <c r="OO39" s="394"/>
      <c r="OP39" s="394"/>
      <c r="OQ39" s="394"/>
      <c r="OR39" s="394"/>
      <c r="OS39" s="394"/>
      <c r="OT39" s="394"/>
      <c r="OU39" s="394"/>
      <c r="OV39" s="394"/>
      <c r="OW39" s="394"/>
      <c r="OX39" s="394"/>
      <c r="OY39" s="394"/>
      <c r="OZ39" s="394"/>
      <c r="PA39" s="394"/>
      <c r="PB39" s="394"/>
      <c r="PC39" s="394"/>
      <c r="PD39" s="394"/>
      <c r="PE39" s="394"/>
      <c r="PF39" s="394"/>
      <c r="PG39" s="394"/>
      <c r="PH39" s="394"/>
      <c r="PI39" s="394"/>
      <c r="PJ39" s="394"/>
      <c r="PK39" s="394"/>
      <c r="PL39" s="394"/>
      <c r="PM39" s="394"/>
      <c r="PN39" s="394"/>
      <c r="PO39" s="394"/>
      <c r="PP39" s="394"/>
      <c r="PQ39" s="394"/>
      <c r="PR39" s="394"/>
      <c r="PS39" s="394"/>
      <c r="PT39" s="394"/>
      <c r="PU39" s="394"/>
      <c r="PV39" s="394"/>
      <c r="PW39" s="394"/>
      <c r="PX39" s="394"/>
      <c r="PY39" s="394"/>
      <c r="PZ39" s="394"/>
      <c r="QA39" s="394"/>
      <c r="QB39" s="394"/>
      <c r="QC39" s="394"/>
      <c r="QD39" s="394"/>
      <c r="QE39" s="394"/>
      <c r="QF39" s="394"/>
      <c r="QG39" s="394"/>
      <c r="QH39" s="394"/>
      <c r="QI39" s="394"/>
      <c r="QJ39" s="394"/>
      <c r="QK39" s="394"/>
      <c r="QL39" s="394"/>
      <c r="QM39" s="394"/>
      <c r="QN39" s="394"/>
      <c r="QO39" s="394"/>
      <c r="QP39" s="394"/>
      <c r="QQ39" s="394"/>
      <c r="QR39" s="394"/>
      <c r="QS39" s="394"/>
      <c r="QT39" s="394"/>
      <c r="QU39" s="394"/>
      <c r="QV39" s="394"/>
      <c r="QW39" s="394"/>
      <c r="QX39" s="394"/>
      <c r="QY39" s="394"/>
      <c r="QZ39" s="394"/>
      <c r="RA39" s="394"/>
      <c r="RB39" s="394"/>
      <c r="RC39" s="394"/>
      <c r="RD39" s="394"/>
      <c r="RE39" s="394"/>
      <c r="RF39" s="394"/>
      <c r="RG39" s="394"/>
      <c r="RH39" s="394"/>
      <c r="RI39" s="394"/>
      <c r="RJ39" s="394"/>
      <c r="RK39" s="394"/>
      <c r="RL39" s="394"/>
      <c r="RM39" s="394"/>
      <c r="RN39" s="394"/>
      <c r="RO39" s="394"/>
      <c r="RP39" s="394"/>
      <c r="RQ39" s="394"/>
      <c r="RR39" s="394"/>
      <c r="RS39" s="394"/>
      <c r="RT39" s="394"/>
      <c r="RU39" s="394"/>
      <c r="RV39" s="394"/>
      <c r="RW39" s="394"/>
      <c r="RX39" s="394"/>
      <c r="RY39" s="394"/>
      <c r="RZ39" s="394"/>
      <c r="SA39" s="394"/>
      <c r="SB39" s="394"/>
      <c r="SC39" s="394"/>
      <c r="SD39" s="394"/>
      <c r="SE39" s="394"/>
      <c r="SF39" s="394"/>
      <c r="SG39" s="394"/>
      <c r="SH39" s="394"/>
      <c r="SI39" s="394"/>
      <c r="SJ39" s="394"/>
      <c r="SK39" s="394"/>
      <c r="SL39" s="394"/>
      <c r="SM39" s="394"/>
      <c r="SN39" s="394"/>
      <c r="SO39" s="394"/>
      <c r="SP39" s="394"/>
      <c r="SQ39" s="394"/>
      <c r="SR39" s="394"/>
      <c r="SS39" s="394"/>
      <c r="ST39" s="394"/>
      <c r="SU39" s="394"/>
      <c r="SV39" s="394"/>
      <c r="SW39" s="394"/>
      <c r="SX39" s="394"/>
      <c r="SY39" s="394"/>
      <c r="SZ39" s="394"/>
      <c r="TA39" s="394"/>
      <c r="TB39" s="394"/>
      <c r="TC39" s="394"/>
      <c r="TD39" s="394"/>
      <c r="TE39" s="394"/>
      <c r="TF39" s="394"/>
      <c r="TG39" s="394"/>
      <c r="TH39" s="394"/>
      <c r="TI39" s="394"/>
      <c r="TJ39" s="394"/>
      <c r="TK39" s="394"/>
      <c r="TL39" s="394"/>
      <c r="TM39" s="394"/>
      <c r="TN39" s="394"/>
      <c r="TO39" s="394"/>
      <c r="TP39" s="394"/>
      <c r="TQ39" s="394"/>
      <c r="TR39" s="394"/>
      <c r="TS39" s="394"/>
      <c r="TT39" s="394"/>
      <c r="TU39" s="394"/>
      <c r="TV39" s="394"/>
      <c r="TW39" s="394"/>
      <c r="TX39" s="394"/>
      <c r="TY39" s="394"/>
      <c r="TZ39" s="394"/>
      <c r="UA39" s="394"/>
      <c r="UB39" s="394"/>
      <c r="UC39" s="394"/>
      <c r="UD39" s="394"/>
      <c r="UE39" s="394"/>
      <c r="UF39" s="394"/>
      <c r="UG39" s="394"/>
      <c r="UH39" s="394"/>
      <c r="UI39" s="394"/>
      <c r="UJ39" s="394"/>
      <c r="UK39" s="394"/>
      <c r="UL39" s="394"/>
      <c r="UM39" s="394"/>
      <c r="UN39" s="394"/>
      <c r="UO39" s="394"/>
      <c r="UP39" s="394"/>
      <c r="UQ39" s="394"/>
      <c r="UR39" s="394"/>
      <c r="US39" s="394"/>
      <c r="UT39" s="394"/>
      <c r="UU39" s="394"/>
      <c r="UV39" s="394"/>
      <c r="UW39" s="394"/>
      <c r="UX39" s="394"/>
      <c r="UY39" s="394"/>
      <c r="UZ39" s="394"/>
      <c r="VA39" s="394"/>
      <c r="VB39" s="394"/>
      <c r="VC39" s="394"/>
      <c r="VD39" s="394"/>
      <c r="VE39" s="394"/>
      <c r="VF39" s="394"/>
      <c r="VG39" s="394"/>
      <c r="VH39" s="394"/>
      <c r="VI39" s="394"/>
      <c r="VJ39" s="394"/>
      <c r="VK39" s="394"/>
      <c r="VL39" s="394"/>
      <c r="VM39" s="394"/>
      <c r="VN39" s="394"/>
      <c r="VO39" s="394"/>
      <c r="VP39" s="394"/>
      <c r="VQ39" s="394"/>
      <c r="VR39" s="394"/>
      <c r="VS39" s="394"/>
      <c r="VT39" s="394"/>
      <c r="VU39" s="394"/>
      <c r="VV39" s="394"/>
      <c r="VW39" s="394"/>
      <c r="VX39" s="394"/>
      <c r="VY39" s="394"/>
      <c r="VZ39" s="394"/>
      <c r="WA39" s="394"/>
      <c r="WB39" s="394"/>
      <c r="WC39" s="394"/>
      <c r="WD39" s="394"/>
      <c r="WE39" s="394"/>
      <c r="WF39" s="394"/>
      <c r="WG39" s="394"/>
      <c r="WH39" s="394"/>
      <c r="WI39" s="394"/>
      <c r="WJ39" s="394"/>
      <c r="WK39" s="394"/>
      <c r="WL39" s="394"/>
      <c r="WM39" s="394"/>
      <c r="WN39" s="394"/>
      <c r="WO39" s="394"/>
      <c r="WP39" s="394"/>
      <c r="WQ39" s="394"/>
      <c r="WR39" s="394"/>
      <c r="WS39" s="394"/>
      <c r="WT39" s="394"/>
      <c r="WU39" s="394"/>
      <c r="WV39" s="394"/>
      <c r="WW39" s="394"/>
      <c r="WX39" s="394"/>
      <c r="WY39" s="394"/>
      <c r="WZ39" s="394"/>
      <c r="XA39" s="394"/>
      <c r="XB39" s="394"/>
      <c r="XC39" s="394"/>
      <c r="XD39" s="394"/>
      <c r="XE39" s="394"/>
      <c r="XF39" s="394"/>
      <c r="XG39" s="394"/>
      <c r="XH39" s="394"/>
      <c r="XI39" s="394"/>
      <c r="XJ39" s="394"/>
      <c r="XK39" s="394"/>
      <c r="XL39" s="394"/>
      <c r="XM39" s="394"/>
      <c r="XN39" s="394"/>
      <c r="XO39" s="394"/>
      <c r="XP39" s="394"/>
      <c r="XQ39" s="394"/>
      <c r="XR39" s="394"/>
      <c r="XS39" s="394"/>
      <c r="XT39" s="394"/>
      <c r="XU39" s="394"/>
      <c r="XV39" s="394"/>
      <c r="XW39" s="394"/>
      <c r="XX39" s="394"/>
      <c r="XY39" s="394"/>
      <c r="XZ39" s="394"/>
      <c r="YA39" s="394"/>
      <c r="YB39" s="394"/>
      <c r="YC39" s="394"/>
      <c r="YD39" s="394"/>
      <c r="YE39" s="394"/>
      <c r="YF39" s="394"/>
      <c r="YG39" s="394"/>
      <c r="YH39" s="394"/>
      <c r="YI39" s="394"/>
      <c r="YJ39" s="394"/>
      <c r="YK39" s="394"/>
      <c r="YL39" s="394"/>
      <c r="YM39" s="394"/>
      <c r="YN39" s="394"/>
      <c r="YO39" s="394"/>
      <c r="YP39" s="394"/>
      <c r="YQ39" s="394"/>
      <c r="YR39" s="394"/>
      <c r="YS39" s="394"/>
      <c r="YT39" s="394"/>
      <c r="YU39" s="394"/>
      <c r="YV39" s="394"/>
      <c r="YW39" s="394"/>
      <c r="YX39" s="394"/>
      <c r="YY39" s="394"/>
      <c r="YZ39" s="394"/>
      <c r="ZA39" s="394"/>
      <c r="ZB39" s="394"/>
      <c r="ZC39" s="394"/>
      <c r="ZD39" s="394"/>
      <c r="ZE39" s="394"/>
      <c r="ZF39" s="394"/>
      <c r="ZG39" s="394"/>
      <c r="ZH39" s="394"/>
      <c r="ZI39" s="394"/>
      <c r="ZJ39" s="394"/>
      <c r="ZK39" s="394"/>
      <c r="ZL39" s="394"/>
      <c r="ZM39" s="394"/>
      <c r="ZN39" s="394"/>
      <c r="ZO39" s="394"/>
      <c r="ZP39" s="394"/>
      <c r="ZQ39" s="394"/>
      <c r="ZR39" s="394"/>
      <c r="ZS39" s="394"/>
      <c r="ZT39" s="394"/>
      <c r="ZU39" s="394"/>
      <c r="ZV39" s="394"/>
      <c r="ZW39" s="394"/>
      <c r="ZX39" s="394"/>
      <c r="ZY39" s="394"/>
      <c r="ZZ39" s="394"/>
      <c r="AAA39" s="394"/>
      <c r="AAB39" s="394"/>
      <c r="AAC39" s="394"/>
      <c r="AAD39" s="394"/>
      <c r="AAE39" s="394"/>
      <c r="AAF39" s="394"/>
      <c r="AAG39" s="394"/>
      <c r="AAH39" s="394"/>
      <c r="AAI39" s="394"/>
      <c r="AAJ39" s="394"/>
      <c r="AAK39" s="394"/>
      <c r="AAL39" s="394"/>
      <c r="AAM39" s="394"/>
      <c r="AAN39" s="394"/>
      <c r="AAO39" s="394"/>
      <c r="AAP39" s="394"/>
      <c r="AAQ39" s="394"/>
      <c r="AAR39" s="394"/>
      <c r="AAS39" s="394"/>
      <c r="AAT39" s="394"/>
      <c r="AAU39" s="394"/>
      <c r="AAV39" s="394"/>
      <c r="AAW39" s="394"/>
      <c r="AAX39" s="394"/>
      <c r="AAY39" s="394"/>
      <c r="AAZ39" s="394"/>
      <c r="ABA39" s="394"/>
      <c r="ABB39" s="394"/>
      <c r="ABC39" s="394"/>
      <c r="ABD39" s="394"/>
      <c r="ABE39" s="394"/>
      <c r="ABF39" s="394"/>
      <c r="ABG39" s="394"/>
      <c r="ABH39" s="394"/>
      <c r="ABI39" s="394"/>
      <c r="ABJ39" s="394"/>
      <c r="ABK39" s="394"/>
      <c r="ABL39" s="394"/>
      <c r="ABM39" s="394"/>
      <c r="ABN39" s="394"/>
      <c r="ABO39" s="394"/>
      <c r="ABP39" s="394"/>
      <c r="ABQ39" s="394"/>
      <c r="ABR39" s="394"/>
      <c r="ABS39" s="394"/>
      <c r="ABT39" s="394"/>
      <c r="ABU39" s="394"/>
      <c r="ABV39" s="394"/>
      <c r="ABW39" s="394"/>
      <c r="ABX39" s="394"/>
      <c r="ABY39" s="394"/>
      <c r="ABZ39" s="394"/>
      <c r="ACA39" s="394"/>
      <c r="ACB39" s="394"/>
      <c r="ACC39" s="394"/>
      <c r="ACD39" s="394"/>
      <c r="ACE39" s="394"/>
      <c r="ACF39" s="394"/>
      <c r="ACG39" s="394"/>
      <c r="ACH39" s="394"/>
      <c r="ACI39" s="394"/>
      <c r="ACJ39" s="394"/>
      <c r="ACK39" s="394"/>
      <c r="ACL39" s="394"/>
      <c r="ACM39" s="394"/>
      <c r="ACN39" s="394"/>
      <c r="ACO39" s="394"/>
      <c r="ACP39" s="394"/>
      <c r="ACQ39" s="394"/>
      <c r="ACR39" s="394"/>
      <c r="ACS39" s="394"/>
      <c r="ACT39" s="394"/>
      <c r="ACU39" s="394"/>
      <c r="ACV39" s="394"/>
      <c r="ACW39" s="394"/>
      <c r="ACX39" s="394"/>
      <c r="ACY39" s="394"/>
      <c r="ACZ39" s="394"/>
      <c r="ADA39" s="394"/>
      <c r="ADB39" s="394"/>
      <c r="ADC39" s="394"/>
      <c r="ADD39" s="394"/>
      <c r="ADE39" s="394"/>
      <c r="ADF39" s="394"/>
      <c r="ADG39" s="394"/>
      <c r="ADH39" s="394"/>
      <c r="ADI39" s="394"/>
      <c r="ADJ39" s="394"/>
      <c r="ADK39" s="394"/>
      <c r="ADL39" s="394"/>
      <c r="ADM39" s="394"/>
      <c r="ADN39" s="394"/>
      <c r="ADO39" s="394"/>
      <c r="ADP39" s="394"/>
      <c r="ADQ39" s="394"/>
      <c r="ADR39" s="394"/>
      <c r="ADS39" s="394"/>
      <c r="ADT39" s="394"/>
      <c r="ADU39" s="394"/>
      <c r="ADV39" s="394"/>
      <c r="ADW39" s="394"/>
      <c r="ADX39" s="394"/>
      <c r="ADY39" s="394"/>
      <c r="ADZ39" s="394"/>
      <c r="AEA39" s="394"/>
      <c r="AEB39" s="394"/>
      <c r="AEC39" s="394"/>
      <c r="AED39" s="394"/>
      <c r="AEE39" s="394"/>
      <c r="AEF39" s="394"/>
      <c r="AEG39" s="394"/>
      <c r="AEH39" s="394"/>
      <c r="AEI39" s="394"/>
      <c r="AEJ39" s="394"/>
      <c r="AEK39" s="394"/>
      <c r="AEL39" s="394"/>
      <c r="AEM39" s="394"/>
      <c r="AEN39" s="394"/>
      <c r="AEO39" s="394"/>
      <c r="AEP39" s="394"/>
      <c r="AEQ39" s="394"/>
      <c r="AER39" s="394"/>
      <c r="AES39" s="394"/>
      <c r="AET39" s="394"/>
      <c r="AEU39" s="394"/>
      <c r="AEV39" s="394"/>
      <c r="AEW39" s="394"/>
      <c r="AEX39" s="394"/>
      <c r="AEY39" s="394"/>
      <c r="AEZ39" s="394"/>
      <c r="AFA39" s="394"/>
      <c r="AFB39" s="394"/>
      <c r="AFC39" s="394"/>
      <c r="AFD39" s="394"/>
      <c r="AFE39" s="394"/>
      <c r="AFF39" s="394"/>
      <c r="AFG39" s="394"/>
      <c r="AFH39" s="394"/>
      <c r="AFI39" s="394"/>
      <c r="AFJ39" s="394"/>
      <c r="AFK39" s="394"/>
      <c r="AFL39" s="394"/>
      <c r="AFM39" s="394"/>
      <c r="AFN39" s="394"/>
      <c r="AFO39" s="394"/>
      <c r="AFP39" s="394"/>
      <c r="AFQ39" s="394"/>
      <c r="AFR39" s="394"/>
      <c r="AFS39" s="394"/>
      <c r="AFT39" s="394"/>
      <c r="AFU39" s="394"/>
      <c r="AFV39" s="394"/>
      <c r="AFW39" s="394"/>
      <c r="AFX39" s="394"/>
      <c r="AFY39" s="394"/>
      <c r="AFZ39" s="394"/>
      <c r="AGA39" s="394"/>
      <c r="AGB39" s="394"/>
      <c r="AGC39" s="394"/>
      <c r="AGD39" s="394"/>
      <c r="AGE39" s="394"/>
      <c r="AGF39" s="394"/>
      <c r="AGG39" s="394"/>
      <c r="AGH39" s="394"/>
      <c r="AGI39" s="394"/>
      <c r="AGJ39" s="394"/>
      <c r="AGK39" s="394"/>
      <c r="AGL39" s="394"/>
      <c r="AGM39" s="394"/>
      <c r="AGN39" s="394"/>
      <c r="AGO39" s="394"/>
      <c r="AGP39" s="394"/>
      <c r="AGQ39" s="394"/>
      <c r="AGR39" s="394"/>
      <c r="AGS39" s="394"/>
      <c r="AGT39" s="394"/>
      <c r="AGU39" s="394"/>
      <c r="AGV39" s="394"/>
      <c r="AGW39" s="394"/>
      <c r="AGX39" s="394"/>
      <c r="AGY39" s="394"/>
      <c r="AGZ39" s="394"/>
      <c r="AHA39" s="394"/>
      <c r="AHB39" s="394"/>
      <c r="AHC39" s="394"/>
      <c r="AHD39" s="394"/>
      <c r="AHE39" s="394"/>
      <c r="AHF39" s="394"/>
      <c r="AHG39" s="394"/>
      <c r="AHH39" s="394"/>
      <c r="AHI39" s="394"/>
      <c r="AHJ39" s="394"/>
      <c r="AHK39" s="394"/>
      <c r="AHL39" s="394"/>
      <c r="AHM39" s="394"/>
      <c r="AHN39" s="394"/>
      <c r="AHO39" s="394"/>
      <c r="AHP39" s="394"/>
      <c r="AHQ39" s="394"/>
      <c r="AHR39" s="394"/>
      <c r="AHS39" s="394"/>
      <c r="AHT39" s="394"/>
      <c r="AHU39" s="394"/>
      <c r="AHV39" s="394"/>
      <c r="AHW39" s="394"/>
      <c r="AHX39" s="394"/>
      <c r="AHY39" s="394"/>
      <c r="AHZ39" s="394"/>
      <c r="AIA39" s="394"/>
      <c r="AIB39" s="394"/>
      <c r="AIC39" s="394"/>
      <c r="AID39" s="394"/>
      <c r="AIE39" s="394"/>
      <c r="AIF39" s="394"/>
      <c r="AIG39" s="394"/>
      <c r="AIH39" s="394"/>
      <c r="AII39" s="394"/>
      <c r="AIJ39" s="394"/>
      <c r="AIK39" s="394"/>
      <c r="AIL39" s="394"/>
      <c r="AIM39" s="394"/>
      <c r="AIN39" s="394"/>
      <c r="AIO39" s="394"/>
      <c r="AIP39" s="394"/>
      <c r="AIQ39" s="394"/>
      <c r="AIR39" s="394"/>
      <c r="AIS39" s="394"/>
      <c r="AIT39" s="394"/>
      <c r="AIU39" s="394"/>
      <c r="AIV39" s="394"/>
      <c r="AIW39" s="394"/>
      <c r="AIX39" s="394"/>
      <c r="AIY39" s="394"/>
      <c r="AIZ39" s="394"/>
      <c r="AJA39" s="394"/>
      <c r="AJB39" s="394"/>
      <c r="AJC39" s="394"/>
      <c r="AJD39" s="394"/>
      <c r="AJE39" s="394"/>
      <c r="AJF39" s="394"/>
      <c r="AJG39" s="394"/>
      <c r="AJH39" s="394"/>
      <c r="AJI39" s="394"/>
      <c r="AJJ39" s="394"/>
      <c r="AJK39" s="394"/>
      <c r="AJL39" s="394"/>
      <c r="AJM39" s="394"/>
      <c r="AJN39" s="394"/>
      <c r="AJO39" s="394"/>
      <c r="AJP39" s="394"/>
      <c r="AJQ39" s="394"/>
      <c r="AJR39" s="394"/>
      <c r="AJS39" s="394"/>
      <c r="AJT39" s="394"/>
      <c r="AJU39" s="394"/>
      <c r="AJV39" s="394"/>
      <c r="AJW39" s="394"/>
      <c r="AJX39" s="394"/>
      <c r="AJY39" s="394"/>
      <c r="AJZ39" s="394"/>
      <c r="AKA39" s="394"/>
      <c r="AKB39" s="394"/>
      <c r="AKC39" s="394"/>
      <c r="AKD39" s="394"/>
      <c r="AKE39" s="394"/>
      <c r="AKF39" s="394"/>
      <c r="AKG39" s="394"/>
      <c r="AKH39" s="394"/>
      <c r="AKI39" s="394"/>
      <c r="AKJ39" s="394"/>
      <c r="AKK39" s="394"/>
      <c r="AKL39" s="394"/>
      <c r="AKM39" s="394"/>
      <c r="AKN39" s="394"/>
      <c r="AKO39" s="394"/>
      <c r="AKP39" s="394"/>
      <c r="AKQ39" s="394"/>
      <c r="AKR39" s="394"/>
      <c r="AKS39" s="394"/>
      <c r="AKT39" s="394"/>
      <c r="AKU39" s="394"/>
      <c r="AKV39" s="394"/>
      <c r="AKW39" s="394"/>
      <c r="AKX39" s="394"/>
      <c r="AKY39" s="394"/>
      <c r="AKZ39" s="394"/>
      <c r="ALA39" s="394"/>
      <c r="ALB39" s="394"/>
      <c r="ALC39" s="394"/>
      <c r="ALD39" s="394"/>
      <c r="ALE39" s="394"/>
      <c r="ALF39" s="394"/>
      <c r="ALG39" s="394"/>
      <c r="ALH39" s="394"/>
      <c r="ALI39" s="394"/>
      <c r="ALJ39" s="394"/>
      <c r="ALK39" s="394"/>
      <c r="ALL39" s="394"/>
      <c r="ALM39" s="394"/>
      <c r="ALN39" s="394"/>
      <c r="ALO39" s="394"/>
      <c r="ALP39" s="394"/>
      <c r="ALQ39" s="394"/>
      <c r="ALR39" s="394"/>
      <c r="ALS39" s="394"/>
      <c r="ALT39" s="394"/>
      <c r="ALU39" s="394"/>
      <c r="ALV39" s="394"/>
      <c r="ALW39" s="394"/>
      <c r="ALX39" s="394"/>
      <c r="ALY39" s="394"/>
      <c r="ALZ39" s="394"/>
      <c r="AMA39" s="394"/>
      <c r="AMB39" s="394"/>
      <c r="AMC39" s="394"/>
      <c r="AMD39" s="394"/>
      <c r="AME39" s="394"/>
      <c r="AMF39" s="394"/>
      <c r="AMG39" s="394"/>
      <c r="AMH39" s="394"/>
      <c r="AMI39" s="394"/>
      <c r="AMJ39" s="394"/>
      <c r="AMK39" s="394"/>
      <c r="AML39" s="394"/>
      <c r="AMM39" s="394"/>
      <c r="AMN39" s="394"/>
      <c r="AMO39" s="394"/>
      <c r="AMP39" s="394"/>
      <c r="AMQ39" s="394"/>
      <c r="AMR39" s="394"/>
      <c r="AMS39" s="394"/>
      <c r="AMT39" s="394"/>
      <c r="AMU39" s="394"/>
      <c r="AMV39" s="394"/>
      <c r="AMW39" s="394"/>
      <c r="AMX39" s="394"/>
      <c r="AMY39" s="394"/>
      <c r="AMZ39" s="394"/>
      <c r="ANA39" s="394"/>
      <c r="ANB39" s="394"/>
      <c r="ANC39" s="394"/>
      <c r="AND39" s="394"/>
      <c r="ANE39" s="394"/>
      <c r="ANF39" s="394"/>
      <c r="ANG39" s="394"/>
      <c r="ANH39" s="394"/>
      <c r="ANI39" s="394"/>
      <c r="ANJ39" s="394"/>
      <c r="ANK39" s="394"/>
      <c r="ANL39" s="394"/>
      <c r="ANM39" s="394"/>
      <c r="ANN39" s="394"/>
      <c r="ANO39" s="394"/>
      <c r="ANP39" s="394"/>
      <c r="ANQ39" s="394"/>
      <c r="ANR39" s="394"/>
      <c r="ANS39" s="394"/>
      <c r="ANT39" s="394"/>
      <c r="ANU39" s="394"/>
      <c r="ANV39" s="394"/>
      <c r="ANW39" s="394"/>
      <c r="ANX39" s="394"/>
      <c r="ANY39" s="394"/>
      <c r="ANZ39" s="394"/>
      <c r="AOA39" s="394"/>
      <c r="AOB39" s="394"/>
      <c r="AOC39" s="394"/>
      <c r="AOD39" s="394"/>
      <c r="AOE39" s="394"/>
      <c r="AOF39" s="394"/>
      <c r="AOG39" s="394"/>
      <c r="AOH39" s="394"/>
      <c r="AOI39" s="394"/>
      <c r="AOJ39" s="394"/>
      <c r="AOK39" s="394"/>
      <c r="AOL39" s="394"/>
      <c r="AOM39" s="394"/>
      <c r="AON39" s="394"/>
      <c r="AOO39" s="394"/>
      <c r="AOP39" s="394"/>
      <c r="AOQ39" s="394"/>
      <c r="AOR39" s="394"/>
      <c r="AOS39" s="394"/>
      <c r="AOT39" s="394"/>
      <c r="AOU39" s="394"/>
      <c r="AOV39" s="394"/>
      <c r="AOW39" s="394"/>
      <c r="AOX39" s="394"/>
      <c r="AOY39" s="394"/>
      <c r="AOZ39" s="394"/>
      <c r="APA39" s="394"/>
      <c r="APB39" s="394"/>
      <c r="APC39" s="394"/>
      <c r="APD39" s="394"/>
      <c r="APE39" s="394"/>
      <c r="APF39" s="394"/>
      <c r="APG39" s="394"/>
      <c r="APH39" s="394"/>
      <c r="API39" s="394"/>
      <c r="APJ39" s="394"/>
      <c r="APK39" s="394"/>
      <c r="APL39" s="394"/>
      <c r="APM39" s="394"/>
      <c r="APN39" s="394"/>
      <c r="APO39" s="394"/>
      <c r="APP39" s="394"/>
      <c r="APQ39" s="394"/>
      <c r="APR39" s="394"/>
      <c r="APS39" s="394"/>
      <c r="APT39" s="394"/>
      <c r="APU39" s="394"/>
      <c r="APV39" s="394"/>
      <c r="APW39" s="394"/>
      <c r="APX39" s="394"/>
      <c r="APY39" s="394"/>
      <c r="APZ39" s="394"/>
      <c r="AQA39" s="394"/>
      <c r="AQB39" s="394"/>
      <c r="AQC39" s="394"/>
      <c r="AQD39" s="394"/>
      <c r="AQE39" s="394"/>
      <c r="AQF39" s="394"/>
      <c r="AQG39" s="394"/>
      <c r="AQH39" s="394"/>
      <c r="AQI39" s="394"/>
      <c r="AQJ39" s="394"/>
      <c r="AQK39" s="394"/>
      <c r="AQL39" s="394"/>
      <c r="AQM39" s="394"/>
      <c r="AQN39" s="394"/>
      <c r="AQO39" s="394"/>
      <c r="AQP39" s="394"/>
      <c r="AQQ39" s="394"/>
      <c r="AQR39" s="394"/>
      <c r="AQS39" s="394"/>
      <c r="AQT39" s="394"/>
      <c r="AQU39" s="394"/>
      <c r="AQV39" s="394"/>
      <c r="AQW39" s="394"/>
      <c r="AQX39" s="394"/>
      <c r="AQY39" s="394"/>
      <c r="AQZ39" s="394"/>
      <c r="ARA39" s="394"/>
      <c r="ARB39" s="394"/>
      <c r="ARC39" s="394"/>
      <c r="ARD39" s="394"/>
      <c r="ARE39" s="394"/>
      <c r="ARF39" s="394"/>
      <c r="ARG39" s="394"/>
      <c r="ARH39" s="394"/>
      <c r="ARI39" s="394"/>
      <c r="ARJ39" s="394"/>
      <c r="ARK39" s="394"/>
      <c r="ARL39" s="394"/>
      <c r="ARM39" s="394"/>
      <c r="ARN39" s="394"/>
      <c r="ARO39" s="394"/>
      <c r="ARP39" s="394"/>
      <c r="ARQ39" s="394"/>
      <c r="ARR39" s="394"/>
      <c r="ARS39" s="394"/>
      <c r="ART39" s="394"/>
      <c r="ARU39" s="394"/>
      <c r="ARV39" s="394"/>
      <c r="ARW39" s="394"/>
      <c r="ARX39" s="394"/>
      <c r="ARY39" s="394"/>
      <c r="ARZ39" s="394"/>
      <c r="ASA39" s="394"/>
      <c r="ASB39" s="394"/>
      <c r="ASC39" s="394"/>
      <c r="ASD39" s="394"/>
      <c r="ASE39" s="394"/>
      <c r="ASF39" s="394"/>
      <c r="ASG39" s="394"/>
      <c r="ASH39" s="394"/>
      <c r="ASI39" s="394"/>
      <c r="ASJ39" s="394"/>
      <c r="ASK39" s="394"/>
      <c r="ASL39" s="394"/>
      <c r="ASM39" s="394"/>
      <c r="ASN39" s="394"/>
      <c r="ASO39" s="394"/>
      <c r="ASP39" s="394"/>
      <c r="ASQ39" s="394"/>
      <c r="ASR39" s="394"/>
      <c r="ASS39" s="394"/>
      <c r="AST39" s="394"/>
      <c r="ASU39" s="394"/>
      <c r="ASV39" s="394"/>
      <c r="ASW39" s="394"/>
      <c r="ASX39" s="394"/>
      <c r="ASY39" s="394"/>
      <c r="ASZ39" s="394"/>
      <c r="ATA39" s="394"/>
      <c r="ATB39" s="394"/>
      <c r="ATC39" s="394"/>
      <c r="ATD39" s="394"/>
      <c r="ATE39" s="394"/>
      <c r="ATF39" s="394"/>
      <c r="ATG39" s="394"/>
      <c r="ATH39" s="394"/>
      <c r="ATI39" s="394"/>
      <c r="ATJ39" s="394"/>
      <c r="ATK39" s="394"/>
      <c r="ATL39" s="394"/>
      <c r="ATM39" s="394"/>
      <c r="ATN39" s="394"/>
      <c r="ATO39" s="394"/>
      <c r="ATP39" s="394"/>
      <c r="ATQ39" s="394"/>
      <c r="ATR39" s="394"/>
      <c r="ATS39" s="394"/>
      <c r="ATT39" s="394"/>
      <c r="ATU39" s="394"/>
      <c r="ATV39" s="394"/>
      <c r="ATW39" s="394"/>
      <c r="ATX39" s="394"/>
      <c r="ATY39" s="394"/>
      <c r="ATZ39" s="394"/>
      <c r="AUA39" s="394"/>
      <c r="AUB39" s="394"/>
      <c r="AUC39" s="394"/>
      <c r="AUD39" s="394"/>
      <c r="AUE39" s="394"/>
      <c r="AUF39" s="394"/>
      <c r="AUG39" s="394"/>
      <c r="AUH39" s="394"/>
      <c r="AUI39" s="394"/>
      <c r="AUJ39" s="394"/>
      <c r="AUK39" s="394"/>
      <c r="AUL39" s="394"/>
      <c r="AUM39" s="394"/>
      <c r="AUN39" s="394"/>
      <c r="AUO39" s="394"/>
      <c r="AUP39" s="394"/>
      <c r="AUQ39" s="394"/>
      <c r="AUR39" s="394"/>
      <c r="AUS39" s="394"/>
      <c r="AUT39" s="394"/>
      <c r="AUU39" s="394"/>
      <c r="AUV39" s="394"/>
      <c r="AUW39" s="394"/>
      <c r="AUX39" s="394"/>
      <c r="AUY39" s="394"/>
      <c r="AUZ39" s="394"/>
      <c r="AVA39" s="394"/>
      <c r="AVB39" s="394"/>
      <c r="AVC39" s="394"/>
      <c r="AVD39" s="394"/>
      <c r="AVE39" s="394"/>
      <c r="AVF39" s="394"/>
      <c r="AVG39" s="394"/>
      <c r="AVH39" s="394"/>
      <c r="AVI39" s="394"/>
      <c r="AVJ39" s="394"/>
      <c r="AVK39" s="394"/>
      <c r="AVL39" s="394"/>
      <c r="AVM39" s="394"/>
      <c r="AVN39" s="394"/>
      <c r="AVO39" s="394"/>
      <c r="AVP39" s="394"/>
      <c r="AVQ39" s="394"/>
      <c r="AVR39" s="394"/>
      <c r="AVS39" s="394"/>
      <c r="AVT39" s="394"/>
      <c r="AVU39" s="394"/>
      <c r="AVV39" s="394"/>
      <c r="AVW39" s="394"/>
      <c r="AVX39" s="394"/>
      <c r="AVY39" s="394"/>
      <c r="AVZ39" s="394"/>
      <c r="AWA39" s="394"/>
      <c r="AWB39" s="394"/>
      <c r="AWC39" s="394"/>
      <c r="AWD39" s="394"/>
      <c r="AWE39" s="394"/>
      <c r="AWF39" s="394"/>
      <c r="AWG39" s="394"/>
      <c r="AWH39" s="394"/>
      <c r="AWI39" s="394"/>
      <c r="AWJ39" s="394"/>
      <c r="AWK39" s="394"/>
      <c r="AWL39" s="394"/>
      <c r="AWM39" s="394"/>
      <c r="AWN39" s="394"/>
      <c r="AWO39" s="394"/>
      <c r="AWP39" s="394"/>
      <c r="AWQ39" s="394"/>
      <c r="AWR39" s="394"/>
      <c r="AWS39" s="394"/>
      <c r="AWT39" s="394"/>
      <c r="AWU39" s="394"/>
      <c r="AWV39" s="394"/>
      <c r="AWW39" s="394"/>
      <c r="AWX39" s="394"/>
      <c r="AWY39" s="394"/>
      <c r="AWZ39" s="394"/>
      <c r="AXA39" s="394"/>
      <c r="AXB39" s="394"/>
      <c r="AXC39" s="394"/>
      <c r="AXD39" s="394"/>
      <c r="AXE39" s="394"/>
      <c r="AXF39" s="394"/>
      <c r="AXG39" s="394"/>
      <c r="AXH39" s="394"/>
      <c r="AXI39" s="394"/>
      <c r="AXJ39" s="394"/>
      <c r="AXK39" s="394"/>
      <c r="AXL39" s="394"/>
      <c r="AXM39" s="394"/>
      <c r="AXN39" s="394"/>
      <c r="AXO39" s="394"/>
      <c r="AXP39" s="394"/>
      <c r="AXQ39" s="394"/>
      <c r="AXR39" s="394"/>
      <c r="AXS39" s="394"/>
      <c r="AXT39" s="394"/>
      <c r="AXU39" s="394"/>
      <c r="AXV39" s="394"/>
      <c r="AXW39" s="394"/>
      <c r="AXX39" s="394"/>
      <c r="AXY39" s="394"/>
      <c r="AXZ39" s="394"/>
      <c r="AYA39" s="394"/>
      <c r="AYB39" s="394"/>
      <c r="AYC39" s="394"/>
      <c r="AYD39" s="394"/>
      <c r="AYE39" s="394"/>
      <c r="AYF39" s="394"/>
      <c r="AYG39" s="394"/>
      <c r="AYH39" s="394"/>
      <c r="AYI39" s="394"/>
      <c r="AYJ39" s="394"/>
      <c r="AYK39" s="394"/>
      <c r="AYL39" s="394"/>
      <c r="AYM39" s="394"/>
      <c r="AYN39" s="394"/>
      <c r="AYO39" s="394"/>
      <c r="AYP39" s="394"/>
      <c r="AYQ39" s="394"/>
      <c r="AYR39" s="394"/>
      <c r="AYS39" s="394"/>
      <c r="AYT39" s="394"/>
      <c r="AYU39" s="394"/>
      <c r="AYV39" s="394"/>
      <c r="AYW39" s="394"/>
      <c r="AYX39" s="394"/>
      <c r="AYY39" s="394"/>
      <c r="AYZ39" s="394"/>
      <c r="AZA39" s="394"/>
      <c r="AZB39" s="394"/>
      <c r="AZC39" s="394"/>
      <c r="AZD39" s="394"/>
      <c r="AZE39" s="394"/>
      <c r="AZF39" s="394"/>
      <c r="AZG39" s="394"/>
      <c r="AZH39" s="394"/>
      <c r="AZI39" s="394"/>
      <c r="AZJ39" s="394"/>
      <c r="AZK39" s="394"/>
      <c r="AZL39" s="394"/>
      <c r="AZM39" s="394"/>
      <c r="AZN39" s="394"/>
      <c r="AZO39" s="394"/>
      <c r="AZP39" s="394"/>
      <c r="AZQ39" s="394"/>
      <c r="AZR39" s="394"/>
      <c r="AZS39" s="394"/>
      <c r="AZT39" s="394"/>
      <c r="AZU39" s="394"/>
      <c r="AZV39" s="394"/>
      <c r="AZW39" s="394"/>
      <c r="AZX39" s="394"/>
      <c r="AZY39" s="394"/>
      <c r="AZZ39" s="394"/>
      <c r="BAA39" s="394"/>
      <c r="BAB39" s="394"/>
      <c r="BAC39" s="394"/>
      <c r="BAD39" s="394"/>
      <c r="BAE39" s="394"/>
      <c r="BAF39" s="394"/>
      <c r="BAG39" s="394"/>
      <c r="BAH39" s="394"/>
      <c r="BAI39" s="394"/>
      <c r="BAJ39" s="394"/>
      <c r="BAK39" s="394"/>
      <c r="BAL39" s="394"/>
      <c r="BAM39" s="394"/>
      <c r="BAN39" s="394"/>
      <c r="BAO39" s="394"/>
      <c r="BAP39" s="394"/>
      <c r="BAQ39" s="394"/>
      <c r="BAR39" s="394"/>
      <c r="BAS39" s="394"/>
      <c r="BAT39" s="394"/>
      <c r="BAU39" s="394"/>
      <c r="BAV39" s="394"/>
      <c r="BAW39" s="394"/>
      <c r="BAX39" s="394"/>
      <c r="BAY39" s="394"/>
      <c r="BAZ39" s="394"/>
      <c r="BBA39" s="394"/>
      <c r="BBB39" s="394"/>
      <c r="BBC39" s="394"/>
      <c r="BBD39" s="394"/>
      <c r="BBE39" s="394"/>
      <c r="BBF39" s="394"/>
      <c r="BBG39" s="394"/>
      <c r="BBH39" s="394"/>
      <c r="BBI39" s="394"/>
      <c r="BBJ39" s="394"/>
      <c r="BBK39" s="394"/>
      <c r="BBL39" s="394"/>
      <c r="BBM39" s="394"/>
      <c r="BBN39" s="394"/>
      <c r="BBO39" s="394"/>
      <c r="BBP39" s="394"/>
      <c r="BBQ39" s="394"/>
      <c r="BBR39" s="394"/>
      <c r="BBS39" s="394"/>
      <c r="BBT39" s="394"/>
      <c r="BBU39" s="394"/>
      <c r="BBV39" s="394"/>
      <c r="BBW39" s="394"/>
      <c r="BBX39" s="394"/>
      <c r="BBY39" s="394"/>
      <c r="BBZ39" s="394"/>
      <c r="BCA39" s="394"/>
      <c r="BCB39" s="394"/>
      <c r="BCC39" s="394"/>
      <c r="BCD39" s="394"/>
      <c r="BCE39" s="394"/>
      <c r="BCF39" s="394"/>
      <c r="BCG39" s="394"/>
      <c r="BCH39" s="394"/>
      <c r="BCI39" s="394"/>
      <c r="BCJ39" s="394"/>
      <c r="BCK39" s="394"/>
      <c r="BCL39" s="394"/>
      <c r="BCM39" s="394"/>
      <c r="BCN39" s="394"/>
      <c r="BCO39" s="394"/>
      <c r="BCP39" s="394"/>
      <c r="BCQ39" s="394"/>
      <c r="BCR39" s="394"/>
      <c r="BCS39" s="394"/>
      <c r="BCT39" s="394"/>
      <c r="BCU39" s="394"/>
      <c r="BCV39" s="394"/>
      <c r="BCW39" s="394"/>
      <c r="BCX39" s="394"/>
      <c r="BCY39" s="394"/>
      <c r="BCZ39" s="394"/>
      <c r="BDA39" s="394"/>
      <c r="BDB39" s="394"/>
      <c r="BDC39" s="394"/>
      <c r="BDD39" s="394"/>
      <c r="BDE39" s="394"/>
      <c r="BDF39" s="394"/>
      <c r="BDG39" s="394"/>
      <c r="BDH39" s="394"/>
      <c r="BDI39" s="394"/>
      <c r="BDJ39" s="394"/>
      <c r="BDK39" s="394"/>
      <c r="BDL39" s="394"/>
      <c r="BDM39" s="394"/>
      <c r="BDN39" s="394"/>
      <c r="BDO39" s="394"/>
      <c r="BDP39" s="394"/>
      <c r="BDQ39" s="394"/>
      <c r="BDR39" s="394"/>
      <c r="BDS39" s="394"/>
      <c r="BDT39" s="394"/>
      <c r="BDU39" s="394"/>
      <c r="BDV39" s="394"/>
      <c r="BDW39" s="394"/>
      <c r="BDX39" s="394"/>
      <c r="BDY39" s="394"/>
      <c r="BDZ39" s="394"/>
      <c r="BEA39" s="394"/>
      <c r="BEB39" s="394"/>
      <c r="BEC39" s="394"/>
      <c r="BED39" s="394"/>
      <c r="BEE39" s="394"/>
      <c r="BEF39" s="394"/>
      <c r="BEG39" s="394"/>
      <c r="BEH39" s="394"/>
      <c r="BEI39" s="394"/>
      <c r="BEJ39" s="394"/>
      <c r="BEK39" s="394"/>
      <c r="BEL39" s="394"/>
      <c r="BEM39" s="394"/>
      <c r="BEN39" s="394"/>
      <c r="BEO39" s="394"/>
      <c r="BEP39" s="394"/>
      <c r="BEQ39" s="394"/>
      <c r="BER39" s="394"/>
      <c r="BES39" s="394"/>
      <c r="BET39" s="394"/>
      <c r="BEU39" s="394"/>
      <c r="BEV39" s="394"/>
      <c r="BEW39" s="394"/>
      <c r="BEX39" s="394"/>
      <c r="BEY39" s="394"/>
      <c r="BEZ39" s="394"/>
      <c r="BFA39" s="394"/>
      <c r="BFB39" s="394"/>
      <c r="BFC39" s="394"/>
      <c r="BFD39" s="394"/>
      <c r="BFE39" s="394"/>
      <c r="BFF39" s="394"/>
      <c r="BFG39" s="394"/>
      <c r="BFH39" s="394"/>
      <c r="BFI39" s="394"/>
      <c r="BFJ39" s="394"/>
      <c r="BFK39" s="394"/>
      <c r="BFL39" s="394"/>
      <c r="BFM39" s="394"/>
      <c r="BFN39" s="394"/>
      <c r="BFO39" s="394"/>
      <c r="BFP39" s="394"/>
      <c r="BFQ39" s="394"/>
      <c r="BFR39" s="394"/>
      <c r="BFS39" s="394"/>
      <c r="BFT39" s="394"/>
      <c r="BFU39" s="394"/>
      <c r="BFV39" s="394"/>
      <c r="BFW39" s="394"/>
      <c r="BFX39" s="394"/>
      <c r="BFY39" s="394"/>
      <c r="BFZ39" s="394"/>
      <c r="BGA39" s="394"/>
      <c r="BGB39" s="394"/>
      <c r="BGC39" s="394"/>
      <c r="BGD39" s="394"/>
      <c r="BGE39" s="394"/>
      <c r="BGF39" s="394"/>
      <c r="BGG39" s="394"/>
      <c r="BGH39" s="394"/>
      <c r="BGI39" s="394"/>
      <c r="BGJ39" s="394"/>
      <c r="BGK39" s="394"/>
      <c r="BGL39" s="394"/>
      <c r="BGM39" s="394"/>
      <c r="BGN39" s="394"/>
      <c r="BGO39" s="394"/>
      <c r="BGP39" s="394"/>
      <c r="BGQ39" s="394"/>
      <c r="BGR39" s="394"/>
      <c r="BGS39" s="394"/>
      <c r="BGT39" s="394"/>
      <c r="BGU39" s="394"/>
      <c r="BGV39" s="394"/>
      <c r="BGW39" s="394"/>
      <c r="BGX39" s="394"/>
      <c r="BGY39" s="394"/>
      <c r="BGZ39" s="394"/>
      <c r="BHA39" s="394"/>
      <c r="BHB39" s="394"/>
      <c r="BHC39" s="394"/>
      <c r="BHD39" s="394"/>
      <c r="BHE39" s="394"/>
      <c r="BHF39" s="394"/>
      <c r="BHG39" s="394"/>
      <c r="BHH39" s="394"/>
      <c r="BHI39" s="394"/>
      <c r="BHJ39" s="394"/>
      <c r="BHK39" s="394"/>
      <c r="BHL39" s="394"/>
      <c r="BHM39" s="394"/>
      <c r="BHN39" s="394"/>
      <c r="BHO39" s="394"/>
      <c r="BHP39" s="394"/>
      <c r="BHQ39" s="394"/>
      <c r="BHR39" s="394"/>
      <c r="BHS39" s="394"/>
      <c r="BHT39" s="394"/>
      <c r="BHU39" s="394"/>
      <c r="BHV39" s="394"/>
      <c r="BHW39" s="394"/>
      <c r="BHX39" s="394"/>
      <c r="BHY39" s="394"/>
      <c r="BHZ39" s="394"/>
      <c r="BIA39" s="394"/>
      <c r="BIB39" s="394"/>
      <c r="BIC39" s="394"/>
      <c r="BID39" s="394"/>
      <c r="BIE39" s="394"/>
      <c r="BIF39" s="394"/>
      <c r="BIG39" s="394"/>
      <c r="BIH39" s="394"/>
      <c r="BII39" s="394"/>
      <c r="BIJ39" s="394"/>
      <c r="BIK39" s="394"/>
      <c r="BIL39" s="394"/>
      <c r="BIM39" s="394"/>
      <c r="BIN39" s="394"/>
      <c r="BIO39" s="394"/>
      <c r="BIP39" s="394"/>
      <c r="BIQ39" s="394"/>
      <c r="BIR39" s="394"/>
      <c r="BIS39" s="394"/>
      <c r="BIT39" s="394"/>
      <c r="BIU39" s="394"/>
      <c r="BIV39" s="394"/>
      <c r="BIW39" s="394"/>
      <c r="BIX39" s="394"/>
      <c r="BIY39" s="394"/>
      <c r="BIZ39" s="394"/>
      <c r="BJA39" s="394"/>
      <c r="BJB39" s="394"/>
      <c r="BJC39" s="394"/>
      <c r="BJD39" s="394"/>
      <c r="BJE39" s="394"/>
      <c r="BJF39" s="394"/>
      <c r="BJG39" s="394"/>
      <c r="BJH39" s="394"/>
      <c r="BJI39" s="394"/>
      <c r="BJJ39" s="394"/>
      <c r="BJK39" s="394"/>
      <c r="BJL39" s="394"/>
      <c r="BJM39" s="394"/>
      <c r="BJN39" s="394"/>
      <c r="BJO39" s="394"/>
      <c r="BJP39" s="394"/>
      <c r="BJQ39" s="394"/>
      <c r="BJR39" s="394"/>
      <c r="BJS39" s="394"/>
      <c r="BJT39" s="394"/>
      <c r="BJU39" s="394"/>
      <c r="BJV39" s="394"/>
      <c r="BJW39" s="394"/>
      <c r="BJX39" s="394"/>
      <c r="BJY39" s="394"/>
      <c r="BJZ39" s="394"/>
      <c r="BKA39" s="394"/>
      <c r="BKB39" s="394"/>
      <c r="BKC39" s="394"/>
      <c r="BKD39" s="394"/>
      <c r="BKE39" s="394"/>
      <c r="BKF39" s="394"/>
      <c r="BKG39" s="394"/>
      <c r="BKH39" s="394"/>
      <c r="BKI39" s="394"/>
      <c r="BKJ39" s="394"/>
      <c r="BKK39" s="394"/>
      <c r="BKL39" s="394"/>
      <c r="BKM39" s="394"/>
      <c r="BKN39" s="394"/>
      <c r="BKO39" s="394"/>
      <c r="BKP39" s="394"/>
      <c r="BKQ39" s="394"/>
      <c r="BKR39" s="394"/>
      <c r="BKS39" s="394"/>
      <c r="BKT39" s="394"/>
      <c r="BKU39" s="394"/>
      <c r="BKV39" s="394"/>
      <c r="BKW39" s="394"/>
      <c r="BKX39" s="394"/>
      <c r="BKY39" s="394"/>
      <c r="BKZ39" s="394"/>
      <c r="BLA39" s="394"/>
      <c r="BLB39" s="394"/>
      <c r="BLC39" s="394"/>
      <c r="BLD39" s="394"/>
      <c r="BLE39" s="394"/>
      <c r="BLF39" s="394"/>
      <c r="BLG39" s="394"/>
      <c r="BLH39" s="394"/>
      <c r="BLI39" s="394"/>
      <c r="BLJ39" s="394"/>
      <c r="BLK39" s="394"/>
      <c r="BLL39" s="394"/>
      <c r="BLM39" s="394"/>
      <c r="BLN39" s="394"/>
      <c r="BLO39" s="394"/>
      <c r="BLP39" s="394"/>
      <c r="BLQ39" s="394"/>
      <c r="BLR39" s="394"/>
      <c r="BLS39" s="394"/>
      <c r="BLT39" s="394"/>
      <c r="BLU39" s="394"/>
      <c r="BLV39" s="394"/>
      <c r="BLW39" s="394"/>
      <c r="BLX39" s="394"/>
      <c r="BLY39" s="394"/>
      <c r="BLZ39" s="394"/>
      <c r="BMA39" s="394"/>
      <c r="BMB39" s="394"/>
      <c r="BMC39" s="394"/>
      <c r="BMD39" s="394"/>
      <c r="BME39" s="394"/>
      <c r="BMF39" s="394"/>
      <c r="BMG39" s="394"/>
      <c r="BMH39" s="394"/>
      <c r="BMI39" s="394"/>
      <c r="BMJ39" s="394"/>
      <c r="BMK39" s="394"/>
      <c r="BML39" s="394"/>
      <c r="BMM39" s="394"/>
      <c r="BMN39" s="394"/>
      <c r="BMO39" s="394"/>
      <c r="BMP39" s="394"/>
      <c r="BMQ39" s="394"/>
      <c r="BMR39" s="394"/>
      <c r="BMS39" s="394"/>
      <c r="BMT39" s="394"/>
      <c r="BMU39" s="394"/>
      <c r="BMV39" s="394"/>
      <c r="BMW39" s="394"/>
      <c r="BMX39" s="394"/>
      <c r="BMY39" s="394"/>
      <c r="BMZ39" s="394"/>
      <c r="BNA39" s="394"/>
      <c r="BNB39" s="394"/>
      <c r="BNC39" s="394"/>
      <c r="BND39" s="394"/>
      <c r="BNE39" s="394"/>
      <c r="BNF39" s="394"/>
      <c r="BNG39" s="394"/>
      <c r="BNH39" s="394"/>
      <c r="BNI39" s="394"/>
      <c r="BNJ39" s="394"/>
      <c r="BNK39" s="394"/>
      <c r="BNL39" s="394"/>
      <c r="BNM39" s="394"/>
      <c r="BNN39" s="394"/>
      <c r="BNO39" s="394"/>
      <c r="BNP39" s="394"/>
      <c r="BNQ39" s="394"/>
      <c r="BNR39" s="394"/>
      <c r="BNS39" s="394"/>
      <c r="BNT39" s="394"/>
      <c r="BNU39" s="394"/>
      <c r="BNV39" s="394"/>
      <c r="BNW39" s="394"/>
      <c r="BNX39" s="394"/>
      <c r="BNY39" s="394"/>
      <c r="BNZ39" s="394"/>
      <c r="BOA39" s="394"/>
      <c r="BOB39" s="394"/>
      <c r="BOC39" s="394"/>
      <c r="BOD39" s="394"/>
      <c r="BOE39" s="394"/>
      <c r="BOF39" s="394"/>
      <c r="BOG39" s="394"/>
      <c r="BOH39" s="394"/>
      <c r="BOI39" s="394"/>
      <c r="BOJ39" s="394"/>
      <c r="BOK39" s="394"/>
      <c r="BOL39" s="394"/>
      <c r="BOM39" s="394"/>
      <c r="BON39" s="394"/>
      <c r="BOO39" s="394"/>
      <c r="BOP39" s="394"/>
      <c r="BOQ39" s="394"/>
      <c r="BOR39" s="394"/>
      <c r="BOS39" s="394"/>
      <c r="BOT39" s="394"/>
      <c r="BOU39" s="394"/>
      <c r="BOV39" s="394"/>
      <c r="BOW39" s="394"/>
      <c r="BOX39" s="394"/>
      <c r="BOY39" s="394"/>
      <c r="BOZ39" s="394"/>
      <c r="BPA39" s="394"/>
      <c r="BPB39" s="394"/>
      <c r="BPC39" s="394"/>
      <c r="BPD39" s="394"/>
      <c r="BPE39" s="394"/>
      <c r="BPF39" s="394"/>
      <c r="BPG39" s="394"/>
      <c r="BPH39" s="394"/>
      <c r="BPI39" s="394"/>
      <c r="BPJ39" s="394"/>
      <c r="BPK39" s="394"/>
      <c r="BPL39" s="394"/>
      <c r="BPM39" s="394"/>
      <c r="BPN39" s="394"/>
      <c r="BPO39" s="394"/>
      <c r="BPP39" s="394"/>
      <c r="BPQ39" s="394"/>
      <c r="BPR39" s="394"/>
      <c r="BPS39" s="394"/>
      <c r="BPT39" s="394"/>
      <c r="BPU39" s="394"/>
      <c r="BPV39" s="394"/>
      <c r="BPW39" s="394"/>
      <c r="BPX39" s="394"/>
      <c r="BPY39" s="394"/>
      <c r="BPZ39" s="394"/>
      <c r="BQA39" s="394"/>
      <c r="BQB39" s="394"/>
      <c r="BQC39" s="394"/>
      <c r="BQD39" s="394"/>
      <c r="BQE39" s="394"/>
      <c r="BQF39" s="394"/>
      <c r="BQG39" s="394"/>
      <c r="BQH39" s="394"/>
      <c r="BQI39" s="394"/>
      <c r="BQJ39" s="394"/>
      <c r="BQK39" s="394"/>
      <c r="BQL39" s="394"/>
      <c r="BQM39" s="394"/>
      <c r="BQN39" s="394"/>
      <c r="BQO39" s="394"/>
      <c r="BQP39" s="394"/>
      <c r="BQQ39" s="394"/>
      <c r="BQR39" s="394"/>
      <c r="BQS39" s="394"/>
      <c r="BQT39" s="394"/>
      <c r="BQU39" s="394"/>
      <c r="BQV39" s="394"/>
      <c r="BQW39" s="394"/>
      <c r="BQX39" s="394"/>
      <c r="BQY39" s="394"/>
      <c r="BQZ39" s="394"/>
      <c r="BRA39" s="394"/>
      <c r="BRB39" s="394"/>
      <c r="BRC39" s="394"/>
      <c r="BRD39" s="394"/>
      <c r="BRE39" s="394"/>
      <c r="BRF39" s="394"/>
      <c r="BRG39" s="394"/>
      <c r="BRH39" s="394"/>
      <c r="BRI39" s="394"/>
      <c r="BRJ39" s="394"/>
      <c r="BRK39" s="394"/>
      <c r="BRL39" s="394"/>
      <c r="BRM39" s="394"/>
      <c r="BRN39" s="394"/>
      <c r="BRO39" s="394"/>
      <c r="BRP39" s="394"/>
      <c r="BRQ39" s="394"/>
      <c r="BRR39" s="394"/>
      <c r="BRS39" s="394"/>
      <c r="BRT39" s="394"/>
      <c r="BRU39" s="394"/>
      <c r="BRV39" s="394"/>
      <c r="BRW39" s="394"/>
      <c r="BRX39" s="394"/>
      <c r="BRY39" s="394"/>
      <c r="BRZ39" s="394"/>
      <c r="BSA39" s="394"/>
      <c r="BSB39" s="394"/>
      <c r="BSC39" s="394"/>
      <c r="BSD39" s="394"/>
      <c r="BSE39" s="394"/>
      <c r="BSF39" s="394"/>
      <c r="BSG39" s="394"/>
      <c r="BSH39" s="394"/>
      <c r="BSI39" s="394"/>
      <c r="BSJ39" s="394"/>
      <c r="BSK39" s="394"/>
      <c r="BSL39" s="394"/>
      <c r="BSM39" s="394"/>
      <c r="BSN39" s="394"/>
      <c r="BSO39" s="394"/>
      <c r="BSP39" s="394"/>
      <c r="BSQ39" s="394"/>
      <c r="BSR39" s="394"/>
      <c r="BSS39" s="394"/>
      <c r="BST39" s="394"/>
      <c r="BSU39" s="394"/>
      <c r="BSV39" s="394"/>
      <c r="BSW39" s="394"/>
      <c r="BSX39" s="394"/>
      <c r="BSY39" s="394"/>
      <c r="BSZ39" s="394"/>
      <c r="BTA39" s="394"/>
      <c r="BTB39" s="394"/>
      <c r="BTC39" s="394"/>
      <c r="BTD39" s="394"/>
      <c r="BTE39" s="394"/>
      <c r="BTF39" s="394"/>
      <c r="BTG39" s="394"/>
      <c r="BTH39" s="394"/>
      <c r="BTI39" s="394"/>
    </row>
    <row r="40" spans="1:1881" s="225" customFormat="1" ht="25.5" customHeight="1" x14ac:dyDescent="0.25">
      <c r="A40" s="188"/>
      <c r="B40" s="161" t="s">
        <v>701</v>
      </c>
      <c r="C40" s="160"/>
      <c r="D40" s="129"/>
      <c r="E40" s="143"/>
      <c r="F40" s="724"/>
      <c r="G40" s="551"/>
      <c r="H40" s="67"/>
      <c r="I40" s="31"/>
      <c r="J40" s="394"/>
      <c r="K40" s="394"/>
      <c r="L40" s="833" t="s">
        <v>1136</v>
      </c>
      <c r="M40" s="610"/>
      <c r="N40" s="635"/>
      <c r="O40" s="394"/>
      <c r="P40" s="394"/>
      <c r="Q40" s="394"/>
      <c r="R40" s="394"/>
      <c r="S40" s="394"/>
      <c r="T40" s="394"/>
      <c r="U40" s="394"/>
      <c r="V40" s="394"/>
      <c r="W40" s="394"/>
      <c r="X40" s="394"/>
      <c r="Y40" s="394"/>
      <c r="Z40" s="394"/>
      <c r="AA40" s="394"/>
      <c r="AB40" s="394"/>
      <c r="AC40" s="394"/>
      <c r="AD40" s="394"/>
      <c r="AE40" s="394"/>
      <c r="AF40" s="394"/>
      <c r="AG40" s="394"/>
      <c r="AH40" s="394"/>
      <c r="AI40" s="394"/>
      <c r="AJ40" s="394"/>
      <c r="AK40" s="394"/>
      <c r="AL40" s="394"/>
      <c r="AM40" s="394"/>
      <c r="AN40" s="394"/>
      <c r="AO40" s="394"/>
      <c r="AP40" s="394"/>
      <c r="AQ40" s="394"/>
      <c r="AR40" s="394"/>
      <c r="AS40" s="394"/>
      <c r="AT40" s="394"/>
      <c r="AU40" s="394"/>
      <c r="AV40" s="394"/>
      <c r="AW40" s="394"/>
      <c r="AX40" s="394"/>
      <c r="AY40" s="394"/>
      <c r="AZ40" s="394"/>
      <c r="BA40" s="394"/>
      <c r="BB40" s="394"/>
      <c r="BC40" s="394"/>
      <c r="BD40" s="394"/>
      <c r="BE40" s="394"/>
      <c r="BF40" s="394"/>
      <c r="BG40" s="394"/>
      <c r="BH40" s="394"/>
      <c r="BI40" s="394"/>
      <c r="BJ40" s="394"/>
      <c r="BK40" s="394"/>
      <c r="BL40" s="394"/>
      <c r="BM40" s="394"/>
      <c r="BN40" s="394"/>
      <c r="BO40" s="394"/>
      <c r="BP40" s="394"/>
      <c r="BQ40" s="394"/>
      <c r="BR40" s="394"/>
      <c r="BS40" s="394"/>
      <c r="BT40" s="394"/>
      <c r="BU40" s="394"/>
      <c r="BV40" s="394"/>
      <c r="BW40" s="394"/>
      <c r="BX40" s="394"/>
      <c r="BY40" s="394"/>
      <c r="BZ40" s="394"/>
      <c r="CA40" s="394"/>
      <c r="CB40" s="394"/>
      <c r="CC40" s="394"/>
      <c r="CD40" s="394"/>
      <c r="CE40" s="394"/>
      <c r="CF40" s="394"/>
      <c r="CG40" s="394"/>
      <c r="CH40" s="394"/>
      <c r="CI40" s="394"/>
      <c r="CJ40" s="394"/>
      <c r="CK40" s="394"/>
      <c r="CL40" s="394"/>
      <c r="CM40" s="394"/>
      <c r="CN40" s="394"/>
      <c r="CO40" s="394"/>
      <c r="CP40" s="394"/>
      <c r="CQ40" s="394"/>
      <c r="CR40" s="394"/>
      <c r="CS40" s="394"/>
      <c r="CT40" s="394"/>
      <c r="CU40" s="394"/>
      <c r="CV40" s="394"/>
      <c r="CW40" s="394"/>
      <c r="CX40" s="394"/>
      <c r="CY40" s="394"/>
      <c r="CZ40" s="394"/>
      <c r="DA40" s="394"/>
      <c r="DB40" s="394"/>
      <c r="DC40" s="394"/>
      <c r="DD40" s="394"/>
      <c r="DE40" s="394"/>
      <c r="DF40" s="394"/>
      <c r="DG40" s="394"/>
      <c r="DH40" s="394"/>
      <c r="DI40" s="394"/>
      <c r="DJ40" s="394"/>
      <c r="DK40" s="394"/>
      <c r="DL40" s="394"/>
      <c r="DM40" s="394"/>
      <c r="DN40" s="394"/>
      <c r="DO40" s="394"/>
      <c r="DP40" s="394"/>
      <c r="DQ40" s="394"/>
      <c r="DR40" s="394"/>
      <c r="DS40" s="394"/>
      <c r="DT40" s="394"/>
      <c r="DU40" s="394"/>
      <c r="DV40" s="394"/>
      <c r="DW40" s="394"/>
      <c r="DX40" s="394"/>
      <c r="DY40" s="394"/>
      <c r="DZ40" s="394"/>
      <c r="EA40" s="394"/>
      <c r="EB40" s="394"/>
      <c r="EC40" s="394"/>
      <c r="ED40" s="394"/>
      <c r="EE40" s="394"/>
      <c r="EF40" s="394"/>
      <c r="EG40" s="394"/>
      <c r="EH40" s="394"/>
      <c r="EI40" s="394"/>
      <c r="EJ40" s="394"/>
      <c r="EK40" s="394"/>
      <c r="EL40" s="394"/>
      <c r="EM40" s="394"/>
      <c r="EN40" s="394"/>
      <c r="EO40" s="394"/>
      <c r="EP40" s="394"/>
      <c r="EQ40" s="394"/>
      <c r="ER40" s="394"/>
      <c r="ES40" s="394"/>
      <c r="ET40" s="394"/>
      <c r="EU40" s="394"/>
      <c r="EV40" s="394"/>
      <c r="EW40" s="394"/>
      <c r="EX40" s="394"/>
      <c r="EY40" s="394"/>
      <c r="EZ40" s="394"/>
      <c r="FA40" s="394"/>
      <c r="FB40" s="394"/>
      <c r="FC40" s="394"/>
      <c r="FD40" s="394"/>
      <c r="FE40" s="394"/>
      <c r="FF40" s="394"/>
      <c r="FG40" s="394"/>
      <c r="FH40" s="394"/>
      <c r="FI40" s="394"/>
      <c r="FJ40" s="394"/>
      <c r="FK40" s="394"/>
      <c r="FL40" s="394"/>
      <c r="FM40" s="394"/>
      <c r="FN40" s="394"/>
      <c r="FO40" s="394"/>
      <c r="FP40" s="394"/>
      <c r="FQ40" s="394"/>
      <c r="FR40" s="394"/>
      <c r="FS40" s="394"/>
      <c r="FT40" s="394"/>
      <c r="FU40" s="394"/>
      <c r="FV40" s="394"/>
      <c r="FW40" s="394"/>
      <c r="FX40" s="394"/>
      <c r="FY40" s="394"/>
      <c r="FZ40" s="394"/>
      <c r="GA40" s="394"/>
      <c r="GB40" s="394"/>
      <c r="GC40" s="394"/>
      <c r="GD40" s="394"/>
      <c r="GE40" s="394"/>
      <c r="GF40" s="394"/>
      <c r="GG40" s="394"/>
      <c r="GH40" s="394"/>
      <c r="GI40" s="394"/>
      <c r="GJ40" s="394"/>
      <c r="GK40" s="394"/>
      <c r="GL40" s="394"/>
      <c r="GM40" s="394"/>
      <c r="GN40" s="394"/>
      <c r="GO40" s="394"/>
      <c r="GP40" s="394"/>
      <c r="GQ40" s="394"/>
      <c r="GR40" s="394"/>
      <c r="GS40" s="394"/>
      <c r="GT40" s="394"/>
      <c r="GU40" s="394"/>
      <c r="GV40" s="394"/>
      <c r="GW40" s="394"/>
      <c r="GX40" s="394"/>
      <c r="GY40" s="394"/>
      <c r="GZ40" s="394"/>
      <c r="HA40" s="394"/>
      <c r="HB40" s="394"/>
      <c r="HC40" s="394"/>
      <c r="HD40" s="394"/>
      <c r="HE40" s="394"/>
      <c r="HF40" s="394"/>
      <c r="HG40" s="394"/>
      <c r="HH40" s="394"/>
      <c r="HI40" s="394"/>
      <c r="HJ40" s="394"/>
      <c r="HK40" s="394"/>
      <c r="HL40" s="394"/>
      <c r="HM40" s="394"/>
      <c r="HN40" s="394"/>
      <c r="HO40" s="394"/>
      <c r="HP40" s="394"/>
      <c r="HQ40" s="394"/>
      <c r="HR40" s="394"/>
      <c r="HS40" s="394"/>
      <c r="HT40" s="394"/>
      <c r="HU40" s="394"/>
      <c r="HV40" s="394"/>
      <c r="HW40" s="394"/>
      <c r="HX40" s="394"/>
      <c r="HY40" s="394"/>
      <c r="HZ40" s="394"/>
      <c r="IA40" s="394"/>
      <c r="IB40" s="394"/>
      <c r="IC40" s="394"/>
      <c r="ID40" s="394"/>
      <c r="IE40" s="394"/>
      <c r="IF40" s="394"/>
      <c r="IG40" s="394"/>
      <c r="IH40" s="394"/>
      <c r="II40" s="394"/>
      <c r="IJ40" s="394"/>
      <c r="IK40" s="394"/>
      <c r="IL40" s="394"/>
      <c r="IM40" s="394"/>
      <c r="IN40" s="394"/>
      <c r="IO40" s="394"/>
      <c r="IP40" s="394"/>
      <c r="IQ40" s="394"/>
      <c r="IR40" s="394"/>
      <c r="IS40" s="394"/>
      <c r="IT40" s="394"/>
      <c r="IU40" s="394"/>
      <c r="IV40" s="394"/>
      <c r="IW40" s="394"/>
      <c r="IX40" s="394"/>
      <c r="IY40" s="394"/>
      <c r="IZ40" s="394"/>
      <c r="JA40" s="394"/>
      <c r="JB40" s="394"/>
      <c r="JC40" s="394"/>
      <c r="JD40" s="394"/>
      <c r="JE40" s="394"/>
      <c r="JF40" s="394"/>
      <c r="JG40" s="394"/>
      <c r="JH40" s="394"/>
      <c r="JI40" s="394"/>
      <c r="JJ40" s="394"/>
      <c r="JK40" s="394"/>
      <c r="JL40" s="394"/>
      <c r="JM40" s="394"/>
      <c r="JN40" s="394"/>
      <c r="JO40" s="394"/>
      <c r="JP40" s="394"/>
      <c r="JQ40" s="394"/>
      <c r="JR40" s="394"/>
      <c r="JS40" s="394"/>
      <c r="JT40" s="394"/>
      <c r="JU40" s="394"/>
      <c r="JV40" s="394"/>
      <c r="JW40" s="394"/>
      <c r="JX40" s="394"/>
      <c r="JY40" s="394"/>
      <c r="JZ40" s="394"/>
      <c r="KA40" s="394"/>
      <c r="KB40" s="394"/>
      <c r="KC40" s="394"/>
      <c r="KD40" s="394"/>
      <c r="KE40" s="394"/>
      <c r="KF40" s="394"/>
      <c r="KG40" s="394"/>
      <c r="KH40" s="394"/>
      <c r="KI40" s="394"/>
      <c r="KJ40" s="394"/>
      <c r="KK40" s="394"/>
      <c r="KL40" s="394"/>
      <c r="KM40" s="394"/>
      <c r="KN40" s="394"/>
      <c r="KO40" s="394"/>
      <c r="KP40" s="394"/>
      <c r="KQ40" s="394"/>
      <c r="KR40" s="394"/>
      <c r="KS40" s="394"/>
      <c r="KT40" s="394"/>
      <c r="KU40" s="394"/>
      <c r="KV40" s="394"/>
      <c r="KW40" s="394"/>
      <c r="KX40" s="394"/>
      <c r="KY40" s="394"/>
      <c r="KZ40" s="394"/>
      <c r="LA40" s="394"/>
      <c r="LB40" s="394"/>
      <c r="LC40" s="394"/>
      <c r="LD40" s="394"/>
      <c r="LE40" s="394"/>
      <c r="LF40" s="394"/>
      <c r="LG40" s="394"/>
      <c r="LH40" s="394"/>
      <c r="LI40" s="394"/>
      <c r="LJ40" s="394"/>
      <c r="LK40" s="394"/>
      <c r="LL40" s="394"/>
      <c r="LM40" s="394"/>
      <c r="LN40" s="394"/>
      <c r="LO40" s="394"/>
      <c r="LP40" s="394"/>
      <c r="LQ40" s="394"/>
      <c r="LR40" s="394"/>
      <c r="LS40" s="394"/>
      <c r="LT40" s="394"/>
      <c r="LU40" s="394"/>
      <c r="LV40" s="394"/>
      <c r="LW40" s="394"/>
      <c r="LX40" s="394"/>
      <c r="LY40" s="394"/>
      <c r="LZ40" s="394"/>
      <c r="MA40" s="394"/>
      <c r="MB40" s="394"/>
      <c r="MC40" s="394"/>
      <c r="MD40" s="394"/>
      <c r="ME40" s="394"/>
      <c r="MF40" s="394"/>
      <c r="MG40" s="394"/>
      <c r="MH40" s="394"/>
      <c r="MI40" s="394"/>
      <c r="MJ40" s="394"/>
      <c r="MK40" s="394"/>
      <c r="ML40" s="394"/>
      <c r="MM40" s="394"/>
      <c r="MN40" s="394"/>
      <c r="MO40" s="394"/>
      <c r="MP40" s="394"/>
      <c r="MQ40" s="394"/>
      <c r="MR40" s="394"/>
      <c r="MS40" s="394"/>
      <c r="MT40" s="394"/>
      <c r="MU40" s="394"/>
      <c r="MV40" s="394"/>
      <c r="MW40" s="394"/>
      <c r="MX40" s="394"/>
      <c r="MY40" s="394"/>
      <c r="MZ40" s="394"/>
      <c r="NA40" s="394"/>
      <c r="NB40" s="394"/>
      <c r="NC40" s="394"/>
      <c r="ND40" s="394"/>
      <c r="NE40" s="394"/>
      <c r="NF40" s="394"/>
      <c r="NG40" s="394"/>
      <c r="NH40" s="394"/>
      <c r="NI40" s="394"/>
      <c r="NJ40" s="394"/>
      <c r="NK40" s="394"/>
      <c r="NL40" s="394"/>
      <c r="NM40" s="394"/>
      <c r="NN40" s="394"/>
      <c r="NO40" s="394"/>
      <c r="NP40" s="394"/>
      <c r="NQ40" s="394"/>
      <c r="NR40" s="394"/>
      <c r="NS40" s="394"/>
      <c r="NT40" s="394"/>
      <c r="NU40" s="394"/>
      <c r="NV40" s="394"/>
      <c r="NW40" s="394"/>
      <c r="NX40" s="394"/>
      <c r="NY40" s="394"/>
      <c r="NZ40" s="394"/>
      <c r="OA40" s="394"/>
      <c r="OB40" s="394"/>
      <c r="OC40" s="394"/>
      <c r="OD40" s="394"/>
      <c r="OE40" s="394"/>
      <c r="OF40" s="394"/>
      <c r="OG40" s="394"/>
      <c r="OH40" s="394"/>
      <c r="OI40" s="394"/>
      <c r="OJ40" s="394"/>
      <c r="OK40" s="394"/>
      <c r="OL40" s="394"/>
      <c r="OM40" s="394"/>
      <c r="ON40" s="394"/>
      <c r="OO40" s="394"/>
      <c r="OP40" s="394"/>
      <c r="OQ40" s="394"/>
      <c r="OR40" s="394"/>
      <c r="OS40" s="394"/>
      <c r="OT40" s="394"/>
      <c r="OU40" s="394"/>
      <c r="OV40" s="394"/>
      <c r="OW40" s="394"/>
      <c r="OX40" s="394"/>
      <c r="OY40" s="394"/>
      <c r="OZ40" s="394"/>
      <c r="PA40" s="394"/>
      <c r="PB40" s="394"/>
      <c r="PC40" s="394"/>
      <c r="PD40" s="394"/>
      <c r="PE40" s="394"/>
      <c r="PF40" s="394"/>
      <c r="PG40" s="394"/>
      <c r="PH40" s="394"/>
      <c r="PI40" s="394"/>
      <c r="PJ40" s="394"/>
      <c r="PK40" s="394"/>
      <c r="PL40" s="394"/>
      <c r="PM40" s="394"/>
      <c r="PN40" s="394"/>
      <c r="PO40" s="394"/>
      <c r="PP40" s="394"/>
      <c r="PQ40" s="394"/>
      <c r="PR40" s="394"/>
      <c r="PS40" s="394"/>
      <c r="PT40" s="394"/>
      <c r="PU40" s="394"/>
      <c r="PV40" s="394"/>
      <c r="PW40" s="394"/>
      <c r="PX40" s="394"/>
      <c r="PY40" s="394"/>
      <c r="PZ40" s="394"/>
      <c r="QA40" s="394"/>
      <c r="QB40" s="394"/>
      <c r="QC40" s="394"/>
      <c r="QD40" s="394"/>
      <c r="QE40" s="394"/>
      <c r="QF40" s="394"/>
      <c r="QG40" s="394"/>
      <c r="QH40" s="394"/>
      <c r="QI40" s="394"/>
      <c r="QJ40" s="394"/>
      <c r="QK40" s="394"/>
      <c r="QL40" s="394"/>
      <c r="QM40" s="394"/>
      <c r="QN40" s="394"/>
      <c r="QO40" s="394"/>
      <c r="QP40" s="394"/>
      <c r="QQ40" s="394"/>
      <c r="QR40" s="394"/>
      <c r="QS40" s="394"/>
      <c r="QT40" s="394"/>
      <c r="QU40" s="394"/>
      <c r="QV40" s="394"/>
      <c r="QW40" s="394"/>
      <c r="QX40" s="394"/>
      <c r="QY40" s="394"/>
      <c r="QZ40" s="394"/>
      <c r="RA40" s="394"/>
      <c r="RB40" s="394"/>
      <c r="RC40" s="394"/>
      <c r="RD40" s="394"/>
      <c r="RE40" s="394"/>
      <c r="RF40" s="394"/>
      <c r="RG40" s="394"/>
      <c r="RH40" s="394"/>
      <c r="RI40" s="394"/>
      <c r="RJ40" s="394"/>
      <c r="RK40" s="394"/>
      <c r="RL40" s="394"/>
      <c r="RM40" s="394"/>
      <c r="RN40" s="394"/>
      <c r="RO40" s="394"/>
      <c r="RP40" s="394"/>
      <c r="RQ40" s="394"/>
      <c r="RR40" s="394"/>
      <c r="RS40" s="394"/>
      <c r="RT40" s="394"/>
      <c r="RU40" s="394"/>
      <c r="RV40" s="394"/>
      <c r="RW40" s="394"/>
      <c r="RX40" s="394"/>
      <c r="RY40" s="394"/>
      <c r="RZ40" s="394"/>
      <c r="SA40" s="394"/>
      <c r="SB40" s="394"/>
      <c r="SC40" s="394"/>
      <c r="SD40" s="394"/>
      <c r="SE40" s="394"/>
      <c r="SF40" s="394"/>
      <c r="SG40" s="394"/>
      <c r="SH40" s="394"/>
      <c r="SI40" s="394"/>
      <c r="SJ40" s="394"/>
      <c r="SK40" s="394"/>
      <c r="SL40" s="394"/>
      <c r="SM40" s="394"/>
      <c r="SN40" s="394"/>
      <c r="SO40" s="394"/>
      <c r="SP40" s="394"/>
      <c r="SQ40" s="394"/>
      <c r="SR40" s="394"/>
      <c r="SS40" s="394"/>
      <c r="ST40" s="394"/>
      <c r="SU40" s="394"/>
      <c r="SV40" s="394"/>
      <c r="SW40" s="394"/>
      <c r="SX40" s="394"/>
      <c r="SY40" s="394"/>
      <c r="SZ40" s="394"/>
      <c r="TA40" s="394"/>
      <c r="TB40" s="394"/>
      <c r="TC40" s="394"/>
      <c r="TD40" s="394"/>
      <c r="TE40" s="394"/>
      <c r="TF40" s="394"/>
      <c r="TG40" s="394"/>
      <c r="TH40" s="394"/>
      <c r="TI40" s="394"/>
      <c r="TJ40" s="394"/>
      <c r="TK40" s="394"/>
      <c r="TL40" s="394"/>
      <c r="TM40" s="394"/>
      <c r="TN40" s="394"/>
      <c r="TO40" s="394"/>
      <c r="TP40" s="394"/>
      <c r="TQ40" s="394"/>
      <c r="TR40" s="394"/>
      <c r="TS40" s="394"/>
      <c r="TT40" s="394"/>
      <c r="TU40" s="394"/>
      <c r="TV40" s="394"/>
      <c r="TW40" s="394"/>
      <c r="TX40" s="394"/>
      <c r="TY40" s="394"/>
      <c r="TZ40" s="394"/>
      <c r="UA40" s="394"/>
      <c r="UB40" s="394"/>
      <c r="UC40" s="394"/>
      <c r="UD40" s="394"/>
      <c r="UE40" s="394"/>
      <c r="UF40" s="394"/>
      <c r="UG40" s="394"/>
      <c r="UH40" s="394"/>
      <c r="UI40" s="394"/>
      <c r="UJ40" s="394"/>
      <c r="UK40" s="394"/>
      <c r="UL40" s="394"/>
      <c r="UM40" s="394"/>
      <c r="UN40" s="394"/>
      <c r="UO40" s="394"/>
      <c r="UP40" s="394"/>
      <c r="UQ40" s="394"/>
      <c r="UR40" s="394"/>
      <c r="US40" s="394"/>
      <c r="UT40" s="394"/>
      <c r="UU40" s="394"/>
      <c r="UV40" s="394"/>
      <c r="UW40" s="394"/>
      <c r="UX40" s="394"/>
      <c r="UY40" s="394"/>
      <c r="UZ40" s="394"/>
      <c r="VA40" s="394"/>
      <c r="VB40" s="394"/>
      <c r="VC40" s="394"/>
      <c r="VD40" s="394"/>
      <c r="VE40" s="394"/>
      <c r="VF40" s="394"/>
      <c r="VG40" s="394"/>
      <c r="VH40" s="394"/>
      <c r="VI40" s="394"/>
      <c r="VJ40" s="394"/>
      <c r="VK40" s="394"/>
      <c r="VL40" s="394"/>
      <c r="VM40" s="394"/>
      <c r="VN40" s="394"/>
      <c r="VO40" s="394"/>
      <c r="VP40" s="394"/>
      <c r="VQ40" s="394"/>
      <c r="VR40" s="394"/>
      <c r="VS40" s="394"/>
      <c r="VT40" s="394"/>
      <c r="VU40" s="394"/>
      <c r="VV40" s="394"/>
      <c r="VW40" s="394"/>
      <c r="VX40" s="394"/>
      <c r="VY40" s="394"/>
      <c r="VZ40" s="394"/>
      <c r="WA40" s="394"/>
      <c r="WB40" s="394"/>
      <c r="WC40" s="394"/>
      <c r="WD40" s="394"/>
      <c r="WE40" s="394"/>
      <c r="WF40" s="394"/>
      <c r="WG40" s="394"/>
      <c r="WH40" s="394"/>
      <c r="WI40" s="394"/>
      <c r="WJ40" s="394"/>
      <c r="WK40" s="394"/>
      <c r="WL40" s="394"/>
      <c r="WM40" s="394"/>
      <c r="WN40" s="394"/>
      <c r="WO40" s="394"/>
      <c r="WP40" s="394"/>
      <c r="WQ40" s="394"/>
      <c r="WR40" s="394"/>
      <c r="WS40" s="394"/>
      <c r="WT40" s="394"/>
      <c r="WU40" s="394"/>
      <c r="WV40" s="394"/>
      <c r="WW40" s="394"/>
      <c r="WX40" s="394"/>
      <c r="WY40" s="394"/>
      <c r="WZ40" s="394"/>
      <c r="XA40" s="394"/>
      <c r="XB40" s="394"/>
      <c r="XC40" s="394"/>
      <c r="XD40" s="394"/>
      <c r="XE40" s="394"/>
      <c r="XF40" s="394"/>
      <c r="XG40" s="394"/>
      <c r="XH40" s="394"/>
      <c r="XI40" s="394"/>
      <c r="XJ40" s="394"/>
      <c r="XK40" s="394"/>
      <c r="XL40" s="394"/>
      <c r="XM40" s="394"/>
      <c r="XN40" s="394"/>
      <c r="XO40" s="394"/>
      <c r="XP40" s="394"/>
      <c r="XQ40" s="394"/>
      <c r="XR40" s="394"/>
      <c r="XS40" s="394"/>
      <c r="XT40" s="394"/>
      <c r="XU40" s="394"/>
      <c r="XV40" s="394"/>
      <c r="XW40" s="394"/>
      <c r="XX40" s="394"/>
      <c r="XY40" s="394"/>
      <c r="XZ40" s="394"/>
      <c r="YA40" s="394"/>
      <c r="YB40" s="394"/>
      <c r="YC40" s="394"/>
      <c r="YD40" s="394"/>
      <c r="YE40" s="394"/>
      <c r="YF40" s="394"/>
      <c r="YG40" s="394"/>
      <c r="YH40" s="394"/>
      <c r="YI40" s="394"/>
      <c r="YJ40" s="394"/>
      <c r="YK40" s="394"/>
      <c r="YL40" s="394"/>
      <c r="YM40" s="394"/>
      <c r="YN40" s="394"/>
      <c r="YO40" s="394"/>
      <c r="YP40" s="394"/>
      <c r="YQ40" s="394"/>
      <c r="YR40" s="394"/>
      <c r="YS40" s="394"/>
      <c r="YT40" s="394"/>
      <c r="YU40" s="394"/>
      <c r="YV40" s="394"/>
      <c r="YW40" s="394"/>
      <c r="YX40" s="394"/>
      <c r="YY40" s="394"/>
      <c r="YZ40" s="394"/>
      <c r="ZA40" s="394"/>
      <c r="ZB40" s="394"/>
      <c r="ZC40" s="394"/>
      <c r="ZD40" s="394"/>
      <c r="ZE40" s="394"/>
      <c r="ZF40" s="394"/>
      <c r="ZG40" s="394"/>
      <c r="ZH40" s="394"/>
      <c r="ZI40" s="394"/>
      <c r="ZJ40" s="394"/>
      <c r="ZK40" s="394"/>
      <c r="ZL40" s="394"/>
      <c r="ZM40" s="394"/>
      <c r="ZN40" s="394"/>
      <c r="ZO40" s="394"/>
      <c r="ZP40" s="394"/>
      <c r="ZQ40" s="394"/>
      <c r="ZR40" s="394"/>
      <c r="ZS40" s="394"/>
      <c r="ZT40" s="394"/>
      <c r="ZU40" s="394"/>
      <c r="ZV40" s="394"/>
      <c r="ZW40" s="394"/>
      <c r="ZX40" s="394"/>
      <c r="ZY40" s="394"/>
      <c r="ZZ40" s="394"/>
      <c r="AAA40" s="394"/>
      <c r="AAB40" s="394"/>
      <c r="AAC40" s="394"/>
      <c r="AAD40" s="394"/>
      <c r="AAE40" s="394"/>
      <c r="AAF40" s="394"/>
      <c r="AAG40" s="394"/>
      <c r="AAH40" s="394"/>
      <c r="AAI40" s="394"/>
      <c r="AAJ40" s="394"/>
      <c r="AAK40" s="394"/>
      <c r="AAL40" s="394"/>
      <c r="AAM40" s="394"/>
      <c r="AAN40" s="394"/>
      <c r="AAO40" s="394"/>
      <c r="AAP40" s="394"/>
      <c r="AAQ40" s="394"/>
      <c r="AAR40" s="394"/>
      <c r="AAS40" s="394"/>
      <c r="AAT40" s="394"/>
      <c r="AAU40" s="394"/>
      <c r="AAV40" s="394"/>
      <c r="AAW40" s="394"/>
      <c r="AAX40" s="394"/>
      <c r="AAY40" s="394"/>
      <c r="AAZ40" s="394"/>
      <c r="ABA40" s="394"/>
      <c r="ABB40" s="394"/>
      <c r="ABC40" s="394"/>
      <c r="ABD40" s="394"/>
      <c r="ABE40" s="394"/>
      <c r="ABF40" s="394"/>
      <c r="ABG40" s="394"/>
      <c r="ABH40" s="394"/>
      <c r="ABI40" s="394"/>
      <c r="ABJ40" s="394"/>
      <c r="ABK40" s="394"/>
      <c r="ABL40" s="394"/>
      <c r="ABM40" s="394"/>
      <c r="ABN40" s="394"/>
      <c r="ABO40" s="394"/>
      <c r="ABP40" s="394"/>
      <c r="ABQ40" s="394"/>
      <c r="ABR40" s="394"/>
      <c r="ABS40" s="394"/>
      <c r="ABT40" s="394"/>
      <c r="ABU40" s="394"/>
      <c r="ABV40" s="394"/>
      <c r="ABW40" s="394"/>
      <c r="ABX40" s="394"/>
      <c r="ABY40" s="394"/>
      <c r="ABZ40" s="394"/>
      <c r="ACA40" s="394"/>
      <c r="ACB40" s="394"/>
      <c r="ACC40" s="394"/>
      <c r="ACD40" s="394"/>
      <c r="ACE40" s="394"/>
      <c r="ACF40" s="394"/>
      <c r="ACG40" s="394"/>
      <c r="ACH40" s="394"/>
      <c r="ACI40" s="394"/>
      <c r="ACJ40" s="394"/>
      <c r="ACK40" s="394"/>
      <c r="ACL40" s="394"/>
      <c r="ACM40" s="394"/>
      <c r="ACN40" s="394"/>
      <c r="ACO40" s="394"/>
      <c r="ACP40" s="394"/>
      <c r="ACQ40" s="394"/>
      <c r="ACR40" s="394"/>
      <c r="ACS40" s="394"/>
      <c r="ACT40" s="394"/>
      <c r="ACU40" s="394"/>
      <c r="ACV40" s="394"/>
      <c r="ACW40" s="394"/>
      <c r="ACX40" s="394"/>
      <c r="ACY40" s="394"/>
      <c r="ACZ40" s="394"/>
      <c r="ADA40" s="394"/>
      <c r="ADB40" s="394"/>
      <c r="ADC40" s="394"/>
      <c r="ADD40" s="394"/>
      <c r="ADE40" s="394"/>
      <c r="ADF40" s="394"/>
      <c r="ADG40" s="394"/>
      <c r="ADH40" s="394"/>
      <c r="ADI40" s="394"/>
      <c r="ADJ40" s="394"/>
      <c r="ADK40" s="394"/>
      <c r="ADL40" s="394"/>
      <c r="ADM40" s="394"/>
      <c r="ADN40" s="394"/>
      <c r="ADO40" s="394"/>
      <c r="ADP40" s="394"/>
      <c r="ADQ40" s="394"/>
      <c r="ADR40" s="394"/>
      <c r="ADS40" s="394"/>
      <c r="ADT40" s="394"/>
      <c r="ADU40" s="394"/>
      <c r="ADV40" s="394"/>
      <c r="ADW40" s="394"/>
      <c r="ADX40" s="394"/>
      <c r="ADY40" s="394"/>
      <c r="ADZ40" s="394"/>
      <c r="AEA40" s="394"/>
      <c r="AEB40" s="394"/>
      <c r="AEC40" s="394"/>
      <c r="AED40" s="394"/>
      <c r="AEE40" s="394"/>
      <c r="AEF40" s="394"/>
      <c r="AEG40" s="394"/>
      <c r="AEH40" s="394"/>
      <c r="AEI40" s="394"/>
      <c r="AEJ40" s="394"/>
      <c r="AEK40" s="394"/>
      <c r="AEL40" s="394"/>
      <c r="AEM40" s="394"/>
      <c r="AEN40" s="394"/>
      <c r="AEO40" s="394"/>
      <c r="AEP40" s="394"/>
      <c r="AEQ40" s="394"/>
      <c r="AER40" s="394"/>
      <c r="AES40" s="394"/>
      <c r="AET40" s="394"/>
      <c r="AEU40" s="394"/>
      <c r="AEV40" s="394"/>
      <c r="AEW40" s="394"/>
      <c r="AEX40" s="394"/>
      <c r="AEY40" s="394"/>
      <c r="AEZ40" s="394"/>
      <c r="AFA40" s="394"/>
      <c r="AFB40" s="394"/>
      <c r="AFC40" s="394"/>
      <c r="AFD40" s="394"/>
      <c r="AFE40" s="394"/>
      <c r="AFF40" s="394"/>
      <c r="AFG40" s="394"/>
      <c r="AFH40" s="394"/>
      <c r="AFI40" s="394"/>
      <c r="AFJ40" s="394"/>
      <c r="AFK40" s="394"/>
      <c r="AFL40" s="394"/>
      <c r="AFM40" s="394"/>
      <c r="AFN40" s="394"/>
      <c r="AFO40" s="394"/>
      <c r="AFP40" s="394"/>
      <c r="AFQ40" s="394"/>
      <c r="AFR40" s="394"/>
      <c r="AFS40" s="394"/>
      <c r="AFT40" s="394"/>
      <c r="AFU40" s="394"/>
      <c r="AFV40" s="394"/>
      <c r="AFW40" s="394"/>
      <c r="AFX40" s="394"/>
      <c r="AFY40" s="394"/>
      <c r="AFZ40" s="394"/>
      <c r="AGA40" s="394"/>
      <c r="AGB40" s="394"/>
      <c r="AGC40" s="394"/>
      <c r="AGD40" s="394"/>
      <c r="AGE40" s="394"/>
      <c r="AGF40" s="394"/>
      <c r="AGG40" s="394"/>
      <c r="AGH40" s="394"/>
      <c r="AGI40" s="394"/>
      <c r="AGJ40" s="394"/>
      <c r="AGK40" s="394"/>
      <c r="AGL40" s="394"/>
      <c r="AGM40" s="394"/>
      <c r="AGN40" s="394"/>
      <c r="AGO40" s="394"/>
      <c r="AGP40" s="394"/>
      <c r="AGQ40" s="394"/>
      <c r="AGR40" s="394"/>
      <c r="AGS40" s="394"/>
      <c r="AGT40" s="394"/>
      <c r="AGU40" s="394"/>
      <c r="AGV40" s="394"/>
      <c r="AGW40" s="394"/>
      <c r="AGX40" s="394"/>
      <c r="AGY40" s="394"/>
      <c r="AGZ40" s="394"/>
      <c r="AHA40" s="394"/>
      <c r="AHB40" s="394"/>
      <c r="AHC40" s="394"/>
      <c r="AHD40" s="394"/>
      <c r="AHE40" s="394"/>
      <c r="AHF40" s="394"/>
      <c r="AHG40" s="394"/>
      <c r="AHH40" s="394"/>
      <c r="AHI40" s="394"/>
      <c r="AHJ40" s="394"/>
      <c r="AHK40" s="394"/>
      <c r="AHL40" s="394"/>
      <c r="AHM40" s="394"/>
      <c r="AHN40" s="394"/>
      <c r="AHO40" s="394"/>
      <c r="AHP40" s="394"/>
      <c r="AHQ40" s="394"/>
      <c r="AHR40" s="394"/>
      <c r="AHS40" s="394"/>
      <c r="AHT40" s="394"/>
      <c r="AHU40" s="394"/>
      <c r="AHV40" s="394"/>
      <c r="AHW40" s="394"/>
      <c r="AHX40" s="394"/>
      <c r="AHY40" s="394"/>
      <c r="AHZ40" s="394"/>
      <c r="AIA40" s="394"/>
      <c r="AIB40" s="394"/>
      <c r="AIC40" s="394"/>
      <c r="AID40" s="394"/>
      <c r="AIE40" s="394"/>
      <c r="AIF40" s="394"/>
      <c r="AIG40" s="394"/>
      <c r="AIH40" s="394"/>
      <c r="AII40" s="394"/>
      <c r="AIJ40" s="394"/>
      <c r="AIK40" s="394"/>
      <c r="AIL40" s="394"/>
      <c r="AIM40" s="394"/>
      <c r="AIN40" s="394"/>
      <c r="AIO40" s="394"/>
      <c r="AIP40" s="394"/>
      <c r="AIQ40" s="394"/>
      <c r="AIR40" s="394"/>
      <c r="AIS40" s="394"/>
      <c r="AIT40" s="394"/>
      <c r="AIU40" s="394"/>
      <c r="AIV40" s="394"/>
      <c r="AIW40" s="394"/>
      <c r="AIX40" s="394"/>
      <c r="AIY40" s="394"/>
      <c r="AIZ40" s="394"/>
      <c r="AJA40" s="394"/>
      <c r="AJB40" s="394"/>
      <c r="AJC40" s="394"/>
      <c r="AJD40" s="394"/>
      <c r="AJE40" s="394"/>
      <c r="AJF40" s="394"/>
      <c r="AJG40" s="394"/>
      <c r="AJH40" s="394"/>
      <c r="AJI40" s="394"/>
      <c r="AJJ40" s="394"/>
      <c r="AJK40" s="394"/>
      <c r="AJL40" s="394"/>
      <c r="AJM40" s="394"/>
      <c r="AJN40" s="394"/>
      <c r="AJO40" s="394"/>
      <c r="AJP40" s="394"/>
      <c r="AJQ40" s="394"/>
      <c r="AJR40" s="394"/>
      <c r="AJS40" s="394"/>
      <c r="AJT40" s="394"/>
      <c r="AJU40" s="394"/>
      <c r="AJV40" s="394"/>
      <c r="AJW40" s="394"/>
      <c r="AJX40" s="394"/>
      <c r="AJY40" s="394"/>
      <c r="AJZ40" s="394"/>
      <c r="AKA40" s="394"/>
      <c r="AKB40" s="394"/>
      <c r="AKC40" s="394"/>
      <c r="AKD40" s="394"/>
      <c r="AKE40" s="394"/>
      <c r="AKF40" s="394"/>
      <c r="AKG40" s="394"/>
      <c r="AKH40" s="394"/>
      <c r="AKI40" s="394"/>
      <c r="AKJ40" s="394"/>
      <c r="AKK40" s="394"/>
      <c r="AKL40" s="394"/>
      <c r="AKM40" s="394"/>
      <c r="AKN40" s="394"/>
      <c r="AKO40" s="394"/>
      <c r="AKP40" s="394"/>
      <c r="AKQ40" s="394"/>
      <c r="AKR40" s="394"/>
      <c r="AKS40" s="394"/>
      <c r="AKT40" s="394"/>
      <c r="AKU40" s="394"/>
      <c r="AKV40" s="394"/>
      <c r="AKW40" s="394"/>
      <c r="AKX40" s="394"/>
      <c r="AKY40" s="394"/>
      <c r="AKZ40" s="394"/>
      <c r="ALA40" s="394"/>
      <c r="ALB40" s="394"/>
      <c r="ALC40" s="394"/>
      <c r="ALD40" s="394"/>
      <c r="ALE40" s="394"/>
      <c r="ALF40" s="394"/>
      <c r="ALG40" s="394"/>
      <c r="ALH40" s="394"/>
      <c r="ALI40" s="394"/>
      <c r="ALJ40" s="394"/>
      <c r="ALK40" s="394"/>
      <c r="ALL40" s="394"/>
      <c r="ALM40" s="394"/>
      <c r="ALN40" s="394"/>
      <c r="ALO40" s="394"/>
      <c r="ALP40" s="394"/>
      <c r="ALQ40" s="394"/>
      <c r="ALR40" s="394"/>
      <c r="ALS40" s="394"/>
      <c r="ALT40" s="394"/>
      <c r="ALU40" s="394"/>
      <c r="ALV40" s="394"/>
      <c r="ALW40" s="394"/>
      <c r="ALX40" s="394"/>
      <c r="ALY40" s="394"/>
      <c r="ALZ40" s="394"/>
      <c r="AMA40" s="394"/>
      <c r="AMB40" s="394"/>
      <c r="AMC40" s="394"/>
      <c r="AMD40" s="394"/>
      <c r="AME40" s="394"/>
      <c r="AMF40" s="394"/>
      <c r="AMG40" s="394"/>
      <c r="AMH40" s="394"/>
      <c r="AMI40" s="394"/>
      <c r="AMJ40" s="394"/>
      <c r="AMK40" s="394"/>
      <c r="AML40" s="394"/>
      <c r="AMM40" s="394"/>
      <c r="AMN40" s="394"/>
      <c r="AMO40" s="394"/>
      <c r="AMP40" s="394"/>
      <c r="AMQ40" s="394"/>
      <c r="AMR40" s="394"/>
      <c r="AMS40" s="394"/>
      <c r="AMT40" s="394"/>
      <c r="AMU40" s="394"/>
      <c r="AMV40" s="394"/>
      <c r="AMW40" s="394"/>
      <c r="AMX40" s="394"/>
      <c r="AMY40" s="394"/>
      <c r="AMZ40" s="394"/>
      <c r="ANA40" s="394"/>
      <c r="ANB40" s="394"/>
      <c r="ANC40" s="394"/>
      <c r="AND40" s="394"/>
      <c r="ANE40" s="394"/>
      <c r="ANF40" s="394"/>
      <c r="ANG40" s="394"/>
      <c r="ANH40" s="394"/>
      <c r="ANI40" s="394"/>
      <c r="ANJ40" s="394"/>
      <c r="ANK40" s="394"/>
      <c r="ANL40" s="394"/>
      <c r="ANM40" s="394"/>
      <c r="ANN40" s="394"/>
      <c r="ANO40" s="394"/>
      <c r="ANP40" s="394"/>
      <c r="ANQ40" s="394"/>
      <c r="ANR40" s="394"/>
      <c r="ANS40" s="394"/>
      <c r="ANT40" s="394"/>
      <c r="ANU40" s="394"/>
      <c r="ANV40" s="394"/>
      <c r="ANW40" s="394"/>
      <c r="ANX40" s="394"/>
      <c r="ANY40" s="394"/>
      <c r="ANZ40" s="394"/>
      <c r="AOA40" s="394"/>
      <c r="AOB40" s="394"/>
      <c r="AOC40" s="394"/>
      <c r="AOD40" s="394"/>
      <c r="AOE40" s="394"/>
      <c r="AOF40" s="394"/>
      <c r="AOG40" s="394"/>
      <c r="AOH40" s="394"/>
      <c r="AOI40" s="394"/>
      <c r="AOJ40" s="394"/>
      <c r="AOK40" s="394"/>
      <c r="AOL40" s="394"/>
      <c r="AOM40" s="394"/>
      <c r="AON40" s="394"/>
      <c r="AOO40" s="394"/>
      <c r="AOP40" s="394"/>
      <c r="AOQ40" s="394"/>
      <c r="AOR40" s="394"/>
      <c r="AOS40" s="394"/>
      <c r="AOT40" s="394"/>
      <c r="AOU40" s="394"/>
      <c r="AOV40" s="394"/>
      <c r="AOW40" s="394"/>
      <c r="AOX40" s="394"/>
      <c r="AOY40" s="394"/>
      <c r="AOZ40" s="394"/>
      <c r="APA40" s="394"/>
      <c r="APB40" s="394"/>
      <c r="APC40" s="394"/>
      <c r="APD40" s="394"/>
      <c r="APE40" s="394"/>
      <c r="APF40" s="394"/>
      <c r="APG40" s="394"/>
      <c r="APH40" s="394"/>
      <c r="API40" s="394"/>
      <c r="APJ40" s="394"/>
      <c r="APK40" s="394"/>
      <c r="APL40" s="394"/>
      <c r="APM40" s="394"/>
      <c r="APN40" s="394"/>
      <c r="APO40" s="394"/>
      <c r="APP40" s="394"/>
      <c r="APQ40" s="394"/>
      <c r="APR40" s="394"/>
      <c r="APS40" s="394"/>
      <c r="APT40" s="394"/>
      <c r="APU40" s="394"/>
      <c r="APV40" s="394"/>
      <c r="APW40" s="394"/>
      <c r="APX40" s="394"/>
      <c r="APY40" s="394"/>
      <c r="APZ40" s="394"/>
      <c r="AQA40" s="394"/>
      <c r="AQB40" s="394"/>
      <c r="AQC40" s="394"/>
      <c r="AQD40" s="394"/>
      <c r="AQE40" s="394"/>
      <c r="AQF40" s="394"/>
      <c r="AQG40" s="394"/>
      <c r="AQH40" s="394"/>
      <c r="AQI40" s="394"/>
      <c r="AQJ40" s="394"/>
      <c r="AQK40" s="394"/>
      <c r="AQL40" s="394"/>
      <c r="AQM40" s="394"/>
      <c r="AQN40" s="394"/>
      <c r="AQO40" s="394"/>
      <c r="AQP40" s="394"/>
      <c r="AQQ40" s="394"/>
      <c r="AQR40" s="394"/>
      <c r="AQS40" s="394"/>
      <c r="AQT40" s="394"/>
      <c r="AQU40" s="394"/>
      <c r="AQV40" s="394"/>
      <c r="AQW40" s="394"/>
      <c r="AQX40" s="394"/>
      <c r="AQY40" s="394"/>
      <c r="AQZ40" s="394"/>
      <c r="ARA40" s="394"/>
      <c r="ARB40" s="394"/>
      <c r="ARC40" s="394"/>
      <c r="ARD40" s="394"/>
      <c r="ARE40" s="394"/>
      <c r="ARF40" s="394"/>
      <c r="ARG40" s="394"/>
      <c r="ARH40" s="394"/>
      <c r="ARI40" s="394"/>
      <c r="ARJ40" s="394"/>
      <c r="ARK40" s="394"/>
      <c r="ARL40" s="394"/>
      <c r="ARM40" s="394"/>
      <c r="ARN40" s="394"/>
      <c r="ARO40" s="394"/>
      <c r="ARP40" s="394"/>
      <c r="ARQ40" s="394"/>
      <c r="ARR40" s="394"/>
      <c r="ARS40" s="394"/>
      <c r="ART40" s="394"/>
      <c r="ARU40" s="394"/>
      <c r="ARV40" s="394"/>
      <c r="ARW40" s="394"/>
      <c r="ARX40" s="394"/>
      <c r="ARY40" s="394"/>
      <c r="ARZ40" s="394"/>
      <c r="ASA40" s="394"/>
      <c r="ASB40" s="394"/>
      <c r="ASC40" s="394"/>
      <c r="ASD40" s="394"/>
      <c r="ASE40" s="394"/>
      <c r="ASF40" s="394"/>
      <c r="ASG40" s="394"/>
      <c r="ASH40" s="394"/>
      <c r="ASI40" s="394"/>
      <c r="ASJ40" s="394"/>
      <c r="ASK40" s="394"/>
      <c r="ASL40" s="394"/>
      <c r="ASM40" s="394"/>
      <c r="ASN40" s="394"/>
      <c r="ASO40" s="394"/>
      <c r="ASP40" s="394"/>
      <c r="ASQ40" s="394"/>
      <c r="ASR40" s="394"/>
      <c r="ASS40" s="394"/>
      <c r="AST40" s="394"/>
      <c r="ASU40" s="394"/>
      <c r="ASV40" s="394"/>
      <c r="ASW40" s="394"/>
      <c r="ASX40" s="394"/>
      <c r="ASY40" s="394"/>
      <c r="ASZ40" s="394"/>
      <c r="ATA40" s="394"/>
      <c r="ATB40" s="394"/>
      <c r="ATC40" s="394"/>
      <c r="ATD40" s="394"/>
      <c r="ATE40" s="394"/>
      <c r="ATF40" s="394"/>
      <c r="ATG40" s="394"/>
      <c r="ATH40" s="394"/>
      <c r="ATI40" s="394"/>
      <c r="ATJ40" s="394"/>
      <c r="ATK40" s="394"/>
      <c r="ATL40" s="394"/>
      <c r="ATM40" s="394"/>
      <c r="ATN40" s="394"/>
      <c r="ATO40" s="394"/>
      <c r="ATP40" s="394"/>
      <c r="ATQ40" s="394"/>
      <c r="ATR40" s="394"/>
      <c r="ATS40" s="394"/>
      <c r="ATT40" s="394"/>
      <c r="ATU40" s="394"/>
      <c r="ATV40" s="394"/>
      <c r="ATW40" s="394"/>
      <c r="ATX40" s="394"/>
      <c r="ATY40" s="394"/>
      <c r="ATZ40" s="394"/>
      <c r="AUA40" s="394"/>
      <c r="AUB40" s="394"/>
      <c r="AUC40" s="394"/>
      <c r="AUD40" s="394"/>
      <c r="AUE40" s="394"/>
      <c r="AUF40" s="394"/>
      <c r="AUG40" s="394"/>
      <c r="AUH40" s="394"/>
      <c r="AUI40" s="394"/>
      <c r="AUJ40" s="394"/>
      <c r="AUK40" s="394"/>
      <c r="AUL40" s="394"/>
      <c r="AUM40" s="394"/>
      <c r="AUN40" s="394"/>
      <c r="AUO40" s="394"/>
      <c r="AUP40" s="394"/>
      <c r="AUQ40" s="394"/>
      <c r="AUR40" s="394"/>
      <c r="AUS40" s="394"/>
      <c r="AUT40" s="394"/>
      <c r="AUU40" s="394"/>
      <c r="AUV40" s="394"/>
      <c r="AUW40" s="394"/>
      <c r="AUX40" s="394"/>
      <c r="AUY40" s="394"/>
      <c r="AUZ40" s="394"/>
      <c r="AVA40" s="394"/>
      <c r="AVB40" s="394"/>
      <c r="AVC40" s="394"/>
      <c r="AVD40" s="394"/>
      <c r="AVE40" s="394"/>
      <c r="AVF40" s="394"/>
      <c r="AVG40" s="394"/>
      <c r="AVH40" s="394"/>
      <c r="AVI40" s="394"/>
      <c r="AVJ40" s="394"/>
      <c r="AVK40" s="394"/>
      <c r="AVL40" s="394"/>
      <c r="AVM40" s="394"/>
      <c r="AVN40" s="394"/>
      <c r="AVO40" s="394"/>
      <c r="AVP40" s="394"/>
      <c r="AVQ40" s="394"/>
      <c r="AVR40" s="394"/>
      <c r="AVS40" s="394"/>
      <c r="AVT40" s="394"/>
      <c r="AVU40" s="394"/>
      <c r="AVV40" s="394"/>
      <c r="AVW40" s="394"/>
      <c r="AVX40" s="394"/>
      <c r="AVY40" s="394"/>
      <c r="AVZ40" s="394"/>
      <c r="AWA40" s="394"/>
      <c r="AWB40" s="394"/>
      <c r="AWC40" s="394"/>
      <c r="AWD40" s="394"/>
      <c r="AWE40" s="394"/>
      <c r="AWF40" s="394"/>
      <c r="AWG40" s="394"/>
      <c r="AWH40" s="394"/>
      <c r="AWI40" s="394"/>
      <c r="AWJ40" s="394"/>
      <c r="AWK40" s="394"/>
      <c r="AWL40" s="394"/>
      <c r="AWM40" s="394"/>
      <c r="AWN40" s="394"/>
      <c r="AWO40" s="394"/>
      <c r="AWP40" s="394"/>
      <c r="AWQ40" s="394"/>
      <c r="AWR40" s="394"/>
      <c r="AWS40" s="394"/>
      <c r="AWT40" s="394"/>
      <c r="AWU40" s="394"/>
      <c r="AWV40" s="394"/>
      <c r="AWW40" s="394"/>
      <c r="AWX40" s="394"/>
      <c r="AWY40" s="394"/>
      <c r="AWZ40" s="394"/>
      <c r="AXA40" s="394"/>
      <c r="AXB40" s="394"/>
      <c r="AXC40" s="394"/>
      <c r="AXD40" s="394"/>
      <c r="AXE40" s="394"/>
      <c r="AXF40" s="394"/>
      <c r="AXG40" s="394"/>
      <c r="AXH40" s="394"/>
      <c r="AXI40" s="394"/>
      <c r="AXJ40" s="394"/>
      <c r="AXK40" s="394"/>
      <c r="AXL40" s="394"/>
      <c r="AXM40" s="394"/>
      <c r="AXN40" s="394"/>
      <c r="AXO40" s="394"/>
      <c r="AXP40" s="394"/>
      <c r="AXQ40" s="394"/>
      <c r="AXR40" s="394"/>
      <c r="AXS40" s="394"/>
      <c r="AXT40" s="394"/>
      <c r="AXU40" s="394"/>
      <c r="AXV40" s="394"/>
      <c r="AXW40" s="394"/>
      <c r="AXX40" s="394"/>
      <c r="AXY40" s="394"/>
      <c r="AXZ40" s="394"/>
      <c r="AYA40" s="394"/>
      <c r="AYB40" s="394"/>
      <c r="AYC40" s="394"/>
      <c r="AYD40" s="394"/>
      <c r="AYE40" s="394"/>
      <c r="AYF40" s="394"/>
      <c r="AYG40" s="394"/>
      <c r="AYH40" s="394"/>
      <c r="AYI40" s="394"/>
      <c r="AYJ40" s="394"/>
      <c r="AYK40" s="394"/>
      <c r="AYL40" s="394"/>
      <c r="AYM40" s="394"/>
      <c r="AYN40" s="394"/>
      <c r="AYO40" s="394"/>
      <c r="AYP40" s="394"/>
      <c r="AYQ40" s="394"/>
      <c r="AYR40" s="394"/>
      <c r="AYS40" s="394"/>
      <c r="AYT40" s="394"/>
      <c r="AYU40" s="394"/>
      <c r="AYV40" s="394"/>
      <c r="AYW40" s="394"/>
      <c r="AYX40" s="394"/>
      <c r="AYY40" s="394"/>
      <c r="AYZ40" s="394"/>
      <c r="AZA40" s="394"/>
      <c r="AZB40" s="394"/>
      <c r="AZC40" s="394"/>
      <c r="AZD40" s="394"/>
      <c r="AZE40" s="394"/>
      <c r="AZF40" s="394"/>
      <c r="AZG40" s="394"/>
      <c r="AZH40" s="394"/>
      <c r="AZI40" s="394"/>
      <c r="AZJ40" s="394"/>
      <c r="AZK40" s="394"/>
      <c r="AZL40" s="394"/>
      <c r="AZM40" s="394"/>
      <c r="AZN40" s="394"/>
      <c r="AZO40" s="394"/>
      <c r="AZP40" s="394"/>
      <c r="AZQ40" s="394"/>
      <c r="AZR40" s="394"/>
      <c r="AZS40" s="394"/>
      <c r="AZT40" s="394"/>
      <c r="AZU40" s="394"/>
      <c r="AZV40" s="394"/>
      <c r="AZW40" s="394"/>
      <c r="AZX40" s="394"/>
      <c r="AZY40" s="394"/>
      <c r="AZZ40" s="394"/>
      <c r="BAA40" s="394"/>
      <c r="BAB40" s="394"/>
      <c r="BAC40" s="394"/>
      <c r="BAD40" s="394"/>
      <c r="BAE40" s="394"/>
      <c r="BAF40" s="394"/>
      <c r="BAG40" s="394"/>
      <c r="BAH40" s="394"/>
      <c r="BAI40" s="394"/>
      <c r="BAJ40" s="394"/>
      <c r="BAK40" s="394"/>
      <c r="BAL40" s="394"/>
      <c r="BAM40" s="394"/>
      <c r="BAN40" s="394"/>
      <c r="BAO40" s="394"/>
      <c r="BAP40" s="394"/>
      <c r="BAQ40" s="394"/>
      <c r="BAR40" s="394"/>
      <c r="BAS40" s="394"/>
      <c r="BAT40" s="394"/>
      <c r="BAU40" s="394"/>
      <c r="BAV40" s="394"/>
      <c r="BAW40" s="394"/>
      <c r="BAX40" s="394"/>
      <c r="BAY40" s="394"/>
      <c r="BAZ40" s="394"/>
      <c r="BBA40" s="394"/>
      <c r="BBB40" s="394"/>
      <c r="BBC40" s="394"/>
      <c r="BBD40" s="394"/>
      <c r="BBE40" s="394"/>
      <c r="BBF40" s="394"/>
      <c r="BBG40" s="394"/>
      <c r="BBH40" s="394"/>
      <c r="BBI40" s="394"/>
      <c r="BBJ40" s="394"/>
      <c r="BBK40" s="394"/>
      <c r="BBL40" s="394"/>
      <c r="BBM40" s="394"/>
      <c r="BBN40" s="394"/>
      <c r="BBO40" s="394"/>
      <c r="BBP40" s="394"/>
      <c r="BBQ40" s="394"/>
      <c r="BBR40" s="394"/>
      <c r="BBS40" s="394"/>
      <c r="BBT40" s="394"/>
      <c r="BBU40" s="394"/>
      <c r="BBV40" s="394"/>
      <c r="BBW40" s="394"/>
      <c r="BBX40" s="394"/>
      <c r="BBY40" s="394"/>
      <c r="BBZ40" s="394"/>
      <c r="BCA40" s="394"/>
      <c r="BCB40" s="394"/>
      <c r="BCC40" s="394"/>
      <c r="BCD40" s="394"/>
      <c r="BCE40" s="394"/>
      <c r="BCF40" s="394"/>
      <c r="BCG40" s="394"/>
      <c r="BCH40" s="394"/>
      <c r="BCI40" s="394"/>
      <c r="BCJ40" s="394"/>
      <c r="BCK40" s="394"/>
      <c r="BCL40" s="394"/>
      <c r="BCM40" s="394"/>
      <c r="BCN40" s="394"/>
      <c r="BCO40" s="394"/>
      <c r="BCP40" s="394"/>
      <c r="BCQ40" s="394"/>
      <c r="BCR40" s="394"/>
      <c r="BCS40" s="394"/>
      <c r="BCT40" s="394"/>
      <c r="BCU40" s="394"/>
      <c r="BCV40" s="394"/>
      <c r="BCW40" s="394"/>
      <c r="BCX40" s="394"/>
      <c r="BCY40" s="394"/>
      <c r="BCZ40" s="394"/>
      <c r="BDA40" s="394"/>
      <c r="BDB40" s="394"/>
      <c r="BDC40" s="394"/>
      <c r="BDD40" s="394"/>
      <c r="BDE40" s="394"/>
      <c r="BDF40" s="394"/>
      <c r="BDG40" s="394"/>
      <c r="BDH40" s="394"/>
      <c r="BDI40" s="394"/>
      <c r="BDJ40" s="394"/>
      <c r="BDK40" s="394"/>
      <c r="BDL40" s="394"/>
      <c r="BDM40" s="394"/>
      <c r="BDN40" s="394"/>
      <c r="BDO40" s="394"/>
      <c r="BDP40" s="394"/>
      <c r="BDQ40" s="394"/>
      <c r="BDR40" s="394"/>
      <c r="BDS40" s="394"/>
      <c r="BDT40" s="394"/>
      <c r="BDU40" s="394"/>
      <c r="BDV40" s="394"/>
      <c r="BDW40" s="394"/>
      <c r="BDX40" s="394"/>
      <c r="BDY40" s="394"/>
      <c r="BDZ40" s="394"/>
      <c r="BEA40" s="394"/>
      <c r="BEB40" s="394"/>
      <c r="BEC40" s="394"/>
      <c r="BED40" s="394"/>
      <c r="BEE40" s="394"/>
      <c r="BEF40" s="394"/>
      <c r="BEG40" s="394"/>
      <c r="BEH40" s="394"/>
      <c r="BEI40" s="394"/>
      <c r="BEJ40" s="394"/>
      <c r="BEK40" s="394"/>
      <c r="BEL40" s="394"/>
      <c r="BEM40" s="394"/>
      <c r="BEN40" s="394"/>
      <c r="BEO40" s="394"/>
      <c r="BEP40" s="394"/>
      <c r="BEQ40" s="394"/>
      <c r="BER40" s="394"/>
      <c r="BES40" s="394"/>
      <c r="BET40" s="394"/>
      <c r="BEU40" s="394"/>
      <c r="BEV40" s="394"/>
      <c r="BEW40" s="394"/>
      <c r="BEX40" s="394"/>
      <c r="BEY40" s="394"/>
      <c r="BEZ40" s="394"/>
      <c r="BFA40" s="394"/>
      <c r="BFB40" s="394"/>
      <c r="BFC40" s="394"/>
      <c r="BFD40" s="394"/>
      <c r="BFE40" s="394"/>
      <c r="BFF40" s="394"/>
      <c r="BFG40" s="394"/>
      <c r="BFH40" s="394"/>
      <c r="BFI40" s="394"/>
      <c r="BFJ40" s="394"/>
      <c r="BFK40" s="394"/>
      <c r="BFL40" s="394"/>
      <c r="BFM40" s="394"/>
      <c r="BFN40" s="394"/>
      <c r="BFO40" s="394"/>
      <c r="BFP40" s="394"/>
      <c r="BFQ40" s="394"/>
      <c r="BFR40" s="394"/>
      <c r="BFS40" s="394"/>
      <c r="BFT40" s="394"/>
      <c r="BFU40" s="394"/>
      <c r="BFV40" s="394"/>
      <c r="BFW40" s="394"/>
      <c r="BFX40" s="394"/>
      <c r="BFY40" s="394"/>
      <c r="BFZ40" s="394"/>
      <c r="BGA40" s="394"/>
      <c r="BGB40" s="394"/>
      <c r="BGC40" s="394"/>
      <c r="BGD40" s="394"/>
      <c r="BGE40" s="394"/>
      <c r="BGF40" s="394"/>
      <c r="BGG40" s="394"/>
      <c r="BGH40" s="394"/>
      <c r="BGI40" s="394"/>
      <c r="BGJ40" s="394"/>
      <c r="BGK40" s="394"/>
      <c r="BGL40" s="394"/>
      <c r="BGM40" s="394"/>
      <c r="BGN40" s="394"/>
      <c r="BGO40" s="394"/>
      <c r="BGP40" s="394"/>
      <c r="BGQ40" s="394"/>
      <c r="BGR40" s="394"/>
      <c r="BGS40" s="394"/>
      <c r="BGT40" s="394"/>
      <c r="BGU40" s="394"/>
      <c r="BGV40" s="394"/>
      <c r="BGW40" s="394"/>
      <c r="BGX40" s="394"/>
      <c r="BGY40" s="394"/>
      <c r="BGZ40" s="394"/>
      <c r="BHA40" s="394"/>
      <c r="BHB40" s="394"/>
      <c r="BHC40" s="394"/>
      <c r="BHD40" s="394"/>
      <c r="BHE40" s="394"/>
      <c r="BHF40" s="394"/>
      <c r="BHG40" s="394"/>
      <c r="BHH40" s="394"/>
      <c r="BHI40" s="394"/>
      <c r="BHJ40" s="394"/>
      <c r="BHK40" s="394"/>
      <c r="BHL40" s="394"/>
      <c r="BHM40" s="394"/>
      <c r="BHN40" s="394"/>
      <c r="BHO40" s="394"/>
      <c r="BHP40" s="394"/>
      <c r="BHQ40" s="394"/>
      <c r="BHR40" s="394"/>
      <c r="BHS40" s="394"/>
      <c r="BHT40" s="394"/>
      <c r="BHU40" s="394"/>
      <c r="BHV40" s="394"/>
      <c r="BHW40" s="394"/>
      <c r="BHX40" s="394"/>
      <c r="BHY40" s="394"/>
      <c r="BHZ40" s="394"/>
      <c r="BIA40" s="394"/>
      <c r="BIB40" s="394"/>
      <c r="BIC40" s="394"/>
      <c r="BID40" s="394"/>
      <c r="BIE40" s="394"/>
      <c r="BIF40" s="394"/>
      <c r="BIG40" s="394"/>
      <c r="BIH40" s="394"/>
      <c r="BII40" s="394"/>
      <c r="BIJ40" s="394"/>
      <c r="BIK40" s="394"/>
      <c r="BIL40" s="394"/>
      <c r="BIM40" s="394"/>
      <c r="BIN40" s="394"/>
      <c r="BIO40" s="394"/>
      <c r="BIP40" s="394"/>
      <c r="BIQ40" s="394"/>
      <c r="BIR40" s="394"/>
      <c r="BIS40" s="394"/>
      <c r="BIT40" s="394"/>
      <c r="BIU40" s="394"/>
      <c r="BIV40" s="394"/>
      <c r="BIW40" s="394"/>
      <c r="BIX40" s="394"/>
      <c r="BIY40" s="394"/>
      <c r="BIZ40" s="394"/>
      <c r="BJA40" s="394"/>
      <c r="BJB40" s="394"/>
      <c r="BJC40" s="394"/>
      <c r="BJD40" s="394"/>
      <c r="BJE40" s="394"/>
      <c r="BJF40" s="394"/>
      <c r="BJG40" s="394"/>
      <c r="BJH40" s="394"/>
      <c r="BJI40" s="394"/>
      <c r="BJJ40" s="394"/>
      <c r="BJK40" s="394"/>
      <c r="BJL40" s="394"/>
      <c r="BJM40" s="394"/>
      <c r="BJN40" s="394"/>
      <c r="BJO40" s="394"/>
      <c r="BJP40" s="394"/>
      <c r="BJQ40" s="394"/>
      <c r="BJR40" s="394"/>
      <c r="BJS40" s="394"/>
      <c r="BJT40" s="394"/>
      <c r="BJU40" s="394"/>
      <c r="BJV40" s="394"/>
      <c r="BJW40" s="394"/>
      <c r="BJX40" s="394"/>
      <c r="BJY40" s="394"/>
      <c r="BJZ40" s="394"/>
      <c r="BKA40" s="394"/>
      <c r="BKB40" s="394"/>
      <c r="BKC40" s="394"/>
      <c r="BKD40" s="394"/>
      <c r="BKE40" s="394"/>
      <c r="BKF40" s="394"/>
      <c r="BKG40" s="394"/>
      <c r="BKH40" s="394"/>
      <c r="BKI40" s="394"/>
      <c r="BKJ40" s="394"/>
      <c r="BKK40" s="394"/>
      <c r="BKL40" s="394"/>
      <c r="BKM40" s="394"/>
      <c r="BKN40" s="394"/>
      <c r="BKO40" s="394"/>
      <c r="BKP40" s="394"/>
      <c r="BKQ40" s="394"/>
      <c r="BKR40" s="394"/>
      <c r="BKS40" s="394"/>
      <c r="BKT40" s="394"/>
      <c r="BKU40" s="394"/>
      <c r="BKV40" s="394"/>
      <c r="BKW40" s="394"/>
      <c r="BKX40" s="394"/>
      <c r="BKY40" s="394"/>
      <c r="BKZ40" s="394"/>
      <c r="BLA40" s="394"/>
      <c r="BLB40" s="394"/>
      <c r="BLC40" s="394"/>
      <c r="BLD40" s="394"/>
      <c r="BLE40" s="394"/>
      <c r="BLF40" s="394"/>
      <c r="BLG40" s="394"/>
      <c r="BLH40" s="394"/>
      <c r="BLI40" s="394"/>
      <c r="BLJ40" s="394"/>
      <c r="BLK40" s="394"/>
      <c r="BLL40" s="394"/>
      <c r="BLM40" s="394"/>
      <c r="BLN40" s="394"/>
      <c r="BLO40" s="394"/>
      <c r="BLP40" s="394"/>
      <c r="BLQ40" s="394"/>
      <c r="BLR40" s="394"/>
      <c r="BLS40" s="394"/>
      <c r="BLT40" s="394"/>
      <c r="BLU40" s="394"/>
      <c r="BLV40" s="394"/>
      <c r="BLW40" s="394"/>
      <c r="BLX40" s="394"/>
      <c r="BLY40" s="394"/>
      <c r="BLZ40" s="394"/>
      <c r="BMA40" s="394"/>
      <c r="BMB40" s="394"/>
      <c r="BMC40" s="394"/>
      <c r="BMD40" s="394"/>
      <c r="BME40" s="394"/>
      <c r="BMF40" s="394"/>
      <c r="BMG40" s="394"/>
      <c r="BMH40" s="394"/>
      <c r="BMI40" s="394"/>
      <c r="BMJ40" s="394"/>
      <c r="BMK40" s="394"/>
      <c r="BML40" s="394"/>
      <c r="BMM40" s="394"/>
      <c r="BMN40" s="394"/>
      <c r="BMO40" s="394"/>
      <c r="BMP40" s="394"/>
      <c r="BMQ40" s="394"/>
      <c r="BMR40" s="394"/>
      <c r="BMS40" s="394"/>
      <c r="BMT40" s="394"/>
      <c r="BMU40" s="394"/>
      <c r="BMV40" s="394"/>
      <c r="BMW40" s="394"/>
      <c r="BMX40" s="394"/>
      <c r="BMY40" s="394"/>
      <c r="BMZ40" s="394"/>
      <c r="BNA40" s="394"/>
      <c r="BNB40" s="394"/>
      <c r="BNC40" s="394"/>
      <c r="BND40" s="394"/>
      <c r="BNE40" s="394"/>
      <c r="BNF40" s="394"/>
      <c r="BNG40" s="394"/>
      <c r="BNH40" s="394"/>
      <c r="BNI40" s="394"/>
      <c r="BNJ40" s="394"/>
      <c r="BNK40" s="394"/>
      <c r="BNL40" s="394"/>
      <c r="BNM40" s="394"/>
      <c r="BNN40" s="394"/>
      <c r="BNO40" s="394"/>
      <c r="BNP40" s="394"/>
      <c r="BNQ40" s="394"/>
      <c r="BNR40" s="394"/>
      <c r="BNS40" s="394"/>
      <c r="BNT40" s="394"/>
      <c r="BNU40" s="394"/>
      <c r="BNV40" s="394"/>
      <c r="BNW40" s="394"/>
      <c r="BNX40" s="394"/>
      <c r="BNY40" s="394"/>
      <c r="BNZ40" s="394"/>
      <c r="BOA40" s="394"/>
      <c r="BOB40" s="394"/>
      <c r="BOC40" s="394"/>
      <c r="BOD40" s="394"/>
      <c r="BOE40" s="394"/>
      <c r="BOF40" s="394"/>
      <c r="BOG40" s="394"/>
      <c r="BOH40" s="394"/>
      <c r="BOI40" s="394"/>
      <c r="BOJ40" s="394"/>
      <c r="BOK40" s="394"/>
      <c r="BOL40" s="394"/>
      <c r="BOM40" s="394"/>
      <c r="BON40" s="394"/>
      <c r="BOO40" s="394"/>
      <c r="BOP40" s="394"/>
      <c r="BOQ40" s="394"/>
      <c r="BOR40" s="394"/>
      <c r="BOS40" s="394"/>
      <c r="BOT40" s="394"/>
      <c r="BOU40" s="394"/>
      <c r="BOV40" s="394"/>
      <c r="BOW40" s="394"/>
      <c r="BOX40" s="394"/>
      <c r="BOY40" s="394"/>
      <c r="BOZ40" s="394"/>
      <c r="BPA40" s="394"/>
      <c r="BPB40" s="394"/>
      <c r="BPC40" s="394"/>
      <c r="BPD40" s="394"/>
      <c r="BPE40" s="394"/>
      <c r="BPF40" s="394"/>
      <c r="BPG40" s="394"/>
      <c r="BPH40" s="394"/>
      <c r="BPI40" s="394"/>
      <c r="BPJ40" s="394"/>
      <c r="BPK40" s="394"/>
      <c r="BPL40" s="394"/>
      <c r="BPM40" s="394"/>
      <c r="BPN40" s="394"/>
      <c r="BPO40" s="394"/>
      <c r="BPP40" s="394"/>
      <c r="BPQ40" s="394"/>
      <c r="BPR40" s="394"/>
      <c r="BPS40" s="394"/>
      <c r="BPT40" s="394"/>
      <c r="BPU40" s="394"/>
      <c r="BPV40" s="394"/>
      <c r="BPW40" s="394"/>
      <c r="BPX40" s="394"/>
      <c r="BPY40" s="394"/>
      <c r="BPZ40" s="394"/>
      <c r="BQA40" s="394"/>
      <c r="BQB40" s="394"/>
      <c r="BQC40" s="394"/>
      <c r="BQD40" s="394"/>
      <c r="BQE40" s="394"/>
      <c r="BQF40" s="394"/>
      <c r="BQG40" s="394"/>
      <c r="BQH40" s="394"/>
      <c r="BQI40" s="394"/>
      <c r="BQJ40" s="394"/>
      <c r="BQK40" s="394"/>
      <c r="BQL40" s="394"/>
      <c r="BQM40" s="394"/>
      <c r="BQN40" s="394"/>
      <c r="BQO40" s="394"/>
      <c r="BQP40" s="394"/>
      <c r="BQQ40" s="394"/>
      <c r="BQR40" s="394"/>
      <c r="BQS40" s="394"/>
      <c r="BQT40" s="394"/>
      <c r="BQU40" s="394"/>
      <c r="BQV40" s="394"/>
      <c r="BQW40" s="394"/>
      <c r="BQX40" s="394"/>
      <c r="BQY40" s="394"/>
      <c r="BQZ40" s="394"/>
      <c r="BRA40" s="394"/>
      <c r="BRB40" s="394"/>
      <c r="BRC40" s="394"/>
      <c r="BRD40" s="394"/>
      <c r="BRE40" s="394"/>
      <c r="BRF40" s="394"/>
      <c r="BRG40" s="394"/>
      <c r="BRH40" s="394"/>
      <c r="BRI40" s="394"/>
      <c r="BRJ40" s="394"/>
      <c r="BRK40" s="394"/>
      <c r="BRL40" s="394"/>
      <c r="BRM40" s="394"/>
      <c r="BRN40" s="394"/>
      <c r="BRO40" s="394"/>
      <c r="BRP40" s="394"/>
      <c r="BRQ40" s="394"/>
      <c r="BRR40" s="394"/>
      <c r="BRS40" s="394"/>
      <c r="BRT40" s="394"/>
      <c r="BRU40" s="394"/>
      <c r="BRV40" s="394"/>
      <c r="BRW40" s="394"/>
      <c r="BRX40" s="394"/>
      <c r="BRY40" s="394"/>
      <c r="BRZ40" s="394"/>
      <c r="BSA40" s="394"/>
      <c r="BSB40" s="394"/>
      <c r="BSC40" s="394"/>
      <c r="BSD40" s="394"/>
      <c r="BSE40" s="394"/>
      <c r="BSF40" s="394"/>
      <c r="BSG40" s="394"/>
      <c r="BSH40" s="394"/>
      <c r="BSI40" s="394"/>
      <c r="BSJ40" s="394"/>
      <c r="BSK40" s="394"/>
      <c r="BSL40" s="394"/>
      <c r="BSM40" s="394"/>
      <c r="BSN40" s="394"/>
      <c r="BSO40" s="394"/>
      <c r="BSP40" s="394"/>
      <c r="BSQ40" s="394"/>
      <c r="BSR40" s="394"/>
      <c r="BSS40" s="394"/>
      <c r="BST40" s="394"/>
      <c r="BSU40" s="394"/>
      <c r="BSV40" s="394"/>
      <c r="BSW40" s="394"/>
      <c r="BSX40" s="394"/>
      <c r="BSY40" s="394"/>
      <c r="BSZ40" s="394"/>
      <c r="BTA40" s="394"/>
      <c r="BTB40" s="394"/>
      <c r="BTC40" s="394"/>
      <c r="BTD40" s="394"/>
      <c r="BTE40" s="394"/>
      <c r="BTF40" s="394"/>
      <c r="BTG40" s="394"/>
      <c r="BTH40" s="394"/>
      <c r="BTI40" s="394"/>
    </row>
    <row r="41" spans="1:1881" s="4" customFormat="1" ht="86.25" customHeight="1" x14ac:dyDescent="0.25">
      <c r="A41" s="188">
        <v>592</v>
      </c>
      <c r="B41" s="337" t="s">
        <v>702</v>
      </c>
      <c r="C41" s="184" t="s">
        <v>703</v>
      </c>
      <c r="D41" s="138" t="s">
        <v>705</v>
      </c>
      <c r="E41" s="32" t="e">
        <f>HLOOKUP($D$2,'2019 Data(H)'!$C$1:$CP$300,253,FALSE)</f>
        <v>#N/A</v>
      </c>
      <c r="F41" s="586"/>
      <c r="G41" s="395"/>
      <c r="H41" s="149"/>
      <c r="J41" s="365"/>
      <c r="K41" s="394"/>
      <c r="L41" s="833" t="s">
        <v>1137</v>
      </c>
      <c r="M41" s="610"/>
      <c r="N41" s="635"/>
      <c r="O41" s="394"/>
      <c r="P41" s="394"/>
      <c r="Q41" s="394"/>
      <c r="R41" s="394"/>
      <c r="S41" s="394"/>
      <c r="T41" s="394"/>
      <c r="U41" s="394"/>
      <c r="V41" s="394"/>
      <c r="W41" s="394"/>
      <c r="X41" s="394"/>
      <c r="Y41" s="394"/>
      <c r="Z41" s="394"/>
      <c r="AA41" s="394"/>
      <c r="AB41" s="394"/>
      <c r="AC41" s="394"/>
      <c r="AD41" s="394"/>
      <c r="AE41" s="394"/>
      <c r="AF41" s="394"/>
      <c r="AG41" s="394"/>
      <c r="AH41" s="394"/>
      <c r="AI41" s="394"/>
      <c r="AJ41" s="394"/>
      <c r="AK41" s="394"/>
      <c r="AL41" s="394"/>
      <c r="AM41" s="394"/>
      <c r="AN41" s="394"/>
      <c r="AO41" s="394"/>
      <c r="AP41" s="394"/>
      <c r="AQ41" s="394"/>
      <c r="AR41" s="394"/>
      <c r="AS41" s="394"/>
      <c r="AT41" s="394"/>
      <c r="AU41" s="394"/>
      <c r="AV41" s="394"/>
      <c r="AW41" s="394"/>
      <c r="AX41" s="394"/>
      <c r="AY41" s="394"/>
      <c r="AZ41" s="394"/>
      <c r="BA41" s="394"/>
      <c r="BB41" s="394"/>
      <c r="BC41" s="394"/>
      <c r="BD41" s="394"/>
      <c r="BE41" s="394"/>
      <c r="BF41" s="394"/>
      <c r="BG41" s="394"/>
      <c r="BH41" s="394"/>
      <c r="BI41" s="394"/>
      <c r="BJ41" s="394"/>
      <c r="BK41" s="394"/>
      <c r="BL41" s="394"/>
      <c r="BM41" s="394"/>
      <c r="BN41" s="394"/>
      <c r="BO41" s="394"/>
      <c r="BP41" s="394"/>
      <c r="BQ41" s="394"/>
      <c r="BR41" s="394"/>
      <c r="BS41" s="394"/>
      <c r="BT41" s="394"/>
      <c r="BU41" s="394"/>
      <c r="BV41" s="394"/>
      <c r="BW41" s="394"/>
      <c r="BX41" s="394"/>
      <c r="BY41" s="394"/>
      <c r="BZ41" s="394"/>
      <c r="CA41" s="394"/>
      <c r="CB41" s="394"/>
      <c r="CC41" s="394"/>
      <c r="CD41" s="394"/>
      <c r="CE41" s="394"/>
      <c r="CF41" s="394"/>
      <c r="CG41" s="394"/>
      <c r="CH41" s="394"/>
      <c r="CI41" s="394"/>
      <c r="CJ41" s="394"/>
      <c r="CK41" s="394"/>
      <c r="CL41" s="394"/>
      <c r="CM41" s="394"/>
      <c r="CN41" s="394"/>
      <c r="CO41" s="394"/>
      <c r="CP41" s="394"/>
      <c r="CQ41" s="394"/>
      <c r="CR41" s="394"/>
      <c r="CS41" s="394"/>
      <c r="CT41" s="394"/>
      <c r="CU41" s="394"/>
      <c r="CV41" s="394"/>
      <c r="CW41" s="394"/>
      <c r="CX41" s="394"/>
      <c r="CY41" s="394"/>
      <c r="CZ41" s="394"/>
      <c r="DA41" s="394"/>
      <c r="DB41" s="394"/>
      <c r="DC41" s="394"/>
      <c r="DD41" s="394"/>
      <c r="DE41" s="394"/>
      <c r="DF41" s="394"/>
      <c r="DG41" s="394"/>
      <c r="DH41" s="394"/>
      <c r="DI41" s="394"/>
      <c r="DJ41" s="394"/>
      <c r="DK41" s="394"/>
      <c r="DL41" s="394"/>
      <c r="DM41" s="394"/>
      <c r="DN41" s="394"/>
      <c r="DO41" s="394"/>
      <c r="DP41" s="394"/>
      <c r="DQ41" s="394"/>
      <c r="DR41" s="394"/>
      <c r="DS41" s="394"/>
      <c r="DT41" s="394"/>
      <c r="DU41" s="394"/>
      <c r="DV41" s="394"/>
      <c r="DW41" s="394"/>
      <c r="DX41" s="394"/>
      <c r="DY41" s="394"/>
      <c r="DZ41" s="394"/>
      <c r="EA41" s="394"/>
      <c r="EB41" s="394"/>
      <c r="EC41" s="394"/>
      <c r="ED41" s="394"/>
      <c r="EE41" s="394"/>
      <c r="EF41" s="394"/>
      <c r="EG41" s="394"/>
      <c r="EH41" s="394"/>
      <c r="EI41" s="394"/>
      <c r="EJ41" s="394"/>
      <c r="EK41" s="394"/>
      <c r="EL41" s="394"/>
      <c r="EM41" s="394"/>
      <c r="EN41" s="394"/>
      <c r="EO41" s="394"/>
      <c r="EP41" s="394"/>
      <c r="EQ41" s="394"/>
      <c r="ER41" s="394"/>
      <c r="ES41" s="394"/>
      <c r="ET41" s="394"/>
      <c r="EU41" s="394"/>
      <c r="EV41" s="394"/>
      <c r="EW41" s="394"/>
      <c r="EX41" s="394"/>
      <c r="EY41" s="394"/>
      <c r="EZ41" s="394"/>
      <c r="FA41" s="394"/>
      <c r="FB41" s="394"/>
      <c r="FC41" s="394"/>
      <c r="FD41" s="394"/>
      <c r="FE41" s="394"/>
      <c r="FF41" s="394"/>
      <c r="FG41" s="394"/>
      <c r="FH41" s="394"/>
      <c r="FI41" s="394"/>
      <c r="FJ41" s="394"/>
      <c r="FK41" s="394"/>
      <c r="FL41" s="394"/>
      <c r="FM41" s="394"/>
      <c r="FN41" s="394"/>
      <c r="FO41" s="394"/>
      <c r="FP41" s="394"/>
      <c r="FQ41" s="394"/>
      <c r="FR41" s="394"/>
      <c r="FS41" s="394"/>
      <c r="FT41" s="394"/>
      <c r="FU41" s="394"/>
      <c r="FV41" s="394"/>
      <c r="FW41" s="394"/>
      <c r="FX41" s="394"/>
      <c r="FY41" s="394"/>
      <c r="FZ41" s="394"/>
      <c r="GA41" s="394"/>
      <c r="GB41" s="394"/>
      <c r="GC41" s="394"/>
      <c r="GD41" s="394"/>
      <c r="GE41" s="394"/>
      <c r="GF41" s="394"/>
      <c r="GG41" s="394"/>
      <c r="GH41" s="394"/>
      <c r="GI41" s="394"/>
      <c r="GJ41" s="394"/>
      <c r="GK41" s="394"/>
      <c r="GL41" s="394"/>
      <c r="GM41" s="394"/>
      <c r="GN41" s="394"/>
      <c r="GO41" s="394"/>
      <c r="GP41" s="394"/>
      <c r="GQ41" s="394"/>
      <c r="GR41" s="394"/>
      <c r="GS41" s="394"/>
      <c r="GT41" s="394"/>
      <c r="GU41" s="394"/>
      <c r="GV41" s="394"/>
      <c r="GW41" s="394"/>
      <c r="GX41" s="394"/>
      <c r="GY41" s="394"/>
      <c r="GZ41" s="394"/>
      <c r="HA41" s="394"/>
      <c r="HB41" s="394"/>
      <c r="HC41" s="394"/>
      <c r="HD41" s="394"/>
      <c r="HE41" s="394"/>
      <c r="HF41" s="394"/>
      <c r="HG41" s="394"/>
      <c r="HH41" s="394"/>
      <c r="HI41" s="394"/>
      <c r="HJ41" s="394"/>
      <c r="HK41" s="394"/>
      <c r="HL41" s="394"/>
      <c r="HM41" s="394"/>
      <c r="HN41" s="394"/>
      <c r="HO41" s="394"/>
      <c r="HP41" s="394"/>
      <c r="HQ41" s="394"/>
      <c r="HR41" s="394"/>
      <c r="HS41" s="394"/>
      <c r="HT41" s="394"/>
      <c r="HU41" s="394"/>
      <c r="HV41" s="394"/>
      <c r="HW41" s="394"/>
      <c r="HX41" s="394"/>
      <c r="HY41" s="394"/>
      <c r="HZ41" s="394"/>
      <c r="IA41" s="394"/>
      <c r="IB41" s="394"/>
      <c r="IC41" s="394"/>
      <c r="ID41" s="394"/>
      <c r="IE41" s="394"/>
      <c r="IF41" s="394"/>
      <c r="IG41" s="394"/>
      <c r="IH41" s="394"/>
      <c r="II41" s="394"/>
      <c r="IJ41" s="394"/>
      <c r="IK41" s="394"/>
      <c r="IL41" s="394"/>
      <c r="IM41" s="394"/>
      <c r="IN41" s="394"/>
      <c r="IO41" s="394"/>
      <c r="IP41" s="394"/>
      <c r="IQ41" s="394"/>
      <c r="IR41" s="394"/>
      <c r="IS41" s="394"/>
      <c r="IT41" s="394"/>
      <c r="IU41" s="394"/>
      <c r="IV41" s="394"/>
      <c r="IW41" s="394"/>
      <c r="IX41" s="394"/>
      <c r="IY41" s="394"/>
      <c r="IZ41" s="394"/>
      <c r="JA41" s="394"/>
      <c r="JB41" s="394"/>
      <c r="JC41" s="394"/>
      <c r="JD41" s="394"/>
      <c r="JE41" s="394"/>
      <c r="JF41" s="394"/>
      <c r="JG41" s="394"/>
      <c r="JH41" s="394"/>
      <c r="JI41" s="394"/>
      <c r="JJ41" s="394"/>
      <c r="JK41" s="394"/>
      <c r="JL41" s="394"/>
      <c r="JM41" s="394"/>
      <c r="JN41" s="394"/>
      <c r="JO41" s="394"/>
      <c r="JP41" s="394"/>
      <c r="JQ41" s="394"/>
      <c r="JR41" s="394"/>
      <c r="JS41" s="394"/>
      <c r="JT41" s="394"/>
      <c r="JU41" s="394"/>
      <c r="JV41" s="394"/>
      <c r="JW41" s="394"/>
      <c r="JX41" s="394"/>
      <c r="JY41" s="394"/>
      <c r="JZ41" s="394"/>
      <c r="KA41" s="394"/>
      <c r="KB41" s="394"/>
      <c r="KC41" s="394"/>
      <c r="KD41" s="394"/>
      <c r="KE41" s="394"/>
      <c r="KF41" s="394"/>
      <c r="KG41" s="394"/>
      <c r="KH41" s="394"/>
      <c r="KI41" s="394"/>
      <c r="KJ41" s="394"/>
      <c r="KK41" s="394"/>
      <c r="KL41" s="394"/>
      <c r="KM41" s="394"/>
      <c r="KN41" s="394"/>
      <c r="KO41" s="394"/>
      <c r="KP41" s="394"/>
      <c r="KQ41" s="394"/>
      <c r="KR41" s="394"/>
      <c r="KS41" s="394"/>
      <c r="KT41" s="394"/>
      <c r="KU41" s="394"/>
      <c r="KV41" s="394"/>
      <c r="KW41" s="394"/>
      <c r="KX41" s="394"/>
      <c r="KY41" s="394"/>
      <c r="KZ41" s="394"/>
      <c r="LA41" s="394"/>
      <c r="LB41" s="394"/>
      <c r="LC41" s="394"/>
      <c r="LD41" s="394"/>
      <c r="LE41" s="394"/>
      <c r="LF41" s="394"/>
      <c r="LG41" s="394"/>
      <c r="LH41" s="394"/>
      <c r="LI41" s="394"/>
      <c r="LJ41" s="394"/>
      <c r="LK41" s="394"/>
      <c r="LL41" s="394"/>
      <c r="LM41" s="394"/>
      <c r="LN41" s="394"/>
      <c r="LO41" s="394"/>
      <c r="LP41" s="394"/>
      <c r="LQ41" s="394"/>
      <c r="LR41" s="394"/>
      <c r="LS41" s="394"/>
      <c r="LT41" s="394"/>
      <c r="LU41" s="394"/>
      <c r="LV41" s="394"/>
      <c r="LW41" s="394"/>
      <c r="LX41" s="394"/>
      <c r="LY41" s="394"/>
      <c r="LZ41" s="394"/>
      <c r="MA41" s="394"/>
      <c r="MB41" s="394"/>
      <c r="MC41" s="394"/>
      <c r="MD41" s="394"/>
      <c r="ME41" s="394"/>
      <c r="MF41" s="394"/>
      <c r="MG41" s="394"/>
      <c r="MH41" s="394"/>
      <c r="MI41" s="394"/>
      <c r="MJ41" s="394"/>
      <c r="MK41" s="394"/>
      <c r="ML41" s="394"/>
      <c r="MM41" s="394"/>
      <c r="MN41" s="394"/>
      <c r="MO41" s="394"/>
      <c r="MP41" s="394"/>
      <c r="MQ41" s="394"/>
      <c r="MR41" s="394"/>
      <c r="MS41" s="394"/>
      <c r="MT41" s="394"/>
      <c r="MU41" s="394"/>
      <c r="MV41" s="394"/>
      <c r="MW41" s="394"/>
      <c r="MX41" s="394"/>
      <c r="MY41" s="394"/>
      <c r="MZ41" s="394"/>
      <c r="NA41" s="394"/>
      <c r="NB41" s="394"/>
      <c r="NC41" s="394"/>
      <c r="ND41" s="394"/>
      <c r="NE41" s="394"/>
      <c r="NF41" s="394"/>
      <c r="NG41" s="394"/>
      <c r="NH41" s="394"/>
      <c r="NI41" s="394"/>
      <c r="NJ41" s="394"/>
      <c r="NK41" s="394"/>
      <c r="NL41" s="394"/>
      <c r="NM41" s="394"/>
      <c r="NN41" s="394"/>
      <c r="NO41" s="394"/>
      <c r="NP41" s="394"/>
      <c r="NQ41" s="394"/>
      <c r="NR41" s="394"/>
      <c r="NS41" s="394"/>
      <c r="NT41" s="394"/>
      <c r="NU41" s="394"/>
      <c r="NV41" s="394"/>
      <c r="NW41" s="394"/>
      <c r="NX41" s="394"/>
      <c r="NY41" s="394"/>
      <c r="NZ41" s="394"/>
      <c r="OA41" s="394"/>
      <c r="OB41" s="394"/>
      <c r="OC41" s="394"/>
      <c r="OD41" s="394"/>
      <c r="OE41" s="394"/>
      <c r="OF41" s="394"/>
      <c r="OG41" s="394"/>
      <c r="OH41" s="394"/>
      <c r="OI41" s="394"/>
      <c r="OJ41" s="394"/>
      <c r="OK41" s="394"/>
      <c r="OL41" s="394"/>
      <c r="OM41" s="394"/>
      <c r="ON41" s="394"/>
      <c r="OO41" s="394"/>
      <c r="OP41" s="394"/>
      <c r="OQ41" s="394"/>
      <c r="OR41" s="394"/>
      <c r="OS41" s="394"/>
      <c r="OT41" s="394"/>
      <c r="OU41" s="394"/>
      <c r="OV41" s="394"/>
      <c r="OW41" s="394"/>
      <c r="OX41" s="394"/>
      <c r="OY41" s="394"/>
      <c r="OZ41" s="394"/>
      <c r="PA41" s="394"/>
      <c r="PB41" s="394"/>
      <c r="PC41" s="394"/>
      <c r="PD41" s="394"/>
      <c r="PE41" s="394"/>
      <c r="PF41" s="394"/>
      <c r="PG41" s="394"/>
      <c r="PH41" s="394"/>
      <c r="PI41" s="394"/>
      <c r="PJ41" s="394"/>
      <c r="PK41" s="394"/>
      <c r="PL41" s="394"/>
      <c r="PM41" s="394"/>
      <c r="PN41" s="394"/>
      <c r="PO41" s="394"/>
      <c r="PP41" s="394"/>
      <c r="PQ41" s="394"/>
      <c r="PR41" s="394"/>
      <c r="PS41" s="394"/>
      <c r="PT41" s="394"/>
      <c r="PU41" s="394"/>
      <c r="PV41" s="394"/>
      <c r="PW41" s="394"/>
      <c r="PX41" s="394"/>
      <c r="PY41" s="394"/>
      <c r="PZ41" s="394"/>
      <c r="QA41" s="394"/>
      <c r="QB41" s="394"/>
      <c r="QC41" s="394"/>
      <c r="QD41" s="394"/>
      <c r="QE41" s="394"/>
      <c r="QF41" s="394"/>
      <c r="QG41" s="394"/>
      <c r="QH41" s="394"/>
      <c r="QI41" s="394"/>
      <c r="QJ41" s="394"/>
      <c r="QK41" s="394"/>
      <c r="QL41" s="394"/>
      <c r="QM41" s="394"/>
      <c r="QN41" s="394"/>
      <c r="QO41" s="394"/>
      <c r="QP41" s="394"/>
      <c r="QQ41" s="394"/>
      <c r="QR41" s="394"/>
      <c r="QS41" s="394"/>
      <c r="QT41" s="394"/>
      <c r="QU41" s="394"/>
      <c r="QV41" s="394"/>
      <c r="QW41" s="394"/>
      <c r="QX41" s="394"/>
      <c r="QY41" s="394"/>
      <c r="QZ41" s="394"/>
      <c r="RA41" s="394"/>
      <c r="RB41" s="394"/>
      <c r="RC41" s="394"/>
      <c r="RD41" s="394"/>
      <c r="RE41" s="394"/>
      <c r="RF41" s="394"/>
      <c r="RG41" s="394"/>
      <c r="RH41" s="394"/>
      <c r="RI41" s="394"/>
      <c r="RJ41" s="394"/>
      <c r="RK41" s="394"/>
      <c r="RL41" s="394"/>
      <c r="RM41" s="394"/>
      <c r="RN41" s="394"/>
      <c r="RO41" s="394"/>
      <c r="RP41" s="394"/>
      <c r="RQ41" s="394"/>
      <c r="RR41" s="394"/>
      <c r="RS41" s="394"/>
      <c r="RT41" s="394"/>
      <c r="RU41" s="394"/>
      <c r="RV41" s="394"/>
      <c r="RW41" s="394"/>
      <c r="RX41" s="394"/>
      <c r="RY41" s="394"/>
      <c r="RZ41" s="394"/>
      <c r="SA41" s="394"/>
      <c r="SB41" s="394"/>
      <c r="SC41" s="394"/>
      <c r="SD41" s="394"/>
      <c r="SE41" s="394"/>
      <c r="SF41" s="394"/>
      <c r="SG41" s="394"/>
      <c r="SH41" s="394"/>
      <c r="SI41" s="394"/>
      <c r="SJ41" s="394"/>
      <c r="SK41" s="394"/>
      <c r="SL41" s="394"/>
      <c r="SM41" s="394"/>
      <c r="SN41" s="394"/>
      <c r="SO41" s="394"/>
      <c r="SP41" s="394"/>
      <c r="SQ41" s="394"/>
      <c r="SR41" s="394"/>
      <c r="SS41" s="394"/>
      <c r="ST41" s="394"/>
      <c r="SU41" s="394"/>
      <c r="SV41" s="394"/>
      <c r="SW41" s="394"/>
      <c r="SX41" s="394"/>
      <c r="SY41" s="394"/>
      <c r="SZ41" s="394"/>
      <c r="TA41" s="394"/>
      <c r="TB41" s="394"/>
      <c r="TC41" s="394"/>
      <c r="TD41" s="394"/>
      <c r="TE41" s="394"/>
      <c r="TF41" s="394"/>
      <c r="TG41" s="394"/>
      <c r="TH41" s="394"/>
      <c r="TI41" s="394"/>
      <c r="TJ41" s="394"/>
      <c r="TK41" s="394"/>
      <c r="TL41" s="394"/>
      <c r="TM41" s="394"/>
      <c r="TN41" s="394"/>
      <c r="TO41" s="394"/>
      <c r="TP41" s="394"/>
      <c r="TQ41" s="394"/>
      <c r="TR41" s="394"/>
      <c r="TS41" s="394"/>
      <c r="TT41" s="394"/>
      <c r="TU41" s="394"/>
      <c r="TV41" s="394"/>
      <c r="TW41" s="394"/>
      <c r="TX41" s="394"/>
      <c r="TY41" s="394"/>
      <c r="TZ41" s="394"/>
      <c r="UA41" s="394"/>
      <c r="UB41" s="394"/>
      <c r="UC41" s="394"/>
      <c r="UD41" s="394"/>
      <c r="UE41" s="394"/>
      <c r="UF41" s="394"/>
      <c r="UG41" s="394"/>
      <c r="UH41" s="394"/>
      <c r="UI41" s="394"/>
      <c r="UJ41" s="394"/>
      <c r="UK41" s="394"/>
      <c r="UL41" s="394"/>
      <c r="UM41" s="394"/>
      <c r="UN41" s="394"/>
      <c r="UO41" s="394"/>
      <c r="UP41" s="394"/>
      <c r="UQ41" s="394"/>
      <c r="UR41" s="394"/>
      <c r="US41" s="394"/>
      <c r="UT41" s="394"/>
      <c r="UU41" s="394"/>
      <c r="UV41" s="394"/>
      <c r="UW41" s="394"/>
      <c r="UX41" s="394"/>
      <c r="UY41" s="394"/>
      <c r="UZ41" s="394"/>
      <c r="VA41" s="394"/>
      <c r="VB41" s="394"/>
      <c r="VC41" s="394"/>
      <c r="VD41" s="394"/>
      <c r="VE41" s="394"/>
      <c r="VF41" s="394"/>
      <c r="VG41" s="394"/>
      <c r="VH41" s="394"/>
      <c r="VI41" s="394"/>
      <c r="VJ41" s="394"/>
      <c r="VK41" s="394"/>
      <c r="VL41" s="394"/>
      <c r="VM41" s="394"/>
      <c r="VN41" s="394"/>
      <c r="VO41" s="394"/>
      <c r="VP41" s="394"/>
      <c r="VQ41" s="394"/>
      <c r="VR41" s="394"/>
      <c r="VS41" s="394"/>
      <c r="VT41" s="394"/>
      <c r="VU41" s="394"/>
      <c r="VV41" s="394"/>
      <c r="VW41" s="394"/>
      <c r="VX41" s="394"/>
      <c r="VY41" s="394"/>
      <c r="VZ41" s="394"/>
      <c r="WA41" s="394"/>
      <c r="WB41" s="394"/>
      <c r="WC41" s="394"/>
      <c r="WD41" s="394"/>
      <c r="WE41" s="394"/>
      <c r="WF41" s="394"/>
      <c r="WG41" s="394"/>
      <c r="WH41" s="394"/>
      <c r="WI41" s="394"/>
      <c r="WJ41" s="394"/>
      <c r="WK41" s="394"/>
      <c r="WL41" s="394"/>
      <c r="WM41" s="394"/>
      <c r="WN41" s="394"/>
      <c r="WO41" s="394"/>
      <c r="WP41" s="394"/>
      <c r="WQ41" s="394"/>
      <c r="WR41" s="394"/>
      <c r="WS41" s="394"/>
      <c r="WT41" s="394"/>
      <c r="WU41" s="394"/>
      <c r="WV41" s="394"/>
      <c r="WW41" s="394"/>
      <c r="WX41" s="394"/>
      <c r="WY41" s="394"/>
      <c r="WZ41" s="394"/>
      <c r="XA41" s="394"/>
      <c r="XB41" s="394"/>
      <c r="XC41" s="394"/>
      <c r="XD41" s="394"/>
      <c r="XE41" s="394"/>
      <c r="XF41" s="394"/>
      <c r="XG41" s="394"/>
      <c r="XH41" s="394"/>
      <c r="XI41" s="394"/>
      <c r="XJ41" s="394"/>
      <c r="XK41" s="394"/>
      <c r="XL41" s="394"/>
      <c r="XM41" s="394"/>
      <c r="XN41" s="394"/>
      <c r="XO41" s="394"/>
      <c r="XP41" s="394"/>
      <c r="XQ41" s="394"/>
      <c r="XR41" s="394"/>
      <c r="XS41" s="394"/>
      <c r="XT41" s="394"/>
      <c r="XU41" s="394"/>
      <c r="XV41" s="394"/>
      <c r="XW41" s="394"/>
      <c r="XX41" s="394"/>
      <c r="XY41" s="394"/>
      <c r="XZ41" s="394"/>
      <c r="YA41" s="394"/>
      <c r="YB41" s="394"/>
      <c r="YC41" s="394"/>
      <c r="YD41" s="394"/>
      <c r="YE41" s="394"/>
      <c r="YF41" s="394"/>
      <c r="YG41" s="394"/>
      <c r="YH41" s="394"/>
      <c r="YI41" s="394"/>
      <c r="YJ41" s="394"/>
      <c r="YK41" s="394"/>
      <c r="YL41" s="394"/>
      <c r="YM41" s="394"/>
      <c r="YN41" s="394"/>
      <c r="YO41" s="394"/>
      <c r="YP41" s="394"/>
      <c r="YQ41" s="394"/>
      <c r="YR41" s="394"/>
      <c r="YS41" s="394"/>
      <c r="YT41" s="394"/>
      <c r="YU41" s="394"/>
      <c r="YV41" s="394"/>
      <c r="YW41" s="394"/>
      <c r="YX41" s="394"/>
      <c r="YY41" s="394"/>
      <c r="YZ41" s="394"/>
      <c r="ZA41" s="394"/>
      <c r="ZB41" s="394"/>
      <c r="ZC41" s="394"/>
      <c r="ZD41" s="394"/>
      <c r="ZE41" s="394"/>
      <c r="ZF41" s="394"/>
      <c r="ZG41" s="394"/>
      <c r="ZH41" s="394"/>
      <c r="ZI41" s="394"/>
      <c r="ZJ41" s="394"/>
      <c r="ZK41" s="394"/>
      <c r="ZL41" s="394"/>
      <c r="ZM41" s="394"/>
      <c r="ZN41" s="394"/>
      <c r="ZO41" s="394"/>
      <c r="ZP41" s="394"/>
      <c r="ZQ41" s="394"/>
      <c r="ZR41" s="394"/>
      <c r="ZS41" s="394"/>
      <c r="ZT41" s="394"/>
      <c r="ZU41" s="394"/>
      <c r="ZV41" s="394"/>
      <c r="ZW41" s="394"/>
      <c r="ZX41" s="394"/>
      <c r="ZY41" s="394"/>
      <c r="ZZ41" s="394"/>
      <c r="AAA41" s="394"/>
      <c r="AAB41" s="394"/>
      <c r="AAC41" s="394"/>
      <c r="AAD41" s="394"/>
      <c r="AAE41" s="394"/>
      <c r="AAF41" s="394"/>
      <c r="AAG41" s="394"/>
      <c r="AAH41" s="394"/>
      <c r="AAI41" s="394"/>
      <c r="AAJ41" s="394"/>
      <c r="AAK41" s="394"/>
      <c r="AAL41" s="394"/>
      <c r="AAM41" s="394"/>
      <c r="AAN41" s="394"/>
      <c r="AAO41" s="394"/>
      <c r="AAP41" s="394"/>
      <c r="AAQ41" s="394"/>
      <c r="AAR41" s="394"/>
      <c r="AAS41" s="394"/>
      <c r="AAT41" s="394"/>
      <c r="AAU41" s="394"/>
      <c r="AAV41" s="394"/>
      <c r="AAW41" s="394"/>
      <c r="AAX41" s="394"/>
      <c r="AAY41" s="394"/>
      <c r="AAZ41" s="394"/>
      <c r="ABA41" s="394"/>
      <c r="ABB41" s="394"/>
      <c r="ABC41" s="394"/>
      <c r="ABD41" s="394"/>
      <c r="ABE41" s="394"/>
      <c r="ABF41" s="394"/>
      <c r="ABG41" s="394"/>
      <c r="ABH41" s="394"/>
      <c r="ABI41" s="394"/>
      <c r="ABJ41" s="394"/>
      <c r="ABK41" s="394"/>
      <c r="ABL41" s="394"/>
      <c r="ABM41" s="394"/>
      <c r="ABN41" s="394"/>
      <c r="ABO41" s="394"/>
      <c r="ABP41" s="394"/>
      <c r="ABQ41" s="394"/>
      <c r="ABR41" s="394"/>
      <c r="ABS41" s="394"/>
      <c r="ABT41" s="394"/>
      <c r="ABU41" s="394"/>
      <c r="ABV41" s="394"/>
      <c r="ABW41" s="394"/>
      <c r="ABX41" s="394"/>
      <c r="ABY41" s="394"/>
      <c r="ABZ41" s="394"/>
      <c r="ACA41" s="394"/>
      <c r="ACB41" s="394"/>
      <c r="ACC41" s="394"/>
      <c r="ACD41" s="394"/>
      <c r="ACE41" s="394"/>
      <c r="ACF41" s="394"/>
      <c r="ACG41" s="394"/>
      <c r="ACH41" s="394"/>
      <c r="ACI41" s="394"/>
      <c r="ACJ41" s="394"/>
      <c r="ACK41" s="394"/>
      <c r="ACL41" s="394"/>
      <c r="ACM41" s="394"/>
      <c r="ACN41" s="394"/>
      <c r="ACO41" s="394"/>
      <c r="ACP41" s="394"/>
      <c r="ACQ41" s="394"/>
      <c r="ACR41" s="394"/>
      <c r="ACS41" s="394"/>
      <c r="ACT41" s="394"/>
      <c r="ACU41" s="394"/>
      <c r="ACV41" s="394"/>
      <c r="ACW41" s="394"/>
      <c r="ACX41" s="394"/>
      <c r="ACY41" s="394"/>
      <c r="ACZ41" s="394"/>
      <c r="ADA41" s="394"/>
      <c r="ADB41" s="394"/>
      <c r="ADC41" s="394"/>
      <c r="ADD41" s="394"/>
      <c r="ADE41" s="394"/>
      <c r="ADF41" s="394"/>
      <c r="ADG41" s="394"/>
      <c r="ADH41" s="394"/>
      <c r="ADI41" s="394"/>
      <c r="ADJ41" s="394"/>
      <c r="ADK41" s="394"/>
      <c r="ADL41" s="394"/>
      <c r="ADM41" s="394"/>
      <c r="ADN41" s="394"/>
      <c r="ADO41" s="394"/>
      <c r="ADP41" s="394"/>
      <c r="ADQ41" s="394"/>
      <c r="ADR41" s="394"/>
      <c r="ADS41" s="394"/>
      <c r="ADT41" s="394"/>
      <c r="ADU41" s="394"/>
      <c r="ADV41" s="394"/>
      <c r="ADW41" s="394"/>
      <c r="ADX41" s="394"/>
      <c r="ADY41" s="394"/>
      <c r="ADZ41" s="394"/>
      <c r="AEA41" s="394"/>
      <c r="AEB41" s="394"/>
      <c r="AEC41" s="394"/>
      <c r="AED41" s="394"/>
      <c r="AEE41" s="394"/>
      <c r="AEF41" s="394"/>
      <c r="AEG41" s="394"/>
      <c r="AEH41" s="394"/>
      <c r="AEI41" s="394"/>
      <c r="AEJ41" s="394"/>
      <c r="AEK41" s="394"/>
      <c r="AEL41" s="394"/>
      <c r="AEM41" s="394"/>
      <c r="AEN41" s="394"/>
      <c r="AEO41" s="394"/>
      <c r="AEP41" s="394"/>
      <c r="AEQ41" s="394"/>
      <c r="AER41" s="394"/>
      <c r="AES41" s="394"/>
      <c r="AET41" s="394"/>
      <c r="AEU41" s="394"/>
      <c r="AEV41" s="394"/>
      <c r="AEW41" s="394"/>
      <c r="AEX41" s="394"/>
      <c r="AEY41" s="394"/>
      <c r="AEZ41" s="394"/>
      <c r="AFA41" s="394"/>
      <c r="AFB41" s="394"/>
      <c r="AFC41" s="394"/>
      <c r="AFD41" s="394"/>
      <c r="AFE41" s="394"/>
      <c r="AFF41" s="394"/>
      <c r="AFG41" s="394"/>
      <c r="AFH41" s="394"/>
      <c r="AFI41" s="394"/>
      <c r="AFJ41" s="394"/>
      <c r="AFK41" s="394"/>
      <c r="AFL41" s="394"/>
      <c r="AFM41" s="394"/>
      <c r="AFN41" s="394"/>
      <c r="AFO41" s="394"/>
      <c r="AFP41" s="394"/>
      <c r="AFQ41" s="394"/>
      <c r="AFR41" s="394"/>
      <c r="AFS41" s="394"/>
      <c r="AFT41" s="394"/>
      <c r="AFU41" s="394"/>
      <c r="AFV41" s="394"/>
      <c r="AFW41" s="394"/>
      <c r="AFX41" s="394"/>
      <c r="AFY41" s="394"/>
      <c r="AFZ41" s="394"/>
      <c r="AGA41" s="394"/>
      <c r="AGB41" s="394"/>
      <c r="AGC41" s="394"/>
      <c r="AGD41" s="394"/>
      <c r="AGE41" s="394"/>
      <c r="AGF41" s="394"/>
      <c r="AGG41" s="394"/>
      <c r="AGH41" s="394"/>
      <c r="AGI41" s="394"/>
      <c r="AGJ41" s="394"/>
      <c r="AGK41" s="394"/>
      <c r="AGL41" s="394"/>
      <c r="AGM41" s="394"/>
      <c r="AGN41" s="394"/>
      <c r="AGO41" s="394"/>
      <c r="AGP41" s="394"/>
      <c r="AGQ41" s="394"/>
      <c r="AGR41" s="394"/>
      <c r="AGS41" s="394"/>
      <c r="AGT41" s="394"/>
      <c r="AGU41" s="394"/>
      <c r="AGV41" s="394"/>
      <c r="AGW41" s="394"/>
      <c r="AGX41" s="394"/>
      <c r="AGY41" s="394"/>
      <c r="AGZ41" s="394"/>
      <c r="AHA41" s="394"/>
      <c r="AHB41" s="394"/>
      <c r="AHC41" s="394"/>
      <c r="AHD41" s="394"/>
      <c r="AHE41" s="394"/>
      <c r="AHF41" s="394"/>
      <c r="AHG41" s="394"/>
      <c r="AHH41" s="394"/>
      <c r="AHI41" s="394"/>
      <c r="AHJ41" s="394"/>
      <c r="AHK41" s="394"/>
      <c r="AHL41" s="394"/>
      <c r="AHM41" s="394"/>
      <c r="AHN41" s="394"/>
      <c r="AHO41" s="394"/>
      <c r="AHP41" s="394"/>
      <c r="AHQ41" s="394"/>
      <c r="AHR41" s="394"/>
      <c r="AHS41" s="394"/>
      <c r="AHT41" s="394"/>
      <c r="AHU41" s="394"/>
      <c r="AHV41" s="394"/>
      <c r="AHW41" s="394"/>
      <c r="AHX41" s="394"/>
      <c r="AHY41" s="394"/>
      <c r="AHZ41" s="394"/>
      <c r="AIA41" s="394"/>
      <c r="AIB41" s="394"/>
      <c r="AIC41" s="394"/>
      <c r="AID41" s="394"/>
      <c r="AIE41" s="394"/>
      <c r="AIF41" s="394"/>
      <c r="AIG41" s="394"/>
      <c r="AIH41" s="394"/>
      <c r="AII41" s="394"/>
      <c r="AIJ41" s="394"/>
      <c r="AIK41" s="394"/>
      <c r="AIL41" s="394"/>
      <c r="AIM41" s="394"/>
      <c r="AIN41" s="394"/>
      <c r="AIO41" s="394"/>
      <c r="AIP41" s="394"/>
      <c r="AIQ41" s="394"/>
      <c r="AIR41" s="394"/>
      <c r="AIS41" s="394"/>
      <c r="AIT41" s="394"/>
      <c r="AIU41" s="394"/>
      <c r="AIV41" s="394"/>
      <c r="AIW41" s="394"/>
      <c r="AIX41" s="394"/>
      <c r="AIY41" s="394"/>
      <c r="AIZ41" s="394"/>
      <c r="AJA41" s="394"/>
      <c r="AJB41" s="394"/>
      <c r="AJC41" s="394"/>
      <c r="AJD41" s="394"/>
      <c r="AJE41" s="394"/>
      <c r="AJF41" s="394"/>
      <c r="AJG41" s="394"/>
      <c r="AJH41" s="394"/>
      <c r="AJI41" s="394"/>
      <c r="AJJ41" s="394"/>
      <c r="AJK41" s="394"/>
      <c r="AJL41" s="394"/>
      <c r="AJM41" s="394"/>
      <c r="AJN41" s="394"/>
      <c r="AJO41" s="394"/>
      <c r="AJP41" s="394"/>
      <c r="AJQ41" s="394"/>
      <c r="AJR41" s="394"/>
      <c r="AJS41" s="394"/>
      <c r="AJT41" s="394"/>
      <c r="AJU41" s="394"/>
      <c r="AJV41" s="394"/>
      <c r="AJW41" s="394"/>
      <c r="AJX41" s="394"/>
      <c r="AJY41" s="394"/>
      <c r="AJZ41" s="394"/>
      <c r="AKA41" s="394"/>
      <c r="AKB41" s="394"/>
      <c r="AKC41" s="394"/>
      <c r="AKD41" s="394"/>
      <c r="AKE41" s="394"/>
      <c r="AKF41" s="394"/>
      <c r="AKG41" s="394"/>
      <c r="AKH41" s="394"/>
      <c r="AKI41" s="394"/>
      <c r="AKJ41" s="394"/>
      <c r="AKK41" s="394"/>
      <c r="AKL41" s="394"/>
      <c r="AKM41" s="394"/>
      <c r="AKN41" s="394"/>
      <c r="AKO41" s="394"/>
      <c r="AKP41" s="394"/>
      <c r="AKQ41" s="394"/>
      <c r="AKR41" s="394"/>
      <c r="AKS41" s="394"/>
      <c r="AKT41" s="394"/>
      <c r="AKU41" s="394"/>
      <c r="AKV41" s="394"/>
      <c r="AKW41" s="394"/>
      <c r="AKX41" s="394"/>
      <c r="AKY41" s="394"/>
      <c r="AKZ41" s="394"/>
      <c r="ALA41" s="394"/>
      <c r="ALB41" s="394"/>
      <c r="ALC41" s="394"/>
      <c r="ALD41" s="394"/>
      <c r="ALE41" s="394"/>
      <c r="ALF41" s="394"/>
      <c r="ALG41" s="394"/>
      <c r="ALH41" s="394"/>
      <c r="ALI41" s="394"/>
      <c r="ALJ41" s="394"/>
      <c r="ALK41" s="394"/>
      <c r="ALL41" s="394"/>
      <c r="ALM41" s="394"/>
      <c r="ALN41" s="394"/>
      <c r="ALO41" s="394"/>
      <c r="ALP41" s="394"/>
      <c r="ALQ41" s="394"/>
      <c r="ALR41" s="394"/>
      <c r="ALS41" s="394"/>
      <c r="ALT41" s="394"/>
      <c r="ALU41" s="394"/>
      <c r="ALV41" s="394"/>
      <c r="ALW41" s="394"/>
      <c r="ALX41" s="394"/>
      <c r="ALY41" s="394"/>
      <c r="ALZ41" s="394"/>
      <c r="AMA41" s="394"/>
      <c r="AMB41" s="394"/>
      <c r="AMC41" s="394"/>
      <c r="AMD41" s="394"/>
      <c r="AME41" s="394"/>
      <c r="AMF41" s="394"/>
      <c r="AMG41" s="394"/>
      <c r="AMH41" s="394"/>
      <c r="AMI41" s="394"/>
      <c r="AMJ41" s="394"/>
      <c r="AMK41" s="394"/>
      <c r="AML41" s="394"/>
      <c r="AMM41" s="394"/>
      <c r="AMN41" s="394"/>
      <c r="AMO41" s="394"/>
      <c r="AMP41" s="394"/>
      <c r="AMQ41" s="394"/>
      <c r="AMR41" s="394"/>
      <c r="AMS41" s="394"/>
      <c r="AMT41" s="394"/>
      <c r="AMU41" s="394"/>
      <c r="AMV41" s="394"/>
      <c r="AMW41" s="394"/>
      <c r="AMX41" s="394"/>
      <c r="AMY41" s="394"/>
      <c r="AMZ41" s="394"/>
      <c r="ANA41" s="394"/>
      <c r="ANB41" s="394"/>
      <c r="ANC41" s="394"/>
      <c r="AND41" s="394"/>
      <c r="ANE41" s="394"/>
      <c r="ANF41" s="394"/>
      <c r="ANG41" s="394"/>
      <c r="ANH41" s="394"/>
      <c r="ANI41" s="394"/>
      <c r="ANJ41" s="394"/>
      <c r="ANK41" s="394"/>
      <c r="ANL41" s="394"/>
      <c r="ANM41" s="394"/>
      <c r="ANN41" s="394"/>
      <c r="ANO41" s="394"/>
      <c r="ANP41" s="394"/>
      <c r="ANQ41" s="394"/>
      <c r="ANR41" s="394"/>
      <c r="ANS41" s="394"/>
      <c r="ANT41" s="394"/>
      <c r="ANU41" s="394"/>
      <c r="ANV41" s="394"/>
      <c r="ANW41" s="394"/>
      <c r="ANX41" s="394"/>
      <c r="ANY41" s="394"/>
      <c r="ANZ41" s="394"/>
      <c r="AOA41" s="394"/>
      <c r="AOB41" s="394"/>
      <c r="AOC41" s="394"/>
      <c r="AOD41" s="394"/>
      <c r="AOE41" s="394"/>
      <c r="AOF41" s="394"/>
      <c r="AOG41" s="394"/>
      <c r="AOH41" s="394"/>
      <c r="AOI41" s="394"/>
      <c r="AOJ41" s="394"/>
      <c r="AOK41" s="394"/>
      <c r="AOL41" s="394"/>
      <c r="AOM41" s="394"/>
      <c r="AON41" s="394"/>
      <c r="AOO41" s="394"/>
      <c r="AOP41" s="394"/>
      <c r="AOQ41" s="394"/>
      <c r="AOR41" s="394"/>
      <c r="AOS41" s="394"/>
      <c r="AOT41" s="394"/>
      <c r="AOU41" s="394"/>
      <c r="AOV41" s="394"/>
      <c r="AOW41" s="394"/>
      <c r="AOX41" s="394"/>
      <c r="AOY41" s="394"/>
      <c r="AOZ41" s="394"/>
      <c r="APA41" s="394"/>
      <c r="APB41" s="394"/>
      <c r="APC41" s="394"/>
      <c r="APD41" s="394"/>
      <c r="APE41" s="394"/>
      <c r="APF41" s="394"/>
      <c r="APG41" s="394"/>
      <c r="APH41" s="394"/>
      <c r="API41" s="394"/>
      <c r="APJ41" s="394"/>
      <c r="APK41" s="394"/>
      <c r="APL41" s="394"/>
      <c r="APM41" s="394"/>
      <c r="APN41" s="394"/>
      <c r="APO41" s="394"/>
      <c r="APP41" s="394"/>
      <c r="APQ41" s="394"/>
      <c r="APR41" s="394"/>
      <c r="APS41" s="394"/>
      <c r="APT41" s="394"/>
      <c r="APU41" s="394"/>
      <c r="APV41" s="394"/>
      <c r="APW41" s="394"/>
      <c r="APX41" s="394"/>
      <c r="APY41" s="394"/>
      <c r="APZ41" s="394"/>
      <c r="AQA41" s="394"/>
      <c r="AQB41" s="394"/>
      <c r="AQC41" s="394"/>
      <c r="AQD41" s="394"/>
      <c r="AQE41" s="394"/>
      <c r="AQF41" s="394"/>
      <c r="AQG41" s="394"/>
      <c r="AQH41" s="394"/>
      <c r="AQI41" s="394"/>
      <c r="AQJ41" s="394"/>
      <c r="AQK41" s="394"/>
      <c r="AQL41" s="394"/>
      <c r="AQM41" s="394"/>
      <c r="AQN41" s="394"/>
      <c r="AQO41" s="394"/>
      <c r="AQP41" s="394"/>
      <c r="AQQ41" s="394"/>
      <c r="AQR41" s="394"/>
      <c r="AQS41" s="394"/>
      <c r="AQT41" s="394"/>
      <c r="AQU41" s="394"/>
      <c r="AQV41" s="394"/>
      <c r="AQW41" s="394"/>
      <c r="AQX41" s="394"/>
      <c r="AQY41" s="394"/>
      <c r="AQZ41" s="394"/>
      <c r="ARA41" s="394"/>
      <c r="ARB41" s="394"/>
      <c r="ARC41" s="394"/>
      <c r="ARD41" s="394"/>
      <c r="ARE41" s="394"/>
      <c r="ARF41" s="394"/>
      <c r="ARG41" s="394"/>
      <c r="ARH41" s="394"/>
      <c r="ARI41" s="394"/>
      <c r="ARJ41" s="394"/>
      <c r="ARK41" s="394"/>
      <c r="ARL41" s="394"/>
      <c r="ARM41" s="394"/>
      <c r="ARN41" s="394"/>
      <c r="ARO41" s="394"/>
      <c r="ARP41" s="394"/>
      <c r="ARQ41" s="394"/>
      <c r="ARR41" s="394"/>
      <c r="ARS41" s="394"/>
      <c r="ART41" s="394"/>
      <c r="ARU41" s="394"/>
      <c r="ARV41" s="394"/>
      <c r="ARW41" s="394"/>
      <c r="ARX41" s="394"/>
      <c r="ARY41" s="394"/>
      <c r="ARZ41" s="394"/>
      <c r="ASA41" s="394"/>
      <c r="ASB41" s="394"/>
      <c r="ASC41" s="394"/>
      <c r="ASD41" s="394"/>
      <c r="ASE41" s="394"/>
      <c r="ASF41" s="394"/>
      <c r="ASG41" s="394"/>
      <c r="ASH41" s="394"/>
      <c r="ASI41" s="394"/>
      <c r="ASJ41" s="394"/>
      <c r="ASK41" s="394"/>
      <c r="ASL41" s="394"/>
      <c r="ASM41" s="394"/>
      <c r="ASN41" s="394"/>
      <c r="ASO41" s="394"/>
      <c r="ASP41" s="394"/>
      <c r="ASQ41" s="394"/>
      <c r="ASR41" s="394"/>
      <c r="ASS41" s="394"/>
      <c r="AST41" s="394"/>
      <c r="ASU41" s="394"/>
      <c r="ASV41" s="394"/>
      <c r="ASW41" s="394"/>
      <c r="ASX41" s="394"/>
      <c r="ASY41" s="394"/>
      <c r="ASZ41" s="394"/>
      <c r="ATA41" s="394"/>
      <c r="ATB41" s="394"/>
      <c r="ATC41" s="394"/>
      <c r="ATD41" s="394"/>
      <c r="ATE41" s="394"/>
      <c r="ATF41" s="394"/>
      <c r="ATG41" s="394"/>
      <c r="ATH41" s="394"/>
      <c r="ATI41" s="394"/>
      <c r="ATJ41" s="394"/>
      <c r="ATK41" s="394"/>
      <c r="ATL41" s="394"/>
      <c r="ATM41" s="394"/>
      <c r="ATN41" s="394"/>
      <c r="ATO41" s="394"/>
      <c r="ATP41" s="394"/>
      <c r="ATQ41" s="394"/>
      <c r="ATR41" s="394"/>
      <c r="ATS41" s="394"/>
      <c r="ATT41" s="394"/>
      <c r="ATU41" s="394"/>
      <c r="ATV41" s="394"/>
      <c r="ATW41" s="394"/>
      <c r="ATX41" s="394"/>
      <c r="ATY41" s="394"/>
      <c r="ATZ41" s="394"/>
      <c r="AUA41" s="394"/>
      <c r="AUB41" s="394"/>
      <c r="AUC41" s="394"/>
      <c r="AUD41" s="394"/>
      <c r="AUE41" s="394"/>
      <c r="AUF41" s="394"/>
      <c r="AUG41" s="394"/>
      <c r="AUH41" s="394"/>
      <c r="AUI41" s="394"/>
      <c r="AUJ41" s="394"/>
      <c r="AUK41" s="394"/>
      <c r="AUL41" s="394"/>
      <c r="AUM41" s="394"/>
      <c r="AUN41" s="394"/>
      <c r="AUO41" s="394"/>
      <c r="AUP41" s="394"/>
      <c r="AUQ41" s="394"/>
      <c r="AUR41" s="394"/>
      <c r="AUS41" s="394"/>
      <c r="AUT41" s="394"/>
      <c r="AUU41" s="394"/>
      <c r="AUV41" s="394"/>
      <c r="AUW41" s="394"/>
      <c r="AUX41" s="394"/>
      <c r="AUY41" s="394"/>
      <c r="AUZ41" s="394"/>
      <c r="AVA41" s="394"/>
      <c r="AVB41" s="394"/>
      <c r="AVC41" s="394"/>
      <c r="AVD41" s="394"/>
      <c r="AVE41" s="394"/>
      <c r="AVF41" s="394"/>
      <c r="AVG41" s="394"/>
      <c r="AVH41" s="394"/>
      <c r="AVI41" s="394"/>
      <c r="AVJ41" s="394"/>
      <c r="AVK41" s="394"/>
      <c r="AVL41" s="394"/>
      <c r="AVM41" s="394"/>
      <c r="AVN41" s="394"/>
      <c r="AVO41" s="394"/>
      <c r="AVP41" s="394"/>
      <c r="AVQ41" s="394"/>
      <c r="AVR41" s="394"/>
      <c r="AVS41" s="394"/>
      <c r="AVT41" s="394"/>
      <c r="AVU41" s="394"/>
      <c r="AVV41" s="394"/>
      <c r="AVW41" s="394"/>
      <c r="AVX41" s="394"/>
      <c r="AVY41" s="394"/>
      <c r="AVZ41" s="394"/>
      <c r="AWA41" s="394"/>
      <c r="AWB41" s="394"/>
      <c r="AWC41" s="394"/>
      <c r="AWD41" s="394"/>
      <c r="AWE41" s="394"/>
      <c r="AWF41" s="394"/>
      <c r="AWG41" s="394"/>
      <c r="AWH41" s="394"/>
      <c r="AWI41" s="394"/>
      <c r="AWJ41" s="394"/>
      <c r="AWK41" s="394"/>
      <c r="AWL41" s="394"/>
      <c r="AWM41" s="394"/>
      <c r="AWN41" s="394"/>
      <c r="AWO41" s="394"/>
      <c r="AWP41" s="394"/>
      <c r="AWQ41" s="394"/>
      <c r="AWR41" s="394"/>
      <c r="AWS41" s="394"/>
      <c r="AWT41" s="394"/>
      <c r="AWU41" s="394"/>
      <c r="AWV41" s="394"/>
      <c r="AWW41" s="394"/>
      <c r="AWX41" s="394"/>
      <c r="AWY41" s="394"/>
      <c r="AWZ41" s="394"/>
      <c r="AXA41" s="394"/>
      <c r="AXB41" s="394"/>
      <c r="AXC41" s="394"/>
      <c r="AXD41" s="394"/>
      <c r="AXE41" s="394"/>
      <c r="AXF41" s="394"/>
      <c r="AXG41" s="394"/>
      <c r="AXH41" s="394"/>
      <c r="AXI41" s="394"/>
      <c r="AXJ41" s="394"/>
      <c r="AXK41" s="394"/>
      <c r="AXL41" s="394"/>
      <c r="AXM41" s="394"/>
      <c r="AXN41" s="394"/>
      <c r="AXO41" s="394"/>
      <c r="AXP41" s="394"/>
      <c r="AXQ41" s="394"/>
      <c r="AXR41" s="394"/>
      <c r="AXS41" s="394"/>
      <c r="AXT41" s="394"/>
      <c r="AXU41" s="394"/>
      <c r="AXV41" s="394"/>
      <c r="AXW41" s="394"/>
      <c r="AXX41" s="394"/>
      <c r="AXY41" s="394"/>
      <c r="AXZ41" s="394"/>
      <c r="AYA41" s="394"/>
      <c r="AYB41" s="394"/>
      <c r="AYC41" s="394"/>
      <c r="AYD41" s="394"/>
      <c r="AYE41" s="394"/>
      <c r="AYF41" s="394"/>
      <c r="AYG41" s="394"/>
      <c r="AYH41" s="394"/>
      <c r="AYI41" s="394"/>
      <c r="AYJ41" s="394"/>
      <c r="AYK41" s="394"/>
      <c r="AYL41" s="394"/>
      <c r="AYM41" s="394"/>
      <c r="AYN41" s="394"/>
      <c r="AYO41" s="394"/>
      <c r="AYP41" s="394"/>
      <c r="AYQ41" s="394"/>
      <c r="AYR41" s="394"/>
      <c r="AYS41" s="394"/>
      <c r="AYT41" s="394"/>
      <c r="AYU41" s="394"/>
      <c r="AYV41" s="394"/>
      <c r="AYW41" s="394"/>
      <c r="AYX41" s="394"/>
      <c r="AYY41" s="394"/>
      <c r="AYZ41" s="394"/>
      <c r="AZA41" s="394"/>
      <c r="AZB41" s="394"/>
      <c r="AZC41" s="394"/>
      <c r="AZD41" s="394"/>
      <c r="AZE41" s="394"/>
      <c r="AZF41" s="394"/>
      <c r="AZG41" s="394"/>
      <c r="AZH41" s="394"/>
      <c r="AZI41" s="394"/>
      <c r="AZJ41" s="394"/>
      <c r="AZK41" s="394"/>
      <c r="AZL41" s="394"/>
      <c r="AZM41" s="394"/>
      <c r="AZN41" s="394"/>
      <c r="AZO41" s="394"/>
      <c r="AZP41" s="394"/>
      <c r="AZQ41" s="394"/>
      <c r="AZR41" s="394"/>
      <c r="AZS41" s="394"/>
      <c r="AZT41" s="394"/>
      <c r="AZU41" s="394"/>
      <c r="AZV41" s="394"/>
      <c r="AZW41" s="394"/>
      <c r="AZX41" s="394"/>
      <c r="AZY41" s="394"/>
      <c r="AZZ41" s="394"/>
      <c r="BAA41" s="394"/>
      <c r="BAB41" s="394"/>
      <c r="BAC41" s="394"/>
      <c r="BAD41" s="394"/>
      <c r="BAE41" s="394"/>
      <c r="BAF41" s="394"/>
      <c r="BAG41" s="394"/>
      <c r="BAH41" s="394"/>
      <c r="BAI41" s="394"/>
      <c r="BAJ41" s="394"/>
      <c r="BAK41" s="394"/>
      <c r="BAL41" s="394"/>
      <c r="BAM41" s="394"/>
      <c r="BAN41" s="394"/>
      <c r="BAO41" s="394"/>
      <c r="BAP41" s="394"/>
      <c r="BAQ41" s="394"/>
      <c r="BAR41" s="394"/>
      <c r="BAS41" s="394"/>
      <c r="BAT41" s="394"/>
      <c r="BAU41" s="394"/>
      <c r="BAV41" s="394"/>
      <c r="BAW41" s="394"/>
      <c r="BAX41" s="394"/>
      <c r="BAY41" s="394"/>
      <c r="BAZ41" s="394"/>
      <c r="BBA41" s="394"/>
      <c r="BBB41" s="394"/>
      <c r="BBC41" s="394"/>
      <c r="BBD41" s="394"/>
      <c r="BBE41" s="394"/>
      <c r="BBF41" s="394"/>
      <c r="BBG41" s="394"/>
      <c r="BBH41" s="394"/>
      <c r="BBI41" s="394"/>
      <c r="BBJ41" s="394"/>
      <c r="BBK41" s="394"/>
      <c r="BBL41" s="394"/>
      <c r="BBM41" s="394"/>
      <c r="BBN41" s="394"/>
      <c r="BBO41" s="394"/>
      <c r="BBP41" s="394"/>
      <c r="BBQ41" s="394"/>
      <c r="BBR41" s="394"/>
      <c r="BBS41" s="394"/>
      <c r="BBT41" s="394"/>
      <c r="BBU41" s="394"/>
      <c r="BBV41" s="394"/>
      <c r="BBW41" s="394"/>
      <c r="BBX41" s="394"/>
      <c r="BBY41" s="394"/>
      <c r="BBZ41" s="394"/>
      <c r="BCA41" s="394"/>
      <c r="BCB41" s="394"/>
      <c r="BCC41" s="394"/>
      <c r="BCD41" s="394"/>
      <c r="BCE41" s="394"/>
      <c r="BCF41" s="394"/>
      <c r="BCG41" s="394"/>
      <c r="BCH41" s="394"/>
      <c r="BCI41" s="394"/>
      <c r="BCJ41" s="394"/>
      <c r="BCK41" s="394"/>
      <c r="BCL41" s="394"/>
      <c r="BCM41" s="394"/>
      <c r="BCN41" s="394"/>
      <c r="BCO41" s="394"/>
      <c r="BCP41" s="394"/>
      <c r="BCQ41" s="394"/>
      <c r="BCR41" s="394"/>
      <c r="BCS41" s="394"/>
      <c r="BCT41" s="394"/>
      <c r="BCU41" s="394"/>
      <c r="BCV41" s="394"/>
      <c r="BCW41" s="394"/>
      <c r="BCX41" s="394"/>
      <c r="BCY41" s="394"/>
      <c r="BCZ41" s="394"/>
      <c r="BDA41" s="394"/>
      <c r="BDB41" s="394"/>
      <c r="BDC41" s="394"/>
      <c r="BDD41" s="394"/>
      <c r="BDE41" s="394"/>
      <c r="BDF41" s="394"/>
      <c r="BDG41" s="394"/>
      <c r="BDH41" s="394"/>
      <c r="BDI41" s="394"/>
      <c r="BDJ41" s="394"/>
      <c r="BDK41" s="394"/>
      <c r="BDL41" s="394"/>
      <c r="BDM41" s="394"/>
      <c r="BDN41" s="394"/>
      <c r="BDO41" s="394"/>
      <c r="BDP41" s="394"/>
      <c r="BDQ41" s="394"/>
      <c r="BDR41" s="394"/>
      <c r="BDS41" s="394"/>
      <c r="BDT41" s="394"/>
      <c r="BDU41" s="394"/>
      <c r="BDV41" s="394"/>
      <c r="BDW41" s="394"/>
      <c r="BDX41" s="394"/>
      <c r="BDY41" s="394"/>
      <c r="BDZ41" s="394"/>
      <c r="BEA41" s="394"/>
      <c r="BEB41" s="394"/>
      <c r="BEC41" s="394"/>
      <c r="BED41" s="394"/>
      <c r="BEE41" s="394"/>
      <c r="BEF41" s="394"/>
      <c r="BEG41" s="394"/>
      <c r="BEH41" s="394"/>
      <c r="BEI41" s="394"/>
      <c r="BEJ41" s="394"/>
      <c r="BEK41" s="394"/>
      <c r="BEL41" s="394"/>
      <c r="BEM41" s="394"/>
      <c r="BEN41" s="394"/>
      <c r="BEO41" s="394"/>
      <c r="BEP41" s="394"/>
      <c r="BEQ41" s="394"/>
      <c r="BER41" s="394"/>
      <c r="BES41" s="394"/>
      <c r="BET41" s="394"/>
      <c r="BEU41" s="394"/>
      <c r="BEV41" s="394"/>
      <c r="BEW41" s="394"/>
      <c r="BEX41" s="394"/>
      <c r="BEY41" s="394"/>
      <c r="BEZ41" s="394"/>
      <c r="BFA41" s="394"/>
      <c r="BFB41" s="394"/>
      <c r="BFC41" s="394"/>
      <c r="BFD41" s="394"/>
      <c r="BFE41" s="394"/>
      <c r="BFF41" s="394"/>
      <c r="BFG41" s="394"/>
      <c r="BFH41" s="394"/>
      <c r="BFI41" s="394"/>
      <c r="BFJ41" s="394"/>
      <c r="BFK41" s="394"/>
      <c r="BFL41" s="394"/>
      <c r="BFM41" s="394"/>
      <c r="BFN41" s="394"/>
      <c r="BFO41" s="394"/>
      <c r="BFP41" s="394"/>
      <c r="BFQ41" s="394"/>
      <c r="BFR41" s="394"/>
      <c r="BFS41" s="394"/>
      <c r="BFT41" s="394"/>
      <c r="BFU41" s="394"/>
      <c r="BFV41" s="394"/>
      <c r="BFW41" s="394"/>
      <c r="BFX41" s="394"/>
      <c r="BFY41" s="394"/>
      <c r="BFZ41" s="394"/>
      <c r="BGA41" s="394"/>
      <c r="BGB41" s="394"/>
      <c r="BGC41" s="394"/>
      <c r="BGD41" s="394"/>
      <c r="BGE41" s="394"/>
      <c r="BGF41" s="394"/>
      <c r="BGG41" s="394"/>
      <c r="BGH41" s="394"/>
      <c r="BGI41" s="394"/>
      <c r="BGJ41" s="394"/>
      <c r="BGK41" s="394"/>
      <c r="BGL41" s="394"/>
      <c r="BGM41" s="394"/>
      <c r="BGN41" s="394"/>
      <c r="BGO41" s="394"/>
      <c r="BGP41" s="394"/>
      <c r="BGQ41" s="394"/>
      <c r="BGR41" s="394"/>
      <c r="BGS41" s="394"/>
      <c r="BGT41" s="394"/>
      <c r="BGU41" s="394"/>
      <c r="BGV41" s="394"/>
      <c r="BGW41" s="394"/>
      <c r="BGX41" s="394"/>
      <c r="BGY41" s="394"/>
      <c r="BGZ41" s="394"/>
      <c r="BHA41" s="394"/>
      <c r="BHB41" s="394"/>
      <c r="BHC41" s="394"/>
      <c r="BHD41" s="394"/>
      <c r="BHE41" s="394"/>
      <c r="BHF41" s="394"/>
      <c r="BHG41" s="394"/>
      <c r="BHH41" s="394"/>
      <c r="BHI41" s="394"/>
      <c r="BHJ41" s="394"/>
      <c r="BHK41" s="394"/>
      <c r="BHL41" s="394"/>
      <c r="BHM41" s="394"/>
      <c r="BHN41" s="394"/>
      <c r="BHO41" s="394"/>
      <c r="BHP41" s="394"/>
      <c r="BHQ41" s="394"/>
      <c r="BHR41" s="394"/>
      <c r="BHS41" s="394"/>
      <c r="BHT41" s="394"/>
      <c r="BHU41" s="394"/>
      <c r="BHV41" s="394"/>
      <c r="BHW41" s="394"/>
      <c r="BHX41" s="394"/>
      <c r="BHY41" s="394"/>
      <c r="BHZ41" s="394"/>
      <c r="BIA41" s="394"/>
      <c r="BIB41" s="394"/>
      <c r="BIC41" s="394"/>
      <c r="BID41" s="394"/>
      <c r="BIE41" s="394"/>
      <c r="BIF41" s="394"/>
      <c r="BIG41" s="394"/>
      <c r="BIH41" s="394"/>
      <c r="BII41" s="394"/>
      <c r="BIJ41" s="394"/>
      <c r="BIK41" s="394"/>
      <c r="BIL41" s="394"/>
      <c r="BIM41" s="394"/>
      <c r="BIN41" s="394"/>
      <c r="BIO41" s="394"/>
      <c r="BIP41" s="394"/>
      <c r="BIQ41" s="394"/>
      <c r="BIR41" s="394"/>
      <c r="BIS41" s="394"/>
      <c r="BIT41" s="394"/>
      <c r="BIU41" s="394"/>
      <c r="BIV41" s="394"/>
      <c r="BIW41" s="394"/>
      <c r="BIX41" s="394"/>
      <c r="BIY41" s="394"/>
      <c r="BIZ41" s="394"/>
      <c r="BJA41" s="394"/>
      <c r="BJB41" s="394"/>
      <c r="BJC41" s="394"/>
      <c r="BJD41" s="394"/>
      <c r="BJE41" s="394"/>
      <c r="BJF41" s="394"/>
      <c r="BJG41" s="394"/>
      <c r="BJH41" s="394"/>
      <c r="BJI41" s="394"/>
      <c r="BJJ41" s="394"/>
      <c r="BJK41" s="394"/>
      <c r="BJL41" s="394"/>
      <c r="BJM41" s="394"/>
      <c r="BJN41" s="394"/>
      <c r="BJO41" s="394"/>
      <c r="BJP41" s="394"/>
      <c r="BJQ41" s="394"/>
      <c r="BJR41" s="394"/>
      <c r="BJS41" s="394"/>
      <c r="BJT41" s="394"/>
      <c r="BJU41" s="394"/>
      <c r="BJV41" s="394"/>
      <c r="BJW41" s="394"/>
      <c r="BJX41" s="394"/>
      <c r="BJY41" s="394"/>
      <c r="BJZ41" s="394"/>
      <c r="BKA41" s="394"/>
      <c r="BKB41" s="394"/>
      <c r="BKC41" s="394"/>
      <c r="BKD41" s="394"/>
      <c r="BKE41" s="394"/>
      <c r="BKF41" s="394"/>
      <c r="BKG41" s="394"/>
      <c r="BKH41" s="394"/>
      <c r="BKI41" s="394"/>
      <c r="BKJ41" s="394"/>
      <c r="BKK41" s="394"/>
      <c r="BKL41" s="394"/>
      <c r="BKM41" s="394"/>
      <c r="BKN41" s="394"/>
      <c r="BKO41" s="394"/>
      <c r="BKP41" s="394"/>
      <c r="BKQ41" s="394"/>
      <c r="BKR41" s="394"/>
      <c r="BKS41" s="394"/>
      <c r="BKT41" s="394"/>
      <c r="BKU41" s="394"/>
      <c r="BKV41" s="394"/>
      <c r="BKW41" s="394"/>
      <c r="BKX41" s="394"/>
      <c r="BKY41" s="394"/>
      <c r="BKZ41" s="394"/>
      <c r="BLA41" s="394"/>
      <c r="BLB41" s="394"/>
      <c r="BLC41" s="394"/>
      <c r="BLD41" s="394"/>
      <c r="BLE41" s="394"/>
      <c r="BLF41" s="394"/>
      <c r="BLG41" s="394"/>
      <c r="BLH41" s="394"/>
      <c r="BLI41" s="394"/>
      <c r="BLJ41" s="394"/>
      <c r="BLK41" s="394"/>
      <c r="BLL41" s="394"/>
      <c r="BLM41" s="394"/>
      <c r="BLN41" s="394"/>
      <c r="BLO41" s="394"/>
      <c r="BLP41" s="394"/>
      <c r="BLQ41" s="394"/>
      <c r="BLR41" s="394"/>
      <c r="BLS41" s="394"/>
      <c r="BLT41" s="394"/>
      <c r="BLU41" s="394"/>
      <c r="BLV41" s="394"/>
      <c r="BLW41" s="394"/>
      <c r="BLX41" s="394"/>
      <c r="BLY41" s="394"/>
      <c r="BLZ41" s="394"/>
      <c r="BMA41" s="394"/>
      <c r="BMB41" s="394"/>
      <c r="BMC41" s="394"/>
      <c r="BMD41" s="394"/>
      <c r="BME41" s="394"/>
      <c r="BMF41" s="394"/>
      <c r="BMG41" s="394"/>
      <c r="BMH41" s="394"/>
      <c r="BMI41" s="394"/>
      <c r="BMJ41" s="394"/>
      <c r="BMK41" s="394"/>
      <c r="BML41" s="394"/>
      <c r="BMM41" s="394"/>
      <c r="BMN41" s="394"/>
      <c r="BMO41" s="394"/>
      <c r="BMP41" s="394"/>
      <c r="BMQ41" s="394"/>
      <c r="BMR41" s="394"/>
      <c r="BMS41" s="394"/>
      <c r="BMT41" s="394"/>
      <c r="BMU41" s="394"/>
      <c r="BMV41" s="394"/>
      <c r="BMW41" s="394"/>
      <c r="BMX41" s="394"/>
      <c r="BMY41" s="394"/>
      <c r="BMZ41" s="394"/>
      <c r="BNA41" s="394"/>
      <c r="BNB41" s="394"/>
      <c r="BNC41" s="394"/>
      <c r="BND41" s="394"/>
      <c r="BNE41" s="394"/>
      <c r="BNF41" s="394"/>
      <c r="BNG41" s="394"/>
      <c r="BNH41" s="394"/>
      <c r="BNI41" s="394"/>
      <c r="BNJ41" s="394"/>
      <c r="BNK41" s="394"/>
      <c r="BNL41" s="394"/>
      <c r="BNM41" s="394"/>
      <c r="BNN41" s="394"/>
      <c r="BNO41" s="394"/>
      <c r="BNP41" s="394"/>
      <c r="BNQ41" s="394"/>
      <c r="BNR41" s="394"/>
      <c r="BNS41" s="394"/>
      <c r="BNT41" s="394"/>
      <c r="BNU41" s="394"/>
      <c r="BNV41" s="394"/>
      <c r="BNW41" s="394"/>
      <c r="BNX41" s="394"/>
      <c r="BNY41" s="394"/>
      <c r="BNZ41" s="394"/>
      <c r="BOA41" s="394"/>
      <c r="BOB41" s="394"/>
      <c r="BOC41" s="394"/>
      <c r="BOD41" s="394"/>
      <c r="BOE41" s="394"/>
      <c r="BOF41" s="394"/>
      <c r="BOG41" s="394"/>
      <c r="BOH41" s="394"/>
      <c r="BOI41" s="394"/>
      <c r="BOJ41" s="394"/>
      <c r="BOK41" s="394"/>
      <c r="BOL41" s="394"/>
      <c r="BOM41" s="394"/>
      <c r="BON41" s="394"/>
      <c r="BOO41" s="394"/>
      <c r="BOP41" s="394"/>
      <c r="BOQ41" s="394"/>
      <c r="BOR41" s="394"/>
      <c r="BOS41" s="394"/>
      <c r="BOT41" s="394"/>
      <c r="BOU41" s="394"/>
      <c r="BOV41" s="394"/>
      <c r="BOW41" s="394"/>
      <c r="BOX41" s="394"/>
      <c r="BOY41" s="394"/>
      <c r="BOZ41" s="394"/>
      <c r="BPA41" s="394"/>
      <c r="BPB41" s="394"/>
      <c r="BPC41" s="394"/>
      <c r="BPD41" s="394"/>
      <c r="BPE41" s="394"/>
      <c r="BPF41" s="394"/>
      <c r="BPG41" s="394"/>
      <c r="BPH41" s="394"/>
      <c r="BPI41" s="394"/>
      <c r="BPJ41" s="394"/>
      <c r="BPK41" s="394"/>
      <c r="BPL41" s="394"/>
      <c r="BPM41" s="394"/>
      <c r="BPN41" s="394"/>
      <c r="BPO41" s="394"/>
      <c r="BPP41" s="394"/>
      <c r="BPQ41" s="394"/>
      <c r="BPR41" s="394"/>
      <c r="BPS41" s="394"/>
      <c r="BPT41" s="394"/>
      <c r="BPU41" s="394"/>
      <c r="BPV41" s="394"/>
      <c r="BPW41" s="394"/>
      <c r="BPX41" s="394"/>
      <c r="BPY41" s="394"/>
      <c r="BPZ41" s="394"/>
      <c r="BQA41" s="394"/>
      <c r="BQB41" s="394"/>
      <c r="BQC41" s="394"/>
      <c r="BQD41" s="394"/>
      <c r="BQE41" s="394"/>
      <c r="BQF41" s="394"/>
      <c r="BQG41" s="394"/>
      <c r="BQH41" s="394"/>
      <c r="BQI41" s="394"/>
      <c r="BQJ41" s="394"/>
      <c r="BQK41" s="394"/>
      <c r="BQL41" s="394"/>
      <c r="BQM41" s="394"/>
      <c r="BQN41" s="394"/>
      <c r="BQO41" s="394"/>
      <c r="BQP41" s="394"/>
      <c r="BQQ41" s="394"/>
      <c r="BQR41" s="394"/>
      <c r="BQS41" s="394"/>
      <c r="BQT41" s="394"/>
      <c r="BQU41" s="394"/>
      <c r="BQV41" s="394"/>
      <c r="BQW41" s="394"/>
      <c r="BQX41" s="394"/>
      <c r="BQY41" s="394"/>
      <c r="BQZ41" s="394"/>
      <c r="BRA41" s="394"/>
      <c r="BRB41" s="394"/>
      <c r="BRC41" s="394"/>
      <c r="BRD41" s="394"/>
      <c r="BRE41" s="394"/>
      <c r="BRF41" s="394"/>
      <c r="BRG41" s="394"/>
      <c r="BRH41" s="394"/>
      <c r="BRI41" s="394"/>
      <c r="BRJ41" s="394"/>
      <c r="BRK41" s="394"/>
      <c r="BRL41" s="394"/>
      <c r="BRM41" s="394"/>
      <c r="BRN41" s="394"/>
      <c r="BRO41" s="394"/>
      <c r="BRP41" s="394"/>
      <c r="BRQ41" s="394"/>
      <c r="BRR41" s="394"/>
      <c r="BRS41" s="394"/>
      <c r="BRT41" s="394"/>
      <c r="BRU41" s="394"/>
      <c r="BRV41" s="394"/>
      <c r="BRW41" s="394"/>
      <c r="BRX41" s="394"/>
      <c r="BRY41" s="394"/>
      <c r="BRZ41" s="394"/>
      <c r="BSA41" s="394"/>
      <c r="BSB41" s="394"/>
      <c r="BSC41" s="394"/>
      <c r="BSD41" s="394"/>
      <c r="BSE41" s="394"/>
      <c r="BSF41" s="394"/>
      <c r="BSG41" s="394"/>
      <c r="BSH41" s="394"/>
      <c r="BSI41" s="394"/>
      <c r="BSJ41" s="394"/>
      <c r="BSK41" s="394"/>
      <c r="BSL41" s="394"/>
      <c r="BSM41" s="394"/>
      <c r="BSN41" s="394"/>
      <c r="BSO41" s="394"/>
      <c r="BSP41" s="394"/>
      <c r="BSQ41" s="394"/>
      <c r="BSR41" s="394"/>
      <c r="BSS41" s="394"/>
      <c r="BST41" s="394"/>
      <c r="BSU41" s="394"/>
      <c r="BSV41" s="394"/>
      <c r="BSW41" s="394"/>
      <c r="BSX41" s="394"/>
      <c r="BSY41" s="394"/>
      <c r="BSZ41" s="394"/>
      <c r="BTA41" s="394"/>
      <c r="BTB41" s="394"/>
      <c r="BTC41" s="394"/>
      <c r="BTD41" s="394"/>
      <c r="BTE41" s="394"/>
      <c r="BTF41" s="394"/>
      <c r="BTG41" s="394"/>
      <c r="BTH41" s="394"/>
      <c r="BTI41" s="394"/>
    </row>
    <row r="42" spans="1:1881" s="4" customFormat="1" ht="71.25" customHeight="1" x14ac:dyDescent="0.25">
      <c r="A42" s="188">
        <v>591</v>
      </c>
      <c r="B42" s="337" t="s">
        <v>702</v>
      </c>
      <c r="C42" s="184" t="s">
        <v>703</v>
      </c>
      <c r="D42" s="175" t="s">
        <v>704</v>
      </c>
      <c r="E42" s="32" t="e">
        <f>HLOOKUP($D$2,'2019 Data(H)'!$C$1:$CP$300,252,FALSE)</f>
        <v>#N/A</v>
      </c>
      <c r="F42" s="586"/>
      <c r="G42" s="395">
        <f>IF(F42&lt;0,"Error: Enter as positive.",)</f>
        <v>0</v>
      </c>
      <c r="H42" s="149"/>
      <c r="J42" s="365"/>
      <c r="K42" s="394"/>
      <c r="L42" s="833" t="s">
        <v>1138</v>
      </c>
      <c r="M42" s="610"/>
      <c r="N42" s="635"/>
      <c r="O42" s="394"/>
      <c r="P42" s="394"/>
      <c r="Q42" s="394"/>
      <c r="R42" s="394"/>
      <c r="S42" s="394"/>
      <c r="T42" s="394"/>
      <c r="U42" s="394"/>
      <c r="V42" s="394"/>
      <c r="W42" s="394"/>
      <c r="X42" s="394"/>
      <c r="Y42" s="394"/>
      <c r="Z42" s="394"/>
      <c r="AA42" s="394"/>
      <c r="AB42" s="394"/>
      <c r="AC42" s="394"/>
      <c r="AD42" s="394"/>
      <c r="AE42" s="394"/>
      <c r="AF42" s="394"/>
      <c r="AG42" s="394"/>
      <c r="AH42" s="394"/>
      <c r="AI42" s="394"/>
      <c r="AJ42" s="394"/>
      <c r="AK42" s="394"/>
      <c r="AL42" s="394"/>
      <c r="AM42" s="394"/>
      <c r="AN42" s="394"/>
      <c r="AO42" s="394"/>
      <c r="AP42" s="394"/>
      <c r="AQ42" s="394"/>
      <c r="AR42" s="394"/>
      <c r="AS42" s="394"/>
      <c r="AT42" s="394"/>
      <c r="AU42" s="394"/>
      <c r="AV42" s="394"/>
      <c r="AW42" s="394"/>
      <c r="AX42" s="394"/>
      <c r="AY42" s="394"/>
      <c r="AZ42" s="394"/>
      <c r="BA42" s="394"/>
      <c r="BB42" s="394"/>
      <c r="BC42" s="394"/>
      <c r="BD42" s="394"/>
      <c r="BE42" s="394"/>
      <c r="BF42" s="394"/>
      <c r="BG42" s="394"/>
      <c r="BH42" s="394"/>
      <c r="BI42" s="394"/>
      <c r="BJ42" s="394"/>
      <c r="BK42" s="394"/>
      <c r="BL42" s="394"/>
      <c r="BM42" s="394"/>
      <c r="BN42" s="394"/>
      <c r="BO42" s="394"/>
      <c r="BP42" s="394"/>
      <c r="BQ42" s="394"/>
      <c r="BR42" s="394"/>
      <c r="BS42" s="394"/>
      <c r="BT42" s="394"/>
      <c r="BU42" s="394"/>
      <c r="BV42" s="394"/>
      <c r="BW42" s="394"/>
      <c r="BX42" s="394"/>
      <c r="BY42" s="394"/>
      <c r="BZ42" s="394"/>
      <c r="CA42" s="394"/>
      <c r="CB42" s="394"/>
      <c r="CC42" s="394"/>
      <c r="CD42" s="394"/>
      <c r="CE42" s="394"/>
      <c r="CF42" s="394"/>
      <c r="CG42" s="394"/>
      <c r="CH42" s="394"/>
      <c r="CI42" s="394"/>
      <c r="CJ42" s="394"/>
      <c r="CK42" s="394"/>
      <c r="CL42" s="394"/>
      <c r="CM42" s="394"/>
      <c r="CN42" s="394"/>
      <c r="CO42" s="394"/>
      <c r="CP42" s="394"/>
      <c r="CQ42" s="394"/>
      <c r="CR42" s="394"/>
      <c r="CS42" s="394"/>
      <c r="CT42" s="394"/>
      <c r="CU42" s="394"/>
      <c r="CV42" s="394"/>
      <c r="CW42" s="394"/>
      <c r="CX42" s="394"/>
      <c r="CY42" s="394"/>
      <c r="CZ42" s="394"/>
      <c r="DA42" s="394"/>
      <c r="DB42" s="394"/>
      <c r="DC42" s="394"/>
      <c r="DD42" s="394"/>
      <c r="DE42" s="394"/>
      <c r="DF42" s="394"/>
      <c r="DG42" s="394"/>
      <c r="DH42" s="394"/>
      <c r="DI42" s="394"/>
      <c r="DJ42" s="394"/>
      <c r="DK42" s="394"/>
      <c r="DL42" s="394"/>
      <c r="DM42" s="394"/>
      <c r="DN42" s="394"/>
      <c r="DO42" s="394"/>
      <c r="DP42" s="394"/>
      <c r="DQ42" s="394"/>
      <c r="DR42" s="394"/>
      <c r="DS42" s="394"/>
      <c r="DT42" s="394"/>
      <c r="DU42" s="394"/>
      <c r="DV42" s="394"/>
      <c r="DW42" s="394"/>
      <c r="DX42" s="394"/>
      <c r="DY42" s="394"/>
      <c r="DZ42" s="394"/>
      <c r="EA42" s="394"/>
      <c r="EB42" s="394"/>
      <c r="EC42" s="394"/>
      <c r="ED42" s="394"/>
      <c r="EE42" s="394"/>
      <c r="EF42" s="394"/>
      <c r="EG42" s="394"/>
      <c r="EH42" s="394"/>
      <c r="EI42" s="394"/>
      <c r="EJ42" s="394"/>
      <c r="EK42" s="394"/>
      <c r="EL42" s="394"/>
      <c r="EM42" s="394"/>
      <c r="EN42" s="394"/>
      <c r="EO42" s="394"/>
      <c r="EP42" s="394"/>
      <c r="EQ42" s="394"/>
      <c r="ER42" s="394"/>
      <c r="ES42" s="394"/>
      <c r="ET42" s="394"/>
      <c r="EU42" s="394"/>
      <c r="EV42" s="394"/>
      <c r="EW42" s="394"/>
      <c r="EX42" s="394"/>
      <c r="EY42" s="394"/>
      <c r="EZ42" s="394"/>
      <c r="FA42" s="394"/>
      <c r="FB42" s="394"/>
      <c r="FC42" s="394"/>
      <c r="FD42" s="394"/>
      <c r="FE42" s="394"/>
      <c r="FF42" s="394"/>
      <c r="FG42" s="394"/>
      <c r="FH42" s="394"/>
      <c r="FI42" s="394"/>
      <c r="FJ42" s="394"/>
      <c r="FK42" s="394"/>
      <c r="FL42" s="394"/>
      <c r="FM42" s="394"/>
      <c r="FN42" s="394"/>
      <c r="FO42" s="394"/>
      <c r="FP42" s="394"/>
      <c r="FQ42" s="394"/>
      <c r="FR42" s="394"/>
      <c r="FS42" s="394"/>
      <c r="FT42" s="394"/>
      <c r="FU42" s="394"/>
      <c r="FV42" s="394"/>
      <c r="FW42" s="394"/>
      <c r="FX42" s="394"/>
      <c r="FY42" s="394"/>
      <c r="FZ42" s="394"/>
      <c r="GA42" s="394"/>
      <c r="GB42" s="394"/>
      <c r="GC42" s="394"/>
      <c r="GD42" s="394"/>
      <c r="GE42" s="394"/>
      <c r="GF42" s="394"/>
      <c r="GG42" s="394"/>
      <c r="GH42" s="394"/>
      <c r="GI42" s="394"/>
      <c r="GJ42" s="394"/>
      <c r="GK42" s="394"/>
      <c r="GL42" s="394"/>
      <c r="GM42" s="394"/>
      <c r="GN42" s="394"/>
      <c r="GO42" s="394"/>
      <c r="GP42" s="394"/>
      <c r="GQ42" s="394"/>
      <c r="GR42" s="394"/>
      <c r="GS42" s="394"/>
      <c r="GT42" s="394"/>
      <c r="GU42" s="394"/>
      <c r="GV42" s="394"/>
      <c r="GW42" s="394"/>
      <c r="GX42" s="394"/>
      <c r="GY42" s="394"/>
      <c r="GZ42" s="394"/>
      <c r="HA42" s="394"/>
      <c r="HB42" s="394"/>
      <c r="HC42" s="394"/>
      <c r="HD42" s="394"/>
      <c r="HE42" s="394"/>
      <c r="HF42" s="394"/>
      <c r="HG42" s="394"/>
      <c r="HH42" s="394"/>
      <c r="HI42" s="394"/>
      <c r="HJ42" s="394"/>
      <c r="HK42" s="394"/>
      <c r="HL42" s="394"/>
      <c r="HM42" s="394"/>
      <c r="HN42" s="394"/>
      <c r="HO42" s="394"/>
      <c r="HP42" s="394"/>
      <c r="HQ42" s="394"/>
      <c r="HR42" s="394"/>
      <c r="HS42" s="394"/>
      <c r="HT42" s="394"/>
      <c r="HU42" s="394"/>
      <c r="HV42" s="394"/>
      <c r="HW42" s="394"/>
      <c r="HX42" s="394"/>
      <c r="HY42" s="394"/>
      <c r="HZ42" s="394"/>
      <c r="IA42" s="394"/>
      <c r="IB42" s="394"/>
      <c r="IC42" s="394"/>
      <c r="ID42" s="394"/>
      <c r="IE42" s="394"/>
      <c r="IF42" s="394"/>
      <c r="IG42" s="394"/>
      <c r="IH42" s="394"/>
      <c r="II42" s="394"/>
      <c r="IJ42" s="394"/>
      <c r="IK42" s="394"/>
      <c r="IL42" s="394"/>
      <c r="IM42" s="394"/>
      <c r="IN42" s="394"/>
      <c r="IO42" s="394"/>
      <c r="IP42" s="394"/>
      <c r="IQ42" s="394"/>
      <c r="IR42" s="394"/>
      <c r="IS42" s="394"/>
      <c r="IT42" s="394"/>
      <c r="IU42" s="394"/>
      <c r="IV42" s="394"/>
      <c r="IW42" s="394"/>
      <c r="IX42" s="394"/>
      <c r="IY42" s="394"/>
      <c r="IZ42" s="394"/>
      <c r="JA42" s="394"/>
      <c r="JB42" s="394"/>
      <c r="JC42" s="394"/>
      <c r="JD42" s="394"/>
      <c r="JE42" s="394"/>
      <c r="JF42" s="394"/>
      <c r="JG42" s="394"/>
      <c r="JH42" s="394"/>
      <c r="JI42" s="394"/>
      <c r="JJ42" s="394"/>
      <c r="JK42" s="394"/>
      <c r="JL42" s="394"/>
      <c r="JM42" s="394"/>
      <c r="JN42" s="394"/>
      <c r="JO42" s="394"/>
      <c r="JP42" s="394"/>
      <c r="JQ42" s="394"/>
      <c r="JR42" s="394"/>
      <c r="JS42" s="394"/>
      <c r="JT42" s="394"/>
      <c r="JU42" s="394"/>
      <c r="JV42" s="394"/>
      <c r="JW42" s="394"/>
      <c r="JX42" s="394"/>
      <c r="JY42" s="394"/>
      <c r="JZ42" s="394"/>
      <c r="KA42" s="394"/>
      <c r="KB42" s="394"/>
      <c r="KC42" s="394"/>
      <c r="KD42" s="394"/>
      <c r="KE42" s="394"/>
      <c r="KF42" s="394"/>
      <c r="KG42" s="394"/>
      <c r="KH42" s="394"/>
      <c r="KI42" s="394"/>
      <c r="KJ42" s="394"/>
      <c r="KK42" s="394"/>
      <c r="KL42" s="394"/>
      <c r="KM42" s="394"/>
      <c r="KN42" s="394"/>
      <c r="KO42" s="394"/>
      <c r="KP42" s="394"/>
      <c r="KQ42" s="394"/>
      <c r="KR42" s="394"/>
      <c r="KS42" s="394"/>
      <c r="KT42" s="394"/>
      <c r="KU42" s="394"/>
      <c r="KV42" s="394"/>
      <c r="KW42" s="394"/>
      <c r="KX42" s="394"/>
      <c r="KY42" s="394"/>
      <c r="KZ42" s="394"/>
      <c r="LA42" s="394"/>
      <c r="LB42" s="394"/>
      <c r="LC42" s="394"/>
      <c r="LD42" s="394"/>
      <c r="LE42" s="394"/>
      <c r="LF42" s="394"/>
      <c r="LG42" s="394"/>
      <c r="LH42" s="394"/>
      <c r="LI42" s="394"/>
      <c r="LJ42" s="394"/>
      <c r="LK42" s="394"/>
      <c r="LL42" s="394"/>
      <c r="LM42" s="394"/>
      <c r="LN42" s="394"/>
      <c r="LO42" s="394"/>
      <c r="LP42" s="394"/>
      <c r="LQ42" s="394"/>
      <c r="LR42" s="394"/>
      <c r="LS42" s="394"/>
      <c r="LT42" s="394"/>
      <c r="LU42" s="394"/>
      <c r="LV42" s="394"/>
      <c r="LW42" s="394"/>
      <c r="LX42" s="394"/>
      <c r="LY42" s="394"/>
      <c r="LZ42" s="394"/>
      <c r="MA42" s="394"/>
      <c r="MB42" s="394"/>
      <c r="MC42" s="394"/>
      <c r="MD42" s="394"/>
      <c r="ME42" s="394"/>
      <c r="MF42" s="394"/>
      <c r="MG42" s="394"/>
      <c r="MH42" s="394"/>
      <c r="MI42" s="394"/>
      <c r="MJ42" s="394"/>
      <c r="MK42" s="394"/>
      <c r="ML42" s="394"/>
      <c r="MM42" s="394"/>
      <c r="MN42" s="394"/>
      <c r="MO42" s="394"/>
      <c r="MP42" s="394"/>
      <c r="MQ42" s="394"/>
      <c r="MR42" s="394"/>
      <c r="MS42" s="394"/>
      <c r="MT42" s="394"/>
      <c r="MU42" s="394"/>
      <c r="MV42" s="394"/>
      <c r="MW42" s="394"/>
      <c r="MX42" s="394"/>
      <c r="MY42" s="394"/>
      <c r="MZ42" s="394"/>
      <c r="NA42" s="394"/>
      <c r="NB42" s="394"/>
      <c r="NC42" s="394"/>
      <c r="ND42" s="394"/>
      <c r="NE42" s="394"/>
      <c r="NF42" s="394"/>
      <c r="NG42" s="394"/>
      <c r="NH42" s="394"/>
      <c r="NI42" s="394"/>
      <c r="NJ42" s="394"/>
      <c r="NK42" s="394"/>
      <c r="NL42" s="394"/>
      <c r="NM42" s="394"/>
      <c r="NN42" s="394"/>
      <c r="NO42" s="394"/>
      <c r="NP42" s="394"/>
      <c r="NQ42" s="394"/>
      <c r="NR42" s="394"/>
      <c r="NS42" s="394"/>
      <c r="NT42" s="394"/>
      <c r="NU42" s="394"/>
      <c r="NV42" s="394"/>
      <c r="NW42" s="394"/>
      <c r="NX42" s="394"/>
      <c r="NY42" s="394"/>
      <c r="NZ42" s="394"/>
      <c r="OA42" s="394"/>
      <c r="OB42" s="394"/>
      <c r="OC42" s="394"/>
      <c r="OD42" s="394"/>
      <c r="OE42" s="394"/>
      <c r="OF42" s="394"/>
      <c r="OG42" s="394"/>
      <c r="OH42" s="394"/>
      <c r="OI42" s="394"/>
      <c r="OJ42" s="394"/>
      <c r="OK42" s="394"/>
      <c r="OL42" s="394"/>
      <c r="OM42" s="394"/>
      <c r="ON42" s="394"/>
      <c r="OO42" s="394"/>
      <c r="OP42" s="394"/>
      <c r="OQ42" s="394"/>
      <c r="OR42" s="394"/>
      <c r="OS42" s="394"/>
      <c r="OT42" s="394"/>
      <c r="OU42" s="394"/>
      <c r="OV42" s="394"/>
      <c r="OW42" s="394"/>
      <c r="OX42" s="394"/>
      <c r="OY42" s="394"/>
      <c r="OZ42" s="394"/>
      <c r="PA42" s="394"/>
      <c r="PB42" s="394"/>
      <c r="PC42" s="394"/>
      <c r="PD42" s="394"/>
      <c r="PE42" s="394"/>
      <c r="PF42" s="394"/>
      <c r="PG42" s="394"/>
      <c r="PH42" s="394"/>
      <c r="PI42" s="394"/>
      <c r="PJ42" s="394"/>
      <c r="PK42" s="394"/>
      <c r="PL42" s="394"/>
      <c r="PM42" s="394"/>
      <c r="PN42" s="394"/>
      <c r="PO42" s="394"/>
      <c r="PP42" s="394"/>
      <c r="PQ42" s="394"/>
      <c r="PR42" s="394"/>
      <c r="PS42" s="394"/>
      <c r="PT42" s="394"/>
      <c r="PU42" s="394"/>
      <c r="PV42" s="394"/>
      <c r="PW42" s="394"/>
      <c r="PX42" s="394"/>
      <c r="PY42" s="394"/>
      <c r="PZ42" s="394"/>
      <c r="QA42" s="394"/>
      <c r="QB42" s="394"/>
      <c r="QC42" s="394"/>
      <c r="QD42" s="394"/>
      <c r="QE42" s="394"/>
      <c r="QF42" s="394"/>
      <c r="QG42" s="394"/>
      <c r="QH42" s="394"/>
      <c r="QI42" s="394"/>
      <c r="QJ42" s="394"/>
      <c r="QK42" s="394"/>
      <c r="QL42" s="394"/>
      <c r="QM42" s="394"/>
      <c r="QN42" s="394"/>
      <c r="QO42" s="394"/>
      <c r="QP42" s="394"/>
      <c r="QQ42" s="394"/>
      <c r="QR42" s="394"/>
      <c r="QS42" s="394"/>
      <c r="QT42" s="394"/>
      <c r="QU42" s="394"/>
      <c r="QV42" s="394"/>
      <c r="QW42" s="394"/>
      <c r="QX42" s="394"/>
      <c r="QY42" s="394"/>
      <c r="QZ42" s="394"/>
      <c r="RA42" s="394"/>
      <c r="RB42" s="394"/>
      <c r="RC42" s="394"/>
      <c r="RD42" s="394"/>
      <c r="RE42" s="394"/>
      <c r="RF42" s="394"/>
      <c r="RG42" s="394"/>
      <c r="RH42" s="394"/>
      <c r="RI42" s="394"/>
      <c r="RJ42" s="394"/>
      <c r="RK42" s="394"/>
      <c r="RL42" s="394"/>
      <c r="RM42" s="394"/>
      <c r="RN42" s="394"/>
      <c r="RO42" s="394"/>
      <c r="RP42" s="394"/>
      <c r="RQ42" s="394"/>
      <c r="RR42" s="394"/>
      <c r="RS42" s="394"/>
      <c r="RT42" s="394"/>
      <c r="RU42" s="394"/>
      <c r="RV42" s="394"/>
      <c r="RW42" s="394"/>
      <c r="RX42" s="394"/>
      <c r="RY42" s="394"/>
      <c r="RZ42" s="394"/>
      <c r="SA42" s="394"/>
      <c r="SB42" s="394"/>
      <c r="SC42" s="394"/>
      <c r="SD42" s="394"/>
      <c r="SE42" s="394"/>
      <c r="SF42" s="394"/>
      <c r="SG42" s="394"/>
      <c r="SH42" s="394"/>
      <c r="SI42" s="394"/>
      <c r="SJ42" s="394"/>
      <c r="SK42" s="394"/>
      <c r="SL42" s="394"/>
      <c r="SM42" s="394"/>
      <c r="SN42" s="394"/>
      <c r="SO42" s="394"/>
      <c r="SP42" s="394"/>
      <c r="SQ42" s="394"/>
      <c r="SR42" s="394"/>
      <c r="SS42" s="394"/>
      <c r="ST42" s="394"/>
      <c r="SU42" s="394"/>
      <c r="SV42" s="394"/>
      <c r="SW42" s="394"/>
      <c r="SX42" s="394"/>
      <c r="SY42" s="394"/>
      <c r="SZ42" s="394"/>
      <c r="TA42" s="394"/>
      <c r="TB42" s="394"/>
      <c r="TC42" s="394"/>
      <c r="TD42" s="394"/>
      <c r="TE42" s="394"/>
      <c r="TF42" s="394"/>
      <c r="TG42" s="394"/>
      <c r="TH42" s="394"/>
      <c r="TI42" s="394"/>
      <c r="TJ42" s="394"/>
      <c r="TK42" s="394"/>
      <c r="TL42" s="394"/>
      <c r="TM42" s="394"/>
      <c r="TN42" s="394"/>
      <c r="TO42" s="394"/>
      <c r="TP42" s="394"/>
      <c r="TQ42" s="394"/>
      <c r="TR42" s="394"/>
      <c r="TS42" s="394"/>
      <c r="TT42" s="394"/>
      <c r="TU42" s="394"/>
      <c r="TV42" s="394"/>
      <c r="TW42" s="394"/>
      <c r="TX42" s="394"/>
      <c r="TY42" s="394"/>
      <c r="TZ42" s="394"/>
      <c r="UA42" s="394"/>
      <c r="UB42" s="394"/>
      <c r="UC42" s="394"/>
      <c r="UD42" s="394"/>
      <c r="UE42" s="394"/>
      <c r="UF42" s="394"/>
      <c r="UG42" s="394"/>
      <c r="UH42" s="394"/>
      <c r="UI42" s="394"/>
      <c r="UJ42" s="394"/>
      <c r="UK42" s="394"/>
      <c r="UL42" s="394"/>
      <c r="UM42" s="394"/>
      <c r="UN42" s="394"/>
      <c r="UO42" s="394"/>
      <c r="UP42" s="394"/>
      <c r="UQ42" s="394"/>
      <c r="UR42" s="394"/>
      <c r="US42" s="394"/>
      <c r="UT42" s="394"/>
      <c r="UU42" s="394"/>
      <c r="UV42" s="394"/>
      <c r="UW42" s="394"/>
      <c r="UX42" s="394"/>
      <c r="UY42" s="394"/>
      <c r="UZ42" s="394"/>
      <c r="VA42" s="394"/>
      <c r="VB42" s="394"/>
      <c r="VC42" s="394"/>
      <c r="VD42" s="394"/>
      <c r="VE42" s="394"/>
      <c r="VF42" s="394"/>
      <c r="VG42" s="394"/>
      <c r="VH42" s="394"/>
      <c r="VI42" s="394"/>
      <c r="VJ42" s="394"/>
      <c r="VK42" s="394"/>
      <c r="VL42" s="394"/>
      <c r="VM42" s="394"/>
      <c r="VN42" s="394"/>
      <c r="VO42" s="394"/>
      <c r="VP42" s="394"/>
      <c r="VQ42" s="394"/>
      <c r="VR42" s="394"/>
      <c r="VS42" s="394"/>
      <c r="VT42" s="394"/>
      <c r="VU42" s="394"/>
      <c r="VV42" s="394"/>
      <c r="VW42" s="394"/>
      <c r="VX42" s="394"/>
      <c r="VY42" s="394"/>
      <c r="VZ42" s="394"/>
      <c r="WA42" s="394"/>
      <c r="WB42" s="394"/>
      <c r="WC42" s="394"/>
      <c r="WD42" s="394"/>
      <c r="WE42" s="394"/>
      <c r="WF42" s="394"/>
      <c r="WG42" s="394"/>
      <c r="WH42" s="394"/>
      <c r="WI42" s="394"/>
      <c r="WJ42" s="394"/>
      <c r="WK42" s="394"/>
      <c r="WL42" s="394"/>
      <c r="WM42" s="394"/>
      <c r="WN42" s="394"/>
      <c r="WO42" s="394"/>
      <c r="WP42" s="394"/>
      <c r="WQ42" s="394"/>
      <c r="WR42" s="394"/>
      <c r="WS42" s="394"/>
      <c r="WT42" s="394"/>
      <c r="WU42" s="394"/>
      <c r="WV42" s="394"/>
      <c r="WW42" s="394"/>
      <c r="WX42" s="394"/>
      <c r="WY42" s="394"/>
      <c r="WZ42" s="394"/>
      <c r="XA42" s="394"/>
      <c r="XB42" s="394"/>
      <c r="XC42" s="394"/>
      <c r="XD42" s="394"/>
      <c r="XE42" s="394"/>
      <c r="XF42" s="394"/>
      <c r="XG42" s="394"/>
      <c r="XH42" s="394"/>
      <c r="XI42" s="394"/>
      <c r="XJ42" s="394"/>
      <c r="XK42" s="394"/>
      <c r="XL42" s="394"/>
      <c r="XM42" s="394"/>
      <c r="XN42" s="394"/>
      <c r="XO42" s="394"/>
      <c r="XP42" s="394"/>
      <c r="XQ42" s="394"/>
      <c r="XR42" s="394"/>
      <c r="XS42" s="394"/>
      <c r="XT42" s="394"/>
      <c r="XU42" s="394"/>
      <c r="XV42" s="394"/>
      <c r="XW42" s="394"/>
      <c r="XX42" s="394"/>
      <c r="XY42" s="394"/>
      <c r="XZ42" s="394"/>
      <c r="YA42" s="394"/>
      <c r="YB42" s="394"/>
      <c r="YC42" s="394"/>
      <c r="YD42" s="394"/>
      <c r="YE42" s="394"/>
      <c r="YF42" s="394"/>
      <c r="YG42" s="394"/>
      <c r="YH42" s="394"/>
      <c r="YI42" s="394"/>
      <c r="YJ42" s="394"/>
      <c r="YK42" s="394"/>
      <c r="YL42" s="394"/>
      <c r="YM42" s="394"/>
      <c r="YN42" s="394"/>
      <c r="YO42" s="394"/>
      <c r="YP42" s="394"/>
      <c r="YQ42" s="394"/>
      <c r="YR42" s="394"/>
      <c r="YS42" s="394"/>
      <c r="YT42" s="394"/>
      <c r="YU42" s="394"/>
      <c r="YV42" s="394"/>
      <c r="YW42" s="394"/>
      <c r="YX42" s="394"/>
      <c r="YY42" s="394"/>
      <c r="YZ42" s="394"/>
      <c r="ZA42" s="394"/>
      <c r="ZB42" s="394"/>
      <c r="ZC42" s="394"/>
      <c r="ZD42" s="394"/>
      <c r="ZE42" s="394"/>
      <c r="ZF42" s="394"/>
      <c r="ZG42" s="394"/>
      <c r="ZH42" s="394"/>
      <c r="ZI42" s="394"/>
      <c r="ZJ42" s="394"/>
      <c r="ZK42" s="394"/>
      <c r="ZL42" s="394"/>
      <c r="ZM42" s="394"/>
      <c r="ZN42" s="394"/>
      <c r="ZO42" s="394"/>
      <c r="ZP42" s="394"/>
      <c r="ZQ42" s="394"/>
      <c r="ZR42" s="394"/>
      <c r="ZS42" s="394"/>
      <c r="ZT42" s="394"/>
      <c r="ZU42" s="394"/>
      <c r="ZV42" s="394"/>
      <c r="ZW42" s="394"/>
      <c r="ZX42" s="394"/>
      <c r="ZY42" s="394"/>
      <c r="ZZ42" s="394"/>
      <c r="AAA42" s="394"/>
      <c r="AAB42" s="394"/>
      <c r="AAC42" s="394"/>
      <c r="AAD42" s="394"/>
      <c r="AAE42" s="394"/>
      <c r="AAF42" s="394"/>
      <c r="AAG42" s="394"/>
      <c r="AAH42" s="394"/>
      <c r="AAI42" s="394"/>
      <c r="AAJ42" s="394"/>
      <c r="AAK42" s="394"/>
      <c r="AAL42" s="394"/>
      <c r="AAM42" s="394"/>
      <c r="AAN42" s="394"/>
      <c r="AAO42" s="394"/>
      <c r="AAP42" s="394"/>
      <c r="AAQ42" s="394"/>
      <c r="AAR42" s="394"/>
      <c r="AAS42" s="394"/>
      <c r="AAT42" s="394"/>
      <c r="AAU42" s="394"/>
      <c r="AAV42" s="394"/>
      <c r="AAW42" s="394"/>
      <c r="AAX42" s="394"/>
      <c r="AAY42" s="394"/>
      <c r="AAZ42" s="394"/>
      <c r="ABA42" s="394"/>
      <c r="ABB42" s="394"/>
      <c r="ABC42" s="394"/>
      <c r="ABD42" s="394"/>
      <c r="ABE42" s="394"/>
      <c r="ABF42" s="394"/>
      <c r="ABG42" s="394"/>
      <c r="ABH42" s="394"/>
      <c r="ABI42" s="394"/>
      <c r="ABJ42" s="394"/>
      <c r="ABK42" s="394"/>
      <c r="ABL42" s="394"/>
      <c r="ABM42" s="394"/>
      <c r="ABN42" s="394"/>
      <c r="ABO42" s="394"/>
      <c r="ABP42" s="394"/>
      <c r="ABQ42" s="394"/>
      <c r="ABR42" s="394"/>
      <c r="ABS42" s="394"/>
      <c r="ABT42" s="394"/>
      <c r="ABU42" s="394"/>
      <c r="ABV42" s="394"/>
      <c r="ABW42" s="394"/>
      <c r="ABX42" s="394"/>
      <c r="ABY42" s="394"/>
      <c r="ABZ42" s="394"/>
      <c r="ACA42" s="394"/>
      <c r="ACB42" s="394"/>
      <c r="ACC42" s="394"/>
      <c r="ACD42" s="394"/>
      <c r="ACE42" s="394"/>
      <c r="ACF42" s="394"/>
      <c r="ACG42" s="394"/>
      <c r="ACH42" s="394"/>
      <c r="ACI42" s="394"/>
      <c r="ACJ42" s="394"/>
      <c r="ACK42" s="394"/>
      <c r="ACL42" s="394"/>
      <c r="ACM42" s="394"/>
      <c r="ACN42" s="394"/>
      <c r="ACO42" s="394"/>
      <c r="ACP42" s="394"/>
      <c r="ACQ42" s="394"/>
      <c r="ACR42" s="394"/>
      <c r="ACS42" s="394"/>
      <c r="ACT42" s="394"/>
      <c r="ACU42" s="394"/>
      <c r="ACV42" s="394"/>
      <c r="ACW42" s="394"/>
      <c r="ACX42" s="394"/>
      <c r="ACY42" s="394"/>
      <c r="ACZ42" s="394"/>
      <c r="ADA42" s="394"/>
      <c r="ADB42" s="394"/>
      <c r="ADC42" s="394"/>
      <c r="ADD42" s="394"/>
      <c r="ADE42" s="394"/>
      <c r="ADF42" s="394"/>
      <c r="ADG42" s="394"/>
      <c r="ADH42" s="394"/>
      <c r="ADI42" s="394"/>
      <c r="ADJ42" s="394"/>
      <c r="ADK42" s="394"/>
      <c r="ADL42" s="394"/>
      <c r="ADM42" s="394"/>
      <c r="ADN42" s="394"/>
      <c r="ADO42" s="394"/>
      <c r="ADP42" s="394"/>
      <c r="ADQ42" s="394"/>
      <c r="ADR42" s="394"/>
      <c r="ADS42" s="394"/>
      <c r="ADT42" s="394"/>
      <c r="ADU42" s="394"/>
      <c r="ADV42" s="394"/>
      <c r="ADW42" s="394"/>
      <c r="ADX42" s="394"/>
      <c r="ADY42" s="394"/>
      <c r="ADZ42" s="394"/>
      <c r="AEA42" s="394"/>
      <c r="AEB42" s="394"/>
      <c r="AEC42" s="394"/>
      <c r="AED42" s="394"/>
      <c r="AEE42" s="394"/>
      <c r="AEF42" s="394"/>
      <c r="AEG42" s="394"/>
      <c r="AEH42" s="394"/>
      <c r="AEI42" s="394"/>
      <c r="AEJ42" s="394"/>
      <c r="AEK42" s="394"/>
      <c r="AEL42" s="394"/>
      <c r="AEM42" s="394"/>
      <c r="AEN42" s="394"/>
      <c r="AEO42" s="394"/>
      <c r="AEP42" s="394"/>
      <c r="AEQ42" s="394"/>
      <c r="AER42" s="394"/>
      <c r="AES42" s="394"/>
      <c r="AET42" s="394"/>
      <c r="AEU42" s="394"/>
      <c r="AEV42" s="394"/>
      <c r="AEW42" s="394"/>
      <c r="AEX42" s="394"/>
      <c r="AEY42" s="394"/>
      <c r="AEZ42" s="394"/>
      <c r="AFA42" s="394"/>
      <c r="AFB42" s="394"/>
      <c r="AFC42" s="394"/>
      <c r="AFD42" s="394"/>
      <c r="AFE42" s="394"/>
      <c r="AFF42" s="394"/>
      <c r="AFG42" s="394"/>
      <c r="AFH42" s="394"/>
      <c r="AFI42" s="394"/>
      <c r="AFJ42" s="394"/>
      <c r="AFK42" s="394"/>
      <c r="AFL42" s="394"/>
      <c r="AFM42" s="394"/>
      <c r="AFN42" s="394"/>
      <c r="AFO42" s="394"/>
      <c r="AFP42" s="394"/>
      <c r="AFQ42" s="394"/>
      <c r="AFR42" s="394"/>
      <c r="AFS42" s="394"/>
      <c r="AFT42" s="394"/>
      <c r="AFU42" s="394"/>
      <c r="AFV42" s="394"/>
      <c r="AFW42" s="394"/>
      <c r="AFX42" s="394"/>
      <c r="AFY42" s="394"/>
      <c r="AFZ42" s="394"/>
      <c r="AGA42" s="394"/>
      <c r="AGB42" s="394"/>
      <c r="AGC42" s="394"/>
      <c r="AGD42" s="394"/>
      <c r="AGE42" s="394"/>
      <c r="AGF42" s="394"/>
      <c r="AGG42" s="394"/>
      <c r="AGH42" s="394"/>
      <c r="AGI42" s="394"/>
      <c r="AGJ42" s="394"/>
      <c r="AGK42" s="394"/>
      <c r="AGL42" s="394"/>
      <c r="AGM42" s="394"/>
      <c r="AGN42" s="394"/>
      <c r="AGO42" s="394"/>
      <c r="AGP42" s="394"/>
      <c r="AGQ42" s="394"/>
      <c r="AGR42" s="394"/>
      <c r="AGS42" s="394"/>
      <c r="AGT42" s="394"/>
      <c r="AGU42" s="394"/>
      <c r="AGV42" s="394"/>
      <c r="AGW42" s="394"/>
      <c r="AGX42" s="394"/>
      <c r="AGY42" s="394"/>
      <c r="AGZ42" s="394"/>
      <c r="AHA42" s="394"/>
      <c r="AHB42" s="394"/>
      <c r="AHC42" s="394"/>
      <c r="AHD42" s="394"/>
      <c r="AHE42" s="394"/>
      <c r="AHF42" s="394"/>
      <c r="AHG42" s="394"/>
      <c r="AHH42" s="394"/>
      <c r="AHI42" s="394"/>
      <c r="AHJ42" s="394"/>
      <c r="AHK42" s="394"/>
      <c r="AHL42" s="394"/>
      <c r="AHM42" s="394"/>
      <c r="AHN42" s="394"/>
      <c r="AHO42" s="394"/>
      <c r="AHP42" s="394"/>
      <c r="AHQ42" s="394"/>
      <c r="AHR42" s="394"/>
      <c r="AHS42" s="394"/>
      <c r="AHT42" s="394"/>
      <c r="AHU42" s="394"/>
      <c r="AHV42" s="394"/>
      <c r="AHW42" s="394"/>
      <c r="AHX42" s="394"/>
      <c r="AHY42" s="394"/>
      <c r="AHZ42" s="394"/>
      <c r="AIA42" s="394"/>
      <c r="AIB42" s="394"/>
      <c r="AIC42" s="394"/>
      <c r="AID42" s="394"/>
      <c r="AIE42" s="394"/>
      <c r="AIF42" s="394"/>
      <c r="AIG42" s="394"/>
      <c r="AIH42" s="394"/>
      <c r="AII42" s="394"/>
      <c r="AIJ42" s="394"/>
      <c r="AIK42" s="394"/>
      <c r="AIL42" s="394"/>
      <c r="AIM42" s="394"/>
      <c r="AIN42" s="394"/>
      <c r="AIO42" s="394"/>
      <c r="AIP42" s="394"/>
      <c r="AIQ42" s="394"/>
      <c r="AIR42" s="394"/>
      <c r="AIS42" s="394"/>
      <c r="AIT42" s="394"/>
      <c r="AIU42" s="394"/>
      <c r="AIV42" s="394"/>
      <c r="AIW42" s="394"/>
      <c r="AIX42" s="394"/>
      <c r="AIY42" s="394"/>
      <c r="AIZ42" s="394"/>
      <c r="AJA42" s="394"/>
      <c r="AJB42" s="394"/>
      <c r="AJC42" s="394"/>
      <c r="AJD42" s="394"/>
      <c r="AJE42" s="394"/>
      <c r="AJF42" s="394"/>
      <c r="AJG42" s="394"/>
      <c r="AJH42" s="394"/>
      <c r="AJI42" s="394"/>
      <c r="AJJ42" s="394"/>
      <c r="AJK42" s="394"/>
      <c r="AJL42" s="394"/>
      <c r="AJM42" s="394"/>
      <c r="AJN42" s="394"/>
      <c r="AJO42" s="394"/>
      <c r="AJP42" s="394"/>
      <c r="AJQ42" s="394"/>
      <c r="AJR42" s="394"/>
      <c r="AJS42" s="394"/>
      <c r="AJT42" s="394"/>
      <c r="AJU42" s="394"/>
      <c r="AJV42" s="394"/>
      <c r="AJW42" s="394"/>
      <c r="AJX42" s="394"/>
      <c r="AJY42" s="394"/>
      <c r="AJZ42" s="394"/>
      <c r="AKA42" s="394"/>
      <c r="AKB42" s="394"/>
      <c r="AKC42" s="394"/>
      <c r="AKD42" s="394"/>
      <c r="AKE42" s="394"/>
      <c r="AKF42" s="394"/>
      <c r="AKG42" s="394"/>
      <c r="AKH42" s="394"/>
      <c r="AKI42" s="394"/>
      <c r="AKJ42" s="394"/>
      <c r="AKK42" s="394"/>
      <c r="AKL42" s="394"/>
      <c r="AKM42" s="394"/>
      <c r="AKN42" s="394"/>
      <c r="AKO42" s="394"/>
      <c r="AKP42" s="394"/>
      <c r="AKQ42" s="394"/>
      <c r="AKR42" s="394"/>
      <c r="AKS42" s="394"/>
      <c r="AKT42" s="394"/>
      <c r="AKU42" s="394"/>
      <c r="AKV42" s="394"/>
      <c r="AKW42" s="394"/>
      <c r="AKX42" s="394"/>
      <c r="AKY42" s="394"/>
      <c r="AKZ42" s="394"/>
      <c r="ALA42" s="394"/>
      <c r="ALB42" s="394"/>
      <c r="ALC42" s="394"/>
      <c r="ALD42" s="394"/>
      <c r="ALE42" s="394"/>
      <c r="ALF42" s="394"/>
      <c r="ALG42" s="394"/>
      <c r="ALH42" s="394"/>
      <c r="ALI42" s="394"/>
      <c r="ALJ42" s="394"/>
      <c r="ALK42" s="394"/>
      <c r="ALL42" s="394"/>
      <c r="ALM42" s="394"/>
      <c r="ALN42" s="394"/>
      <c r="ALO42" s="394"/>
      <c r="ALP42" s="394"/>
      <c r="ALQ42" s="394"/>
      <c r="ALR42" s="394"/>
      <c r="ALS42" s="394"/>
      <c r="ALT42" s="394"/>
      <c r="ALU42" s="394"/>
      <c r="ALV42" s="394"/>
      <c r="ALW42" s="394"/>
      <c r="ALX42" s="394"/>
      <c r="ALY42" s="394"/>
      <c r="ALZ42" s="394"/>
      <c r="AMA42" s="394"/>
      <c r="AMB42" s="394"/>
      <c r="AMC42" s="394"/>
      <c r="AMD42" s="394"/>
      <c r="AME42" s="394"/>
      <c r="AMF42" s="394"/>
      <c r="AMG42" s="394"/>
      <c r="AMH42" s="394"/>
      <c r="AMI42" s="394"/>
      <c r="AMJ42" s="394"/>
      <c r="AMK42" s="394"/>
      <c r="AML42" s="394"/>
      <c r="AMM42" s="394"/>
      <c r="AMN42" s="394"/>
      <c r="AMO42" s="394"/>
      <c r="AMP42" s="394"/>
      <c r="AMQ42" s="394"/>
      <c r="AMR42" s="394"/>
      <c r="AMS42" s="394"/>
      <c r="AMT42" s="394"/>
      <c r="AMU42" s="394"/>
      <c r="AMV42" s="394"/>
      <c r="AMW42" s="394"/>
      <c r="AMX42" s="394"/>
      <c r="AMY42" s="394"/>
      <c r="AMZ42" s="394"/>
      <c r="ANA42" s="394"/>
      <c r="ANB42" s="394"/>
      <c r="ANC42" s="394"/>
      <c r="AND42" s="394"/>
      <c r="ANE42" s="394"/>
      <c r="ANF42" s="394"/>
      <c r="ANG42" s="394"/>
      <c r="ANH42" s="394"/>
      <c r="ANI42" s="394"/>
      <c r="ANJ42" s="394"/>
      <c r="ANK42" s="394"/>
      <c r="ANL42" s="394"/>
      <c r="ANM42" s="394"/>
      <c r="ANN42" s="394"/>
      <c r="ANO42" s="394"/>
      <c r="ANP42" s="394"/>
      <c r="ANQ42" s="394"/>
      <c r="ANR42" s="394"/>
      <c r="ANS42" s="394"/>
      <c r="ANT42" s="394"/>
      <c r="ANU42" s="394"/>
      <c r="ANV42" s="394"/>
      <c r="ANW42" s="394"/>
      <c r="ANX42" s="394"/>
      <c r="ANY42" s="394"/>
      <c r="ANZ42" s="394"/>
      <c r="AOA42" s="394"/>
      <c r="AOB42" s="394"/>
      <c r="AOC42" s="394"/>
      <c r="AOD42" s="394"/>
      <c r="AOE42" s="394"/>
      <c r="AOF42" s="394"/>
      <c r="AOG42" s="394"/>
      <c r="AOH42" s="394"/>
      <c r="AOI42" s="394"/>
      <c r="AOJ42" s="394"/>
      <c r="AOK42" s="394"/>
      <c r="AOL42" s="394"/>
      <c r="AOM42" s="394"/>
      <c r="AON42" s="394"/>
      <c r="AOO42" s="394"/>
      <c r="AOP42" s="394"/>
      <c r="AOQ42" s="394"/>
      <c r="AOR42" s="394"/>
      <c r="AOS42" s="394"/>
      <c r="AOT42" s="394"/>
      <c r="AOU42" s="394"/>
      <c r="AOV42" s="394"/>
      <c r="AOW42" s="394"/>
      <c r="AOX42" s="394"/>
      <c r="AOY42" s="394"/>
      <c r="AOZ42" s="394"/>
      <c r="APA42" s="394"/>
      <c r="APB42" s="394"/>
      <c r="APC42" s="394"/>
      <c r="APD42" s="394"/>
      <c r="APE42" s="394"/>
      <c r="APF42" s="394"/>
      <c r="APG42" s="394"/>
      <c r="APH42" s="394"/>
      <c r="API42" s="394"/>
      <c r="APJ42" s="394"/>
      <c r="APK42" s="394"/>
      <c r="APL42" s="394"/>
      <c r="APM42" s="394"/>
      <c r="APN42" s="394"/>
      <c r="APO42" s="394"/>
      <c r="APP42" s="394"/>
      <c r="APQ42" s="394"/>
      <c r="APR42" s="394"/>
      <c r="APS42" s="394"/>
      <c r="APT42" s="394"/>
      <c r="APU42" s="394"/>
      <c r="APV42" s="394"/>
      <c r="APW42" s="394"/>
      <c r="APX42" s="394"/>
      <c r="APY42" s="394"/>
      <c r="APZ42" s="394"/>
      <c r="AQA42" s="394"/>
      <c r="AQB42" s="394"/>
      <c r="AQC42" s="394"/>
      <c r="AQD42" s="394"/>
      <c r="AQE42" s="394"/>
      <c r="AQF42" s="394"/>
      <c r="AQG42" s="394"/>
      <c r="AQH42" s="394"/>
      <c r="AQI42" s="394"/>
      <c r="AQJ42" s="394"/>
      <c r="AQK42" s="394"/>
      <c r="AQL42" s="394"/>
      <c r="AQM42" s="394"/>
      <c r="AQN42" s="394"/>
      <c r="AQO42" s="394"/>
      <c r="AQP42" s="394"/>
      <c r="AQQ42" s="394"/>
      <c r="AQR42" s="394"/>
      <c r="AQS42" s="394"/>
      <c r="AQT42" s="394"/>
      <c r="AQU42" s="394"/>
      <c r="AQV42" s="394"/>
      <c r="AQW42" s="394"/>
      <c r="AQX42" s="394"/>
      <c r="AQY42" s="394"/>
      <c r="AQZ42" s="394"/>
      <c r="ARA42" s="394"/>
      <c r="ARB42" s="394"/>
      <c r="ARC42" s="394"/>
      <c r="ARD42" s="394"/>
      <c r="ARE42" s="394"/>
      <c r="ARF42" s="394"/>
      <c r="ARG42" s="394"/>
      <c r="ARH42" s="394"/>
      <c r="ARI42" s="394"/>
      <c r="ARJ42" s="394"/>
      <c r="ARK42" s="394"/>
      <c r="ARL42" s="394"/>
      <c r="ARM42" s="394"/>
      <c r="ARN42" s="394"/>
      <c r="ARO42" s="394"/>
      <c r="ARP42" s="394"/>
      <c r="ARQ42" s="394"/>
      <c r="ARR42" s="394"/>
      <c r="ARS42" s="394"/>
      <c r="ART42" s="394"/>
      <c r="ARU42" s="394"/>
      <c r="ARV42" s="394"/>
      <c r="ARW42" s="394"/>
      <c r="ARX42" s="394"/>
      <c r="ARY42" s="394"/>
      <c r="ARZ42" s="394"/>
      <c r="ASA42" s="394"/>
      <c r="ASB42" s="394"/>
      <c r="ASC42" s="394"/>
      <c r="ASD42" s="394"/>
      <c r="ASE42" s="394"/>
      <c r="ASF42" s="394"/>
      <c r="ASG42" s="394"/>
      <c r="ASH42" s="394"/>
      <c r="ASI42" s="394"/>
      <c r="ASJ42" s="394"/>
      <c r="ASK42" s="394"/>
      <c r="ASL42" s="394"/>
      <c r="ASM42" s="394"/>
      <c r="ASN42" s="394"/>
      <c r="ASO42" s="394"/>
      <c r="ASP42" s="394"/>
      <c r="ASQ42" s="394"/>
      <c r="ASR42" s="394"/>
      <c r="ASS42" s="394"/>
      <c r="AST42" s="394"/>
      <c r="ASU42" s="394"/>
      <c r="ASV42" s="394"/>
      <c r="ASW42" s="394"/>
      <c r="ASX42" s="394"/>
      <c r="ASY42" s="394"/>
      <c r="ASZ42" s="394"/>
      <c r="ATA42" s="394"/>
      <c r="ATB42" s="394"/>
      <c r="ATC42" s="394"/>
      <c r="ATD42" s="394"/>
      <c r="ATE42" s="394"/>
      <c r="ATF42" s="394"/>
      <c r="ATG42" s="394"/>
      <c r="ATH42" s="394"/>
      <c r="ATI42" s="394"/>
      <c r="ATJ42" s="394"/>
      <c r="ATK42" s="394"/>
      <c r="ATL42" s="394"/>
      <c r="ATM42" s="394"/>
      <c r="ATN42" s="394"/>
      <c r="ATO42" s="394"/>
      <c r="ATP42" s="394"/>
      <c r="ATQ42" s="394"/>
      <c r="ATR42" s="394"/>
      <c r="ATS42" s="394"/>
      <c r="ATT42" s="394"/>
      <c r="ATU42" s="394"/>
      <c r="ATV42" s="394"/>
      <c r="ATW42" s="394"/>
      <c r="ATX42" s="394"/>
      <c r="ATY42" s="394"/>
      <c r="ATZ42" s="394"/>
      <c r="AUA42" s="394"/>
      <c r="AUB42" s="394"/>
      <c r="AUC42" s="394"/>
      <c r="AUD42" s="394"/>
      <c r="AUE42" s="394"/>
      <c r="AUF42" s="394"/>
      <c r="AUG42" s="394"/>
      <c r="AUH42" s="394"/>
      <c r="AUI42" s="394"/>
      <c r="AUJ42" s="394"/>
      <c r="AUK42" s="394"/>
      <c r="AUL42" s="394"/>
      <c r="AUM42" s="394"/>
      <c r="AUN42" s="394"/>
      <c r="AUO42" s="394"/>
      <c r="AUP42" s="394"/>
      <c r="AUQ42" s="394"/>
      <c r="AUR42" s="394"/>
      <c r="AUS42" s="394"/>
      <c r="AUT42" s="394"/>
      <c r="AUU42" s="394"/>
      <c r="AUV42" s="394"/>
      <c r="AUW42" s="394"/>
      <c r="AUX42" s="394"/>
      <c r="AUY42" s="394"/>
      <c r="AUZ42" s="394"/>
      <c r="AVA42" s="394"/>
      <c r="AVB42" s="394"/>
      <c r="AVC42" s="394"/>
      <c r="AVD42" s="394"/>
      <c r="AVE42" s="394"/>
      <c r="AVF42" s="394"/>
      <c r="AVG42" s="394"/>
      <c r="AVH42" s="394"/>
      <c r="AVI42" s="394"/>
      <c r="AVJ42" s="394"/>
      <c r="AVK42" s="394"/>
      <c r="AVL42" s="394"/>
      <c r="AVM42" s="394"/>
      <c r="AVN42" s="394"/>
      <c r="AVO42" s="394"/>
      <c r="AVP42" s="394"/>
      <c r="AVQ42" s="394"/>
      <c r="AVR42" s="394"/>
      <c r="AVS42" s="394"/>
      <c r="AVT42" s="394"/>
      <c r="AVU42" s="394"/>
      <c r="AVV42" s="394"/>
      <c r="AVW42" s="394"/>
      <c r="AVX42" s="394"/>
      <c r="AVY42" s="394"/>
      <c r="AVZ42" s="394"/>
      <c r="AWA42" s="394"/>
      <c r="AWB42" s="394"/>
      <c r="AWC42" s="394"/>
      <c r="AWD42" s="394"/>
      <c r="AWE42" s="394"/>
      <c r="AWF42" s="394"/>
      <c r="AWG42" s="394"/>
      <c r="AWH42" s="394"/>
      <c r="AWI42" s="394"/>
      <c r="AWJ42" s="394"/>
      <c r="AWK42" s="394"/>
      <c r="AWL42" s="394"/>
      <c r="AWM42" s="394"/>
      <c r="AWN42" s="394"/>
      <c r="AWO42" s="394"/>
      <c r="AWP42" s="394"/>
      <c r="AWQ42" s="394"/>
      <c r="AWR42" s="394"/>
      <c r="AWS42" s="394"/>
      <c r="AWT42" s="394"/>
      <c r="AWU42" s="394"/>
      <c r="AWV42" s="394"/>
      <c r="AWW42" s="394"/>
      <c r="AWX42" s="394"/>
      <c r="AWY42" s="394"/>
      <c r="AWZ42" s="394"/>
      <c r="AXA42" s="394"/>
      <c r="AXB42" s="394"/>
      <c r="AXC42" s="394"/>
      <c r="AXD42" s="394"/>
      <c r="AXE42" s="394"/>
      <c r="AXF42" s="394"/>
      <c r="AXG42" s="394"/>
      <c r="AXH42" s="394"/>
      <c r="AXI42" s="394"/>
      <c r="AXJ42" s="394"/>
      <c r="AXK42" s="394"/>
      <c r="AXL42" s="394"/>
      <c r="AXM42" s="394"/>
      <c r="AXN42" s="394"/>
      <c r="AXO42" s="394"/>
      <c r="AXP42" s="394"/>
      <c r="AXQ42" s="394"/>
      <c r="AXR42" s="394"/>
      <c r="AXS42" s="394"/>
      <c r="AXT42" s="394"/>
      <c r="AXU42" s="394"/>
      <c r="AXV42" s="394"/>
      <c r="AXW42" s="394"/>
      <c r="AXX42" s="394"/>
      <c r="AXY42" s="394"/>
      <c r="AXZ42" s="394"/>
      <c r="AYA42" s="394"/>
      <c r="AYB42" s="394"/>
      <c r="AYC42" s="394"/>
      <c r="AYD42" s="394"/>
      <c r="AYE42" s="394"/>
      <c r="AYF42" s="394"/>
      <c r="AYG42" s="394"/>
      <c r="AYH42" s="394"/>
      <c r="AYI42" s="394"/>
      <c r="AYJ42" s="394"/>
      <c r="AYK42" s="394"/>
      <c r="AYL42" s="394"/>
      <c r="AYM42" s="394"/>
      <c r="AYN42" s="394"/>
      <c r="AYO42" s="394"/>
      <c r="AYP42" s="394"/>
      <c r="AYQ42" s="394"/>
      <c r="AYR42" s="394"/>
      <c r="AYS42" s="394"/>
      <c r="AYT42" s="394"/>
      <c r="AYU42" s="394"/>
      <c r="AYV42" s="394"/>
      <c r="AYW42" s="394"/>
      <c r="AYX42" s="394"/>
      <c r="AYY42" s="394"/>
      <c r="AYZ42" s="394"/>
      <c r="AZA42" s="394"/>
      <c r="AZB42" s="394"/>
      <c r="AZC42" s="394"/>
      <c r="AZD42" s="394"/>
      <c r="AZE42" s="394"/>
      <c r="AZF42" s="394"/>
      <c r="AZG42" s="394"/>
      <c r="AZH42" s="394"/>
      <c r="AZI42" s="394"/>
      <c r="AZJ42" s="394"/>
      <c r="AZK42" s="394"/>
      <c r="AZL42" s="394"/>
      <c r="AZM42" s="394"/>
      <c r="AZN42" s="394"/>
      <c r="AZO42" s="394"/>
      <c r="AZP42" s="394"/>
      <c r="AZQ42" s="394"/>
      <c r="AZR42" s="394"/>
      <c r="AZS42" s="394"/>
      <c r="AZT42" s="394"/>
      <c r="AZU42" s="394"/>
      <c r="AZV42" s="394"/>
      <c r="AZW42" s="394"/>
      <c r="AZX42" s="394"/>
      <c r="AZY42" s="394"/>
      <c r="AZZ42" s="394"/>
      <c r="BAA42" s="394"/>
      <c r="BAB42" s="394"/>
      <c r="BAC42" s="394"/>
      <c r="BAD42" s="394"/>
      <c r="BAE42" s="394"/>
      <c r="BAF42" s="394"/>
      <c r="BAG42" s="394"/>
      <c r="BAH42" s="394"/>
      <c r="BAI42" s="394"/>
      <c r="BAJ42" s="394"/>
      <c r="BAK42" s="394"/>
      <c r="BAL42" s="394"/>
      <c r="BAM42" s="394"/>
      <c r="BAN42" s="394"/>
      <c r="BAO42" s="394"/>
      <c r="BAP42" s="394"/>
      <c r="BAQ42" s="394"/>
      <c r="BAR42" s="394"/>
      <c r="BAS42" s="394"/>
      <c r="BAT42" s="394"/>
      <c r="BAU42" s="394"/>
      <c r="BAV42" s="394"/>
      <c r="BAW42" s="394"/>
      <c r="BAX42" s="394"/>
      <c r="BAY42" s="394"/>
      <c r="BAZ42" s="394"/>
      <c r="BBA42" s="394"/>
      <c r="BBB42" s="394"/>
      <c r="BBC42" s="394"/>
      <c r="BBD42" s="394"/>
      <c r="BBE42" s="394"/>
      <c r="BBF42" s="394"/>
      <c r="BBG42" s="394"/>
      <c r="BBH42" s="394"/>
      <c r="BBI42" s="394"/>
      <c r="BBJ42" s="394"/>
      <c r="BBK42" s="394"/>
      <c r="BBL42" s="394"/>
      <c r="BBM42" s="394"/>
      <c r="BBN42" s="394"/>
      <c r="BBO42" s="394"/>
      <c r="BBP42" s="394"/>
      <c r="BBQ42" s="394"/>
      <c r="BBR42" s="394"/>
      <c r="BBS42" s="394"/>
      <c r="BBT42" s="394"/>
      <c r="BBU42" s="394"/>
      <c r="BBV42" s="394"/>
      <c r="BBW42" s="394"/>
      <c r="BBX42" s="394"/>
      <c r="BBY42" s="394"/>
      <c r="BBZ42" s="394"/>
      <c r="BCA42" s="394"/>
      <c r="BCB42" s="394"/>
      <c r="BCC42" s="394"/>
      <c r="BCD42" s="394"/>
      <c r="BCE42" s="394"/>
      <c r="BCF42" s="394"/>
      <c r="BCG42" s="394"/>
      <c r="BCH42" s="394"/>
      <c r="BCI42" s="394"/>
      <c r="BCJ42" s="394"/>
      <c r="BCK42" s="394"/>
      <c r="BCL42" s="394"/>
      <c r="BCM42" s="394"/>
      <c r="BCN42" s="394"/>
      <c r="BCO42" s="394"/>
      <c r="BCP42" s="394"/>
      <c r="BCQ42" s="394"/>
      <c r="BCR42" s="394"/>
      <c r="BCS42" s="394"/>
      <c r="BCT42" s="394"/>
      <c r="BCU42" s="394"/>
      <c r="BCV42" s="394"/>
      <c r="BCW42" s="394"/>
      <c r="BCX42" s="394"/>
      <c r="BCY42" s="394"/>
      <c r="BCZ42" s="394"/>
      <c r="BDA42" s="394"/>
      <c r="BDB42" s="394"/>
      <c r="BDC42" s="394"/>
      <c r="BDD42" s="394"/>
      <c r="BDE42" s="394"/>
      <c r="BDF42" s="394"/>
      <c r="BDG42" s="394"/>
      <c r="BDH42" s="394"/>
      <c r="BDI42" s="394"/>
      <c r="BDJ42" s="394"/>
      <c r="BDK42" s="394"/>
      <c r="BDL42" s="394"/>
      <c r="BDM42" s="394"/>
      <c r="BDN42" s="394"/>
      <c r="BDO42" s="394"/>
      <c r="BDP42" s="394"/>
      <c r="BDQ42" s="394"/>
      <c r="BDR42" s="394"/>
      <c r="BDS42" s="394"/>
      <c r="BDT42" s="394"/>
      <c r="BDU42" s="394"/>
      <c r="BDV42" s="394"/>
      <c r="BDW42" s="394"/>
      <c r="BDX42" s="394"/>
      <c r="BDY42" s="394"/>
      <c r="BDZ42" s="394"/>
      <c r="BEA42" s="394"/>
      <c r="BEB42" s="394"/>
      <c r="BEC42" s="394"/>
      <c r="BED42" s="394"/>
      <c r="BEE42" s="394"/>
      <c r="BEF42" s="394"/>
      <c r="BEG42" s="394"/>
      <c r="BEH42" s="394"/>
      <c r="BEI42" s="394"/>
      <c r="BEJ42" s="394"/>
      <c r="BEK42" s="394"/>
      <c r="BEL42" s="394"/>
      <c r="BEM42" s="394"/>
      <c r="BEN42" s="394"/>
      <c r="BEO42" s="394"/>
      <c r="BEP42" s="394"/>
      <c r="BEQ42" s="394"/>
      <c r="BER42" s="394"/>
      <c r="BES42" s="394"/>
      <c r="BET42" s="394"/>
      <c r="BEU42" s="394"/>
      <c r="BEV42" s="394"/>
      <c r="BEW42" s="394"/>
      <c r="BEX42" s="394"/>
      <c r="BEY42" s="394"/>
      <c r="BEZ42" s="394"/>
      <c r="BFA42" s="394"/>
      <c r="BFB42" s="394"/>
      <c r="BFC42" s="394"/>
      <c r="BFD42" s="394"/>
      <c r="BFE42" s="394"/>
      <c r="BFF42" s="394"/>
      <c r="BFG42" s="394"/>
      <c r="BFH42" s="394"/>
      <c r="BFI42" s="394"/>
      <c r="BFJ42" s="394"/>
      <c r="BFK42" s="394"/>
      <c r="BFL42" s="394"/>
      <c r="BFM42" s="394"/>
      <c r="BFN42" s="394"/>
      <c r="BFO42" s="394"/>
      <c r="BFP42" s="394"/>
      <c r="BFQ42" s="394"/>
      <c r="BFR42" s="394"/>
      <c r="BFS42" s="394"/>
      <c r="BFT42" s="394"/>
      <c r="BFU42" s="394"/>
      <c r="BFV42" s="394"/>
      <c r="BFW42" s="394"/>
      <c r="BFX42" s="394"/>
      <c r="BFY42" s="394"/>
      <c r="BFZ42" s="394"/>
      <c r="BGA42" s="394"/>
      <c r="BGB42" s="394"/>
      <c r="BGC42" s="394"/>
      <c r="BGD42" s="394"/>
      <c r="BGE42" s="394"/>
      <c r="BGF42" s="394"/>
      <c r="BGG42" s="394"/>
      <c r="BGH42" s="394"/>
      <c r="BGI42" s="394"/>
      <c r="BGJ42" s="394"/>
      <c r="BGK42" s="394"/>
      <c r="BGL42" s="394"/>
      <c r="BGM42" s="394"/>
      <c r="BGN42" s="394"/>
      <c r="BGO42" s="394"/>
      <c r="BGP42" s="394"/>
      <c r="BGQ42" s="394"/>
      <c r="BGR42" s="394"/>
      <c r="BGS42" s="394"/>
      <c r="BGT42" s="394"/>
      <c r="BGU42" s="394"/>
      <c r="BGV42" s="394"/>
      <c r="BGW42" s="394"/>
      <c r="BGX42" s="394"/>
      <c r="BGY42" s="394"/>
      <c r="BGZ42" s="394"/>
      <c r="BHA42" s="394"/>
      <c r="BHB42" s="394"/>
      <c r="BHC42" s="394"/>
      <c r="BHD42" s="394"/>
      <c r="BHE42" s="394"/>
      <c r="BHF42" s="394"/>
      <c r="BHG42" s="394"/>
      <c r="BHH42" s="394"/>
      <c r="BHI42" s="394"/>
      <c r="BHJ42" s="394"/>
      <c r="BHK42" s="394"/>
      <c r="BHL42" s="394"/>
      <c r="BHM42" s="394"/>
      <c r="BHN42" s="394"/>
      <c r="BHO42" s="394"/>
      <c r="BHP42" s="394"/>
      <c r="BHQ42" s="394"/>
      <c r="BHR42" s="394"/>
      <c r="BHS42" s="394"/>
      <c r="BHT42" s="394"/>
      <c r="BHU42" s="394"/>
      <c r="BHV42" s="394"/>
      <c r="BHW42" s="394"/>
      <c r="BHX42" s="394"/>
      <c r="BHY42" s="394"/>
      <c r="BHZ42" s="394"/>
      <c r="BIA42" s="394"/>
      <c r="BIB42" s="394"/>
      <c r="BIC42" s="394"/>
      <c r="BID42" s="394"/>
      <c r="BIE42" s="394"/>
      <c r="BIF42" s="394"/>
      <c r="BIG42" s="394"/>
      <c r="BIH42" s="394"/>
      <c r="BII42" s="394"/>
      <c r="BIJ42" s="394"/>
      <c r="BIK42" s="394"/>
      <c r="BIL42" s="394"/>
      <c r="BIM42" s="394"/>
      <c r="BIN42" s="394"/>
      <c r="BIO42" s="394"/>
      <c r="BIP42" s="394"/>
      <c r="BIQ42" s="394"/>
      <c r="BIR42" s="394"/>
      <c r="BIS42" s="394"/>
      <c r="BIT42" s="394"/>
      <c r="BIU42" s="394"/>
      <c r="BIV42" s="394"/>
      <c r="BIW42" s="394"/>
      <c r="BIX42" s="394"/>
      <c r="BIY42" s="394"/>
      <c r="BIZ42" s="394"/>
      <c r="BJA42" s="394"/>
      <c r="BJB42" s="394"/>
      <c r="BJC42" s="394"/>
      <c r="BJD42" s="394"/>
      <c r="BJE42" s="394"/>
      <c r="BJF42" s="394"/>
      <c r="BJG42" s="394"/>
      <c r="BJH42" s="394"/>
      <c r="BJI42" s="394"/>
      <c r="BJJ42" s="394"/>
      <c r="BJK42" s="394"/>
      <c r="BJL42" s="394"/>
      <c r="BJM42" s="394"/>
      <c r="BJN42" s="394"/>
      <c r="BJO42" s="394"/>
      <c r="BJP42" s="394"/>
      <c r="BJQ42" s="394"/>
      <c r="BJR42" s="394"/>
      <c r="BJS42" s="394"/>
      <c r="BJT42" s="394"/>
      <c r="BJU42" s="394"/>
      <c r="BJV42" s="394"/>
      <c r="BJW42" s="394"/>
      <c r="BJX42" s="394"/>
      <c r="BJY42" s="394"/>
      <c r="BJZ42" s="394"/>
      <c r="BKA42" s="394"/>
      <c r="BKB42" s="394"/>
      <c r="BKC42" s="394"/>
      <c r="BKD42" s="394"/>
      <c r="BKE42" s="394"/>
      <c r="BKF42" s="394"/>
      <c r="BKG42" s="394"/>
      <c r="BKH42" s="394"/>
      <c r="BKI42" s="394"/>
      <c r="BKJ42" s="394"/>
      <c r="BKK42" s="394"/>
      <c r="BKL42" s="394"/>
      <c r="BKM42" s="394"/>
      <c r="BKN42" s="394"/>
      <c r="BKO42" s="394"/>
      <c r="BKP42" s="394"/>
      <c r="BKQ42" s="394"/>
      <c r="BKR42" s="394"/>
      <c r="BKS42" s="394"/>
      <c r="BKT42" s="394"/>
      <c r="BKU42" s="394"/>
      <c r="BKV42" s="394"/>
      <c r="BKW42" s="394"/>
      <c r="BKX42" s="394"/>
      <c r="BKY42" s="394"/>
      <c r="BKZ42" s="394"/>
      <c r="BLA42" s="394"/>
      <c r="BLB42" s="394"/>
      <c r="BLC42" s="394"/>
      <c r="BLD42" s="394"/>
      <c r="BLE42" s="394"/>
      <c r="BLF42" s="394"/>
      <c r="BLG42" s="394"/>
      <c r="BLH42" s="394"/>
      <c r="BLI42" s="394"/>
      <c r="BLJ42" s="394"/>
      <c r="BLK42" s="394"/>
      <c r="BLL42" s="394"/>
      <c r="BLM42" s="394"/>
      <c r="BLN42" s="394"/>
      <c r="BLO42" s="394"/>
      <c r="BLP42" s="394"/>
      <c r="BLQ42" s="394"/>
      <c r="BLR42" s="394"/>
      <c r="BLS42" s="394"/>
      <c r="BLT42" s="394"/>
      <c r="BLU42" s="394"/>
      <c r="BLV42" s="394"/>
      <c r="BLW42" s="394"/>
      <c r="BLX42" s="394"/>
      <c r="BLY42" s="394"/>
      <c r="BLZ42" s="394"/>
      <c r="BMA42" s="394"/>
      <c r="BMB42" s="394"/>
      <c r="BMC42" s="394"/>
      <c r="BMD42" s="394"/>
      <c r="BME42" s="394"/>
      <c r="BMF42" s="394"/>
      <c r="BMG42" s="394"/>
      <c r="BMH42" s="394"/>
      <c r="BMI42" s="394"/>
      <c r="BMJ42" s="394"/>
      <c r="BMK42" s="394"/>
      <c r="BML42" s="394"/>
      <c r="BMM42" s="394"/>
      <c r="BMN42" s="394"/>
      <c r="BMO42" s="394"/>
      <c r="BMP42" s="394"/>
      <c r="BMQ42" s="394"/>
      <c r="BMR42" s="394"/>
      <c r="BMS42" s="394"/>
      <c r="BMT42" s="394"/>
      <c r="BMU42" s="394"/>
      <c r="BMV42" s="394"/>
      <c r="BMW42" s="394"/>
      <c r="BMX42" s="394"/>
      <c r="BMY42" s="394"/>
      <c r="BMZ42" s="394"/>
      <c r="BNA42" s="394"/>
      <c r="BNB42" s="394"/>
      <c r="BNC42" s="394"/>
      <c r="BND42" s="394"/>
      <c r="BNE42" s="394"/>
      <c r="BNF42" s="394"/>
      <c r="BNG42" s="394"/>
      <c r="BNH42" s="394"/>
      <c r="BNI42" s="394"/>
      <c r="BNJ42" s="394"/>
      <c r="BNK42" s="394"/>
      <c r="BNL42" s="394"/>
      <c r="BNM42" s="394"/>
      <c r="BNN42" s="394"/>
      <c r="BNO42" s="394"/>
      <c r="BNP42" s="394"/>
      <c r="BNQ42" s="394"/>
      <c r="BNR42" s="394"/>
      <c r="BNS42" s="394"/>
      <c r="BNT42" s="394"/>
      <c r="BNU42" s="394"/>
      <c r="BNV42" s="394"/>
      <c r="BNW42" s="394"/>
      <c r="BNX42" s="394"/>
      <c r="BNY42" s="394"/>
      <c r="BNZ42" s="394"/>
      <c r="BOA42" s="394"/>
      <c r="BOB42" s="394"/>
      <c r="BOC42" s="394"/>
      <c r="BOD42" s="394"/>
      <c r="BOE42" s="394"/>
      <c r="BOF42" s="394"/>
      <c r="BOG42" s="394"/>
      <c r="BOH42" s="394"/>
      <c r="BOI42" s="394"/>
      <c r="BOJ42" s="394"/>
      <c r="BOK42" s="394"/>
      <c r="BOL42" s="394"/>
      <c r="BOM42" s="394"/>
      <c r="BON42" s="394"/>
      <c r="BOO42" s="394"/>
      <c r="BOP42" s="394"/>
      <c r="BOQ42" s="394"/>
      <c r="BOR42" s="394"/>
      <c r="BOS42" s="394"/>
      <c r="BOT42" s="394"/>
      <c r="BOU42" s="394"/>
      <c r="BOV42" s="394"/>
      <c r="BOW42" s="394"/>
      <c r="BOX42" s="394"/>
      <c r="BOY42" s="394"/>
      <c r="BOZ42" s="394"/>
      <c r="BPA42" s="394"/>
      <c r="BPB42" s="394"/>
      <c r="BPC42" s="394"/>
      <c r="BPD42" s="394"/>
      <c r="BPE42" s="394"/>
      <c r="BPF42" s="394"/>
      <c r="BPG42" s="394"/>
      <c r="BPH42" s="394"/>
      <c r="BPI42" s="394"/>
      <c r="BPJ42" s="394"/>
      <c r="BPK42" s="394"/>
      <c r="BPL42" s="394"/>
      <c r="BPM42" s="394"/>
      <c r="BPN42" s="394"/>
      <c r="BPO42" s="394"/>
      <c r="BPP42" s="394"/>
      <c r="BPQ42" s="394"/>
      <c r="BPR42" s="394"/>
      <c r="BPS42" s="394"/>
      <c r="BPT42" s="394"/>
      <c r="BPU42" s="394"/>
      <c r="BPV42" s="394"/>
      <c r="BPW42" s="394"/>
      <c r="BPX42" s="394"/>
      <c r="BPY42" s="394"/>
      <c r="BPZ42" s="394"/>
      <c r="BQA42" s="394"/>
      <c r="BQB42" s="394"/>
      <c r="BQC42" s="394"/>
      <c r="BQD42" s="394"/>
      <c r="BQE42" s="394"/>
      <c r="BQF42" s="394"/>
      <c r="BQG42" s="394"/>
      <c r="BQH42" s="394"/>
      <c r="BQI42" s="394"/>
      <c r="BQJ42" s="394"/>
      <c r="BQK42" s="394"/>
      <c r="BQL42" s="394"/>
      <c r="BQM42" s="394"/>
      <c r="BQN42" s="394"/>
      <c r="BQO42" s="394"/>
      <c r="BQP42" s="394"/>
      <c r="BQQ42" s="394"/>
      <c r="BQR42" s="394"/>
      <c r="BQS42" s="394"/>
      <c r="BQT42" s="394"/>
      <c r="BQU42" s="394"/>
      <c r="BQV42" s="394"/>
      <c r="BQW42" s="394"/>
      <c r="BQX42" s="394"/>
      <c r="BQY42" s="394"/>
      <c r="BQZ42" s="394"/>
      <c r="BRA42" s="394"/>
      <c r="BRB42" s="394"/>
      <c r="BRC42" s="394"/>
      <c r="BRD42" s="394"/>
      <c r="BRE42" s="394"/>
      <c r="BRF42" s="394"/>
      <c r="BRG42" s="394"/>
      <c r="BRH42" s="394"/>
      <c r="BRI42" s="394"/>
      <c r="BRJ42" s="394"/>
      <c r="BRK42" s="394"/>
      <c r="BRL42" s="394"/>
      <c r="BRM42" s="394"/>
      <c r="BRN42" s="394"/>
      <c r="BRO42" s="394"/>
      <c r="BRP42" s="394"/>
      <c r="BRQ42" s="394"/>
      <c r="BRR42" s="394"/>
      <c r="BRS42" s="394"/>
      <c r="BRT42" s="394"/>
      <c r="BRU42" s="394"/>
      <c r="BRV42" s="394"/>
      <c r="BRW42" s="394"/>
      <c r="BRX42" s="394"/>
      <c r="BRY42" s="394"/>
      <c r="BRZ42" s="394"/>
      <c r="BSA42" s="394"/>
      <c r="BSB42" s="394"/>
      <c r="BSC42" s="394"/>
      <c r="BSD42" s="394"/>
      <c r="BSE42" s="394"/>
      <c r="BSF42" s="394"/>
      <c r="BSG42" s="394"/>
      <c r="BSH42" s="394"/>
      <c r="BSI42" s="394"/>
      <c r="BSJ42" s="394"/>
      <c r="BSK42" s="394"/>
      <c r="BSL42" s="394"/>
      <c r="BSM42" s="394"/>
      <c r="BSN42" s="394"/>
      <c r="BSO42" s="394"/>
      <c r="BSP42" s="394"/>
      <c r="BSQ42" s="394"/>
      <c r="BSR42" s="394"/>
      <c r="BSS42" s="394"/>
      <c r="BST42" s="394"/>
      <c r="BSU42" s="394"/>
      <c r="BSV42" s="394"/>
      <c r="BSW42" s="394"/>
      <c r="BSX42" s="394"/>
      <c r="BSY42" s="394"/>
      <c r="BSZ42" s="394"/>
      <c r="BTA42" s="394"/>
      <c r="BTB42" s="394"/>
      <c r="BTC42" s="394"/>
      <c r="BTD42" s="394"/>
      <c r="BTE42" s="394"/>
      <c r="BTF42" s="394"/>
      <c r="BTG42" s="394"/>
      <c r="BTH42" s="394"/>
      <c r="BTI42" s="394"/>
    </row>
    <row r="43" spans="1:1881" ht="27" customHeight="1" x14ac:dyDescent="0.25">
      <c r="A43" s="189"/>
      <c r="B43" s="161" t="s">
        <v>157</v>
      </c>
      <c r="C43" s="160"/>
      <c r="D43" s="133"/>
      <c r="E43" s="143"/>
      <c r="F43" s="725"/>
      <c r="G43" s="553"/>
      <c r="H43" s="13"/>
      <c r="I43" s="31"/>
      <c r="L43" s="833" t="s">
        <v>1139</v>
      </c>
      <c r="M43" s="610"/>
      <c r="N43" s="635"/>
    </row>
    <row r="44" spans="1:1881" s="4" customFormat="1" ht="55.5" customHeight="1" x14ac:dyDescent="0.25">
      <c r="A44" s="188">
        <v>506</v>
      </c>
      <c r="B44" s="65" t="s">
        <v>62</v>
      </c>
      <c r="C44" s="134" t="s">
        <v>160</v>
      </c>
      <c r="D44" s="175" t="s">
        <v>596</v>
      </c>
      <c r="E44" s="493" t="e">
        <f>HLOOKUP($D$2,'2019 Data(H)'!$C$1:$CP$300,156,FALSE)</f>
        <v>#N/A</v>
      </c>
      <c r="F44" s="624"/>
      <c r="G44" s="395">
        <f>IF(F44&lt;0,"Note: Number is normally positive.",)</f>
        <v>0</v>
      </c>
      <c r="H44" s="17"/>
      <c r="I44" s="31"/>
      <c r="J44" s="365"/>
      <c r="K44" s="394"/>
      <c r="L44" s="833" t="s">
        <v>1140</v>
      </c>
      <c r="M44" s="610"/>
      <c r="N44" s="635"/>
      <c r="O44" s="394"/>
      <c r="P44" s="394"/>
      <c r="Q44" s="394"/>
      <c r="R44" s="394"/>
      <c r="S44" s="394"/>
      <c r="T44" s="394"/>
      <c r="U44" s="394"/>
      <c r="V44" s="394"/>
      <c r="W44" s="394"/>
      <c r="X44" s="394"/>
      <c r="Y44" s="394"/>
      <c r="Z44" s="394"/>
      <c r="AA44" s="394"/>
      <c r="AB44" s="394"/>
      <c r="AC44" s="394"/>
      <c r="AD44" s="394"/>
      <c r="AE44" s="394"/>
      <c r="AF44" s="394"/>
      <c r="AG44" s="394"/>
      <c r="AH44" s="394"/>
      <c r="AI44" s="394"/>
      <c r="AJ44" s="394"/>
      <c r="AK44" s="394"/>
      <c r="AL44" s="394"/>
      <c r="AM44" s="394"/>
      <c r="AN44" s="394"/>
      <c r="AO44" s="394"/>
      <c r="AP44" s="394"/>
      <c r="AQ44" s="394"/>
      <c r="AR44" s="394"/>
      <c r="AS44" s="394"/>
      <c r="AT44" s="394"/>
      <c r="AU44" s="394"/>
      <c r="AV44" s="394"/>
      <c r="AW44" s="394"/>
      <c r="AX44" s="394"/>
      <c r="AY44" s="394"/>
      <c r="AZ44" s="394"/>
      <c r="BA44" s="394"/>
      <c r="BB44" s="394"/>
      <c r="BC44" s="394"/>
      <c r="BD44" s="394"/>
      <c r="BE44" s="394"/>
      <c r="BF44" s="394"/>
      <c r="BG44" s="394"/>
      <c r="BH44" s="394"/>
      <c r="BI44" s="394"/>
      <c r="BJ44" s="394"/>
      <c r="BK44" s="394"/>
      <c r="BL44" s="394"/>
      <c r="BM44" s="394"/>
      <c r="BN44" s="394"/>
      <c r="BO44" s="394"/>
      <c r="BP44" s="394"/>
      <c r="BQ44" s="394"/>
      <c r="BR44" s="394"/>
      <c r="BS44" s="394"/>
      <c r="BT44" s="394"/>
      <c r="BU44" s="394"/>
      <c r="BV44" s="394"/>
      <c r="BW44" s="394"/>
      <c r="BX44" s="394"/>
      <c r="BY44" s="394"/>
      <c r="BZ44" s="394"/>
      <c r="CA44" s="394"/>
      <c r="CB44" s="394"/>
      <c r="CC44" s="394"/>
      <c r="CD44" s="394"/>
      <c r="CE44" s="394"/>
      <c r="CF44" s="394"/>
      <c r="CG44" s="394"/>
      <c r="CH44" s="394"/>
      <c r="CI44" s="394"/>
      <c r="CJ44" s="394"/>
      <c r="CK44" s="394"/>
      <c r="CL44" s="394"/>
      <c r="CM44" s="394"/>
      <c r="CN44" s="394"/>
      <c r="CO44" s="394"/>
      <c r="CP44" s="394"/>
      <c r="CQ44" s="394"/>
      <c r="CR44" s="394"/>
      <c r="CS44" s="394"/>
      <c r="CT44" s="394"/>
      <c r="CU44" s="394"/>
      <c r="CV44" s="394"/>
      <c r="CW44" s="394"/>
      <c r="CX44" s="394"/>
      <c r="CY44" s="394"/>
      <c r="CZ44" s="394"/>
      <c r="DA44" s="394"/>
      <c r="DB44" s="394"/>
      <c r="DC44" s="394"/>
      <c r="DD44" s="394"/>
      <c r="DE44" s="394"/>
      <c r="DF44" s="394"/>
      <c r="DG44" s="394"/>
      <c r="DH44" s="394"/>
      <c r="DI44" s="394"/>
      <c r="DJ44" s="394"/>
      <c r="DK44" s="394"/>
      <c r="DL44" s="394"/>
      <c r="DM44" s="394"/>
      <c r="DN44" s="394"/>
      <c r="DO44" s="394"/>
      <c r="DP44" s="394"/>
      <c r="DQ44" s="394"/>
      <c r="DR44" s="394"/>
      <c r="DS44" s="394"/>
      <c r="DT44" s="394"/>
      <c r="DU44" s="394"/>
      <c r="DV44" s="394"/>
      <c r="DW44" s="394"/>
      <c r="DX44" s="394"/>
      <c r="DY44" s="394"/>
      <c r="DZ44" s="394"/>
      <c r="EA44" s="394"/>
      <c r="EB44" s="394"/>
      <c r="EC44" s="394"/>
      <c r="ED44" s="394"/>
      <c r="EE44" s="394"/>
      <c r="EF44" s="394"/>
      <c r="EG44" s="394"/>
      <c r="EH44" s="394"/>
      <c r="EI44" s="394"/>
      <c r="EJ44" s="394"/>
      <c r="EK44" s="394"/>
      <c r="EL44" s="394"/>
      <c r="EM44" s="394"/>
      <c r="EN44" s="394"/>
      <c r="EO44" s="394"/>
      <c r="EP44" s="394"/>
      <c r="EQ44" s="394"/>
      <c r="ER44" s="394"/>
      <c r="ES44" s="394"/>
      <c r="ET44" s="394"/>
      <c r="EU44" s="394"/>
      <c r="EV44" s="394"/>
      <c r="EW44" s="394"/>
      <c r="EX44" s="394"/>
      <c r="EY44" s="394"/>
      <c r="EZ44" s="394"/>
      <c r="FA44" s="394"/>
      <c r="FB44" s="394"/>
      <c r="FC44" s="394"/>
      <c r="FD44" s="394"/>
      <c r="FE44" s="394"/>
      <c r="FF44" s="394"/>
      <c r="FG44" s="394"/>
      <c r="FH44" s="394"/>
      <c r="FI44" s="394"/>
      <c r="FJ44" s="394"/>
      <c r="FK44" s="394"/>
      <c r="FL44" s="394"/>
      <c r="FM44" s="394"/>
      <c r="FN44" s="394"/>
      <c r="FO44" s="394"/>
      <c r="FP44" s="394"/>
      <c r="FQ44" s="394"/>
      <c r="FR44" s="394"/>
      <c r="FS44" s="394"/>
      <c r="FT44" s="394"/>
      <c r="FU44" s="394"/>
      <c r="FV44" s="394"/>
      <c r="FW44" s="394"/>
      <c r="FX44" s="394"/>
      <c r="FY44" s="394"/>
      <c r="FZ44" s="394"/>
      <c r="GA44" s="394"/>
      <c r="GB44" s="394"/>
      <c r="GC44" s="394"/>
      <c r="GD44" s="394"/>
      <c r="GE44" s="394"/>
      <c r="GF44" s="394"/>
      <c r="GG44" s="394"/>
      <c r="GH44" s="394"/>
      <c r="GI44" s="394"/>
      <c r="GJ44" s="394"/>
      <c r="GK44" s="394"/>
      <c r="GL44" s="394"/>
      <c r="GM44" s="394"/>
      <c r="GN44" s="394"/>
      <c r="GO44" s="394"/>
      <c r="GP44" s="394"/>
      <c r="GQ44" s="394"/>
      <c r="GR44" s="394"/>
      <c r="GS44" s="394"/>
      <c r="GT44" s="394"/>
      <c r="GU44" s="394"/>
      <c r="GV44" s="394"/>
      <c r="GW44" s="394"/>
      <c r="GX44" s="394"/>
      <c r="GY44" s="394"/>
      <c r="GZ44" s="394"/>
      <c r="HA44" s="394"/>
      <c r="HB44" s="394"/>
      <c r="HC44" s="394"/>
      <c r="HD44" s="394"/>
      <c r="HE44" s="394"/>
      <c r="HF44" s="394"/>
      <c r="HG44" s="394"/>
      <c r="HH44" s="394"/>
      <c r="HI44" s="394"/>
      <c r="HJ44" s="394"/>
      <c r="HK44" s="394"/>
      <c r="HL44" s="394"/>
      <c r="HM44" s="394"/>
      <c r="HN44" s="394"/>
      <c r="HO44" s="394"/>
      <c r="HP44" s="394"/>
      <c r="HQ44" s="394"/>
      <c r="HR44" s="394"/>
      <c r="HS44" s="394"/>
      <c r="HT44" s="394"/>
      <c r="HU44" s="394"/>
      <c r="HV44" s="394"/>
      <c r="HW44" s="394"/>
      <c r="HX44" s="394"/>
      <c r="HY44" s="394"/>
      <c r="HZ44" s="394"/>
      <c r="IA44" s="394"/>
      <c r="IB44" s="394"/>
      <c r="IC44" s="394"/>
      <c r="ID44" s="394"/>
      <c r="IE44" s="394"/>
      <c r="IF44" s="394"/>
      <c r="IG44" s="394"/>
      <c r="IH44" s="394"/>
      <c r="II44" s="394"/>
      <c r="IJ44" s="394"/>
      <c r="IK44" s="394"/>
      <c r="IL44" s="394"/>
      <c r="IM44" s="394"/>
      <c r="IN44" s="394"/>
      <c r="IO44" s="394"/>
      <c r="IP44" s="394"/>
      <c r="IQ44" s="394"/>
      <c r="IR44" s="394"/>
      <c r="IS44" s="394"/>
      <c r="IT44" s="394"/>
      <c r="IU44" s="394"/>
      <c r="IV44" s="394"/>
      <c r="IW44" s="394"/>
      <c r="IX44" s="394"/>
      <c r="IY44" s="394"/>
      <c r="IZ44" s="394"/>
      <c r="JA44" s="394"/>
      <c r="JB44" s="394"/>
      <c r="JC44" s="394"/>
      <c r="JD44" s="394"/>
      <c r="JE44" s="394"/>
      <c r="JF44" s="394"/>
      <c r="JG44" s="394"/>
      <c r="JH44" s="394"/>
      <c r="JI44" s="394"/>
      <c r="JJ44" s="394"/>
      <c r="JK44" s="394"/>
      <c r="JL44" s="394"/>
      <c r="JM44" s="394"/>
      <c r="JN44" s="394"/>
      <c r="JO44" s="394"/>
      <c r="JP44" s="394"/>
      <c r="JQ44" s="394"/>
      <c r="JR44" s="394"/>
      <c r="JS44" s="394"/>
      <c r="JT44" s="394"/>
      <c r="JU44" s="394"/>
      <c r="JV44" s="394"/>
      <c r="JW44" s="394"/>
      <c r="JX44" s="394"/>
      <c r="JY44" s="394"/>
      <c r="JZ44" s="394"/>
      <c r="KA44" s="394"/>
      <c r="KB44" s="394"/>
      <c r="KC44" s="394"/>
      <c r="KD44" s="394"/>
      <c r="KE44" s="394"/>
      <c r="KF44" s="394"/>
      <c r="KG44" s="394"/>
      <c r="KH44" s="394"/>
      <c r="KI44" s="394"/>
      <c r="KJ44" s="394"/>
      <c r="KK44" s="394"/>
      <c r="KL44" s="394"/>
      <c r="KM44" s="394"/>
      <c r="KN44" s="394"/>
      <c r="KO44" s="394"/>
      <c r="KP44" s="394"/>
      <c r="KQ44" s="394"/>
      <c r="KR44" s="394"/>
      <c r="KS44" s="394"/>
      <c r="KT44" s="394"/>
      <c r="KU44" s="394"/>
      <c r="KV44" s="394"/>
      <c r="KW44" s="394"/>
      <c r="KX44" s="394"/>
      <c r="KY44" s="394"/>
      <c r="KZ44" s="394"/>
      <c r="LA44" s="394"/>
      <c r="LB44" s="394"/>
      <c r="LC44" s="394"/>
      <c r="LD44" s="394"/>
      <c r="LE44" s="394"/>
      <c r="LF44" s="394"/>
      <c r="LG44" s="394"/>
      <c r="LH44" s="394"/>
      <c r="LI44" s="394"/>
      <c r="LJ44" s="394"/>
      <c r="LK44" s="394"/>
      <c r="LL44" s="394"/>
      <c r="LM44" s="394"/>
      <c r="LN44" s="394"/>
      <c r="LO44" s="394"/>
      <c r="LP44" s="394"/>
      <c r="LQ44" s="394"/>
      <c r="LR44" s="394"/>
      <c r="LS44" s="394"/>
      <c r="LT44" s="394"/>
      <c r="LU44" s="394"/>
      <c r="LV44" s="394"/>
      <c r="LW44" s="394"/>
      <c r="LX44" s="394"/>
      <c r="LY44" s="394"/>
      <c r="LZ44" s="394"/>
      <c r="MA44" s="394"/>
      <c r="MB44" s="394"/>
      <c r="MC44" s="394"/>
      <c r="MD44" s="394"/>
      <c r="ME44" s="394"/>
      <c r="MF44" s="394"/>
      <c r="MG44" s="394"/>
      <c r="MH44" s="394"/>
      <c r="MI44" s="394"/>
      <c r="MJ44" s="394"/>
      <c r="MK44" s="394"/>
      <c r="ML44" s="394"/>
      <c r="MM44" s="394"/>
      <c r="MN44" s="394"/>
      <c r="MO44" s="394"/>
      <c r="MP44" s="394"/>
      <c r="MQ44" s="394"/>
      <c r="MR44" s="394"/>
      <c r="MS44" s="394"/>
      <c r="MT44" s="394"/>
      <c r="MU44" s="394"/>
      <c r="MV44" s="394"/>
      <c r="MW44" s="394"/>
      <c r="MX44" s="394"/>
      <c r="MY44" s="394"/>
      <c r="MZ44" s="394"/>
      <c r="NA44" s="394"/>
      <c r="NB44" s="394"/>
      <c r="NC44" s="394"/>
      <c r="ND44" s="394"/>
      <c r="NE44" s="394"/>
      <c r="NF44" s="394"/>
      <c r="NG44" s="394"/>
      <c r="NH44" s="394"/>
      <c r="NI44" s="394"/>
      <c r="NJ44" s="394"/>
      <c r="NK44" s="394"/>
      <c r="NL44" s="394"/>
      <c r="NM44" s="394"/>
      <c r="NN44" s="394"/>
      <c r="NO44" s="394"/>
      <c r="NP44" s="394"/>
      <c r="NQ44" s="394"/>
      <c r="NR44" s="394"/>
      <c r="NS44" s="394"/>
      <c r="NT44" s="394"/>
      <c r="NU44" s="394"/>
      <c r="NV44" s="394"/>
      <c r="NW44" s="394"/>
      <c r="NX44" s="394"/>
      <c r="NY44" s="394"/>
      <c r="NZ44" s="394"/>
      <c r="OA44" s="394"/>
      <c r="OB44" s="394"/>
      <c r="OC44" s="394"/>
      <c r="OD44" s="394"/>
      <c r="OE44" s="394"/>
      <c r="OF44" s="394"/>
      <c r="OG44" s="394"/>
      <c r="OH44" s="394"/>
      <c r="OI44" s="394"/>
      <c r="OJ44" s="394"/>
      <c r="OK44" s="394"/>
      <c r="OL44" s="394"/>
      <c r="OM44" s="394"/>
      <c r="ON44" s="394"/>
      <c r="OO44" s="394"/>
      <c r="OP44" s="394"/>
      <c r="OQ44" s="394"/>
      <c r="OR44" s="394"/>
      <c r="OS44" s="394"/>
      <c r="OT44" s="394"/>
      <c r="OU44" s="394"/>
      <c r="OV44" s="394"/>
      <c r="OW44" s="394"/>
      <c r="OX44" s="394"/>
      <c r="OY44" s="394"/>
      <c r="OZ44" s="394"/>
      <c r="PA44" s="394"/>
      <c r="PB44" s="394"/>
      <c r="PC44" s="394"/>
      <c r="PD44" s="394"/>
      <c r="PE44" s="394"/>
      <c r="PF44" s="394"/>
      <c r="PG44" s="394"/>
      <c r="PH44" s="394"/>
      <c r="PI44" s="394"/>
      <c r="PJ44" s="394"/>
      <c r="PK44" s="394"/>
      <c r="PL44" s="394"/>
      <c r="PM44" s="394"/>
      <c r="PN44" s="394"/>
      <c r="PO44" s="394"/>
      <c r="PP44" s="394"/>
      <c r="PQ44" s="394"/>
      <c r="PR44" s="394"/>
      <c r="PS44" s="394"/>
      <c r="PT44" s="394"/>
      <c r="PU44" s="394"/>
      <c r="PV44" s="394"/>
      <c r="PW44" s="394"/>
      <c r="PX44" s="394"/>
      <c r="PY44" s="394"/>
      <c r="PZ44" s="394"/>
      <c r="QA44" s="394"/>
      <c r="QB44" s="394"/>
      <c r="QC44" s="394"/>
      <c r="QD44" s="394"/>
      <c r="QE44" s="394"/>
      <c r="QF44" s="394"/>
      <c r="QG44" s="394"/>
      <c r="QH44" s="394"/>
      <c r="QI44" s="394"/>
      <c r="QJ44" s="394"/>
      <c r="QK44" s="394"/>
      <c r="QL44" s="394"/>
      <c r="QM44" s="394"/>
      <c r="QN44" s="394"/>
      <c r="QO44" s="394"/>
      <c r="QP44" s="394"/>
      <c r="QQ44" s="394"/>
      <c r="QR44" s="394"/>
      <c r="QS44" s="394"/>
      <c r="QT44" s="394"/>
      <c r="QU44" s="394"/>
      <c r="QV44" s="394"/>
      <c r="QW44" s="394"/>
      <c r="QX44" s="394"/>
      <c r="QY44" s="394"/>
      <c r="QZ44" s="394"/>
      <c r="RA44" s="394"/>
      <c r="RB44" s="394"/>
      <c r="RC44" s="394"/>
      <c r="RD44" s="394"/>
      <c r="RE44" s="394"/>
      <c r="RF44" s="394"/>
      <c r="RG44" s="394"/>
      <c r="RH44" s="394"/>
      <c r="RI44" s="394"/>
      <c r="RJ44" s="394"/>
      <c r="RK44" s="394"/>
      <c r="RL44" s="394"/>
      <c r="RM44" s="394"/>
      <c r="RN44" s="394"/>
      <c r="RO44" s="394"/>
      <c r="RP44" s="394"/>
      <c r="RQ44" s="394"/>
      <c r="RR44" s="394"/>
      <c r="RS44" s="394"/>
      <c r="RT44" s="394"/>
      <c r="RU44" s="394"/>
      <c r="RV44" s="394"/>
      <c r="RW44" s="394"/>
      <c r="RX44" s="394"/>
      <c r="RY44" s="394"/>
      <c r="RZ44" s="394"/>
      <c r="SA44" s="394"/>
      <c r="SB44" s="394"/>
      <c r="SC44" s="394"/>
      <c r="SD44" s="394"/>
      <c r="SE44" s="394"/>
      <c r="SF44" s="394"/>
      <c r="SG44" s="394"/>
      <c r="SH44" s="394"/>
      <c r="SI44" s="394"/>
      <c r="SJ44" s="394"/>
      <c r="SK44" s="394"/>
      <c r="SL44" s="394"/>
      <c r="SM44" s="394"/>
      <c r="SN44" s="394"/>
      <c r="SO44" s="394"/>
      <c r="SP44" s="394"/>
      <c r="SQ44" s="394"/>
      <c r="SR44" s="394"/>
      <c r="SS44" s="394"/>
      <c r="ST44" s="394"/>
      <c r="SU44" s="394"/>
      <c r="SV44" s="394"/>
      <c r="SW44" s="394"/>
      <c r="SX44" s="394"/>
      <c r="SY44" s="394"/>
      <c r="SZ44" s="394"/>
      <c r="TA44" s="394"/>
      <c r="TB44" s="394"/>
      <c r="TC44" s="394"/>
      <c r="TD44" s="394"/>
      <c r="TE44" s="394"/>
      <c r="TF44" s="394"/>
      <c r="TG44" s="394"/>
      <c r="TH44" s="394"/>
      <c r="TI44" s="394"/>
      <c r="TJ44" s="394"/>
      <c r="TK44" s="394"/>
      <c r="TL44" s="394"/>
      <c r="TM44" s="394"/>
      <c r="TN44" s="394"/>
      <c r="TO44" s="394"/>
      <c r="TP44" s="394"/>
      <c r="TQ44" s="394"/>
      <c r="TR44" s="394"/>
      <c r="TS44" s="394"/>
      <c r="TT44" s="394"/>
      <c r="TU44" s="394"/>
      <c r="TV44" s="394"/>
      <c r="TW44" s="394"/>
      <c r="TX44" s="394"/>
      <c r="TY44" s="394"/>
      <c r="TZ44" s="394"/>
      <c r="UA44" s="394"/>
      <c r="UB44" s="394"/>
      <c r="UC44" s="394"/>
      <c r="UD44" s="394"/>
      <c r="UE44" s="394"/>
      <c r="UF44" s="394"/>
      <c r="UG44" s="394"/>
      <c r="UH44" s="394"/>
      <c r="UI44" s="394"/>
      <c r="UJ44" s="394"/>
      <c r="UK44" s="394"/>
      <c r="UL44" s="394"/>
      <c r="UM44" s="394"/>
      <c r="UN44" s="394"/>
      <c r="UO44" s="394"/>
      <c r="UP44" s="394"/>
      <c r="UQ44" s="394"/>
      <c r="UR44" s="394"/>
      <c r="US44" s="394"/>
      <c r="UT44" s="394"/>
      <c r="UU44" s="394"/>
      <c r="UV44" s="394"/>
      <c r="UW44" s="394"/>
      <c r="UX44" s="394"/>
      <c r="UY44" s="394"/>
      <c r="UZ44" s="394"/>
      <c r="VA44" s="394"/>
      <c r="VB44" s="394"/>
      <c r="VC44" s="394"/>
      <c r="VD44" s="394"/>
      <c r="VE44" s="394"/>
      <c r="VF44" s="394"/>
      <c r="VG44" s="394"/>
      <c r="VH44" s="394"/>
      <c r="VI44" s="394"/>
      <c r="VJ44" s="394"/>
      <c r="VK44" s="394"/>
      <c r="VL44" s="394"/>
      <c r="VM44" s="394"/>
      <c r="VN44" s="394"/>
      <c r="VO44" s="394"/>
      <c r="VP44" s="394"/>
      <c r="VQ44" s="394"/>
      <c r="VR44" s="394"/>
      <c r="VS44" s="394"/>
      <c r="VT44" s="394"/>
      <c r="VU44" s="394"/>
      <c r="VV44" s="394"/>
      <c r="VW44" s="394"/>
      <c r="VX44" s="394"/>
      <c r="VY44" s="394"/>
      <c r="VZ44" s="394"/>
      <c r="WA44" s="394"/>
      <c r="WB44" s="394"/>
      <c r="WC44" s="394"/>
      <c r="WD44" s="394"/>
      <c r="WE44" s="394"/>
      <c r="WF44" s="394"/>
      <c r="WG44" s="394"/>
      <c r="WH44" s="394"/>
      <c r="WI44" s="394"/>
      <c r="WJ44" s="394"/>
      <c r="WK44" s="394"/>
      <c r="WL44" s="394"/>
      <c r="WM44" s="394"/>
      <c r="WN44" s="394"/>
      <c r="WO44" s="394"/>
      <c r="WP44" s="394"/>
      <c r="WQ44" s="394"/>
      <c r="WR44" s="394"/>
      <c r="WS44" s="394"/>
      <c r="WT44" s="394"/>
      <c r="WU44" s="394"/>
      <c r="WV44" s="394"/>
      <c r="WW44" s="394"/>
      <c r="WX44" s="394"/>
      <c r="WY44" s="394"/>
      <c r="WZ44" s="394"/>
      <c r="XA44" s="394"/>
      <c r="XB44" s="394"/>
      <c r="XC44" s="394"/>
      <c r="XD44" s="394"/>
      <c r="XE44" s="394"/>
      <c r="XF44" s="394"/>
      <c r="XG44" s="394"/>
      <c r="XH44" s="394"/>
      <c r="XI44" s="394"/>
      <c r="XJ44" s="394"/>
      <c r="XK44" s="394"/>
      <c r="XL44" s="394"/>
      <c r="XM44" s="394"/>
      <c r="XN44" s="394"/>
      <c r="XO44" s="394"/>
      <c r="XP44" s="394"/>
      <c r="XQ44" s="394"/>
      <c r="XR44" s="394"/>
      <c r="XS44" s="394"/>
      <c r="XT44" s="394"/>
      <c r="XU44" s="394"/>
      <c r="XV44" s="394"/>
      <c r="XW44" s="394"/>
      <c r="XX44" s="394"/>
      <c r="XY44" s="394"/>
      <c r="XZ44" s="394"/>
      <c r="YA44" s="394"/>
      <c r="YB44" s="394"/>
      <c r="YC44" s="394"/>
      <c r="YD44" s="394"/>
      <c r="YE44" s="394"/>
      <c r="YF44" s="394"/>
      <c r="YG44" s="394"/>
      <c r="YH44" s="394"/>
      <c r="YI44" s="394"/>
      <c r="YJ44" s="394"/>
      <c r="YK44" s="394"/>
      <c r="YL44" s="394"/>
      <c r="YM44" s="394"/>
      <c r="YN44" s="394"/>
      <c r="YO44" s="394"/>
      <c r="YP44" s="394"/>
      <c r="YQ44" s="394"/>
      <c r="YR44" s="394"/>
      <c r="YS44" s="394"/>
      <c r="YT44" s="394"/>
      <c r="YU44" s="394"/>
      <c r="YV44" s="394"/>
      <c r="YW44" s="394"/>
      <c r="YX44" s="394"/>
      <c r="YY44" s="394"/>
      <c r="YZ44" s="394"/>
      <c r="ZA44" s="394"/>
      <c r="ZB44" s="394"/>
      <c r="ZC44" s="394"/>
      <c r="ZD44" s="394"/>
      <c r="ZE44" s="394"/>
      <c r="ZF44" s="394"/>
      <c r="ZG44" s="394"/>
      <c r="ZH44" s="394"/>
      <c r="ZI44" s="394"/>
      <c r="ZJ44" s="394"/>
      <c r="ZK44" s="394"/>
      <c r="ZL44" s="394"/>
      <c r="ZM44" s="394"/>
      <c r="ZN44" s="394"/>
      <c r="ZO44" s="394"/>
      <c r="ZP44" s="394"/>
      <c r="ZQ44" s="394"/>
      <c r="ZR44" s="394"/>
      <c r="ZS44" s="394"/>
      <c r="ZT44" s="394"/>
      <c r="ZU44" s="394"/>
      <c r="ZV44" s="394"/>
      <c r="ZW44" s="394"/>
      <c r="ZX44" s="394"/>
      <c r="ZY44" s="394"/>
      <c r="ZZ44" s="394"/>
      <c r="AAA44" s="394"/>
      <c r="AAB44" s="394"/>
      <c r="AAC44" s="394"/>
      <c r="AAD44" s="394"/>
      <c r="AAE44" s="394"/>
      <c r="AAF44" s="394"/>
      <c r="AAG44" s="394"/>
      <c r="AAH44" s="394"/>
      <c r="AAI44" s="394"/>
      <c r="AAJ44" s="394"/>
      <c r="AAK44" s="394"/>
      <c r="AAL44" s="394"/>
      <c r="AAM44" s="394"/>
      <c r="AAN44" s="394"/>
      <c r="AAO44" s="394"/>
      <c r="AAP44" s="394"/>
      <c r="AAQ44" s="394"/>
      <c r="AAR44" s="394"/>
      <c r="AAS44" s="394"/>
      <c r="AAT44" s="394"/>
      <c r="AAU44" s="394"/>
      <c r="AAV44" s="394"/>
      <c r="AAW44" s="394"/>
      <c r="AAX44" s="394"/>
      <c r="AAY44" s="394"/>
      <c r="AAZ44" s="394"/>
      <c r="ABA44" s="394"/>
      <c r="ABB44" s="394"/>
      <c r="ABC44" s="394"/>
      <c r="ABD44" s="394"/>
      <c r="ABE44" s="394"/>
      <c r="ABF44" s="394"/>
      <c r="ABG44" s="394"/>
      <c r="ABH44" s="394"/>
      <c r="ABI44" s="394"/>
      <c r="ABJ44" s="394"/>
      <c r="ABK44" s="394"/>
      <c r="ABL44" s="394"/>
      <c r="ABM44" s="394"/>
      <c r="ABN44" s="394"/>
      <c r="ABO44" s="394"/>
      <c r="ABP44" s="394"/>
      <c r="ABQ44" s="394"/>
      <c r="ABR44" s="394"/>
      <c r="ABS44" s="394"/>
      <c r="ABT44" s="394"/>
      <c r="ABU44" s="394"/>
      <c r="ABV44" s="394"/>
      <c r="ABW44" s="394"/>
      <c r="ABX44" s="394"/>
      <c r="ABY44" s="394"/>
      <c r="ABZ44" s="394"/>
      <c r="ACA44" s="394"/>
      <c r="ACB44" s="394"/>
      <c r="ACC44" s="394"/>
      <c r="ACD44" s="394"/>
      <c r="ACE44" s="394"/>
      <c r="ACF44" s="394"/>
      <c r="ACG44" s="394"/>
      <c r="ACH44" s="394"/>
      <c r="ACI44" s="394"/>
      <c r="ACJ44" s="394"/>
      <c r="ACK44" s="394"/>
      <c r="ACL44" s="394"/>
      <c r="ACM44" s="394"/>
      <c r="ACN44" s="394"/>
      <c r="ACO44" s="394"/>
      <c r="ACP44" s="394"/>
      <c r="ACQ44" s="394"/>
      <c r="ACR44" s="394"/>
      <c r="ACS44" s="394"/>
      <c r="ACT44" s="394"/>
      <c r="ACU44" s="394"/>
      <c r="ACV44" s="394"/>
      <c r="ACW44" s="394"/>
      <c r="ACX44" s="394"/>
      <c r="ACY44" s="394"/>
      <c r="ACZ44" s="394"/>
      <c r="ADA44" s="394"/>
      <c r="ADB44" s="394"/>
      <c r="ADC44" s="394"/>
      <c r="ADD44" s="394"/>
      <c r="ADE44" s="394"/>
      <c r="ADF44" s="394"/>
      <c r="ADG44" s="394"/>
      <c r="ADH44" s="394"/>
      <c r="ADI44" s="394"/>
      <c r="ADJ44" s="394"/>
      <c r="ADK44" s="394"/>
      <c r="ADL44" s="394"/>
      <c r="ADM44" s="394"/>
      <c r="ADN44" s="394"/>
      <c r="ADO44" s="394"/>
      <c r="ADP44" s="394"/>
      <c r="ADQ44" s="394"/>
      <c r="ADR44" s="394"/>
      <c r="ADS44" s="394"/>
      <c r="ADT44" s="394"/>
      <c r="ADU44" s="394"/>
      <c r="ADV44" s="394"/>
      <c r="ADW44" s="394"/>
      <c r="ADX44" s="394"/>
      <c r="ADY44" s="394"/>
      <c r="ADZ44" s="394"/>
      <c r="AEA44" s="394"/>
      <c r="AEB44" s="394"/>
      <c r="AEC44" s="394"/>
      <c r="AED44" s="394"/>
      <c r="AEE44" s="394"/>
      <c r="AEF44" s="394"/>
      <c r="AEG44" s="394"/>
      <c r="AEH44" s="394"/>
      <c r="AEI44" s="394"/>
      <c r="AEJ44" s="394"/>
      <c r="AEK44" s="394"/>
      <c r="AEL44" s="394"/>
      <c r="AEM44" s="394"/>
      <c r="AEN44" s="394"/>
      <c r="AEO44" s="394"/>
      <c r="AEP44" s="394"/>
      <c r="AEQ44" s="394"/>
      <c r="AER44" s="394"/>
      <c r="AES44" s="394"/>
      <c r="AET44" s="394"/>
      <c r="AEU44" s="394"/>
      <c r="AEV44" s="394"/>
      <c r="AEW44" s="394"/>
      <c r="AEX44" s="394"/>
      <c r="AEY44" s="394"/>
      <c r="AEZ44" s="394"/>
      <c r="AFA44" s="394"/>
      <c r="AFB44" s="394"/>
      <c r="AFC44" s="394"/>
      <c r="AFD44" s="394"/>
      <c r="AFE44" s="394"/>
      <c r="AFF44" s="394"/>
      <c r="AFG44" s="394"/>
      <c r="AFH44" s="394"/>
      <c r="AFI44" s="394"/>
      <c r="AFJ44" s="394"/>
      <c r="AFK44" s="394"/>
      <c r="AFL44" s="394"/>
      <c r="AFM44" s="394"/>
      <c r="AFN44" s="394"/>
      <c r="AFO44" s="394"/>
      <c r="AFP44" s="394"/>
      <c r="AFQ44" s="394"/>
      <c r="AFR44" s="394"/>
      <c r="AFS44" s="394"/>
      <c r="AFT44" s="394"/>
      <c r="AFU44" s="394"/>
      <c r="AFV44" s="394"/>
      <c r="AFW44" s="394"/>
      <c r="AFX44" s="394"/>
      <c r="AFY44" s="394"/>
      <c r="AFZ44" s="394"/>
      <c r="AGA44" s="394"/>
      <c r="AGB44" s="394"/>
      <c r="AGC44" s="394"/>
      <c r="AGD44" s="394"/>
      <c r="AGE44" s="394"/>
      <c r="AGF44" s="394"/>
      <c r="AGG44" s="394"/>
      <c r="AGH44" s="394"/>
      <c r="AGI44" s="394"/>
      <c r="AGJ44" s="394"/>
      <c r="AGK44" s="394"/>
      <c r="AGL44" s="394"/>
      <c r="AGM44" s="394"/>
      <c r="AGN44" s="394"/>
      <c r="AGO44" s="394"/>
      <c r="AGP44" s="394"/>
      <c r="AGQ44" s="394"/>
      <c r="AGR44" s="394"/>
      <c r="AGS44" s="394"/>
      <c r="AGT44" s="394"/>
      <c r="AGU44" s="394"/>
      <c r="AGV44" s="394"/>
      <c r="AGW44" s="394"/>
      <c r="AGX44" s="394"/>
      <c r="AGY44" s="394"/>
      <c r="AGZ44" s="394"/>
      <c r="AHA44" s="394"/>
      <c r="AHB44" s="394"/>
      <c r="AHC44" s="394"/>
      <c r="AHD44" s="394"/>
      <c r="AHE44" s="394"/>
      <c r="AHF44" s="394"/>
      <c r="AHG44" s="394"/>
      <c r="AHH44" s="394"/>
      <c r="AHI44" s="394"/>
      <c r="AHJ44" s="394"/>
      <c r="AHK44" s="394"/>
      <c r="AHL44" s="394"/>
      <c r="AHM44" s="394"/>
      <c r="AHN44" s="394"/>
      <c r="AHO44" s="394"/>
      <c r="AHP44" s="394"/>
      <c r="AHQ44" s="394"/>
      <c r="AHR44" s="394"/>
      <c r="AHS44" s="394"/>
      <c r="AHT44" s="394"/>
      <c r="AHU44" s="394"/>
      <c r="AHV44" s="394"/>
      <c r="AHW44" s="394"/>
      <c r="AHX44" s="394"/>
      <c r="AHY44" s="394"/>
      <c r="AHZ44" s="394"/>
      <c r="AIA44" s="394"/>
      <c r="AIB44" s="394"/>
      <c r="AIC44" s="394"/>
      <c r="AID44" s="394"/>
      <c r="AIE44" s="394"/>
      <c r="AIF44" s="394"/>
      <c r="AIG44" s="394"/>
      <c r="AIH44" s="394"/>
      <c r="AII44" s="394"/>
      <c r="AIJ44" s="394"/>
      <c r="AIK44" s="394"/>
      <c r="AIL44" s="394"/>
      <c r="AIM44" s="394"/>
      <c r="AIN44" s="394"/>
      <c r="AIO44" s="394"/>
      <c r="AIP44" s="394"/>
      <c r="AIQ44" s="394"/>
      <c r="AIR44" s="394"/>
      <c r="AIS44" s="394"/>
      <c r="AIT44" s="394"/>
      <c r="AIU44" s="394"/>
      <c r="AIV44" s="394"/>
      <c r="AIW44" s="394"/>
      <c r="AIX44" s="394"/>
      <c r="AIY44" s="394"/>
      <c r="AIZ44" s="394"/>
      <c r="AJA44" s="394"/>
      <c r="AJB44" s="394"/>
      <c r="AJC44" s="394"/>
      <c r="AJD44" s="394"/>
      <c r="AJE44" s="394"/>
      <c r="AJF44" s="394"/>
      <c r="AJG44" s="394"/>
      <c r="AJH44" s="394"/>
      <c r="AJI44" s="394"/>
      <c r="AJJ44" s="394"/>
      <c r="AJK44" s="394"/>
      <c r="AJL44" s="394"/>
      <c r="AJM44" s="394"/>
      <c r="AJN44" s="394"/>
      <c r="AJO44" s="394"/>
      <c r="AJP44" s="394"/>
      <c r="AJQ44" s="394"/>
      <c r="AJR44" s="394"/>
      <c r="AJS44" s="394"/>
      <c r="AJT44" s="394"/>
      <c r="AJU44" s="394"/>
      <c r="AJV44" s="394"/>
      <c r="AJW44" s="394"/>
      <c r="AJX44" s="394"/>
      <c r="AJY44" s="394"/>
      <c r="AJZ44" s="394"/>
      <c r="AKA44" s="394"/>
      <c r="AKB44" s="394"/>
      <c r="AKC44" s="394"/>
      <c r="AKD44" s="394"/>
      <c r="AKE44" s="394"/>
      <c r="AKF44" s="394"/>
      <c r="AKG44" s="394"/>
      <c r="AKH44" s="394"/>
      <c r="AKI44" s="394"/>
      <c r="AKJ44" s="394"/>
      <c r="AKK44" s="394"/>
      <c r="AKL44" s="394"/>
      <c r="AKM44" s="394"/>
      <c r="AKN44" s="394"/>
      <c r="AKO44" s="394"/>
      <c r="AKP44" s="394"/>
      <c r="AKQ44" s="394"/>
      <c r="AKR44" s="394"/>
      <c r="AKS44" s="394"/>
      <c r="AKT44" s="394"/>
      <c r="AKU44" s="394"/>
      <c r="AKV44" s="394"/>
      <c r="AKW44" s="394"/>
      <c r="AKX44" s="394"/>
      <c r="AKY44" s="394"/>
      <c r="AKZ44" s="394"/>
      <c r="ALA44" s="394"/>
      <c r="ALB44" s="394"/>
      <c r="ALC44" s="394"/>
      <c r="ALD44" s="394"/>
      <c r="ALE44" s="394"/>
      <c r="ALF44" s="394"/>
      <c r="ALG44" s="394"/>
      <c r="ALH44" s="394"/>
      <c r="ALI44" s="394"/>
      <c r="ALJ44" s="394"/>
      <c r="ALK44" s="394"/>
      <c r="ALL44" s="394"/>
      <c r="ALM44" s="394"/>
      <c r="ALN44" s="394"/>
      <c r="ALO44" s="394"/>
      <c r="ALP44" s="394"/>
      <c r="ALQ44" s="394"/>
      <c r="ALR44" s="394"/>
      <c r="ALS44" s="394"/>
      <c r="ALT44" s="394"/>
      <c r="ALU44" s="394"/>
      <c r="ALV44" s="394"/>
      <c r="ALW44" s="394"/>
      <c r="ALX44" s="394"/>
      <c r="ALY44" s="394"/>
      <c r="ALZ44" s="394"/>
      <c r="AMA44" s="394"/>
      <c r="AMB44" s="394"/>
      <c r="AMC44" s="394"/>
      <c r="AMD44" s="394"/>
      <c r="AME44" s="394"/>
      <c r="AMF44" s="394"/>
      <c r="AMG44" s="394"/>
      <c r="AMH44" s="394"/>
      <c r="AMI44" s="394"/>
      <c r="AMJ44" s="394"/>
      <c r="AMK44" s="394"/>
      <c r="AML44" s="394"/>
      <c r="AMM44" s="394"/>
      <c r="AMN44" s="394"/>
      <c r="AMO44" s="394"/>
      <c r="AMP44" s="394"/>
      <c r="AMQ44" s="394"/>
      <c r="AMR44" s="394"/>
      <c r="AMS44" s="394"/>
      <c r="AMT44" s="394"/>
      <c r="AMU44" s="394"/>
      <c r="AMV44" s="394"/>
      <c r="AMW44" s="394"/>
      <c r="AMX44" s="394"/>
      <c r="AMY44" s="394"/>
      <c r="AMZ44" s="394"/>
      <c r="ANA44" s="394"/>
      <c r="ANB44" s="394"/>
      <c r="ANC44" s="394"/>
      <c r="AND44" s="394"/>
      <c r="ANE44" s="394"/>
      <c r="ANF44" s="394"/>
      <c r="ANG44" s="394"/>
      <c r="ANH44" s="394"/>
      <c r="ANI44" s="394"/>
      <c r="ANJ44" s="394"/>
      <c r="ANK44" s="394"/>
      <c r="ANL44" s="394"/>
      <c r="ANM44" s="394"/>
      <c r="ANN44" s="394"/>
      <c r="ANO44" s="394"/>
      <c r="ANP44" s="394"/>
      <c r="ANQ44" s="394"/>
      <c r="ANR44" s="394"/>
      <c r="ANS44" s="394"/>
      <c r="ANT44" s="394"/>
      <c r="ANU44" s="394"/>
      <c r="ANV44" s="394"/>
      <c r="ANW44" s="394"/>
      <c r="ANX44" s="394"/>
      <c r="ANY44" s="394"/>
      <c r="ANZ44" s="394"/>
      <c r="AOA44" s="394"/>
      <c r="AOB44" s="394"/>
      <c r="AOC44" s="394"/>
      <c r="AOD44" s="394"/>
      <c r="AOE44" s="394"/>
      <c r="AOF44" s="394"/>
      <c r="AOG44" s="394"/>
      <c r="AOH44" s="394"/>
      <c r="AOI44" s="394"/>
      <c r="AOJ44" s="394"/>
      <c r="AOK44" s="394"/>
      <c r="AOL44" s="394"/>
      <c r="AOM44" s="394"/>
      <c r="AON44" s="394"/>
      <c r="AOO44" s="394"/>
      <c r="AOP44" s="394"/>
      <c r="AOQ44" s="394"/>
      <c r="AOR44" s="394"/>
      <c r="AOS44" s="394"/>
      <c r="AOT44" s="394"/>
      <c r="AOU44" s="394"/>
      <c r="AOV44" s="394"/>
      <c r="AOW44" s="394"/>
      <c r="AOX44" s="394"/>
      <c r="AOY44" s="394"/>
      <c r="AOZ44" s="394"/>
      <c r="APA44" s="394"/>
      <c r="APB44" s="394"/>
      <c r="APC44" s="394"/>
      <c r="APD44" s="394"/>
      <c r="APE44" s="394"/>
      <c r="APF44" s="394"/>
      <c r="APG44" s="394"/>
      <c r="APH44" s="394"/>
      <c r="API44" s="394"/>
      <c r="APJ44" s="394"/>
      <c r="APK44" s="394"/>
      <c r="APL44" s="394"/>
      <c r="APM44" s="394"/>
      <c r="APN44" s="394"/>
      <c r="APO44" s="394"/>
      <c r="APP44" s="394"/>
      <c r="APQ44" s="394"/>
      <c r="APR44" s="394"/>
      <c r="APS44" s="394"/>
      <c r="APT44" s="394"/>
      <c r="APU44" s="394"/>
      <c r="APV44" s="394"/>
      <c r="APW44" s="394"/>
      <c r="APX44" s="394"/>
      <c r="APY44" s="394"/>
      <c r="APZ44" s="394"/>
      <c r="AQA44" s="394"/>
      <c r="AQB44" s="394"/>
      <c r="AQC44" s="394"/>
      <c r="AQD44" s="394"/>
      <c r="AQE44" s="394"/>
      <c r="AQF44" s="394"/>
      <c r="AQG44" s="394"/>
      <c r="AQH44" s="394"/>
      <c r="AQI44" s="394"/>
      <c r="AQJ44" s="394"/>
      <c r="AQK44" s="394"/>
      <c r="AQL44" s="394"/>
      <c r="AQM44" s="394"/>
      <c r="AQN44" s="394"/>
      <c r="AQO44" s="394"/>
      <c r="AQP44" s="394"/>
      <c r="AQQ44" s="394"/>
      <c r="AQR44" s="394"/>
      <c r="AQS44" s="394"/>
      <c r="AQT44" s="394"/>
      <c r="AQU44" s="394"/>
      <c r="AQV44" s="394"/>
      <c r="AQW44" s="394"/>
      <c r="AQX44" s="394"/>
      <c r="AQY44" s="394"/>
      <c r="AQZ44" s="394"/>
      <c r="ARA44" s="394"/>
      <c r="ARB44" s="394"/>
      <c r="ARC44" s="394"/>
      <c r="ARD44" s="394"/>
      <c r="ARE44" s="394"/>
      <c r="ARF44" s="394"/>
      <c r="ARG44" s="394"/>
      <c r="ARH44" s="394"/>
      <c r="ARI44" s="394"/>
      <c r="ARJ44" s="394"/>
      <c r="ARK44" s="394"/>
      <c r="ARL44" s="394"/>
      <c r="ARM44" s="394"/>
      <c r="ARN44" s="394"/>
      <c r="ARO44" s="394"/>
      <c r="ARP44" s="394"/>
      <c r="ARQ44" s="394"/>
      <c r="ARR44" s="394"/>
      <c r="ARS44" s="394"/>
      <c r="ART44" s="394"/>
      <c r="ARU44" s="394"/>
      <c r="ARV44" s="394"/>
      <c r="ARW44" s="394"/>
      <c r="ARX44" s="394"/>
      <c r="ARY44" s="394"/>
      <c r="ARZ44" s="394"/>
      <c r="ASA44" s="394"/>
      <c r="ASB44" s="394"/>
      <c r="ASC44" s="394"/>
      <c r="ASD44" s="394"/>
      <c r="ASE44" s="394"/>
      <c r="ASF44" s="394"/>
      <c r="ASG44" s="394"/>
      <c r="ASH44" s="394"/>
      <c r="ASI44" s="394"/>
      <c r="ASJ44" s="394"/>
      <c r="ASK44" s="394"/>
      <c r="ASL44" s="394"/>
      <c r="ASM44" s="394"/>
      <c r="ASN44" s="394"/>
      <c r="ASO44" s="394"/>
      <c r="ASP44" s="394"/>
      <c r="ASQ44" s="394"/>
      <c r="ASR44" s="394"/>
      <c r="ASS44" s="394"/>
      <c r="AST44" s="394"/>
      <c r="ASU44" s="394"/>
      <c r="ASV44" s="394"/>
      <c r="ASW44" s="394"/>
      <c r="ASX44" s="394"/>
      <c r="ASY44" s="394"/>
      <c r="ASZ44" s="394"/>
      <c r="ATA44" s="394"/>
      <c r="ATB44" s="394"/>
      <c r="ATC44" s="394"/>
      <c r="ATD44" s="394"/>
      <c r="ATE44" s="394"/>
      <c r="ATF44" s="394"/>
      <c r="ATG44" s="394"/>
      <c r="ATH44" s="394"/>
      <c r="ATI44" s="394"/>
      <c r="ATJ44" s="394"/>
      <c r="ATK44" s="394"/>
      <c r="ATL44" s="394"/>
      <c r="ATM44" s="394"/>
      <c r="ATN44" s="394"/>
      <c r="ATO44" s="394"/>
      <c r="ATP44" s="394"/>
      <c r="ATQ44" s="394"/>
      <c r="ATR44" s="394"/>
      <c r="ATS44" s="394"/>
      <c r="ATT44" s="394"/>
      <c r="ATU44" s="394"/>
      <c r="ATV44" s="394"/>
      <c r="ATW44" s="394"/>
      <c r="ATX44" s="394"/>
      <c r="ATY44" s="394"/>
      <c r="ATZ44" s="394"/>
      <c r="AUA44" s="394"/>
      <c r="AUB44" s="394"/>
      <c r="AUC44" s="394"/>
      <c r="AUD44" s="394"/>
      <c r="AUE44" s="394"/>
      <c r="AUF44" s="394"/>
      <c r="AUG44" s="394"/>
      <c r="AUH44" s="394"/>
      <c r="AUI44" s="394"/>
      <c r="AUJ44" s="394"/>
      <c r="AUK44" s="394"/>
      <c r="AUL44" s="394"/>
      <c r="AUM44" s="394"/>
      <c r="AUN44" s="394"/>
      <c r="AUO44" s="394"/>
      <c r="AUP44" s="394"/>
      <c r="AUQ44" s="394"/>
      <c r="AUR44" s="394"/>
      <c r="AUS44" s="394"/>
      <c r="AUT44" s="394"/>
      <c r="AUU44" s="394"/>
      <c r="AUV44" s="394"/>
      <c r="AUW44" s="394"/>
      <c r="AUX44" s="394"/>
      <c r="AUY44" s="394"/>
      <c r="AUZ44" s="394"/>
      <c r="AVA44" s="394"/>
      <c r="AVB44" s="394"/>
      <c r="AVC44" s="394"/>
      <c r="AVD44" s="394"/>
      <c r="AVE44" s="394"/>
      <c r="AVF44" s="394"/>
      <c r="AVG44" s="394"/>
      <c r="AVH44" s="394"/>
      <c r="AVI44" s="394"/>
      <c r="AVJ44" s="394"/>
      <c r="AVK44" s="394"/>
      <c r="AVL44" s="394"/>
      <c r="AVM44" s="394"/>
      <c r="AVN44" s="394"/>
      <c r="AVO44" s="394"/>
      <c r="AVP44" s="394"/>
      <c r="AVQ44" s="394"/>
      <c r="AVR44" s="394"/>
      <c r="AVS44" s="394"/>
      <c r="AVT44" s="394"/>
      <c r="AVU44" s="394"/>
      <c r="AVV44" s="394"/>
      <c r="AVW44" s="394"/>
      <c r="AVX44" s="394"/>
      <c r="AVY44" s="394"/>
      <c r="AVZ44" s="394"/>
      <c r="AWA44" s="394"/>
      <c r="AWB44" s="394"/>
      <c r="AWC44" s="394"/>
      <c r="AWD44" s="394"/>
      <c r="AWE44" s="394"/>
      <c r="AWF44" s="394"/>
      <c r="AWG44" s="394"/>
      <c r="AWH44" s="394"/>
      <c r="AWI44" s="394"/>
      <c r="AWJ44" s="394"/>
      <c r="AWK44" s="394"/>
      <c r="AWL44" s="394"/>
      <c r="AWM44" s="394"/>
      <c r="AWN44" s="394"/>
      <c r="AWO44" s="394"/>
      <c r="AWP44" s="394"/>
      <c r="AWQ44" s="394"/>
      <c r="AWR44" s="394"/>
      <c r="AWS44" s="394"/>
      <c r="AWT44" s="394"/>
      <c r="AWU44" s="394"/>
      <c r="AWV44" s="394"/>
      <c r="AWW44" s="394"/>
      <c r="AWX44" s="394"/>
      <c r="AWY44" s="394"/>
      <c r="AWZ44" s="394"/>
      <c r="AXA44" s="394"/>
      <c r="AXB44" s="394"/>
      <c r="AXC44" s="394"/>
      <c r="AXD44" s="394"/>
      <c r="AXE44" s="394"/>
      <c r="AXF44" s="394"/>
      <c r="AXG44" s="394"/>
      <c r="AXH44" s="394"/>
      <c r="AXI44" s="394"/>
      <c r="AXJ44" s="394"/>
      <c r="AXK44" s="394"/>
      <c r="AXL44" s="394"/>
      <c r="AXM44" s="394"/>
      <c r="AXN44" s="394"/>
      <c r="AXO44" s="394"/>
      <c r="AXP44" s="394"/>
      <c r="AXQ44" s="394"/>
      <c r="AXR44" s="394"/>
      <c r="AXS44" s="394"/>
      <c r="AXT44" s="394"/>
      <c r="AXU44" s="394"/>
      <c r="AXV44" s="394"/>
      <c r="AXW44" s="394"/>
      <c r="AXX44" s="394"/>
      <c r="AXY44" s="394"/>
      <c r="AXZ44" s="394"/>
      <c r="AYA44" s="394"/>
      <c r="AYB44" s="394"/>
      <c r="AYC44" s="394"/>
      <c r="AYD44" s="394"/>
      <c r="AYE44" s="394"/>
      <c r="AYF44" s="394"/>
      <c r="AYG44" s="394"/>
      <c r="AYH44" s="394"/>
      <c r="AYI44" s="394"/>
      <c r="AYJ44" s="394"/>
      <c r="AYK44" s="394"/>
      <c r="AYL44" s="394"/>
      <c r="AYM44" s="394"/>
      <c r="AYN44" s="394"/>
      <c r="AYO44" s="394"/>
      <c r="AYP44" s="394"/>
      <c r="AYQ44" s="394"/>
      <c r="AYR44" s="394"/>
      <c r="AYS44" s="394"/>
      <c r="AYT44" s="394"/>
      <c r="AYU44" s="394"/>
      <c r="AYV44" s="394"/>
      <c r="AYW44" s="394"/>
      <c r="AYX44" s="394"/>
      <c r="AYY44" s="394"/>
      <c r="AYZ44" s="394"/>
      <c r="AZA44" s="394"/>
      <c r="AZB44" s="394"/>
      <c r="AZC44" s="394"/>
      <c r="AZD44" s="394"/>
      <c r="AZE44" s="394"/>
      <c r="AZF44" s="394"/>
      <c r="AZG44" s="394"/>
      <c r="AZH44" s="394"/>
      <c r="AZI44" s="394"/>
      <c r="AZJ44" s="394"/>
      <c r="AZK44" s="394"/>
      <c r="AZL44" s="394"/>
      <c r="AZM44" s="394"/>
      <c r="AZN44" s="394"/>
      <c r="AZO44" s="394"/>
      <c r="AZP44" s="394"/>
      <c r="AZQ44" s="394"/>
      <c r="AZR44" s="394"/>
      <c r="AZS44" s="394"/>
      <c r="AZT44" s="394"/>
      <c r="AZU44" s="394"/>
      <c r="AZV44" s="394"/>
      <c r="AZW44" s="394"/>
      <c r="AZX44" s="394"/>
      <c r="AZY44" s="394"/>
      <c r="AZZ44" s="394"/>
      <c r="BAA44" s="394"/>
      <c r="BAB44" s="394"/>
      <c r="BAC44" s="394"/>
      <c r="BAD44" s="394"/>
      <c r="BAE44" s="394"/>
      <c r="BAF44" s="394"/>
      <c r="BAG44" s="394"/>
      <c r="BAH44" s="394"/>
      <c r="BAI44" s="394"/>
      <c r="BAJ44" s="394"/>
      <c r="BAK44" s="394"/>
      <c r="BAL44" s="394"/>
      <c r="BAM44" s="394"/>
      <c r="BAN44" s="394"/>
      <c r="BAO44" s="394"/>
      <c r="BAP44" s="394"/>
      <c r="BAQ44" s="394"/>
      <c r="BAR44" s="394"/>
      <c r="BAS44" s="394"/>
      <c r="BAT44" s="394"/>
      <c r="BAU44" s="394"/>
      <c r="BAV44" s="394"/>
      <c r="BAW44" s="394"/>
      <c r="BAX44" s="394"/>
      <c r="BAY44" s="394"/>
      <c r="BAZ44" s="394"/>
      <c r="BBA44" s="394"/>
      <c r="BBB44" s="394"/>
      <c r="BBC44" s="394"/>
      <c r="BBD44" s="394"/>
      <c r="BBE44" s="394"/>
      <c r="BBF44" s="394"/>
      <c r="BBG44" s="394"/>
      <c r="BBH44" s="394"/>
      <c r="BBI44" s="394"/>
      <c r="BBJ44" s="394"/>
      <c r="BBK44" s="394"/>
      <c r="BBL44" s="394"/>
      <c r="BBM44" s="394"/>
      <c r="BBN44" s="394"/>
      <c r="BBO44" s="394"/>
      <c r="BBP44" s="394"/>
      <c r="BBQ44" s="394"/>
      <c r="BBR44" s="394"/>
      <c r="BBS44" s="394"/>
      <c r="BBT44" s="394"/>
      <c r="BBU44" s="394"/>
      <c r="BBV44" s="394"/>
      <c r="BBW44" s="394"/>
      <c r="BBX44" s="394"/>
      <c r="BBY44" s="394"/>
      <c r="BBZ44" s="394"/>
      <c r="BCA44" s="394"/>
      <c r="BCB44" s="394"/>
      <c r="BCC44" s="394"/>
      <c r="BCD44" s="394"/>
      <c r="BCE44" s="394"/>
      <c r="BCF44" s="394"/>
      <c r="BCG44" s="394"/>
      <c r="BCH44" s="394"/>
      <c r="BCI44" s="394"/>
      <c r="BCJ44" s="394"/>
      <c r="BCK44" s="394"/>
      <c r="BCL44" s="394"/>
      <c r="BCM44" s="394"/>
      <c r="BCN44" s="394"/>
      <c r="BCO44" s="394"/>
      <c r="BCP44" s="394"/>
      <c r="BCQ44" s="394"/>
      <c r="BCR44" s="394"/>
      <c r="BCS44" s="394"/>
      <c r="BCT44" s="394"/>
      <c r="BCU44" s="394"/>
      <c r="BCV44" s="394"/>
      <c r="BCW44" s="394"/>
      <c r="BCX44" s="394"/>
      <c r="BCY44" s="394"/>
      <c r="BCZ44" s="394"/>
      <c r="BDA44" s="394"/>
      <c r="BDB44" s="394"/>
      <c r="BDC44" s="394"/>
      <c r="BDD44" s="394"/>
      <c r="BDE44" s="394"/>
      <c r="BDF44" s="394"/>
      <c r="BDG44" s="394"/>
      <c r="BDH44" s="394"/>
      <c r="BDI44" s="394"/>
      <c r="BDJ44" s="394"/>
      <c r="BDK44" s="394"/>
      <c r="BDL44" s="394"/>
      <c r="BDM44" s="394"/>
      <c r="BDN44" s="394"/>
      <c r="BDO44" s="394"/>
      <c r="BDP44" s="394"/>
      <c r="BDQ44" s="394"/>
      <c r="BDR44" s="394"/>
      <c r="BDS44" s="394"/>
      <c r="BDT44" s="394"/>
      <c r="BDU44" s="394"/>
      <c r="BDV44" s="394"/>
      <c r="BDW44" s="394"/>
      <c r="BDX44" s="394"/>
      <c r="BDY44" s="394"/>
      <c r="BDZ44" s="394"/>
      <c r="BEA44" s="394"/>
      <c r="BEB44" s="394"/>
      <c r="BEC44" s="394"/>
      <c r="BED44" s="394"/>
      <c r="BEE44" s="394"/>
      <c r="BEF44" s="394"/>
      <c r="BEG44" s="394"/>
      <c r="BEH44" s="394"/>
      <c r="BEI44" s="394"/>
      <c r="BEJ44" s="394"/>
      <c r="BEK44" s="394"/>
      <c r="BEL44" s="394"/>
      <c r="BEM44" s="394"/>
      <c r="BEN44" s="394"/>
      <c r="BEO44" s="394"/>
      <c r="BEP44" s="394"/>
      <c r="BEQ44" s="394"/>
      <c r="BER44" s="394"/>
      <c r="BES44" s="394"/>
      <c r="BET44" s="394"/>
      <c r="BEU44" s="394"/>
      <c r="BEV44" s="394"/>
      <c r="BEW44" s="394"/>
      <c r="BEX44" s="394"/>
      <c r="BEY44" s="394"/>
      <c r="BEZ44" s="394"/>
      <c r="BFA44" s="394"/>
      <c r="BFB44" s="394"/>
      <c r="BFC44" s="394"/>
      <c r="BFD44" s="394"/>
      <c r="BFE44" s="394"/>
      <c r="BFF44" s="394"/>
      <c r="BFG44" s="394"/>
      <c r="BFH44" s="394"/>
      <c r="BFI44" s="394"/>
      <c r="BFJ44" s="394"/>
      <c r="BFK44" s="394"/>
      <c r="BFL44" s="394"/>
      <c r="BFM44" s="394"/>
      <c r="BFN44" s="394"/>
      <c r="BFO44" s="394"/>
      <c r="BFP44" s="394"/>
      <c r="BFQ44" s="394"/>
      <c r="BFR44" s="394"/>
      <c r="BFS44" s="394"/>
      <c r="BFT44" s="394"/>
      <c r="BFU44" s="394"/>
      <c r="BFV44" s="394"/>
      <c r="BFW44" s="394"/>
      <c r="BFX44" s="394"/>
      <c r="BFY44" s="394"/>
      <c r="BFZ44" s="394"/>
      <c r="BGA44" s="394"/>
      <c r="BGB44" s="394"/>
      <c r="BGC44" s="394"/>
      <c r="BGD44" s="394"/>
      <c r="BGE44" s="394"/>
      <c r="BGF44" s="394"/>
      <c r="BGG44" s="394"/>
      <c r="BGH44" s="394"/>
      <c r="BGI44" s="394"/>
      <c r="BGJ44" s="394"/>
      <c r="BGK44" s="394"/>
      <c r="BGL44" s="394"/>
      <c r="BGM44" s="394"/>
      <c r="BGN44" s="394"/>
      <c r="BGO44" s="394"/>
      <c r="BGP44" s="394"/>
      <c r="BGQ44" s="394"/>
      <c r="BGR44" s="394"/>
      <c r="BGS44" s="394"/>
      <c r="BGT44" s="394"/>
      <c r="BGU44" s="394"/>
      <c r="BGV44" s="394"/>
      <c r="BGW44" s="394"/>
      <c r="BGX44" s="394"/>
      <c r="BGY44" s="394"/>
      <c r="BGZ44" s="394"/>
      <c r="BHA44" s="394"/>
      <c r="BHB44" s="394"/>
      <c r="BHC44" s="394"/>
      <c r="BHD44" s="394"/>
      <c r="BHE44" s="394"/>
      <c r="BHF44" s="394"/>
      <c r="BHG44" s="394"/>
      <c r="BHH44" s="394"/>
      <c r="BHI44" s="394"/>
      <c r="BHJ44" s="394"/>
      <c r="BHK44" s="394"/>
      <c r="BHL44" s="394"/>
      <c r="BHM44" s="394"/>
      <c r="BHN44" s="394"/>
      <c r="BHO44" s="394"/>
      <c r="BHP44" s="394"/>
      <c r="BHQ44" s="394"/>
      <c r="BHR44" s="394"/>
      <c r="BHS44" s="394"/>
      <c r="BHT44" s="394"/>
      <c r="BHU44" s="394"/>
      <c r="BHV44" s="394"/>
      <c r="BHW44" s="394"/>
      <c r="BHX44" s="394"/>
      <c r="BHY44" s="394"/>
      <c r="BHZ44" s="394"/>
      <c r="BIA44" s="394"/>
      <c r="BIB44" s="394"/>
      <c r="BIC44" s="394"/>
      <c r="BID44" s="394"/>
      <c r="BIE44" s="394"/>
      <c r="BIF44" s="394"/>
      <c r="BIG44" s="394"/>
      <c r="BIH44" s="394"/>
      <c r="BII44" s="394"/>
      <c r="BIJ44" s="394"/>
      <c r="BIK44" s="394"/>
      <c r="BIL44" s="394"/>
      <c r="BIM44" s="394"/>
      <c r="BIN44" s="394"/>
      <c r="BIO44" s="394"/>
      <c r="BIP44" s="394"/>
      <c r="BIQ44" s="394"/>
      <c r="BIR44" s="394"/>
      <c r="BIS44" s="394"/>
      <c r="BIT44" s="394"/>
      <c r="BIU44" s="394"/>
      <c r="BIV44" s="394"/>
      <c r="BIW44" s="394"/>
      <c r="BIX44" s="394"/>
      <c r="BIY44" s="394"/>
      <c r="BIZ44" s="394"/>
      <c r="BJA44" s="394"/>
      <c r="BJB44" s="394"/>
      <c r="BJC44" s="394"/>
      <c r="BJD44" s="394"/>
      <c r="BJE44" s="394"/>
      <c r="BJF44" s="394"/>
      <c r="BJG44" s="394"/>
      <c r="BJH44" s="394"/>
      <c r="BJI44" s="394"/>
      <c r="BJJ44" s="394"/>
      <c r="BJK44" s="394"/>
      <c r="BJL44" s="394"/>
      <c r="BJM44" s="394"/>
      <c r="BJN44" s="394"/>
      <c r="BJO44" s="394"/>
      <c r="BJP44" s="394"/>
      <c r="BJQ44" s="394"/>
      <c r="BJR44" s="394"/>
      <c r="BJS44" s="394"/>
      <c r="BJT44" s="394"/>
      <c r="BJU44" s="394"/>
      <c r="BJV44" s="394"/>
      <c r="BJW44" s="394"/>
      <c r="BJX44" s="394"/>
      <c r="BJY44" s="394"/>
      <c r="BJZ44" s="394"/>
      <c r="BKA44" s="394"/>
      <c r="BKB44" s="394"/>
      <c r="BKC44" s="394"/>
      <c r="BKD44" s="394"/>
      <c r="BKE44" s="394"/>
      <c r="BKF44" s="394"/>
      <c r="BKG44" s="394"/>
      <c r="BKH44" s="394"/>
      <c r="BKI44" s="394"/>
      <c r="BKJ44" s="394"/>
      <c r="BKK44" s="394"/>
      <c r="BKL44" s="394"/>
      <c r="BKM44" s="394"/>
      <c r="BKN44" s="394"/>
      <c r="BKO44" s="394"/>
      <c r="BKP44" s="394"/>
      <c r="BKQ44" s="394"/>
      <c r="BKR44" s="394"/>
      <c r="BKS44" s="394"/>
      <c r="BKT44" s="394"/>
      <c r="BKU44" s="394"/>
      <c r="BKV44" s="394"/>
      <c r="BKW44" s="394"/>
      <c r="BKX44" s="394"/>
      <c r="BKY44" s="394"/>
      <c r="BKZ44" s="394"/>
      <c r="BLA44" s="394"/>
      <c r="BLB44" s="394"/>
      <c r="BLC44" s="394"/>
      <c r="BLD44" s="394"/>
      <c r="BLE44" s="394"/>
      <c r="BLF44" s="394"/>
      <c r="BLG44" s="394"/>
      <c r="BLH44" s="394"/>
      <c r="BLI44" s="394"/>
      <c r="BLJ44" s="394"/>
      <c r="BLK44" s="394"/>
      <c r="BLL44" s="394"/>
      <c r="BLM44" s="394"/>
      <c r="BLN44" s="394"/>
      <c r="BLO44" s="394"/>
      <c r="BLP44" s="394"/>
      <c r="BLQ44" s="394"/>
      <c r="BLR44" s="394"/>
      <c r="BLS44" s="394"/>
      <c r="BLT44" s="394"/>
      <c r="BLU44" s="394"/>
      <c r="BLV44" s="394"/>
      <c r="BLW44" s="394"/>
      <c r="BLX44" s="394"/>
      <c r="BLY44" s="394"/>
      <c r="BLZ44" s="394"/>
      <c r="BMA44" s="394"/>
      <c r="BMB44" s="394"/>
      <c r="BMC44" s="394"/>
      <c r="BMD44" s="394"/>
      <c r="BME44" s="394"/>
      <c r="BMF44" s="394"/>
      <c r="BMG44" s="394"/>
      <c r="BMH44" s="394"/>
      <c r="BMI44" s="394"/>
      <c r="BMJ44" s="394"/>
      <c r="BMK44" s="394"/>
      <c r="BML44" s="394"/>
      <c r="BMM44" s="394"/>
      <c r="BMN44" s="394"/>
      <c r="BMO44" s="394"/>
      <c r="BMP44" s="394"/>
      <c r="BMQ44" s="394"/>
      <c r="BMR44" s="394"/>
      <c r="BMS44" s="394"/>
      <c r="BMT44" s="394"/>
      <c r="BMU44" s="394"/>
      <c r="BMV44" s="394"/>
      <c r="BMW44" s="394"/>
      <c r="BMX44" s="394"/>
      <c r="BMY44" s="394"/>
      <c r="BMZ44" s="394"/>
      <c r="BNA44" s="394"/>
      <c r="BNB44" s="394"/>
      <c r="BNC44" s="394"/>
      <c r="BND44" s="394"/>
      <c r="BNE44" s="394"/>
      <c r="BNF44" s="394"/>
      <c r="BNG44" s="394"/>
      <c r="BNH44" s="394"/>
      <c r="BNI44" s="394"/>
      <c r="BNJ44" s="394"/>
      <c r="BNK44" s="394"/>
      <c r="BNL44" s="394"/>
      <c r="BNM44" s="394"/>
      <c r="BNN44" s="394"/>
      <c r="BNO44" s="394"/>
      <c r="BNP44" s="394"/>
      <c r="BNQ44" s="394"/>
      <c r="BNR44" s="394"/>
      <c r="BNS44" s="394"/>
      <c r="BNT44" s="394"/>
      <c r="BNU44" s="394"/>
      <c r="BNV44" s="394"/>
      <c r="BNW44" s="394"/>
      <c r="BNX44" s="394"/>
      <c r="BNY44" s="394"/>
      <c r="BNZ44" s="394"/>
      <c r="BOA44" s="394"/>
      <c r="BOB44" s="394"/>
      <c r="BOC44" s="394"/>
      <c r="BOD44" s="394"/>
      <c r="BOE44" s="394"/>
      <c r="BOF44" s="394"/>
      <c r="BOG44" s="394"/>
      <c r="BOH44" s="394"/>
      <c r="BOI44" s="394"/>
      <c r="BOJ44" s="394"/>
      <c r="BOK44" s="394"/>
      <c r="BOL44" s="394"/>
      <c r="BOM44" s="394"/>
      <c r="BON44" s="394"/>
      <c r="BOO44" s="394"/>
      <c r="BOP44" s="394"/>
      <c r="BOQ44" s="394"/>
      <c r="BOR44" s="394"/>
      <c r="BOS44" s="394"/>
      <c r="BOT44" s="394"/>
      <c r="BOU44" s="394"/>
      <c r="BOV44" s="394"/>
      <c r="BOW44" s="394"/>
      <c r="BOX44" s="394"/>
      <c r="BOY44" s="394"/>
      <c r="BOZ44" s="394"/>
      <c r="BPA44" s="394"/>
      <c r="BPB44" s="394"/>
      <c r="BPC44" s="394"/>
      <c r="BPD44" s="394"/>
      <c r="BPE44" s="394"/>
      <c r="BPF44" s="394"/>
      <c r="BPG44" s="394"/>
      <c r="BPH44" s="394"/>
      <c r="BPI44" s="394"/>
      <c r="BPJ44" s="394"/>
      <c r="BPK44" s="394"/>
      <c r="BPL44" s="394"/>
      <c r="BPM44" s="394"/>
      <c r="BPN44" s="394"/>
      <c r="BPO44" s="394"/>
      <c r="BPP44" s="394"/>
      <c r="BPQ44" s="394"/>
      <c r="BPR44" s="394"/>
      <c r="BPS44" s="394"/>
      <c r="BPT44" s="394"/>
      <c r="BPU44" s="394"/>
      <c r="BPV44" s="394"/>
      <c r="BPW44" s="394"/>
      <c r="BPX44" s="394"/>
      <c r="BPY44" s="394"/>
      <c r="BPZ44" s="394"/>
      <c r="BQA44" s="394"/>
      <c r="BQB44" s="394"/>
      <c r="BQC44" s="394"/>
      <c r="BQD44" s="394"/>
      <c r="BQE44" s="394"/>
      <c r="BQF44" s="394"/>
      <c r="BQG44" s="394"/>
      <c r="BQH44" s="394"/>
      <c r="BQI44" s="394"/>
      <c r="BQJ44" s="394"/>
      <c r="BQK44" s="394"/>
      <c r="BQL44" s="394"/>
      <c r="BQM44" s="394"/>
      <c r="BQN44" s="394"/>
      <c r="BQO44" s="394"/>
      <c r="BQP44" s="394"/>
      <c r="BQQ44" s="394"/>
      <c r="BQR44" s="394"/>
      <c r="BQS44" s="394"/>
      <c r="BQT44" s="394"/>
      <c r="BQU44" s="394"/>
      <c r="BQV44" s="394"/>
      <c r="BQW44" s="394"/>
      <c r="BQX44" s="394"/>
      <c r="BQY44" s="394"/>
      <c r="BQZ44" s="394"/>
      <c r="BRA44" s="394"/>
      <c r="BRB44" s="394"/>
      <c r="BRC44" s="394"/>
      <c r="BRD44" s="394"/>
      <c r="BRE44" s="394"/>
      <c r="BRF44" s="394"/>
      <c r="BRG44" s="394"/>
      <c r="BRH44" s="394"/>
      <c r="BRI44" s="394"/>
      <c r="BRJ44" s="394"/>
      <c r="BRK44" s="394"/>
      <c r="BRL44" s="394"/>
      <c r="BRM44" s="394"/>
      <c r="BRN44" s="394"/>
      <c r="BRO44" s="394"/>
      <c r="BRP44" s="394"/>
      <c r="BRQ44" s="394"/>
      <c r="BRR44" s="394"/>
      <c r="BRS44" s="394"/>
      <c r="BRT44" s="394"/>
      <c r="BRU44" s="394"/>
      <c r="BRV44" s="394"/>
      <c r="BRW44" s="394"/>
      <c r="BRX44" s="394"/>
      <c r="BRY44" s="394"/>
      <c r="BRZ44" s="394"/>
      <c r="BSA44" s="394"/>
      <c r="BSB44" s="394"/>
      <c r="BSC44" s="394"/>
      <c r="BSD44" s="394"/>
      <c r="BSE44" s="394"/>
      <c r="BSF44" s="394"/>
      <c r="BSG44" s="394"/>
      <c r="BSH44" s="394"/>
      <c r="BSI44" s="394"/>
      <c r="BSJ44" s="394"/>
      <c r="BSK44" s="394"/>
      <c r="BSL44" s="394"/>
      <c r="BSM44" s="394"/>
      <c r="BSN44" s="394"/>
      <c r="BSO44" s="394"/>
      <c r="BSP44" s="394"/>
      <c r="BSQ44" s="394"/>
      <c r="BSR44" s="394"/>
      <c r="BSS44" s="394"/>
      <c r="BST44" s="394"/>
      <c r="BSU44" s="394"/>
      <c r="BSV44" s="394"/>
      <c r="BSW44" s="394"/>
      <c r="BSX44" s="394"/>
      <c r="BSY44" s="394"/>
      <c r="BSZ44" s="394"/>
      <c r="BTA44" s="394"/>
      <c r="BTB44" s="394"/>
      <c r="BTC44" s="394"/>
      <c r="BTD44" s="394"/>
      <c r="BTE44" s="394"/>
      <c r="BTF44" s="394"/>
      <c r="BTG44" s="394"/>
      <c r="BTH44" s="394"/>
      <c r="BTI44" s="394"/>
    </row>
    <row r="45" spans="1:1881" s="4" customFormat="1" ht="45.75" customHeight="1" x14ac:dyDescent="0.25">
      <c r="A45" s="188">
        <v>536</v>
      </c>
      <c r="B45" s="65" t="s">
        <v>62</v>
      </c>
      <c r="C45" s="134" t="s">
        <v>160</v>
      </c>
      <c r="D45" s="175" t="s">
        <v>158</v>
      </c>
      <c r="E45" s="32" t="e">
        <f>HLOOKUP($D$2,'2019 Data(H)'!$C$1:$CP$300,186,FALSE)</f>
        <v>#N/A</v>
      </c>
      <c r="F45" s="624"/>
      <c r="G45" s="395">
        <f>IF(F45&lt;0,"Note: Number is normally positive.",)</f>
        <v>0</v>
      </c>
      <c r="H45" s="17"/>
      <c r="I45" s="297"/>
      <c r="J45" s="365"/>
      <c r="K45" s="394"/>
      <c r="L45" s="833" t="s">
        <v>1141</v>
      </c>
      <c r="M45" s="610"/>
      <c r="N45" s="635"/>
      <c r="O45" s="394"/>
      <c r="P45" s="394"/>
      <c r="Q45" s="394"/>
      <c r="R45" s="394"/>
      <c r="S45" s="394"/>
      <c r="T45" s="394"/>
      <c r="U45" s="394"/>
      <c r="V45" s="394"/>
      <c r="W45" s="394"/>
      <c r="X45" s="394"/>
      <c r="Y45" s="394"/>
      <c r="Z45" s="394"/>
      <c r="AA45" s="394"/>
      <c r="AB45" s="394"/>
      <c r="AC45" s="394"/>
      <c r="AD45" s="394"/>
      <c r="AE45" s="394"/>
      <c r="AF45" s="394"/>
      <c r="AG45" s="394"/>
      <c r="AH45" s="394"/>
      <c r="AI45" s="394"/>
      <c r="AJ45" s="394"/>
      <c r="AK45" s="394"/>
      <c r="AL45" s="394"/>
      <c r="AM45" s="394"/>
      <c r="AN45" s="394"/>
      <c r="AO45" s="394"/>
      <c r="AP45" s="394"/>
      <c r="AQ45" s="394"/>
      <c r="AR45" s="394"/>
      <c r="AS45" s="394"/>
      <c r="AT45" s="394"/>
      <c r="AU45" s="394"/>
      <c r="AV45" s="394"/>
      <c r="AW45" s="394"/>
      <c r="AX45" s="394"/>
      <c r="AY45" s="394"/>
      <c r="AZ45" s="394"/>
      <c r="BA45" s="394"/>
      <c r="BB45" s="394"/>
      <c r="BC45" s="394"/>
      <c r="BD45" s="394"/>
      <c r="BE45" s="394"/>
      <c r="BF45" s="394"/>
      <c r="BG45" s="394"/>
      <c r="BH45" s="394"/>
      <c r="BI45" s="394"/>
      <c r="BJ45" s="394"/>
      <c r="BK45" s="394"/>
      <c r="BL45" s="394"/>
      <c r="BM45" s="394"/>
      <c r="BN45" s="394"/>
      <c r="BO45" s="394"/>
      <c r="BP45" s="394"/>
      <c r="BQ45" s="394"/>
      <c r="BR45" s="394"/>
      <c r="BS45" s="394"/>
      <c r="BT45" s="394"/>
      <c r="BU45" s="394"/>
      <c r="BV45" s="394"/>
      <c r="BW45" s="394"/>
      <c r="BX45" s="394"/>
      <c r="BY45" s="394"/>
      <c r="BZ45" s="394"/>
      <c r="CA45" s="394"/>
      <c r="CB45" s="394"/>
      <c r="CC45" s="394"/>
      <c r="CD45" s="394"/>
      <c r="CE45" s="394"/>
      <c r="CF45" s="394"/>
      <c r="CG45" s="394"/>
      <c r="CH45" s="394"/>
      <c r="CI45" s="394"/>
      <c r="CJ45" s="394"/>
      <c r="CK45" s="394"/>
      <c r="CL45" s="394"/>
      <c r="CM45" s="394"/>
      <c r="CN45" s="394"/>
      <c r="CO45" s="394"/>
      <c r="CP45" s="394"/>
      <c r="CQ45" s="394"/>
      <c r="CR45" s="394"/>
      <c r="CS45" s="394"/>
      <c r="CT45" s="394"/>
      <c r="CU45" s="394"/>
      <c r="CV45" s="394"/>
      <c r="CW45" s="394"/>
      <c r="CX45" s="394"/>
      <c r="CY45" s="394"/>
      <c r="CZ45" s="394"/>
      <c r="DA45" s="394"/>
      <c r="DB45" s="394"/>
      <c r="DC45" s="394"/>
      <c r="DD45" s="394"/>
      <c r="DE45" s="394"/>
      <c r="DF45" s="394"/>
      <c r="DG45" s="394"/>
      <c r="DH45" s="394"/>
      <c r="DI45" s="394"/>
      <c r="DJ45" s="394"/>
      <c r="DK45" s="394"/>
      <c r="DL45" s="394"/>
      <c r="DM45" s="394"/>
      <c r="DN45" s="394"/>
      <c r="DO45" s="394"/>
      <c r="DP45" s="394"/>
      <c r="DQ45" s="394"/>
      <c r="DR45" s="394"/>
      <c r="DS45" s="394"/>
      <c r="DT45" s="394"/>
      <c r="DU45" s="394"/>
      <c r="DV45" s="394"/>
      <c r="DW45" s="394"/>
      <c r="DX45" s="394"/>
      <c r="DY45" s="394"/>
      <c r="DZ45" s="394"/>
      <c r="EA45" s="394"/>
      <c r="EB45" s="394"/>
      <c r="EC45" s="394"/>
      <c r="ED45" s="394"/>
      <c r="EE45" s="394"/>
      <c r="EF45" s="394"/>
      <c r="EG45" s="394"/>
      <c r="EH45" s="394"/>
      <c r="EI45" s="394"/>
      <c r="EJ45" s="394"/>
      <c r="EK45" s="394"/>
      <c r="EL45" s="394"/>
      <c r="EM45" s="394"/>
      <c r="EN45" s="394"/>
      <c r="EO45" s="394"/>
      <c r="EP45" s="394"/>
      <c r="EQ45" s="394"/>
      <c r="ER45" s="394"/>
      <c r="ES45" s="394"/>
      <c r="ET45" s="394"/>
      <c r="EU45" s="394"/>
      <c r="EV45" s="394"/>
      <c r="EW45" s="394"/>
      <c r="EX45" s="394"/>
      <c r="EY45" s="394"/>
      <c r="EZ45" s="394"/>
      <c r="FA45" s="394"/>
      <c r="FB45" s="394"/>
      <c r="FC45" s="394"/>
      <c r="FD45" s="394"/>
      <c r="FE45" s="394"/>
      <c r="FF45" s="394"/>
      <c r="FG45" s="394"/>
      <c r="FH45" s="394"/>
      <c r="FI45" s="394"/>
      <c r="FJ45" s="394"/>
      <c r="FK45" s="394"/>
      <c r="FL45" s="394"/>
      <c r="FM45" s="394"/>
      <c r="FN45" s="394"/>
      <c r="FO45" s="394"/>
      <c r="FP45" s="394"/>
      <c r="FQ45" s="394"/>
      <c r="FR45" s="394"/>
      <c r="FS45" s="394"/>
      <c r="FT45" s="394"/>
      <c r="FU45" s="394"/>
      <c r="FV45" s="394"/>
      <c r="FW45" s="394"/>
      <c r="FX45" s="394"/>
      <c r="FY45" s="394"/>
      <c r="FZ45" s="394"/>
      <c r="GA45" s="394"/>
      <c r="GB45" s="394"/>
      <c r="GC45" s="394"/>
      <c r="GD45" s="394"/>
      <c r="GE45" s="394"/>
      <c r="GF45" s="394"/>
      <c r="GG45" s="394"/>
      <c r="GH45" s="394"/>
      <c r="GI45" s="394"/>
      <c r="GJ45" s="394"/>
      <c r="GK45" s="394"/>
      <c r="GL45" s="394"/>
      <c r="GM45" s="394"/>
      <c r="GN45" s="394"/>
      <c r="GO45" s="394"/>
      <c r="GP45" s="394"/>
      <c r="GQ45" s="394"/>
      <c r="GR45" s="394"/>
      <c r="GS45" s="394"/>
      <c r="GT45" s="394"/>
      <c r="GU45" s="394"/>
      <c r="GV45" s="394"/>
      <c r="GW45" s="394"/>
      <c r="GX45" s="394"/>
      <c r="GY45" s="394"/>
      <c r="GZ45" s="394"/>
      <c r="HA45" s="394"/>
      <c r="HB45" s="394"/>
      <c r="HC45" s="394"/>
      <c r="HD45" s="394"/>
      <c r="HE45" s="394"/>
      <c r="HF45" s="394"/>
      <c r="HG45" s="394"/>
      <c r="HH45" s="394"/>
      <c r="HI45" s="394"/>
      <c r="HJ45" s="394"/>
      <c r="HK45" s="394"/>
      <c r="HL45" s="394"/>
      <c r="HM45" s="394"/>
      <c r="HN45" s="394"/>
      <c r="HO45" s="394"/>
      <c r="HP45" s="394"/>
      <c r="HQ45" s="394"/>
      <c r="HR45" s="394"/>
      <c r="HS45" s="394"/>
      <c r="HT45" s="394"/>
      <c r="HU45" s="394"/>
      <c r="HV45" s="394"/>
      <c r="HW45" s="394"/>
      <c r="HX45" s="394"/>
      <c r="HY45" s="394"/>
      <c r="HZ45" s="394"/>
      <c r="IA45" s="394"/>
      <c r="IB45" s="394"/>
      <c r="IC45" s="394"/>
      <c r="ID45" s="394"/>
      <c r="IE45" s="394"/>
      <c r="IF45" s="394"/>
      <c r="IG45" s="394"/>
      <c r="IH45" s="394"/>
      <c r="II45" s="394"/>
      <c r="IJ45" s="394"/>
      <c r="IK45" s="394"/>
      <c r="IL45" s="394"/>
      <c r="IM45" s="394"/>
      <c r="IN45" s="394"/>
      <c r="IO45" s="394"/>
      <c r="IP45" s="394"/>
      <c r="IQ45" s="394"/>
      <c r="IR45" s="394"/>
      <c r="IS45" s="394"/>
      <c r="IT45" s="394"/>
      <c r="IU45" s="394"/>
      <c r="IV45" s="394"/>
      <c r="IW45" s="394"/>
      <c r="IX45" s="394"/>
      <c r="IY45" s="394"/>
      <c r="IZ45" s="394"/>
      <c r="JA45" s="394"/>
      <c r="JB45" s="394"/>
      <c r="JC45" s="394"/>
      <c r="JD45" s="394"/>
      <c r="JE45" s="394"/>
      <c r="JF45" s="394"/>
      <c r="JG45" s="394"/>
      <c r="JH45" s="394"/>
      <c r="JI45" s="394"/>
      <c r="JJ45" s="394"/>
      <c r="JK45" s="394"/>
      <c r="JL45" s="394"/>
      <c r="JM45" s="394"/>
      <c r="JN45" s="394"/>
      <c r="JO45" s="394"/>
      <c r="JP45" s="394"/>
      <c r="JQ45" s="394"/>
      <c r="JR45" s="394"/>
      <c r="JS45" s="394"/>
      <c r="JT45" s="394"/>
      <c r="JU45" s="394"/>
      <c r="JV45" s="394"/>
      <c r="JW45" s="394"/>
      <c r="JX45" s="394"/>
      <c r="JY45" s="394"/>
      <c r="JZ45" s="394"/>
      <c r="KA45" s="394"/>
      <c r="KB45" s="394"/>
      <c r="KC45" s="394"/>
      <c r="KD45" s="394"/>
      <c r="KE45" s="394"/>
      <c r="KF45" s="394"/>
      <c r="KG45" s="394"/>
      <c r="KH45" s="394"/>
      <c r="KI45" s="394"/>
      <c r="KJ45" s="394"/>
      <c r="KK45" s="394"/>
      <c r="KL45" s="394"/>
      <c r="KM45" s="394"/>
      <c r="KN45" s="394"/>
      <c r="KO45" s="394"/>
      <c r="KP45" s="394"/>
      <c r="KQ45" s="394"/>
      <c r="KR45" s="394"/>
      <c r="KS45" s="394"/>
      <c r="KT45" s="394"/>
      <c r="KU45" s="394"/>
      <c r="KV45" s="394"/>
      <c r="KW45" s="394"/>
      <c r="KX45" s="394"/>
      <c r="KY45" s="394"/>
      <c r="KZ45" s="394"/>
      <c r="LA45" s="394"/>
      <c r="LB45" s="394"/>
      <c r="LC45" s="394"/>
      <c r="LD45" s="394"/>
      <c r="LE45" s="394"/>
      <c r="LF45" s="394"/>
      <c r="LG45" s="394"/>
      <c r="LH45" s="394"/>
      <c r="LI45" s="394"/>
      <c r="LJ45" s="394"/>
      <c r="LK45" s="394"/>
      <c r="LL45" s="394"/>
      <c r="LM45" s="394"/>
      <c r="LN45" s="394"/>
      <c r="LO45" s="394"/>
      <c r="LP45" s="394"/>
      <c r="LQ45" s="394"/>
      <c r="LR45" s="394"/>
      <c r="LS45" s="394"/>
      <c r="LT45" s="394"/>
      <c r="LU45" s="394"/>
      <c r="LV45" s="394"/>
      <c r="LW45" s="394"/>
      <c r="LX45" s="394"/>
      <c r="LY45" s="394"/>
      <c r="LZ45" s="394"/>
      <c r="MA45" s="394"/>
      <c r="MB45" s="394"/>
      <c r="MC45" s="394"/>
      <c r="MD45" s="394"/>
      <c r="ME45" s="394"/>
      <c r="MF45" s="394"/>
      <c r="MG45" s="394"/>
      <c r="MH45" s="394"/>
      <c r="MI45" s="394"/>
      <c r="MJ45" s="394"/>
      <c r="MK45" s="394"/>
      <c r="ML45" s="394"/>
      <c r="MM45" s="394"/>
      <c r="MN45" s="394"/>
      <c r="MO45" s="394"/>
      <c r="MP45" s="394"/>
      <c r="MQ45" s="394"/>
      <c r="MR45" s="394"/>
      <c r="MS45" s="394"/>
      <c r="MT45" s="394"/>
      <c r="MU45" s="394"/>
      <c r="MV45" s="394"/>
      <c r="MW45" s="394"/>
      <c r="MX45" s="394"/>
      <c r="MY45" s="394"/>
      <c r="MZ45" s="394"/>
      <c r="NA45" s="394"/>
      <c r="NB45" s="394"/>
      <c r="NC45" s="394"/>
      <c r="ND45" s="394"/>
      <c r="NE45" s="394"/>
      <c r="NF45" s="394"/>
      <c r="NG45" s="394"/>
      <c r="NH45" s="394"/>
      <c r="NI45" s="394"/>
      <c r="NJ45" s="394"/>
      <c r="NK45" s="394"/>
      <c r="NL45" s="394"/>
      <c r="NM45" s="394"/>
      <c r="NN45" s="394"/>
      <c r="NO45" s="394"/>
      <c r="NP45" s="394"/>
      <c r="NQ45" s="394"/>
      <c r="NR45" s="394"/>
      <c r="NS45" s="394"/>
      <c r="NT45" s="394"/>
      <c r="NU45" s="394"/>
      <c r="NV45" s="394"/>
      <c r="NW45" s="394"/>
      <c r="NX45" s="394"/>
      <c r="NY45" s="394"/>
      <c r="NZ45" s="394"/>
      <c r="OA45" s="394"/>
      <c r="OB45" s="394"/>
      <c r="OC45" s="394"/>
      <c r="OD45" s="394"/>
      <c r="OE45" s="394"/>
      <c r="OF45" s="394"/>
      <c r="OG45" s="394"/>
      <c r="OH45" s="394"/>
      <c r="OI45" s="394"/>
      <c r="OJ45" s="394"/>
      <c r="OK45" s="394"/>
      <c r="OL45" s="394"/>
      <c r="OM45" s="394"/>
      <c r="ON45" s="394"/>
      <c r="OO45" s="394"/>
      <c r="OP45" s="394"/>
      <c r="OQ45" s="394"/>
      <c r="OR45" s="394"/>
      <c r="OS45" s="394"/>
      <c r="OT45" s="394"/>
      <c r="OU45" s="394"/>
      <c r="OV45" s="394"/>
      <c r="OW45" s="394"/>
      <c r="OX45" s="394"/>
      <c r="OY45" s="394"/>
      <c r="OZ45" s="394"/>
      <c r="PA45" s="394"/>
      <c r="PB45" s="394"/>
      <c r="PC45" s="394"/>
      <c r="PD45" s="394"/>
      <c r="PE45" s="394"/>
      <c r="PF45" s="394"/>
      <c r="PG45" s="394"/>
      <c r="PH45" s="394"/>
      <c r="PI45" s="394"/>
      <c r="PJ45" s="394"/>
      <c r="PK45" s="394"/>
      <c r="PL45" s="394"/>
      <c r="PM45" s="394"/>
      <c r="PN45" s="394"/>
      <c r="PO45" s="394"/>
      <c r="PP45" s="394"/>
      <c r="PQ45" s="394"/>
      <c r="PR45" s="394"/>
      <c r="PS45" s="394"/>
      <c r="PT45" s="394"/>
      <c r="PU45" s="394"/>
      <c r="PV45" s="394"/>
      <c r="PW45" s="394"/>
      <c r="PX45" s="394"/>
      <c r="PY45" s="394"/>
      <c r="PZ45" s="394"/>
      <c r="QA45" s="394"/>
      <c r="QB45" s="394"/>
      <c r="QC45" s="394"/>
      <c r="QD45" s="394"/>
      <c r="QE45" s="394"/>
      <c r="QF45" s="394"/>
      <c r="QG45" s="394"/>
      <c r="QH45" s="394"/>
      <c r="QI45" s="394"/>
      <c r="QJ45" s="394"/>
      <c r="QK45" s="394"/>
      <c r="QL45" s="394"/>
      <c r="QM45" s="394"/>
      <c r="QN45" s="394"/>
      <c r="QO45" s="394"/>
      <c r="QP45" s="394"/>
      <c r="QQ45" s="394"/>
      <c r="QR45" s="394"/>
      <c r="QS45" s="394"/>
      <c r="QT45" s="394"/>
      <c r="QU45" s="394"/>
      <c r="QV45" s="394"/>
      <c r="QW45" s="394"/>
      <c r="QX45" s="394"/>
      <c r="QY45" s="394"/>
      <c r="QZ45" s="394"/>
      <c r="RA45" s="394"/>
      <c r="RB45" s="394"/>
      <c r="RC45" s="394"/>
      <c r="RD45" s="394"/>
      <c r="RE45" s="394"/>
      <c r="RF45" s="394"/>
      <c r="RG45" s="394"/>
      <c r="RH45" s="394"/>
      <c r="RI45" s="394"/>
      <c r="RJ45" s="394"/>
      <c r="RK45" s="394"/>
      <c r="RL45" s="394"/>
      <c r="RM45" s="394"/>
      <c r="RN45" s="394"/>
      <c r="RO45" s="394"/>
      <c r="RP45" s="394"/>
      <c r="RQ45" s="394"/>
      <c r="RR45" s="394"/>
      <c r="RS45" s="394"/>
      <c r="RT45" s="394"/>
      <c r="RU45" s="394"/>
      <c r="RV45" s="394"/>
      <c r="RW45" s="394"/>
      <c r="RX45" s="394"/>
      <c r="RY45" s="394"/>
      <c r="RZ45" s="394"/>
      <c r="SA45" s="394"/>
      <c r="SB45" s="394"/>
      <c r="SC45" s="394"/>
      <c r="SD45" s="394"/>
      <c r="SE45" s="394"/>
      <c r="SF45" s="394"/>
      <c r="SG45" s="394"/>
      <c r="SH45" s="394"/>
      <c r="SI45" s="394"/>
      <c r="SJ45" s="394"/>
      <c r="SK45" s="394"/>
      <c r="SL45" s="394"/>
      <c r="SM45" s="394"/>
      <c r="SN45" s="394"/>
      <c r="SO45" s="394"/>
      <c r="SP45" s="394"/>
      <c r="SQ45" s="394"/>
      <c r="SR45" s="394"/>
      <c r="SS45" s="394"/>
      <c r="ST45" s="394"/>
      <c r="SU45" s="394"/>
      <c r="SV45" s="394"/>
      <c r="SW45" s="394"/>
      <c r="SX45" s="394"/>
      <c r="SY45" s="394"/>
      <c r="SZ45" s="394"/>
      <c r="TA45" s="394"/>
      <c r="TB45" s="394"/>
      <c r="TC45" s="394"/>
      <c r="TD45" s="394"/>
      <c r="TE45" s="394"/>
      <c r="TF45" s="394"/>
      <c r="TG45" s="394"/>
      <c r="TH45" s="394"/>
      <c r="TI45" s="394"/>
      <c r="TJ45" s="394"/>
      <c r="TK45" s="394"/>
      <c r="TL45" s="394"/>
      <c r="TM45" s="394"/>
      <c r="TN45" s="394"/>
      <c r="TO45" s="394"/>
      <c r="TP45" s="394"/>
      <c r="TQ45" s="394"/>
      <c r="TR45" s="394"/>
      <c r="TS45" s="394"/>
      <c r="TT45" s="394"/>
      <c r="TU45" s="394"/>
      <c r="TV45" s="394"/>
      <c r="TW45" s="394"/>
      <c r="TX45" s="394"/>
      <c r="TY45" s="394"/>
      <c r="TZ45" s="394"/>
      <c r="UA45" s="394"/>
      <c r="UB45" s="394"/>
      <c r="UC45" s="394"/>
      <c r="UD45" s="394"/>
      <c r="UE45" s="394"/>
      <c r="UF45" s="394"/>
      <c r="UG45" s="394"/>
      <c r="UH45" s="394"/>
      <c r="UI45" s="394"/>
      <c r="UJ45" s="394"/>
      <c r="UK45" s="394"/>
      <c r="UL45" s="394"/>
      <c r="UM45" s="394"/>
      <c r="UN45" s="394"/>
      <c r="UO45" s="394"/>
      <c r="UP45" s="394"/>
      <c r="UQ45" s="394"/>
      <c r="UR45" s="394"/>
      <c r="US45" s="394"/>
      <c r="UT45" s="394"/>
      <c r="UU45" s="394"/>
      <c r="UV45" s="394"/>
      <c r="UW45" s="394"/>
      <c r="UX45" s="394"/>
      <c r="UY45" s="394"/>
      <c r="UZ45" s="394"/>
      <c r="VA45" s="394"/>
      <c r="VB45" s="394"/>
      <c r="VC45" s="394"/>
      <c r="VD45" s="394"/>
      <c r="VE45" s="394"/>
      <c r="VF45" s="394"/>
      <c r="VG45" s="394"/>
      <c r="VH45" s="394"/>
      <c r="VI45" s="394"/>
      <c r="VJ45" s="394"/>
      <c r="VK45" s="394"/>
      <c r="VL45" s="394"/>
      <c r="VM45" s="394"/>
      <c r="VN45" s="394"/>
      <c r="VO45" s="394"/>
      <c r="VP45" s="394"/>
      <c r="VQ45" s="394"/>
      <c r="VR45" s="394"/>
      <c r="VS45" s="394"/>
      <c r="VT45" s="394"/>
      <c r="VU45" s="394"/>
      <c r="VV45" s="394"/>
      <c r="VW45" s="394"/>
      <c r="VX45" s="394"/>
      <c r="VY45" s="394"/>
      <c r="VZ45" s="394"/>
      <c r="WA45" s="394"/>
      <c r="WB45" s="394"/>
      <c r="WC45" s="394"/>
      <c r="WD45" s="394"/>
      <c r="WE45" s="394"/>
      <c r="WF45" s="394"/>
      <c r="WG45" s="394"/>
      <c r="WH45" s="394"/>
      <c r="WI45" s="394"/>
      <c r="WJ45" s="394"/>
      <c r="WK45" s="394"/>
      <c r="WL45" s="394"/>
      <c r="WM45" s="394"/>
      <c r="WN45" s="394"/>
      <c r="WO45" s="394"/>
      <c r="WP45" s="394"/>
      <c r="WQ45" s="394"/>
      <c r="WR45" s="394"/>
      <c r="WS45" s="394"/>
      <c r="WT45" s="394"/>
      <c r="WU45" s="394"/>
      <c r="WV45" s="394"/>
      <c r="WW45" s="394"/>
      <c r="WX45" s="394"/>
      <c r="WY45" s="394"/>
      <c r="WZ45" s="394"/>
      <c r="XA45" s="394"/>
      <c r="XB45" s="394"/>
      <c r="XC45" s="394"/>
      <c r="XD45" s="394"/>
      <c r="XE45" s="394"/>
      <c r="XF45" s="394"/>
      <c r="XG45" s="394"/>
      <c r="XH45" s="394"/>
      <c r="XI45" s="394"/>
      <c r="XJ45" s="394"/>
      <c r="XK45" s="394"/>
      <c r="XL45" s="394"/>
      <c r="XM45" s="394"/>
      <c r="XN45" s="394"/>
      <c r="XO45" s="394"/>
      <c r="XP45" s="394"/>
      <c r="XQ45" s="394"/>
      <c r="XR45" s="394"/>
      <c r="XS45" s="394"/>
      <c r="XT45" s="394"/>
      <c r="XU45" s="394"/>
      <c r="XV45" s="394"/>
      <c r="XW45" s="394"/>
      <c r="XX45" s="394"/>
      <c r="XY45" s="394"/>
      <c r="XZ45" s="394"/>
      <c r="YA45" s="394"/>
      <c r="YB45" s="394"/>
      <c r="YC45" s="394"/>
      <c r="YD45" s="394"/>
      <c r="YE45" s="394"/>
      <c r="YF45" s="394"/>
      <c r="YG45" s="394"/>
      <c r="YH45" s="394"/>
      <c r="YI45" s="394"/>
      <c r="YJ45" s="394"/>
      <c r="YK45" s="394"/>
      <c r="YL45" s="394"/>
      <c r="YM45" s="394"/>
      <c r="YN45" s="394"/>
      <c r="YO45" s="394"/>
      <c r="YP45" s="394"/>
      <c r="YQ45" s="394"/>
      <c r="YR45" s="394"/>
      <c r="YS45" s="394"/>
      <c r="YT45" s="394"/>
      <c r="YU45" s="394"/>
      <c r="YV45" s="394"/>
      <c r="YW45" s="394"/>
      <c r="YX45" s="394"/>
      <c r="YY45" s="394"/>
      <c r="YZ45" s="394"/>
      <c r="ZA45" s="394"/>
      <c r="ZB45" s="394"/>
      <c r="ZC45" s="394"/>
      <c r="ZD45" s="394"/>
      <c r="ZE45" s="394"/>
      <c r="ZF45" s="394"/>
      <c r="ZG45" s="394"/>
      <c r="ZH45" s="394"/>
      <c r="ZI45" s="394"/>
      <c r="ZJ45" s="394"/>
      <c r="ZK45" s="394"/>
      <c r="ZL45" s="394"/>
      <c r="ZM45" s="394"/>
      <c r="ZN45" s="394"/>
      <c r="ZO45" s="394"/>
      <c r="ZP45" s="394"/>
      <c r="ZQ45" s="394"/>
      <c r="ZR45" s="394"/>
      <c r="ZS45" s="394"/>
      <c r="ZT45" s="394"/>
      <c r="ZU45" s="394"/>
      <c r="ZV45" s="394"/>
      <c r="ZW45" s="394"/>
      <c r="ZX45" s="394"/>
      <c r="ZY45" s="394"/>
      <c r="ZZ45" s="394"/>
      <c r="AAA45" s="394"/>
      <c r="AAB45" s="394"/>
      <c r="AAC45" s="394"/>
      <c r="AAD45" s="394"/>
      <c r="AAE45" s="394"/>
      <c r="AAF45" s="394"/>
      <c r="AAG45" s="394"/>
      <c r="AAH45" s="394"/>
      <c r="AAI45" s="394"/>
      <c r="AAJ45" s="394"/>
      <c r="AAK45" s="394"/>
      <c r="AAL45" s="394"/>
      <c r="AAM45" s="394"/>
      <c r="AAN45" s="394"/>
      <c r="AAO45" s="394"/>
      <c r="AAP45" s="394"/>
      <c r="AAQ45" s="394"/>
      <c r="AAR45" s="394"/>
      <c r="AAS45" s="394"/>
      <c r="AAT45" s="394"/>
      <c r="AAU45" s="394"/>
      <c r="AAV45" s="394"/>
      <c r="AAW45" s="394"/>
      <c r="AAX45" s="394"/>
      <c r="AAY45" s="394"/>
      <c r="AAZ45" s="394"/>
      <c r="ABA45" s="394"/>
      <c r="ABB45" s="394"/>
      <c r="ABC45" s="394"/>
      <c r="ABD45" s="394"/>
      <c r="ABE45" s="394"/>
      <c r="ABF45" s="394"/>
      <c r="ABG45" s="394"/>
      <c r="ABH45" s="394"/>
      <c r="ABI45" s="394"/>
      <c r="ABJ45" s="394"/>
      <c r="ABK45" s="394"/>
      <c r="ABL45" s="394"/>
      <c r="ABM45" s="394"/>
      <c r="ABN45" s="394"/>
      <c r="ABO45" s="394"/>
      <c r="ABP45" s="394"/>
      <c r="ABQ45" s="394"/>
      <c r="ABR45" s="394"/>
      <c r="ABS45" s="394"/>
      <c r="ABT45" s="394"/>
      <c r="ABU45" s="394"/>
      <c r="ABV45" s="394"/>
      <c r="ABW45" s="394"/>
      <c r="ABX45" s="394"/>
      <c r="ABY45" s="394"/>
      <c r="ABZ45" s="394"/>
      <c r="ACA45" s="394"/>
      <c r="ACB45" s="394"/>
      <c r="ACC45" s="394"/>
      <c r="ACD45" s="394"/>
      <c r="ACE45" s="394"/>
      <c r="ACF45" s="394"/>
      <c r="ACG45" s="394"/>
      <c r="ACH45" s="394"/>
      <c r="ACI45" s="394"/>
      <c r="ACJ45" s="394"/>
      <c r="ACK45" s="394"/>
      <c r="ACL45" s="394"/>
      <c r="ACM45" s="394"/>
      <c r="ACN45" s="394"/>
      <c r="ACO45" s="394"/>
      <c r="ACP45" s="394"/>
      <c r="ACQ45" s="394"/>
      <c r="ACR45" s="394"/>
      <c r="ACS45" s="394"/>
      <c r="ACT45" s="394"/>
      <c r="ACU45" s="394"/>
      <c r="ACV45" s="394"/>
      <c r="ACW45" s="394"/>
      <c r="ACX45" s="394"/>
      <c r="ACY45" s="394"/>
      <c r="ACZ45" s="394"/>
      <c r="ADA45" s="394"/>
      <c r="ADB45" s="394"/>
      <c r="ADC45" s="394"/>
      <c r="ADD45" s="394"/>
      <c r="ADE45" s="394"/>
      <c r="ADF45" s="394"/>
      <c r="ADG45" s="394"/>
      <c r="ADH45" s="394"/>
      <c r="ADI45" s="394"/>
      <c r="ADJ45" s="394"/>
      <c r="ADK45" s="394"/>
      <c r="ADL45" s="394"/>
      <c r="ADM45" s="394"/>
      <c r="ADN45" s="394"/>
      <c r="ADO45" s="394"/>
      <c r="ADP45" s="394"/>
      <c r="ADQ45" s="394"/>
      <c r="ADR45" s="394"/>
      <c r="ADS45" s="394"/>
      <c r="ADT45" s="394"/>
      <c r="ADU45" s="394"/>
      <c r="ADV45" s="394"/>
      <c r="ADW45" s="394"/>
      <c r="ADX45" s="394"/>
      <c r="ADY45" s="394"/>
      <c r="ADZ45" s="394"/>
      <c r="AEA45" s="394"/>
      <c r="AEB45" s="394"/>
      <c r="AEC45" s="394"/>
      <c r="AED45" s="394"/>
      <c r="AEE45" s="394"/>
      <c r="AEF45" s="394"/>
      <c r="AEG45" s="394"/>
      <c r="AEH45" s="394"/>
      <c r="AEI45" s="394"/>
      <c r="AEJ45" s="394"/>
      <c r="AEK45" s="394"/>
      <c r="AEL45" s="394"/>
      <c r="AEM45" s="394"/>
      <c r="AEN45" s="394"/>
      <c r="AEO45" s="394"/>
      <c r="AEP45" s="394"/>
      <c r="AEQ45" s="394"/>
      <c r="AER45" s="394"/>
      <c r="AES45" s="394"/>
      <c r="AET45" s="394"/>
      <c r="AEU45" s="394"/>
      <c r="AEV45" s="394"/>
      <c r="AEW45" s="394"/>
      <c r="AEX45" s="394"/>
      <c r="AEY45" s="394"/>
      <c r="AEZ45" s="394"/>
      <c r="AFA45" s="394"/>
      <c r="AFB45" s="394"/>
      <c r="AFC45" s="394"/>
      <c r="AFD45" s="394"/>
      <c r="AFE45" s="394"/>
      <c r="AFF45" s="394"/>
      <c r="AFG45" s="394"/>
      <c r="AFH45" s="394"/>
      <c r="AFI45" s="394"/>
      <c r="AFJ45" s="394"/>
      <c r="AFK45" s="394"/>
      <c r="AFL45" s="394"/>
      <c r="AFM45" s="394"/>
      <c r="AFN45" s="394"/>
      <c r="AFO45" s="394"/>
      <c r="AFP45" s="394"/>
      <c r="AFQ45" s="394"/>
      <c r="AFR45" s="394"/>
      <c r="AFS45" s="394"/>
      <c r="AFT45" s="394"/>
      <c r="AFU45" s="394"/>
      <c r="AFV45" s="394"/>
      <c r="AFW45" s="394"/>
      <c r="AFX45" s="394"/>
      <c r="AFY45" s="394"/>
      <c r="AFZ45" s="394"/>
      <c r="AGA45" s="394"/>
      <c r="AGB45" s="394"/>
      <c r="AGC45" s="394"/>
      <c r="AGD45" s="394"/>
      <c r="AGE45" s="394"/>
      <c r="AGF45" s="394"/>
      <c r="AGG45" s="394"/>
      <c r="AGH45" s="394"/>
      <c r="AGI45" s="394"/>
      <c r="AGJ45" s="394"/>
      <c r="AGK45" s="394"/>
      <c r="AGL45" s="394"/>
      <c r="AGM45" s="394"/>
      <c r="AGN45" s="394"/>
      <c r="AGO45" s="394"/>
      <c r="AGP45" s="394"/>
      <c r="AGQ45" s="394"/>
      <c r="AGR45" s="394"/>
      <c r="AGS45" s="394"/>
      <c r="AGT45" s="394"/>
      <c r="AGU45" s="394"/>
      <c r="AGV45" s="394"/>
      <c r="AGW45" s="394"/>
      <c r="AGX45" s="394"/>
      <c r="AGY45" s="394"/>
      <c r="AGZ45" s="394"/>
      <c r="AHA45" s="394"/>
      <c r="AHB45" s="394"/>
      <c r="AHC45" s="394"/>
      <c r="AHD45" s="394"/>
      <c r="AHE45" s="394"/>
      <c r="AHF45" s="394"/>
      <c r="AHG45" s="394"/>
      <c r="AHH45" s="394"/>
      <c r="AHI45" s="394"/>
      <c r="AHJ45" s="394"/>
      <c r="AHK45" s="394"/>
      <c r="AHL45" s="394"/>
      <c r="AHM45" s="394"/>
      <c r="AHN45" s="394"/>
      <c r="AHO45" s="394"/>
      <c r="AHP45" s="394"/>
      <c r="AHQ45" s="394"/>
      <c r="AHR45" s="394"/>
      <c r="AHS45" s="394"/>
      <c r="AHT45" s="394"/>
      <c r="AHU45" s="394"/>
      <c r="AHV45" s="394"/>
      <c r="AHW45" s="394"/>
      <c r="AHX45" s="394"/>
      <c r="AHY45" s="394"/>
      <c r="AHZ45" s="394"/>
      <c r="AIA45" s="394"/>
      <c r="AIB45" s="394"/>
      <c r="AIC45" s="394"/>
      <c r="AID45" s="394"/>
      <c r="AIE45" s="394"/>
      <c r="AIF45" s="394"/>
      <c r="AIG45" s="394"/>
      <c r="AIH45" s="394"/>
      <c r="AII45" s="394"/>
      <c r="AIJ45" s="394"/>
      <c r="AIK45" s="394"/>
      <c r="AIL45" s="394"/>
      <c r="AIM45" s="394"/>
      <c r="AIN45" s="394"/>
      <c r="AIO45" s="394"/>
      <c r="AIP45" s="394"/>
      <c r="AIQ45" s="394"/>
      <c r="AIR45" s="394"/>
      <c r="AIS45" s="394"/>
      <c r="AIT45" s="394"/>
      <c r="AIU45" s="394"/>
      <c r="AIV45" s="394"/>
      <c r="AIW45" s="394"/>
      <c r="AIX45" s="394"/>
      <c r="AIY45" s="394"/>
      <c r="AIZ45" s="394"/>
      <c r="AJA45" s="394"/>
      <c r="AJB45" s="394"/>
      <c r="AJC45" s="394"/>
      <c r="AJD45" s="394"/>
      <c r="AJE45" s="394"/>
      <c r="AJF45" s="394"/>
      <c r="AJG45" s="394"/>
      <c r="AJH45" s="394"/>
      <c r="AJI45" s="394"/>
      <c r="AJJ45" s="394"/>
      <c r="AJK45" s="394"/>
      <c r="AJL45" s="394"/>
      <c r="AJM45" s="394"/>
      <c r="AJN45" s="394"/>
      <c r="AJO45" s="394"/>
      <c r="AJP45" s="394"/>
      <c r="AJQ45" s="394"/>
      <c r="AJR45" s="394"/>
      <c r="AJS45" s="394"/>
      <c r="AJT45" s="394"/>
      <c r="AJU45" s="394"/>
      <c r="AJV45" s="394"/>
      <c r="AJW45" s="394"/>
      <c r="AJX45" s="394"/>
      <c r="AJY45" s="394"/>
      <c r="AJZ45" s="394"/>
      <c r="AKA45" s="394"/>
      <c r="AKB45" s="394"/>
      <c r="AKC45" s="394"/>
      <c r="AKD45" s="394"/>
      <c r="AKE45" s="394"/>
      <c r="AKF45" s="394"/>
      <c r="AKG45" s="394"/>
      <c r="AKH45" s="394"/>
      <c r="AKI45" s="394"/>
      <c r="AKJ45" s="394"/>
      <c r="AKK45" s="394"/>
      <c r="AKL45" s="394"/>
      <c r="AKM45" s="394"/>
      <c r="AKN45" s="394"/>
      <c r="AKO45" s="394"/>
      <c r="AKP45" s="394"/>
      <c r="AKQ45" s="394"/>
      <c r="AKR45" s="394"/>
      <c r="AKS45" s="394"/>
      <c r="AKT45" s="394"/>
      <c r="AKU45" s="394"/>
      <c r="AKV45" s="394"/>
      <c r="AKW45" s="394"/>
      <c r="AKX45" s="394"/>
      <c r="AKY45" s="394"/>
      <c r="AKZ45" s="394"/>
      <c r="ALA45" s="394"/>
      <c r="ALB45" s="394"/>
      <c r="ALC45" s="394"/>
      <c r="ALD45" s="394"/>
      <c r="ALE45" s="394"/>
      <c r="ALF45" s="394"/>
      <c r="ALG45" s="394"/>
      <c r="ALH45" s="394"/>
      <c r="ALI45" s="394"/>
      <c r="ALJ45" s="394"/>
      <c r="ALK45" s="394"/>
      <c r="ALL45" s="394"/>
      <c r="ALM45" s="394"/>
      <c r="ALN45" s="394"/>
      <c r="ALO45" s="394"/>
      <c r="ALP45" s="394"/>
      <c r="ALQ45" s="394"/>
      <c r="ALR45" s="394"/>
      <c r="ALS45" s="394"/>
      <c r="ALT45" s="394"/>
      <c r="ALU45" s="394"/>
      <c r="ALV45" s="394"/>
      <c r="ALW45" s="394"/>
      <c r="ALX45" s="394"/>
      <c r="ALY45" s="394"/>
      <c r="ALZ45" s="394"/>
      <c r="AMA45" s="394"/>
      <c r="AMB45" s="394"/>
      <c r="AMC45" s="394"/>
      <c r="AMD45" s="394"/>
      <c r="AME45" s="394"/>
      <c r="AMF45" s="394"/>
      <c r="AMG45" s="394"/>
      <c r="AMH45" s="394"/>
      <c r="AMI45" s="394"/>
      <c r="AMJ45" s="394"/>
      <c r="AMK45" s="394"/>
      <c r="AML45" s="394"/>
      <c r="AMM45" s="394"/>
      <c r="AMN45" s="394"/>
      <c r="AMO45" s="394"/>
      <c r="AMP45" s="394"/>
      <c r="AMQ45" s="394"/>
      <c r="AMR45" s="394"/>
      <c r="AMS45" s="394"/>
      <c r="AMT45" s="394"/>
      <c r="AMU45" s="394"/>
      <c r="AMV45" s="394"/>
      <c r="AMW45" s="394"/>
      <c r="AMX45" s="394"/>
      <c r="AMY45" s="394"/>
      <c r="AMZ45" s="394"/>
      <c r="ANA45" s="394"/>
      <c r="ANB45" s="394"/>
      <c r="ANC45" s="394"/>
      <c r="AND45" s="394"/>
      <c r="ANE45" s="394"/>
      <c r="ANF45" s="394"/>
      <c r="ANG45" s="394"/>
      <c r="ANH45" s="394"/>
      <c r="ANI45" s="394"/>
      <c r="ANJ45" s="394"/>
      <c r="ANK45" s="394"/>
      <c r="ANL45" s="394"/>
      <c r="ANM45" s="394"/>
      <c r="ANN45" s="394"/>
      <c r="ANO45" s="394"/>
      <c r="ANP45" s="394"/>
      <c r="ANQ45" s="394"/>
      <c r="ANR45" s="394"/>
      <c r="ANS45" s="394"/>
      <c r="ANT45" s="394"/>
      <c r="ANU45" s="394"/>
      <c r="ANV45" s="394"/>
      <c r="ANW45" s="394"/>
      <c r="ANX45" s="394"/>
      <c r="ANY45" s="394"/>
      <c r="ANZ45" s="394"/>
      <c r="AOA45" s="394"/>
      <c r="AOB45" s="394"/>
      <c r="AOC45" s="394"/>
      <c r="AOD45" s="394"/>
      <c r="AOE45" s="394"/>
      <c r="AOF45" s="394"/>
      <c r="AOG45" s="394"/>
      <c r="AOH45" s="394"/>
      <c r="AOI45" s="394"/>
      <c r="AOJ45" s="394"/>
      <c r="AOK45" s="394"/>
      <c r="AOL45" s="394"/>
      <c r="AOM45" s="394"/>
      <c r="AON45" s="394"/>
      <c r="AOO45" s="394"/>
      <c r="AOP45" s="394"/>
      <c r="AOQ45" s="394"/>
      <c r="AOR45" s="394"/>
      <c r="AOS45" s="394"/>
      <c r="AOT45" s="394"/>
      <c r="AOU45" s="394"/>
      <c r="AOV45" s="394"/>
      <c r="AOW45" s="394"/>
      <c r="AOX45" s="394"/>
      <c r="AOY45" s="394"/>
      <c r="AOZ45" s="394"/>
      <c r="APA45" s="394"/>
      <c r="APB45" s="394"/>
      <c r="APC45" s="394"/>
      <c r="APD45" s="394"/>
      <c r="APE45" s="394"/>
      <c r="APF45" s="394"/>
      <c r="APG45" s="394"/>
      <c r="APH45" s="394"/>
      <c r="API45" s="394"/>
      <c r="APJ45" s="394"/>
      <c r="APK45" s="394"/>
      <c r="APL45" s="394"/>
      <c r="APM45" s="394"/>
      <c r="APN45" s="394"/>
      <c r="APO45" s="394"/>
      <c r="APP45" s="394"/>
      <c r="APQ45" s="394"/>
      <c r="APR45" s="394"/>
      <c r="APS45" s="394"/>
      <c r="APT45" s="394"/>
      <c r="APU45" s="394"/>
      <c r="APV45" s="394"/>
      <c r="APW45" s="394"/>
      <c r="APX45" s="394"/>
      <c r="APY45" s="394"/>
      <c r="APZ45" s="394"/>
      <c r="AQA45" s="394"/>
      <c r="AQB45" s="394"/>
      <c r="AQC45" s="394"/>
      <c r="AQD45" s="394"/>
      <c r="AQE45" s="394"/>
      <c r="AQF45" s="394"/>
      <c r="AQG45" s="394"/>
      <c r="AQH45" s="394"/>
      <c r="AQI45" s="394"/>
      <c r="AQJ45" s="394"/>
      <c r="AQK45" s="394"/>
      <c r="AQL45" s="394"/>
      <c r="AQM45" s="394"/>
      <c r="AQN45" s="394"/>
      <c r="AQO45" s="394"/>
      <c r="AQP45" s="394"/>
      <c r="AQQ45" s="394"/>
      <c r="AQR45" s="394"/>
      <c r="AQS45" s="394"/>
      <c r="AQT45" s="394"/>
      <c r="AQU45" s="394"/>
      <c r="AQV45" s="394"/>
      <c r="AQW45" s="394"/>
      <c r="AQX45" s="394"/>
      <c r="AQY45" s="394"/>
      <c r="AQZ45" s="394"/>
      <c r="ARA45" s="394"/>
      <c r="ARB45" s="394"/>
      <c r="ARC45" s="394"/>
      <c r="ARD45" s="394"/>
      <c r="ARE45" s="394"/>
      <c r="ARF45" s="394"/>
      <c r="ARG45" s="394"/>
      <c r="ARH45" s="394"/>
      <c r="ARI45" s="394"/>
      <c r="ARJ45" s="394"/>
      <c r="ARK45" s="394"/>
      <c r="ARL45" s="394"/>
      <c r="ARM45" s="394"/>
      <c r="ARN45" s="394"/>
      <c r="ARO45" s="394"/>
      <c r="ARP45" s="394"/>
      <c r="ARQ45" s="394"/>
      <c r="ARR45" s="394"/>
      <c r="ARS45" s="394"/>
      <c r="ART45" s="394"/>
      <c r="ARU45" s="394"/>
      <c r="ARV45" s="394"/>
      <c r="ARW45" s="394"/>
      <c r="ARX45" s="394"/>
      <c r="ARY45" s="394"/>
      <c r="ARZ45" s="394"/>
      <c r="ASA45" s="394"/>
      <c r="ASB45" s="394"/>
      <c r="ASC45" s="394"/>
      <c r="ASD45" s="394"/>
      <c r="ASE45" s="394"/>
      <c r="ASF45" s="394"/>
      <c r="ASG45" s="394"/>
      <c r="ASH45" s="394"/>
      <c r="ASI45" s="394"/>
      <c r="ASJ45" s="394"/>
      <c r="ASK45" s="394"/>
      <c r="ASL45" s="394"/>
      <c r="ASM45" s="394"/>
      <c r="ASN45" s="394"/>
      <c r="ASO45" s="394"/>
      <c r="ASP45" s="394"/>
      <c r="ASQ45" s="394"/>
      <c r="ASR45" s="394"/>
      <c r="ASS45" s="394"/>
      <c r="AST45" s="394"/>
      <c r="ASU45" s="394"/>
      <c r="ASV45" s="394"/>
      <c r="ASW45" s="394"/>
      <c r="ASX45" s="394"/>
      <c r="ASY45" s="394"/>
      <c r="ASZ45" s="394"/>
      <c r="ATA45" s="394"/>
      <c r="ATB45" s="394"/>
      <c r="ATC45" s="394"/>
      <c r="ATD45" s="394"/>
      <c r="ATE45" s="394"/>
      <c r="ATF45" s="394"/>
      <c r="ATG45" s="394"/>
      <c r="ATH45" s="394"/>
      <c r="ATI45" s="394"/>
      <c r="ATJ45" s="394"/>
      <c r="ATK45" s="394"/>
      <c r="ATL45" s="394"/>
      <c r="ATM45" s="394"/>
      <c r="ATN45" s="394"/>
      <c r="ATO45" s="394"/>
      <c r="ATP45" s="394"/>
      <c r="ATQ45" s="394"/>
      <c r="ATR45" s="394"/>
      <c r="ATS45" s="394"/>
      <c r="ATT45" s="394"/>
      <c r="ATU45" s="394"/>
      <c r="ATV45" s="394"/>
      <c r="ATW45" s="394"/>
      <c r="ATX45" s="394"/>
      <c r="ATY45" s="394"/>
      <c r="ATZ45" s="394"/>
      <c r="AUA45" s="394"/>
      <c r="AUB45" s="394"/>
      <c r="AUC45" s="394"/>
      <c r="AUD45" s="394"/>
      <c r="AUE45" s="394"/>
      <c r="AUF45" s="394"/>
      <c r="AUG45" s="394"/>
      <c r="AUH45" s="394"/>
      <c r="AUI45" s="394"/>
      <c r="AUJ45" s="394"/>
      <c r="AUK45" s="394"/>
      <c r="AUL45" s="394"/>
      <c r="AUM45" s="394"/>
      <c r="AUN45" s="394"/>
      <c r="AUO45" s="394"/>
      <c r="AUP45" s="394"/>
      <c r="AUQ45" s="394"/>
      <c r="AUR45" s="394"/>
      <c r="AUS45" s="394"/>
      <c r="AUT45" s="394"/>
      <c r="AUU45" s="394"/>
      <c r="AUV45" s="394"/>
      <c r="AUW45" s="394"/>
      <c r="AUX45" s="394"/>
      <c r="AUY45" s="394"/>
      <c r="AUZ45" s="394"/>
      <c r="AVA45" s="394"/>
      <c r="AVB45" s="394"/>
      <c r="AVC45" s="394"/>
      <c r="AVD45" s="394"/>
      <c r="AVE45" s="394"/>
      <c r="AVF45" s="394"/>
      <c r="AVG45" s="394"/>
      <c r="AVH45" s="394"/>
      <c r="AVI45" s="394"/>
      <c r="AVJ45" s="394"/>
      <c r="AVK45" s="394"/>
      <c r="AVL45" s="394"/>
      <c r="AVM45" s="394"/>
      <c r="AVN45" s="394"/>
      <c r="AVO45" s="394"/>
      <c r="AVP45" s="394"/>
      <c r="AVQ45" s="394"/>
      <c r="AVR45" s="394"/>
      <c r="AVS45" s="394"/>
      <c r="AVT45" s="394"/>
      <c r="AVU45" s="394"/>
      <c r="AVV45" s="394"/>
      <c r="AVW45" s="394"/>
      <c r="AVX45" s="394"/>
      <c r="AVY45" s="394"/>
      <c r="AVZ45" s="394"/>
      <c r="AWA45" s="394"/>
      <c r="AWB45" s="394"/>
      <c r="AWC45" s="394"/>
      <c r="AWD45" s="394"/>
      <c r="AWE45" s="394"/>
      <c r="AWF45" s="394"/>
      <c r="AWG45" s="394"/>
      <c r="AWH45" s="394"/>
      <c r="AWI45" s="394"/>
      <c r="AWJ45" s="394"/>
      <c r="AWK45" s="394"/>
      <c r="AWL45" s="394"/>
      <c r="AWM45" s="394"/>
      <c r="AWN45" s="394"/>
      <c r="AWO45" s="394"/>
      <c r="AWP45" s="394"/>
      <c r="AWQ45" s="394"/>
      <c r="AWR45" s="394"/>
      <c r="AWS45" s="394"/>
      <c r="AWT45" s="394"/>
      <c r="AWU45" s="394"/>
      <c r="AWV45" s="394"/>
      <c r="AWW45" s="394"/>
      <c r="AWX45" s="394"/>
      <c r="AWY45" s="394"/>
      <c r="AWZ45" s="394"/>
      <c r="AXA45" s="394"/>
      <c r="AXB45" s="394"/>
      <c r="AXC45" s="394"/>
      <c r="AXD45" s="394"/>
      <c r="AXE45" s="394"/>
      <c r="AXF45" s="394"/>
      <c r="AXG45" s="394"/>
      <c r="AXH45" s="394"/>
      <c r="AXI45" s="394"/>
      <c r="AXJ45" s="394"/>
      <c r="AXK45" s="394"/>
      <c r="AXL45" s="394"/>
      <c r="AXM45" s="394"/>
      <c r="AXN45" s="394"/>
      <c r="AXO45" s="394"/>
      <c r="AXP45" s="394"/>
      <c r="AXQ45" s="394"/>
      <c r="AXR45" s="394"/>
      <c r="AXS45" s="394"/>
      <c r="AXT45" s="394"/>
      <c r="AXU45" s="394"/>
      <c r="AXV45" s="394"/>
      <c r="AXW45" s="394"/>
      <c r="AXX45" s="394"/>
      <c r="AXY45" s="394"/>
      <c r="AXZ45" s="394"/>
      <c r="AYA45" s="394"/>
      <c r="AYB45" s="394"/>
      <c r="AYC45" s="394"/>
      <c r="AYD45" s="394"/>
      <c r="AYE45" s="394"/>
      <c r="AYF45" s="394"/>
      <c r="AYG45" s="394"/>
      <c r="AYH45" s="394"/>
      <c r="AYI45" s="394"/>
      <c r="AYJ45" s="394"/>
      <c r="AYK45" s="394"/>
      <c r="AYL45" s="394"/>
      <c r="AYM45" s="394"/>
      <c r="AYN45" s="394"/>
      <c r="AYO45" s="394"/>
      <c r="AYP45" s="394"/>
      <c r="AYQ45" s="394"/>
      <c r="AYR45" s="394"/>
      <c r="AYS45" s="394"/>
      <c r="AYT45" s="394"/>
      <c r="AYU45" s="394"/>
      <c r="AYV45" s="394"/>
      <c r="AYW45" s="394"/>
      <c r="AYX45" s="394"/>
      <c r="AYY45" s="394"/>
      <c r="AYZ45" s="394"/>
      <c r="AZA45" s="394"/>
      <c r="AZB45" s="394"/>
      <c r="AZC45" s="394"/>
      <c r="AZD45" s="394"/>
      <c r="AZE45" s="394"/>
      <c r="AZF45" s="394"/>
      <c r="AZG45" s="394"/>
      <c r="AZH45" s="394"/>
      <c r="AZI45" s="394"/>
      <c r="AZJ45" s="394"/>
      <c r="AZK45" s="394"/>
      <c r="AZL45" s="394"/>
      <c r="AZM45" s="394"/>
      <c r="AZN45" s="394"/>
      <c r="AZO45" s="394"/>
      <c r="AZP45" s="394"/>
      <c r="AZQ45" s="394"/>
      <c r="AZR45" s="394"/>
      <c r="AZS45" s="394"/>
      <c r="AZT45" s="394"/>
      <c r="AZU45" s="394"/>
      <c r="AZV45" s="394"/>
      <c r="AZW45" s="394"/>
      <c r="AZX45" s="394"/>
      <c r="AZY45" s="394"/>
      <c r="AZZ45" s="394"/>
      <c r="BAA45" s="394"/>
      <c r="BAB45" s="394"/>
      <c r="BAC45" s="394"/>
      <c r="BAD45" s="394"/>
      <c r="BAE45" s="394"/>
      <c r="BAF45" s="394"/>
      <c r="BAG45" s="394"/>
      <c r="BAH45" s="394"/>
      <c r="BAI45" s="394"/>
      <c r="BAJ45" s="394"/>
      <c r="BAK45" s="394"/>
      <c r="BAL45" s="394"/>
      <c r="BAM45" s="394"/>
      <c r="BAN45" s="394"/>
      <c r="BAO45" s="394"/>
      <c r="BAP45" s="394"/>
      <c r="BAQ45" s="394"/>
      <c r="BAR45" s="394"/>
      <c r="BAS45" s="394"/>
      <c r="BAT45" s="394"/>
      <c r="BAU45" s="394"/>
      <c r="BAV45" s="394"/>
      <c r="BAW45" s="394"/>
      <c r="BAX45" s="394"/>
      <c r="BAY45" s="394"/>
      <c r="BAZ45" s="394"/>
      <c r="BBA45" s="394"/>
      <c r="BBB45" s="394"/>
      <c r="BBC45" s="394"/>
      <c r="BBD45" s="394"/>
      <c r="BBE45" s="394"/>
      <c r="BBF45" s="394"/>
      <c r="BBG45" s="394"/>
      <c r="BBH45" s="394"/>
      <c r="BBI45" s="394"/>
      <c r="BBJ45" s="394"/>
      <c r="BBK45" s="394"/>
      <c r="BBL45" s="394"/>
      <c r="BBM45" s="394"/>
      <c r="BBN45" s="394"/>
      <c r="BBO45" s="394"/>
      <c r="BBP45" s="394"/>
      <c r="BBQ45" s="394"/>
      <c r="BBR45" s="394"/>
      <c r="BBS45" s="394"/>
      <c r="BBT45" s="394"/>
      <c r="BBU45" s="394"/>
      <c r="BBV45" s="394"/>
      <c r="BBW45" s="394"/>
      <c r="BBX45" s="394"/>
      <c r="BBY45" s="394"/>
      <c r="BBZ45" s="394"/>
      <c r="BCA45" s="394"/>
      <c r="BCB45" s="394"/>
      <c r="BCC45" s="394"/>
      <c r="BCD45" s="394"/>
      <c r="BCE45" s="394"/>
      <c r="BCF45" s="394"/>
      <c r="BCG45" s="394"/>
      <c r="BCH45" s="394"/>
      <c r="BCI45" s="394"/>
      <c r="BCJ45" s="394"/>
      <c r="BCK45" s="394"/>
      <c r="BCL45" s="394"/>
      <c r="BCM45" s="394"/>
      <c r="BCN45" s="394"/>
      <c r="BCO45" s="394"/>
      <c r="BCP45" s="394"/>
      <c r="BCQ45" s="394"/>
      <c r="BCR45" s="394"/>
      <c r="BCS45" s="394"/>
      <c r="BCT45" s="394"/>
      <c r="BCU45" s="394"/>
      <c r="BCV45" s="394"/>
      <c r="BCW45" s="394"/>
      <c r="BCX45" s="394"/>
      <c r="BCY45" s="394"/>
      <c r="BCZ45" s="394"/>
      <c r="BDA45" s="394"/>
      <c r="BDB45" s="394"/>
      <c r="BDC45" s="394"/>
      <c r="BDD45" s="394"/>
      <c r="BDE45" s="394"/>
      <c r="BDF45" s="394"/>
      <c r="BDG45" s="394"/>
      <c r="BDH45" s="394"/>
      <c r="BDI45" s="394"/>
      <c r="BDJ45" s="394"/>
      <c r="BDK45" s="394"/>
      <c r="BDL45" s="394"/>
      <c r="BDM45" s="394"/>
      <c r="BDN45" s="394"/>
      <c r="BDO45" s="394"/>
      <c r="BDP45" s="394"/>
      <c r="BDQ45" s="394"/>
      <c r="BDR45" s="394"/>
      <c r="BDS45" s="394"/>
      <c r="BDT45" s="394"/>
      <c r="BDU45" s="394"/>
      <c r="BDV45" s="394"/>
      <c r="BDW45" s="394"/>
      <c r="BDX45" s="394"/>
      <c r="BDY45" s="394"/>
      <c r="BDZ45" s="394"/>
      <c r="BEA45" s="394"/>
      <c r="BEB45" s="394"/>
      <c r="BEC45" s="394"/>
      <c r="BED45" s="394"/>
      <c r="BEE45" s="394"/>
      <c r="BEF45" s="394"/>
      <c r="BEG45" s="394"/>
      <c r="BEH45" s="394"/>
      <c r="BEI45" s="394"/>
      <c r="BEJ45" s="394"/>
      <c r="BEK45" s="394"/>
      <c r="BEL45" s="394"/>
      <c r="BEM45" s="394"/>
      <c r="BEN45" s="394"/>
      <c r="BEO45" s="394"/>
      <c r="BEP45" s="394"/>
      <c r="BEQ45" s="394"/>
      <c r="BER45" s="394"/>
      <c r="BES45" s="394"/>
      <c r="BET45" s="394"/>
      <c r="BEU45" s="394"/>
      <c r="BEV45" s="394"/>
      <c r="BEW45" s="394"/>
      <c r="BEX45" s="394"/>
      <c r="BEY45" s="394"/>
      <c r="BEZ45" s="394"/>
      <c r="BFA45" s="394"/>
      <c r="BFB45" s="394"/>
      <c r="BFC45" s="394"/>
      <c r="BFD45" s="394"/>
      <c r="BFE45" s="394"/>
      <c r="BFF45" s="394"/>
      <c r="BFG45" s="394"/>
      <c r="BFH45" s="394"/>
      <c r="BFI45" s="394"/>
      <c r="BFJ45" s="394"/>
      <c r="BFK45" s="394"/>
      <c r="BFL45" s="394"/>
      <c r="BFM45" s="394"/>
      <c r="BFN45" s="394"/>
      <c r="BFO45" s="394"/>
      <c r="BFP45" s="394"/>
      <c r="BFQ45" s="394"/>
      <c r="BFR45" s="394"/>
      <c r="BFS45" s="394"/>
      <c r="BFT45" s="394"/>
      <c r="BFU45" s="394"/>
      <c r="BFV45" s="394"/>
      <c r="BFW45" s="394"/>
      <c r="BFX45" s="394"/>
      <c r="BFY45" s="394"/>
      <c r="BFZ45" s="394"/>
      <c r="BGA45" s="394"/>
      <c r="BGB45" s="394"/>
      <c r="BGC45" s="394"/>
      <c r="BGD45" s="394"/>
      <c r="BGE45" s="394"/>
      <c r="BGF45" s="394"/>
      <c r="BGG45" s="394"/>
      <c r="BGH45" s="394"/>
      <c r="BGI45" s="394"/>
      <c r="BGJ45" s="394"/>
      <c r="BGK45" s="394"/>
      <c r="BGL45" s="394"/>
      <c r="BGM45" s="394"/>
      <c r="BGN45" s="394"/>
      <c r="BGO45" s="394"/>
      <c r="BGP45" s="394"/>
      <c r="BGQ45" s="394"/>
      <c r="BGR45" s="394"/>
      <c r="BGS45" s="394"/>
      <c r="BGT45" s="394"/>
      <c r="BGU45" s="394"/>
      <c r="BGV45" s="394"/>
      <c r="BGW45" s="394"/>
      <c r="BGX45" s="394"/>
      <c r="BGY45" s="394"/>
      <c r="BGZ45" s="394"/>
      <c r="BHA45" s="394"/>
      <c r="BHB45" s="394"/>
      <c r="BHC45" s="394"/>
      <c r="BHD45" s="394"/>
      <c r="BHE45" s="394"/>
      <c r="BHF45" s="394"/>
      <c r="BHG45" s="394"/>
      <c r="BHH45" s="394"/>
      <c r="BHI45" s="394"/>
      <c r="BHJ45" s="394"/>
      <c r="BHK45" s="394"/>
      <c r="BHL45" s="394"/>
      <c r="BHM45" s="394"/>
      <c r="BHN45" s="394"/>
      <c r="BHO45" s="394"/>
      <c r="BHP45" s="394"/>
      <c r="BHQ45" s="394"/>
      <c r="BHR45" s="394"/>
      <c r="BHS45" s="394"/>
      <c r="BHT45" s="394"/>
      <c r="BHU45" s="394"/>
      <c r="BHV45" s="394"/>
      <c r="BHW45" s="394"/>
      <c r="BHX45" s="394"/>
      <c r="BHY45" s="394"/>
      <c r="BHZ45" s="394"/>
      <c r="BIA45" s="394"/>
      <c r="BIB45" s="394"/>
      <c r="BIC45" s="394"/>
      <c r="BID45" s="394"/>
      <c r="BIE45" s="394"/>
      <c r="BIF45" s="394"/>
      <c r="BIG45" s="394"/>
      <c r="BIH45" s="394"/>
      <c r="BII45" s="394"/>
      <c r="BIJ45" s="394"/>
      <c r="BIK45" s="394"/>
      <c r="BIL45" s="394"/>
      <c r="BIM45" s="394"/>
      <c r="BIN45" s="394"/>
      <c r="BIO45" s="394"/>
      <c r="BIP45" s="394"/>
      <c r="BIQ45" s="394"/>
      <c r="BIR45" s="394"/>
      <c r="BIS45" s="394"/>
      <c r="BIT45" s="394"/>
      <c r="BIU45" s="394"/>
      <c r="BIV45" s="394"/>
      <c r="BIW45" s="394"/>
      <c r="BIX45" s="394"/>
      <c r="BIY45" s="394"/>
      <c r="BIZ45" s="394"/>
      <c r="BJA45" s="394"/>
      <c r="BJB45" s="394"/>
      <c r="BJC45" s="394"/>
      <c r="BJD45" s="394"/>
      <c r="BJE45" s="394"/>
      <c r="BJF45" s="394"/>
      <c r="BJG45" s="394"/>
      <c r="BJH45" s="394"/>
      <c r="BJI45" s="394"/>
      <c r="BJJ45" s="394"/>
      <c r="BJK45" s="394"/>
      <c r="BJL45" s="394"/>
      <c r="BJM45" s="394"/>
      <c r="BJN45" s="394"/>
      <c r="BJO45" s="394"/>
      <c r="BJP45" s="394"/>
      <c r="BJQ45" s="394"/>
      <c r="BJR45" s="394"/>
      <c r="BJS45" s="394"/>
      <c r="BJT45" s="394"/>
      <c r="BJU45" s="394"/>
      <c r="BJV45" s="394"/>
      <c r="BJW45" s="394"/>
      <c r="BJX45" s="394"/>
      <c r="BJY45" s="394"/>
      <c r="BJZ45" s="394"/>
      <c r="BKA45" s="394"/>
      <c r="BKB45" s="394"/>
      <c r="BKC45" s="394"/>
      <c r="BKD45" s="394"/>
      <c r="BKE45" s="394"/>
      <c r="BKF45" s="394"/>
      <c r="BKG45" s="394"/>
      <c r="BKH45" s="394"/>
      <c r="BKI45" s="394"/>
      <c r="BKJ45" s="394"/>
      <c r="BKK45" s="394"/>
      <c r="BKL45" s="394"/>
      <c r="BKM45" s="394"/>
      <c r="BKN45" s="394"/>
      <c r="BKO45" s="394"/>
      <c r="BKP45" s="394"/>
      <c r="BKQ45" s="394"/>
      <c r="BKR45" s="394"/>
      <c r="BKS45" s="394"/>
      <c r="BKT45" s="394"/>
      <c r="BKU45" s="394"/>
      <c r="BKV45" s="394"/>
      <c r="BKW45" s="394"/>
      <c r="BKX45" s="394"/>
      <c r="BKY45" s="394"/>
      <c r="BKZ45" s="394"/>
      <c r="BLA45" s="394"/>
      <c r="BLB45" s="394"/>
      <c r="BLC45" s="394"/>
      <c r="BLD45" s="394"/>
      <c r="BLE45" s="394"/>
      <c r="BLF45" s="394"/>
      <c r="BLG45" s="394"/>
      <c r="BLH45" s="394"/>
      <c r="BLI45" s="394"/>
      <c r="BLJ45" s="394"/>
      <c r="BLK45" s="394"/>
      <c r="BLL45" s="394"/>
      <c r="BLM45" s="394"/>
      <c r="BLN45" s="394"/>
      <c r="BLO45" s="394"/>
      <c r="BLP45" s="394"/>
      <c r="BLQ45" s="394"/>
      <c r="BLR45" s="394"/>
      <c r="BLS45" s="394"/>
      <c r="BLT45" s="394"/>
      <c r="BLU45" s="394"/>
      <c r="BLV45" s="394"/>
      <c r="BLW45" s="394"/>
      <c r="BLX45" s="394"/>
      <c r="BLY45" s="394"/>
      <c r="BLZ45" s="394"/>
      <c r="BMA45" s="394"/>
      <c r="BMB45" s="394"/>
      <c r="BMC45" s="394"/>
      <c r="BMD45" s="394"/>
      <c r="BME45" s="394"/>
      <c r="BMF45" s="394"/>
      <c r="BMG45" s="394"/>
      <c r="BMH45" s="394"/>
      <c r="BMI45" s="394"/>
      <c r="BMJ45" s="394"/>
      <c r="BMK45" s="394"/>
      <c r="BML45" s="394"/>
      <c r="BMM45" s="394"/>
      <c r="BMN45" s="394"/>
      <c r="BMO45" s="394"/>
      <c r="BMP45" s="394"/>
      <c r="BMQ45" s="394"/>
      <c r="BMR45" s="394"/>
      <c r="BMS45" s="394"/>
      <c r="BMT45" s="394"/>
      <c r="BMU45" s="394"/>
      <c r="BMV45" s="394"/>
      <c r="BMW45" s="394"/>
      <c r="BMX45" s="394"/>
      <c r="BMY45" s="394"/>
      <c r="BMZ45" s="394"/>
      <c r="BNA45" s="394"/>
      <c r="BNB45" s="394"/>
      <c r="BNC45" s="394"/>
      <c r="BND45" s="394"/>
      <c r="BNE45" s="394"/>
      <c r="BNF45" s="394"/>
      <c r="BNG45" s="394"/>
      <c r="BNH45" s="394"/>
      <c r="BNI45" s="394"/>
      <c r="BNJ45" s="394"/>
      <c r="BNK45" s="394"/>
      <c r="BNL45" s="394"/>
      <c r="BNM45" s="394"/>
      <c r="BNN45" s="394"/>
      <c r="BNO45" s="394"/>
      <c r="BNP45" s="394"/>
      <c r="BNQ45" s="394"/>
      <c r="BNR45" s="394"/>
      <c r="BNS45" s="394"/>
      <c r="BNT45" s="394"/>
      <c r="BNU45" s="394"/>
      <c r="BNV45" s="394"/>
      <c r="BNW45" s="394"/>
      <c r="BNX45" s="394"/>
      <c r="BNY45" s="394"/>
      <c r="BNZ45" s="394"/>
      <c r="BOA45" s="394"/>
      <c r="BOB45" s="394"/>
      <c r="BOC45" s="394"/>
      <c r="BOD45" s="394"/>
      <c r="BOE45" s="394"/>
      <c r="BOF45" s="394"/>
      <c r="BOG45" s="394"/>
      <c r="BOH45" s="394"/>
      <c r="BOI45" s="394"/>
      <c r="BOJ45" s="394"/>
      <c r="BOK45" s="394"/>
      <c r="BOL45" s="394"/>
      <c r="BOM45" s="394"/>
      <c r="BON45" s="394"/>
      <c r="BOO45" s="394"/>
      <c r="BOP45" s="394"/>
      <c r="BOQ45" s="394"/>
      <c r="BOR45" s="394"/>
      <c r="BOS45" s="394"/>
      <c r="BOT45" s="394"/>
      <c r="BOU45" s="394"/>
      <c r="BOV45" s="394"/>
      <c r="BOW45" s="394"/>
      <c r="BOX45" s="394"/>
      <c r="BOY45" s="394"/>
      <c r="BOZ45" s="394"/>
      <c r="BPA45" s="394"/>
      <c r="BPB45" s="394"/>
      <c r="BPC45" s="394"/>
      <c r="BPD45" s="394"/>
      <c r="BPE45" s="394"/>
      <c r="BPF45" s="394"/>
      <c r="BPG45" s="394"/>
      <c r="BPH45" s="394"/>
      <c r="BPI45" s="394"/>
      <c r="BPJ45" s="394"/>
      <c r="BPK45" s="394"/>
      <c r="BPL45" s="394"/>
      <c r="BPM45" s="394"/>
      <c r="BPN45" s="394"/>
      <c r="BPO45" s="394"/>
      <c r="BPP45" s="394"/>
      <c r="BPQ45" s="394"/>
      <c r="BPR45" s="394"/>
      <c r="BPS45" s="394"/>
      <c r="BPT45" s="394"/>
      <c r="BPU45" s="394"/>
      <c r="BPV45" s="394"/>
      <c r="BPW45" s="394"/>
      <c r="BPX45" s="394"/>
      <c r="BPY45" s="394"/>
      <c r="BPZ45" s="394"/>
      <c r="BQA45" s="394"/>
      <c r="BQB45" s="394"/>
      <c r="BQC45" s="394"/>
      <c r="BQD45" s="394"/>
      <c r="BQE45" s="394"/>
      <c r="BQF45" s="394"/>
      <c r="BQG45" s="394"/>
      <c r="BQH45" s="394"/>
      <c r="BQI45" s="394"/>
      <c r="BQJ45" s="394"/>
      <c r="BQK45" s="394"/>
      <c r="BQL45" s="394"/>
      <c r="BQM45" s="394"/>
      <c r="BQN45" s="394"/>
      <c r="BQO45" s="394"/>
      <c r="BQP45" s="394"/>
      <c r="BQQ45" s="394"/>
      <c r="BQR45" s="394"/>
      <c r="BQS45" s="394"/>
      <c r="BQT45" s="394"/>
      <c r="BQU45" s="394"/>
      <c r="BQV45" s="394"/>
      <c r="BQW45" s="394"/>
      <c r="BQX45" s="394"/>
      <c r="BQY45" s="394"/>
      <c r="BQZ45" s="394"/>
      <c r="BRA45" s="394"/>
      <c r="BRB45" s="394"/>
      <c r="BRC45" s="394"/>
      <c r="BRD45" s="394"/>
      <c r="BRE45" s="394"/>
      <c r="BRF45" s="394"/>
      <c r="BRG45" s="394"/>
      <c r="BRH45" s="394"/>
      <c r="BRI45" s="394"/>
      <c r="BRJ45" s="394"/>
      <c r="BRK45" s="394"/>
      <c r="BRL45" s="394"/>
      <c r="BRM45" s="394"/>
      <c r="BRN45" s="394"/>
      <c r="BRO45" s="394"/>
      <c r="BRP45" s="394"/>
      <c r="BRQ45" s="394"/>
      <c r="BRR45" s="394"/>
      <c r="BRS45" s="394"/>
      <c r="BRT45" s="394"/>
      <c r="BRU45" s="394"/>
      <c r="BRV45" s="394"/>
      <c r="BRW45" s="394"/>
      <c r="BRX45" s="394"/>
      <c r="BRY45" s="394"/>
      <c r="BRZ45" s="394"/>
      <c r="BSA45" s="394"/>
      <c r="BSB45" s="394"/>
      <c r="BSC45" s="394"/>
      <c r="BSD45" s="394"/>
      <c r="BSE45" s="394"/>
      <c r="BSF45" s="394"/>
      <c r="BSG45" s="394"/>
      <c r="BSH45" s="394"/>
      <c r="BSI45" s="394"/>
      <c r="BSJ45" s="394"/>
      <c r="BSK45" s="394"/>
      <c r="BSL45" s="394"/>
      <c r="BSM45" s="394"/>
      <c r="BSN45" s="394"/>
      <c r="BSO45" s="394"/>
      <c r="BSP45" s="394"/>
      <c r="BSQ45" s="394"/>
      <c r="BSR45" s="394"/>
      <c r="BSS45" s="394"/>
      <c r="BST45" s="394"/>
      <c r="BSU45" s="394"/>
      <c r="BSV45" s="394"/>
      <c r="BSW45" s="394"/>
      <c r="BSX45" s="394"/>
      <c r="BSY45" s="394"/>
      <c r="BSZ45" s="394"/>
      <c r="BTA45" s="394"/>
      <c r="BTB45" s="394"/>
      <c r="BTC45" s="394"/>
      <c r="BTD45" s="394"/>
      <c r="BTE45" s="394"/>
      <c r="BTF45" s="394"/>
      <c r="BTG45" s="394"/>
      <c r="BTH45" s="394"/>
      <c r="BTI45" s="394"/>
    </row>
    <row r="46" spans="1:1881" s="4" customFormat="1" ht="51.75" customHeight="1" x14ac:dyDescent="0.25">
      <c r="A46" s="188">
        <v>586</v>
      </c>
      <c r="B46" s="65" t="s">
        <v>66</v>
      </c>
      <c r="C46" s="134" t="s">
        <v>160</v>
      </c>
      <c r="D46" s="307" t="s">
        <v>654</v>
      </c>
      <c r="E46" s="32" t="e">
        <f>HLOOKUP($D$2,'2019 Data(H)'!$C$1:$CP$300,236,FALSE)</f>
        <v>#N/A</v>
      </c>
      <c r="F46" s="624"/>
      <c r="G46" s="395">
        <f>IF(F46&lt;0,"Note: Number is normally positive.",)</f>
        <v>0</v>
      </c>
      <c r="H46" s="149"/>
      <c r="I46" s="297"/>
      <c r="J46" s="394"/>
      <c r="K46" s="394"/>
      <c r="L46" s="833" t="s">
        <v>1142</v>
      </c>
      <c r="M46" s="610"/>
      <c r="N46" s="635"/>
      <c r="O46" s="394"/>
      <c r="P46" s="394"/>
      <c r="Q46" s="394"/>
      <c r="R46" s="394"/>
      <c r="S46" s="394"/>
      <c r="T46" s="394"/>
      <c r="U46" s="394"/>
      <c r="V46" s="394"/>
      <c r="W46" s="394"/>
      <c r="X46" s="394"/>
      <c r="Y46" s="394"/>
      <c r="Z46" s="394"/>
      <c r="AA46" s="394"/>
      <c r="AB46" s="394"/>
      <c r="AC46" s="394"/>
      <c r="AD46" s="394"/>
      <c r="AE46" s="394"/>
      <c r="AF46" s="394"/>
      <c r="AG46" s="394"/>
      <c r="AH46" s="394"/>
      <c r="AI46" s="394"/>
      <c r="AJ46" s="394"/>
      <c r="AK46" s="394"/>
      <c r="AL46" s="394"/>
      <c r="AM46" s="394"/>
      <c r="AN46" s="394"/>
      <c r="AO46" s="394"/>
      <c r="AP46" s="394"/>
      <c r="AQ46" s="394"/>
      <c r="AR46" s="394"/>
      <c r="AS46" s="394"/>
      <c r="AT46" s="394"/>
      <c r="AU46" s="394"/>
      <c r="AV46" s="394"/>
      <c r="AW46" s="394"/>
      <c r="AX46" s="394"/>
      <c r="AY46" s="394"/>
      <c r="AZ46" s="394"/>
      <c r="BA46" s="394"/>
      <c r="BB46" s="394"/>
      <c r="BC46" s="394"/>
      <c r="BD46" s="394"/>
      <c r="BE46" s="394"/>
      <c r="BF46" s="394"/>
      <c r="BG46" s="394"/>
      <c r="BH46" s="394"/>
      <c r="BI46" s="394"/>
      <c r="BJ46" s="394"/>
      <c r="BK46" s="394"/>
      <c r="BL46" s="394"/>
      <c r="BM46" s="394"/>
      <c r="BN46" s="394"/>
      <c r="BO46" s="394"/>
      <c r="BP46" s="394"/>
      <c r="BQ46" s="394"/>
      <c r="BR46" s="394"/>
      <c r="BS46" s="394"/>
      <c r="BT46" s="394"/>
      <c r="BU46" s="394"/>
      <c r="BV46" s="394"/>
      <c r="BW46" s="394"/>
      <c r="BX46" s="394"/>
      <c r="BY46" s="394"/>
      <c r="BZ46" s="394"/>
      <c r="CA46" s="394"/>
      <c r="CB46" s="394"/>
      <c r="CC46" s="394"/>
      <c r="CD46" s="394"/>
      <c r="CE46" s="394"/>
      <c r="CF46" s="394"/>
      <c r="CG46" s="394"/>
      <c r="CH46" s="394"/>
      <c r="CI46" s="394"/>
      <c r="CJ46" s="394"/>
      <c r="CK46" s="394"/>
      <c r="CL46" s="394"/>
      <c r="CM46" s="394"/>
      <c r="CN46" s="394"/>
      <c r="CO46" s="394"/>
      <c r="CP46" s="394"/>
      <c r="CQ46" s="394"/>
      <c r="CR46" s="394"/>
      <c r="CS46" s="394"/>
      <c r="CT46" s="394"/>
      <c r="CU46" s="394"/>
      <c r="CV46" s="394"/>
      <c r="CW46" s="394"/>
      <c r="CX46" s="394"/>
      <c r="CY46" s="394"/>
      <c r="CZ46" s="394"/>
      <c r="DA46" s="394"/>
      <c r="DB46" s="394"/>
      <c r="DC46" s="394"/>
      <c r="DD46" s="394"/>
      <c r="DE46" s="394"/>
      <c r="DF46" s="394"/>
      <c r="DG46" s="394"/>
      <c r="DH46" s="394"/>
      <c r="DI46" s="394"/>
      <c r="DJ46" s="394"/>
      <c r="DK46" s="394"/>
      <c r="DL46" s="394"/>
      <c r="DM46" s="394"/>
      <c r="DN46" s="394"/>
      <c r="DO46" s="394"/>
      <c r="DP46" s="394"/>
      <c r="DQ46" s="394"/>
      <c r="DR46" s="394"/>
      <c r="DS46" s="394"/>
      <c r="DT46" s="394"/>
      <c r="DU46" s="394"/>
      <c r="DV46" s="394"/>
      <c r="DW46" s="394"/>
      <c r="DX46" s="394"/>
      <c r="DY46" s="394"/>
      <c r="DZ46" s="394"/>
      <c r="EA46" s="394"/>
      <c r="EB46" s="394"/>
      <c r="EC46" s="394"/>
      <c r="ED46" s="394"/>
      <c r="EE46" s="394"/>
      <c r="EF46" s="394"/>
      <c r="EG46" s="394"/>
      <c r="EH46" s="394"/>
      <c r="EI46" s="394"/>
      <c r="EJ46" s="394"/>
      <c r="EK46" s="394"/>
      <c r="EL46" s="394"/>
      <c r="EM46" s="394"/>
      <c r="EN46" s="394"/>
      <c r="EO46" s="394"/>
      <c r="EP46" s="394"/>
      <c r="EQ46" s="394"/>
      <c r="ER46" s="394"/>
      <c r="ES46" s="394"/>
      <c r="ET46" s="394"/>
      <c r="EU46" s="394"/>
      <c r="EV46" s="394"/>
      <c r="EW46" s="394"/>
      <c r="EX46" s="394"/>
      <c r="EY46" s="394"/>
      <c r="EZ46" s="394"/>
      <c r="FA46" s="394"/>
      <c r="FB46" s="394"/>
      <c r="FC46" s="394"/>
      <c r="FD46" s="394"/>
      <c r="FE46" s="394"/>
      <c r="FF46" s="394"/>
      <c r="FG46" s="394"/>
      <c r="FH46" s="394"/>
      <c r="FI46" s="394"/>
      <c r="FJ46" s="394"/>
      <c r="FK46" s="394"/>
      <c r="FL46" s="394"/>
      <c r="FM46" s="394"/>
      <c r="FN46" s="394"/>
      <c r="FO46" s="394"/>
      <c r="FP46" s="394"/>
      <c r="FQ46" s="394"/>
      <c r="FR46" s="394"/>
      <c r="FS46" s="394"/>
      <c r="FT46" s="394"/>
      <c r="FU46" s="394"/>
      <c r="FV46" s="394"/>
      <c r="FW46" s="394"/>
      <c r="FX46" s="394"/>
      <c r="FY46" s="394"/>
      <c r="FZ46" s="394"/>
      <c r="GA46" s="394"/>
      <c r="GB46" s="394"/>
      <c r="GC46" s="394"/>
      <c r="GD46" s="394"/>
      <c r="GE46" s="394"/>
      <c r="GF46" s="394"/>
      <c r="GG46" s="394"/>
      <c r="GH46" s="394"/>
      <c r="GI46" s="394"/>
      <c r="GJ46" s="394"/>
      <c r="GK46" s="394"/>
      <c r="GL46" s="394"/>
      <c r="GM46" s="394"/>
      <c r="GN46" s="394"/>
      <c r="GO46" s="394"/>
      <c r="GP46" s="394"/>
      <c r="GQ46" s="394"/>
      <c r="GR46" s="394"/>
      <c r="GS46" s="394"/>
      <c r="GT46" s="394"/>
      <c r="GU46" s="394"/>
      <c r="GV46" s="394"/>
      <c r="GW46" s="394"/>
      <c r="GX46" s="394"/>
      <c r="GY46" s="394"/>
      <c r="GZ46" s="394"/>
      <c r="HA46" s="394"/>
      <c r="HB46" s="394"/>
      <c r="HC46" s="394"/>
      <c r="HD46" s="394"/>
      <c r="HE46" s="394"/>
      <c r="HF46" s="394"/>
      <c r="HG46" s="394"/>
      <c r="HH46" s="394"/>
      <c r="HI46" s="394"/>
      <c r="HJ46" s="394"/>
      <c r="HK46" s="394"/>
      <c r="HL46" s="394"/>
      <c r="HM46" s="394"/>
      <c r="HN46" s="394"/>
      <c r="HO46" s="394"/>
      <c r="HP46" s="394"/>
      <c r="HQ46" s="394"/>
      <c r="HR46" s="394"/>
      <c r="HS46" s="394"/>
      <c r="HT46" s="394"/>
      <c r="HU46" s="394"/>
      <c r="HV46" s="394"/>
      <c r="HW46" s="394"/>
      <c r="HX46" s="394"/>
      <c r="HY46" s="394"/>
      <c r="HZ46" s="394"/>
      <c r="IA46" s="394"/>
      <c r="IB46" s="394"/>
      <c r="IC46" s="394"/>
      <c r="ID46" s="394"/>
      <c r="IE46" s="394"/>
      <c r="IF46" s="394"/>
      <c r="IG46" s="394"/>
      <c r="IH46" s="394"/>
      <c r="II46" s="394"/>
      <c r="IJ46" s="394"/>
      <c r="IK46" s="394"/>
      <c r="IL46" s="394"/>
      <c r="IM46" s="394"/>
      <c r="IN46" s="394"/>
      <c r="IO46" s="394"/>
      <c r="IP46" s="394"/>
      <c r="IQ46" s="394"/>
      <c r="IR46" s="394"/>
      <c r="IS46" s="394"/>
      <c r="IT46" s="394"/>
      <c r="IU46" s="394"/>
      <c r="IV46" s="394"/>
      <c r="IW46" s="394"/>
      <c r="IX46" s="394"/>
      <c r="IY46" s="394"/>
      <c r="IZ46" s="394"/>
      <c r="JA46" s="394"/>
      <c r="JB46" s="394"/>
      <c r="JC46" s="394"/>
      <c r="JD46" s="394"/>
      <c r="JE46" s="394"/>
      <c r="JF46" s="394"/>
      <c r="JG46" s="394"/>
      <c r="JH46" s="394"/>
      <c r="JI46" s="394"/>
      <c r="JJ46" s="394"/>
      <c r="JK46" s="394"/>
      <c r="JL46" s="394"/>
      <c r="JM46" s="394"/>
      <c r="JN46" s="394"/>
      <c r="JO46" s="394"/>
      <c r="JP46" s="394"/>
      <c r="JQ46" s="394"/>
      <c r="JR46" s="394"/>
      <c r="JS46" s="394"/>
      <c r="JT46" s="394"/>
      <c r="JU46" s="394"/>
      <c r="JV46" s="394"/>
      <c r="JW46" s="394"/>
      <c r="JX46" s="394"/>
      <c r="JY46" s="394"/>
      <c r="JZ46" s="394"/>
      <c r="KA46" s="394"/>
      <c r="KB46" s="394"/>
      <c r="KC46" s="394"/>
      <c r="KD46" s="394"/>
      <c r="KE46" s="394"/>
      <c r="KF46" s="394"/>
      <c r="KG46" s="394"/>
      <c r="KH46" s="394"/>
      <c r="KI46" s="394"/>
      <c r="KJ46" s="394"/>
      <c r="KK46" s="394"/>
      <c r="KL46" s="394"/>
      <c r="KM46" s="394"/>
      <c r="KN46" s="394"/>
      <c r="KO46" s="394"/>
      <c r="KP46" s="394"/>
      <c r="KQ46" s="394"/>
      <c r="KR46" s="394"/>
      <c r="KS46" s="394"/>
      <c r="KT46" s="394"/>
      <c r="KU46" s="394"/>
      <c r="KV46" s="394"/>
      <c r="KW46" s="394"/>
      <c r="KX46" s="394"/>
      <c r="KY46" s="394"/>
      <c r="KZ46" s="394"/>
      <c r="LA46" s="394"/>
      <c r="LB46" s="394"/>
      <c r="LC46" s="394"/>
      <c r="LD46" s="394"/>
      <c r="LE46" s="394"/>
      <c r="LF46" s="394"/>
      <c r="LG46" s="394"/>
      <c r="LH46" s="394"/>
      <c r="LI46" s="394"/>
      <c r="LJ46" s="394"/>
      <c r="LK46" s="394"/>
      <c r="LL46" s="394"/>
      <c r="LM46" s="394"/>
      <c r="LN46" s="394"/>
      <c r="LO46" s="394"/>
      <c r="LP46" s="394"/>
      <c r="LQ46" s="394"/>
      <c r="LR46" s="394"/>
      <c r="LS46" s="394"/>
      <c r="LT46" s="394"/>
      <c r="LU46" s="394"/>
      <c r="LV46" s="394"/>
      <c r="LW46" s="394"/>
      <c r="LX46" s="394"/>
      <c r="LY46" s="394"/>
      <c r="LZ46" s="394"/>
      <c r="MA46" s="394"/>
      <c r="MB46" s="394"/>
      <c r="MC46" s="394"/>
      <c r="MD46" s="394"/>
      <c r="ME46" s="394"/>
      <c r="MF46" s="394"/>
      <c r="MG46" s="394"/>
      <c r="MH46" s="394"/>
      <c r="MI46" s="394"/>
      <c r="MJ46" s="394"/>
      <c r="MK46" s="394"/>
      <c r="ML46" s="394"/>
      <c r="MM46" s="394"/>
      <c r="MN46" s="394"/>
      <c r="MO46" s="394"/>
      <c r="MP46" s="394"/>
      <c r="MQ46" s="394"/>
      <c r="MR46" s="394"/>
      <c r="MS46" s="394"/>
      <c r="MT46" s="394"/>
      <c r="MU46" s="394"/>
      <c r="MV46" s="394"/>
      <c r="MW46" s="394"/>
      <c r="MX46" s="394"/>
      <c r="MY46" s="394"/>
      <c r="MZ46" s="394"/>
      <c r="NA46" s="394"/>
      <c r="NB46" s="394"/>
      <c r="NC46" s="394"/>
      <c r="ND46" s="394"/>
      <c r="NE46" s="394"/>
      <c r="NF46" s="394"/>
      <c r="NG46" s="394"/>
      <c r="NH46" s="394"/>
      <c r="NI46" s="394"/>
      <c r="NJ46" s="394"/>
      <c r="NK46" s="394"/>
      <c r="NL46" s="394"/>
      <c r="NM46" s="394"/>
      <c r="NN46" s="394"/>
      <c r="NO46" s="394"/>
      <c r="NP46" s="394"/>
      <c r="NQ46" s="394"/>
      <c r="NR46" s="394"/>
      <c r="NS46" s="394"/>
      <c r="NT46" s="394"/>
      <c r="NU46" s="394"/>
      <c r="NV46" s="394"/>
      <c r="NW46" s="394"/>
      <c r="NX46" s="394"/>
      <c r="NY46" s="394"/>
      <c r="NZ46" s="394"/>
      <c r="OA46" s="394"/>
      <c r="OB46" s="394"/>
      <c r="OC46" s="394"/>
      <c r="OD46" s="394"/>
      <c r="OE46" s="394"/>
      <c r="OF46" s="394"/>
      <c r="OG46" s="394"/>
      <c r="OH46" s="394"/>
      <c r="OI46" s="394"/>
      <c r="OJ46" s="394"/>
      <c r="OK46" s="394"/>
      <c r="OL46" s="394"/>
      <c r="OM46" s="394"/>
      <c r="ON46" s="394"/>
      <c r="OO46" s="394"/>
      <c r="OP46" s="394"/>
      <c r="OQ46" s="394"/>
      <c r="OR46" s="394"/>
      <c r="OS46" s="394"/>
      <c r="OT46" s="394"/>
      <c r="OU46" s="394"/>
      <c r="OV46" s="394"/>
      <c r="OW46" s="394"/>
      <c r="OX46" s="394"/>
      <c r="OY46" s="394"/>
      <c r="OZ46" s="394"/>
      <c r="PA46" s="394"/>
      <c r="PB46" s="394"/>
      <c r="PC46" s="394"/>
      <c r="PD46" s="394"/>
      <c r="PE46" s="394"/>
      <c r="PF46" s="394"/>
      <c r="PG46" s="394"/>
      <c r="PH46" s="394"/>
      <c r="PI46" s="394"/>
      <c r="PJ46" s="394"/>
      <c r="PK46" s="394"/>
      <c r="PL46" s="394"/>
      <c r="PM46" s="394"/>
      <c r="PN46" s="394"/>
      <c r="PO46" s="394"/>
      <c r="PP46" s="394"/>
      <c r="PQ46" s="394"/>
      <c r="PR46" s="394"/>
      <c r="PS46" s="394"/>
      <c r="PT46" s="394"/>
      <c r="PU46" s="394"/>
      <c r="PV46" s="394"/>
      <c r="PW46" s="394"/>
      <c r="PX46" s="394"/>
      <c r="PY46" s="394"/>
      <c r="PZ46" s="394"/>
      <c r="QA46" s="394"/>
      <c r="QB46" s="394"/>
      <c r="QC46" s="394"/>
      <c r="QD46" s="394"/>
      <c r="QE46" s="394"/>
      <c r="QF46" s="394"/>
      <c r="QG46" s="394"/>
      <c r="QH46" s="394"/>
      <c r="QI46" s="394"/>
      <c r="QJ46" s="394"/>
      <c r="QK46" s="394"/>
      <c r="QL46" s="394"/>
      <c r="QM46" s="394"/>
      <c r="QN46" s="394"/>
      <c r="QO46" s="394"/>
      <c r="QP46" s="394"/>
      <c r="QQ46" s="394"/>
      <c r="QR46" s="394"/>
      <c r="QS46" s="394"/>
      <c r="QT46" s="394"/>
      <c r="QU46" s="394"/>
      <c r="QV46" s="394"/>
      <c r="QW46" s="394"/>
      <c r="QX46" s="394"/>
      <c r="QY46" s="394"/>
      <c r="QZ46" s="394"/>
      <c r="RA46" s="394"/>
      <c r="RB46" s="394"/>
      <c r="RC46" s="394"/>
      <c r="RD46" s="394"/>
      <c r="RE46" s="394"/>
      <c r="RF46" s="394"/>
      <c r="RG46" s="394"/>
      <c r="RH46" s="394"/>
      <c r="RI46" s="394"/>
      <c r="RJ46" s="394"/>
      <c r="RK46" s="394"/>
      <c r="RL46" s="394"/>
      <c r="RM46" s="394"/>
      <c r="RN46" s="394"/>
      <c r="RO46" s="394"/>
      <c r="RP46" s="394"/>
      <c r="RQ46" s="394"/>
      <c r="RR46" s="394"/>
      <c r="RS46" s="394"/>
      <c r="RT46" s="394"/>
      <c r="RU46" s="394"/>
      <c r="RV46" s="394"/>
      <c r="RW46" s="394"/>
      <c r="RX46" s="394"/>
      <c r="RY46" s="394"/>
      <c r="RZ46" s="394"/>
      <c r="SA46" s="394"/>
      <c r="SB46" s="394"/>
      <c r="SC46" s="394"/>
      <c r="SD46" s="394"/>
      <c r="SE46" s="394"/>
      <c r="SF46" s="394"/>
      <c r="SG46" s="394"/>
      <c r="SH46" s="394"/>
      <c r="SI46" s="394"/>
      <c r="SJ46" s="394"/>
      <c r="SK46" s="394"/>
      <c r="SL46" s="394"/>
      <c r="SM46" s="394"/>
      <c r="SN46" s="394"/>
      <c r="SO46" s="394"/>
      <c r="SP46" s="394"/>
      <c r="SQ46" s="394"/>
      <c r="SR46" s="394"/>
      <c r="SS46" s="394"/>
      <c r="ST46" s="394"/>
      <c r="SU46" s="394"/>
      <c r="SV46" s="394"/>
      <c r="SW46" s="394"/>
      <c r="SX46" s="394"/>
      <c r="SY46" s="394"/>
      <c r="SZ46" s="394"/>
      <c r="TA46" s="394"/>
      <c r="TB46" s="394"/>
      <c r="TC46" s="394"/>
      <c r="TD46" s="394"/>
      <c r="TE46" s="394"/>
      <c r="TF46" s="394"/>
      <c r="TG46" s="394"/>
      <c r="TH46" s="394"/>
      <c r="TI46" s="394"/>
      <c r="TJ46" s="394"/>
      <c r="TK46" s="394"/>
      <c r="TL46" s="394"/>
      <c r="TM46" s="394"/>
      <c r="TN46" s="394"/>
      <c r="TO46" s="394"/>
      <c r="TP46" s="394"/>
      <c r="TQ46" s="394"/>
      <c r="TR46" s="394"/>
      <c r="TS46" s="394"/>
      <c r="TT46" s="394"/>
      <c r="TU46" s="394"/>
      <c r="TV46" s="394"/>
      <c r="TW46" s="394"/>
      <c r="TX46" s="394"/>
      <c r="TY46" s="394"/>
      <c r="TZ46" s="394"/>
      <c r="UA46" s="394"/>
      <c r="UB46" s="394"/>
      <c r="UC46" s="394"/>
      <c r="UD46" s="394"/>
      <c r="UE46" s="394"/>
      <c r="UF46" s="394"/>
      <c r="UG46" s="394"/>
      <c r="UH46" s="394"/>
      <c r="UI46" s="394"/>
      <c r="UJ46" s="394"/>
      <c r="UK46" s="394"/>
      <c r="UL46" s="394"/>
      <c r="UM46" s="394"/>
      <c r="UN46" s="394"/>
      <c r="UO46" s="394"/>
      <c r="UP46" s="394"/>
      <c r="UQ46" s="394"/>
      <c r="UR46" s="394"/>
      <c r="US46" s="394"/>
      <c r="UT46" s="394"/>
      <c r="UU46" s="394"/>
      <c r="UV46" s="394"/>
      <c r="UW46" s="394"/>
      <c r="UX46" s="394"/>
      <c r="UY46" s="394"/>
      <c r="UZ46" s="394"/>
      <c r="VA46" s="394"/>
      <c r="VB46" s="394"/>
      <c r="VC46" s="394"/>
      <c r="VD46" s="394"/>
      <c r="VE46" s="394"/>
      <c r="VF46" s="394"/>
      <c r="VG46" s="394"/>
      <c r="VH46" s="394"/>
      <c r="VI46" s="394"/>
      <c r="VJ46" s="394"/>
      <c r="VK46" s="394"/>
      <c r="VL46" s="394"/>
      <c r="VM46" s="394"/>
      <c r="VN46" s="394"/>
      <c r="VO46" s="394"/>
      <c r="VP46" s="394"/>
      <c r="VQ46" s="394"/>
      <c r="VR46" s="394"/>
      <c r="VS46" s="394"/>
      <c r="VT46" s="394"/>
      <c r="VU46" s="394"/>
      <c r="VV46" s="394"/>
      <c r="VW46" s="394"/>
      <c r="VX46" s="394"/>
      <c r="VY46" s="394"/>
      <c r="VZ46" s="394"/>
      <c r="WA46" s="394"/>
      <c r="WB46" s="394"/>
      <c r="WC46" s="394"/>
      <c r="WD46" s="394"/>
      <c r="WE46" s="394"/>
      <c r="WF46" s="394"/>
      <c r="WG46" s="394"/>
      <c r="WH46" s="394"/>
      <c r="WI46" s="394"/>
      <c r="WJ46" s="394"/>
      <c r="WK46" s="394"/>
      <c r="WL46" s="394"/>
      <c r="WM46" s="394"/>
      <c r="WN46" s="394"/>
      <c r="WO46" s="394"/>
      <c r="WP46" s="394"/>
      <c r="WQ46" s="394"/>
      <c r="WR46" s="394"/>
      <c r="WS46" s="394"/>
      <c r="WT46" s="394"/>
      <c r="WU46" s="394"/>
      <c r="WV46" s="394"/>
      <c r="WW46" s="394"/>
      <c r="WX46" s="394"/>
      <c r="WY46" s="394"/>
      <c r="WZ46" s="394"/>
      <c r="XA46" s="394"/>
      <c r="XB46" s="394"/>
      <c r="XC46" s="394"/>
      <c r="XD46" s="394"/>
      <c r="XE46" s="394"/>
      <c r="XF46" s="394"/>
      <c r="XG46" s="394"/>
      <c r="XH46" s="394"/>
      <c r="XI46" s="394"/>
      <c r="XJ46" s="394"/>
      <c r="XK46" s="394"/>
      <c r="XL46" s="394"/>
      <c r="XM46" s="394"/>
      <c r="XN46" s="394"/>
      <c r="XO46" s="394"/>
      <c r="XP46" s="394"/>
      <c r="XQ46" s="394"/>
      <c r="XR46" s="394"/>
      <c r="XS46" s="394"/>
      <c r="XT46" s="394"/>
      <c r="XU46" s="394"/>
      <c r="XV46" s="394"/>
      <c r="XW46" s="394"/>
      <c r="XX46" s="394"/>
      <c r="XY46" s="394"/>
      <c r="XZ46" s="394"/>
      <c r="YA46" s="394"/>
      <c r="YB46" s="394"/>
      <c r="YC46" s="394"/>
      <c r="YD46" s="394"/>
      <c r="YE46" s="394"/>
      <c r="YF46" s="394"/>
      <c r="YG46" s="394"/>
      <c r="YH46" s="394"/>
      <c r="YI46" s="394"/>
      <c r="YJ46" s="394"/>
      <c r="YK46" s="394"/>
      <c r="YL46" s="394"/>
      <c r="YM46" s="394"/>
      <c r="YN46" s="394"/>
      <c r="YO46" s="394"/>
      <c r="YP46" s="394"/>
      <c r="YQ46" s="394"/>
      <c r="YR46" s="394"/>
      <c r="YS46" s="394"/>
      <c r="YT46" s="394"/>
      <c r="YU46" s="394"/>
      <c r="YV46" s="394"/>
      <c r="YW46" s="394"/>
      <c r="YX46" s="394"/>
      <c r="YY46" s="394"/>
      <c r="YZ46" s="394"/>
      <c r="ZA46" s="394"/>
      <c r="ZB46" s="394"/>
      <c r="ZC46" s="394"/>
      <c r="ZD46" s="394"/>
      <c r="ZE46" s="394"/>
      <c r="ZF46" s="394"/>
      <c r="ZG46" s="394"/>
      <c r="ZH46" s="394"/>
      <c r="ZI46" s="394"/>
      <c r="ZJ46" s="394"/>
      <c r="ZK46" s="394"/>
      <c r="ZL46" s="394"/>
      <c r="ZM46" s="394"/>
      <c r="ZN46" s="394"/>
      <c r="ZO46" s="394"/>
      <c r="ZP46" s="394"/>
      <c r="ZQ46" s="394"/>
      <c r="ZR46" s="394"/>
      <c r="ZS46" s="394"/>
      <c r="ZT46" s="394"/>
      <c r="ZU46" s="394"/>
      <c r="ZV46" s="394"/>
      <c r="ZW46" s="394"/>
      <c r="ZX46" s="394"/>
      <c r="ZY46" s="394"/>
      <c r="ZZ46" s="394"/>
      <c r="AAA46" s="394"/>
      <c r="AAB46" s="394"/>
      <c r="AAC46" s="394"/>
      <c r="AAD46" s="394"/>
      <c r="AAE46" s="394"/>
      <c r="AAF46" s="394"/>
      <c r="AAG46" s="394"/>
      <c r="AAH46" s="394"/>
      <c r="AAI46" s="394"/>
      <c r="AAJ46" s="394"/>
      <c r="AAK46" s="394"/>
      <c r="AAL46" s="394"/>
      <c r="AAM46" s="394"/>
      <c r="AAN46" s="394"/>
      <c r="AAO46" s="394"/>
      <c r="AAP46" s="394"/>
      <c r="AAQ46" s="394"/>
      <c r="AAR46" s="394"/>
      <c r="AAS46" s="394"/>
      <c r="AAT46" s="394"/>
      <c r="AAU46" s="394"/>
      <c r="AAV46" s="394"/>
      <c r="AAW46" s="394"/>
      <c r="AAX46" s="394"/>
      <c r="AAY46" s="394"/>
      <c r="AAZ46" s="394"/>
      <c r="ABA46" s="394"/>
      <c r="ABB46" s="394"/>
      <c r="ABC46" s="394"/>
      <c r="ABD46" s="394"/>
      <c r="ABE46" s="394"/>
      <c r="ABF46" s="394"/>
      <c r="ABG46" s="394"/>
      <c r="ABH46" s="394"/>
      <c r="ABI46" s="394"/>
      <c r="ABJ46" s="394"/>
      <c r="ABK46" s="394"/>
      <c r="ABL46" s="394"/>
      <c r="ABM46" s="394"/>
      <c r="ABN46" s="394"/>
      <c r="ABO46" s="394"/>
      <c r="ABP46" s="394"/>
      <c r="ABQ46" s="394"/>
      <c r="ABR46" s="394"/>
      <c r="ABS46" s="394"/>
      <c r="ABT46" s="394"/>
      <c r="ABU46" s="394"/>
      <c r="ABV46" s="394"/>
      <c r="ABW46" s="394"/>
      <c r="ABX46" s="394"/>
      <c r="ABY46" s="394"/>
      <c r="ABZ46" s="394"/>
      <c r="ACA46" s="394"/>
      <c r="ACB46" s="394"/>
      <c r="ACC46" s="394"/>
      <c r="ACD46" s="394"/>
      <c r="ACE46" s="394"/>
      <c r="ACF46" s="394"/>
      <c r="ACG46" s="394"/>
      <c r="ACH46" s="394"/>
      <c r="ACI46" s="394"/>
      <c r="ACJ46" s="394"/>
      <c r="ACK46" s="394"/>
      <c r="ACL46" s="394"/>
      <c r="ACM46" s="394"/>
      <c r="ACN46" s="394"/>
      <c r="ACO46" s="394"/>
      <c r="ACP46" s="394"/>
      <c r="ACQ46" s="394"/>
      <c r="ACR46" s="394"/>
      <c r="ACS46" s="394"/>
      <c r="ACT46" s="394"/>
      <c r="ACU46" s="394"/>
      <c r="ACV46" s="394"/>
      <c r="ACW46" s="394"/>
      <c r="ACX46" s="394"/>
      <c r="ACY46" s="394"/>
      <c r="ACZ46" s="394"/>
      <c r="ADA46" s="394"/>
      <c r="ADB46" s="394"/>
      <c r="ADC46" s="394"/>
      <c r="ADD46" s="394"/>
      <c r="ADE46" s="394"/>
      <c r="ADF46" s="394"/>
      <c r="ADG46" s="394"/>
      <c r="ADH46" s="394"/>
      <c r="ADI46" s="394"/>
      <c r="ADJ46" s="394"/>
      <c r="ADK46" s="394"/>
      <c r="ADL46" s="394"/>
      <c r="ADM46" s="394"/>
      <c r="ADN46" s="394"/>
      <c r="ADO46" s="394"/>
      <c r="ADP46" s="394"/>
      <c r="ADQ46" s="394"/>
      <c r="ADR46" s="394"/>
      <c r="ADS46" s="394"/>
      <c r="ADT46" s="394"/>
      <c r="ADU46" s="394"/>
      <c r="ADV46" s="394"/>
      <c r="ADW46" s="394"/>
      <c r="ADX46" s="394"/>
      <c r="ADY46" s="394"/>
      <c r="ADZ46" s="394"/>
      <c r="AEA46" s="394"/>
      <c r="AEB46" s="394"/>
      <c r="AEC46" s="394"/>
      <c r="AED46" s="394"/>
      <c r="AEE46" s="394"/>
      <c r="AEF46" s="394"/>
      <c r="AEG46" s="394"/>
      <c r="AEH46" s="394"/>
      <c r="AEI46" s="394"/>
      <c r="AEJ46" s="394"/>
      <c r="AEK46" s="394"/>
      <c r="AEL46" s="394"/>
      <c r="AEM46" s="394"/>
      <c r="AEN46" s="394"/>
      <c r="AEO46" s="394"/>
      <c r="AEP46" s="394"/>
      <c r="AEQ46" s="394"/>
      <c r="AER46" s="394"/>
      <c r="AES46" s="394"/>
      <c r="AET46" s="394"/>
      <c r="AEU46" s="394"/>
      <c r="AEV46" s="394"/>
      <c r="AEW46" s="394"/>
      <c r="AEX46" s="394"/>
      <c r="AEY46" s="394"/>
      <c r="AEZ46" s="394"/>
      <c r="AFA46" s="394"/>
      <c r="AFB46" s="394"/>
      <c r="AFC46" s="394"/>
      <c r="AFD46" s="394"/>
      <c r="AFE46" s="394"/>
      <c r="AFF46" s="394"/>
      <c r="AFG46" s="394"/>
      <c r="AFH46" s="394"/>
      <c r="AFI46" s="394"/>
      <c r="AFJ46" s="394"/>
      <c r="AFK46" s="394"/>
      <c r="AFL46" s="394"/>
      <c r="AFM46" s="394"/>
      <c r="AFN46" s="394"/>
      <c r="AFO46" s="394"/>
      <c r="AFP46" s="394"/>
      <c r="AFQ46" s="394"/>
      <c r="AFR46" s="394"/>
      <c r="AFS46" s="394"/>
      <c r="AFT46" s="394"/>
      <c r="AFU46" s="394"/>
      <c r="AFV46" s="394"/>
      <c r="AFW46" s="394"/>
      <c r="AFX46" s="394"/>
      <c r="AFY46" s="394"/>
      <c r="AFZ46" s="394"/>
      <c r="AGA46" s="394"/>
      <c r="AGB46" s="394"/>
      <c r="AGC46" s="394"/>
      <c r="AGD46" s="394"/>
      <c r="AGE46" s="394"/>
      <c r="AGF46" s="394"/>
      <c r="AGG46" s="394"/>
      <c r="AGH46" s="394"/>
      <c r="AGI46" s="394"/>
      <c r="AGJ46" s="394"/>
      <c r="AGK46" s="394"/>
      <c r="AGL46" s="394"/>
      <c r="AGM46" s="394"/>
      <c r="AGN46" s="394"/>
      <c r="AGO46" s="394"/>
      <c r="AGP46" s="394"/>
      <c r="AGQ46" s="394"/>
      <c r="AGR46" s="394"/>
      <c r="AGS46" s="394"/>
      <c r="AGT46" s="394"/>
      <c r="AGU46" s="394"/>
      <c r="AGV46" s="394"/>
      <c r="AGW46" s="394"/>
      <c r="AGX46" s="394"/>
      <c r="AGY46" s="394"/>
      <c r="AGZ46" s="394"/>
      <c r="AHA46" s="394"/>
      <c r="AHB46" s="394"/>
      <c r="AHC46" s="394"/>
      <c r="AHD46" s="394"/>
      <c r="AHE46" s="394"/>
      <c r="AHF46" s="394"/>
      <c r="AHG46" s="394"/>
      <c r="AHH46" s="394"/>
      <c r="AHI46" s="394"/>
      <c r="AHJ46" s="394"/>
      <c r="AHK46" s="394"/>
      <c r="AHL46" s="394"/>
      <c r="AHM46" s="394"/>
      <c r="AHN46" s="394"/>
      <c r="AHO46" s="394"/>
      <c r="AHP46" s="394"/>
      <c r="AHQ46" s="394"/>
      <c r="AHR46" s="394"/>
      <c r="AHS46" s="394"/>
      <c r="AHT46" s="394"/>
      <c r="AHU46" s="394"/>
      <c r="AHV46" s="394"/>
      <c r="AHW46" s="394"/>
      <c r="AHX46" s="394"/>
      <c r="AHY46" s="394"/>
      <c r="AHZ46" s="394"/>
      <c r="AIA46" s="394"/>
      <c r="AIB46" s="394"/>
      <c r="AIC46" s="394"/>
      <c r="AID46" s="394"/>
      <c r="AIE46" s="394"/>
      <c r="AIF46" s="394"/>
      <c r="AIG46" s="394"/>
      <c r="AIH46" s="394"/>
      <c r="AII46" s="394"/>
      <c r="AIJ46" s="394"/>
      <c r="AIK46" s="394"/>
      <c r="AIL46" s="394"/>
      <c r="AIM46" s="394"/>
      <c r="AIN46" s="394"/>
      <c r="AIO46" s="394"/>
      <c r="AIP46" s="394"/>
      <c r="AIQ46" s="394"/>
      <c r="AIR46" s="394"/>
      <c r="AIS46" s="394"/>
      <c r="AIT46" s="394"/>
      <c r="AIU46" s="394"/>
      <c r="AIV46" s="394"/>
      <c r="AIW46" s="394"/>
      <c r="AIX46" s="394"/>
      <c r="AIY46" s="394"/>
      <c r="AIZ46" s="394"/>
      <c r="AJA46" s="394"/>
      <c r="AJB46" s="394"/>
      <c r="AJC46" s="394"/>
      <c r="AJD46" s="394"/>
      <c r="AJE46" s="394"/>
      <c r="AJF46" s="394"/>
      <c r="AJG46" s="394"/>
      <c r="AJH46" s="394"/>
      <c r="AJI46" s="394"/>
      <c r="AJJ46" s="394"/>
      <c r="AJK46" s="394"/>
      <c r="AJL46" s="394"/>
      <c r="AJM46" s="394"/>
      <c r="AJN46" s="394"/>
      <c r="AJO46" s="394"/>
      <c r="AJP46" s="394"/>
      <c r="AJQ46" s="394"/>
      <c r="AJR46" s="394"/>
      <c r="AJS46" s="394"/>
      <c r="AJT46" s="394"/>
      <c r="AJU46" s="394"/>
      <c r="AJV46" s="394"/>
      <c r="AJW46" s="394"/>
      <c r="AJX46" s="394"/>
      <c r="AJY46" s="394"/>
      <c r="AJZ46" s="394"/>
      <c r="AKA46" s="394"/>
      <c r="AKB46" s="394"/>
      <c r="AKC46" s="394"/>
      <c r="AKD46" s="394"/>
      <c r="AKE46" s="394"/>
      <c r="AKF46" s="394"/>
      <c r="AKG46" s="394"/>
      <c r="AKH46" s="394"/>
      <c r="AKI46" s="394"/>
      <c r="AKJ46" s="394"/>
      <c r="AKK46" s="394"/>
      <c r="AKL46" s="394"/>
      <c r="AKM46" s="394"/>
      <c r="AKN46" s="394"/>
      <c r="AKO46" s="394"/>
      <c r="AKP46" s="394"/>
      <c r="AKQ46" s="394"/>
      <c r="AKR46" s="394"/>
      <c r="AKS46" s="394"/>
      <c r="AKT46" s="394"/>
      <c r="AKU46" s="394"/>
      <c r="AKV46" s="394"/>
      <c r="AKW46" s="394"/>
      <c r="AKX46" s="394"/>
      <c r="AKY46" s="394"/>
      <c r="AKZ46" s="394"/>
      <c r="ALA46" s="394"/>
      <c r="ALB46" s="394"/>
      <c r="ALC46" s="394"/>
      <c r="ALD46" s="394"/>
      <c r="ALE46" s="394"/>
      <c r="ALF46" s="394"/>
      <c r="ALG46" s="394"/>
      <c r="ALH46" s="394"/>
      <c r="ALI46" s="394"/>
      <c r="ALJ46" s="394"/>
      <c r="ALK46" s="394"/>
      <c r="ALL46" s="394"/>
      <c r="ALM46" s="394"/>
      <c r="ALN46" s="394"/>
      <c r="ALO46" s="394"/>
      <c r="ALP46" s="394"/>
      <c r="ALQ46" s="394"/>
      <c r="ALR46" s="394"/>
      <c r="ALS46" s="394"/>
      <c r="ALT46" s="394"/>
      <c r="ALU46" s="394"/>
      <c r="ALV46" s="394"/>
      <c r="ALW46" s="394"/>
      <c r="ALX46" s="394"/>
      <c r="ALY46" s="394"/>
      <c r="ALZ46" s="394"/>
      <c r="AMA46" s="394"/>
      <c r="AMB46" s="394"/>
      <c r="AMC46" s="394"/>
      <c r="AMD46" s="394"/>
      <c r="AME46" s="394"/>
      <c r="AMF46" s="394"/>
      <c r="AMG46" s="394"/>
      <c r="AMH46" s="394"/>
      <c r="AMI46" s="394"/>
      <c r="AMJ46" s="394"/>
      <c r="AMK46" s="394"/>
      <c r="AML46" s="394"/>
      <c r="AMM46" s="394"/>
      <c r="AMN46" s="394"/>
      <c r="AMO46" s="394"/>
      <c r="AMP46" s="394"/>
      <c r="AMQ46" s="394"/>
      <c r="AMR46" s="394"/>
      <c r="AMS46" s="394"/>
      <c r="AMT46" s="394"/>
      <c r="AMU46" s="394"/>
      <c r="AMV46" s="394"/>
      <c r="AMW46" s="394"/>
      <c r="AMX46" s="394"/>
      <c r="AMY46" s="394"/>
      <c r="AMZ46" s="394"/>
      <c r="ANA46" s="394"/>
      <c r="ANB46" s="394"/>
      <c r="ANC46" s="394"/>
      <c r="AND46" s="394"/>
      <c r="ANE46" s="394"/>
      <c r="ANF46" s="394"/>
      <c r="ANG46" s="394"/>
      <c r="ANH46" s="394"/>
      <c r="ANI46" s="394"/>
      <c r="ANJ46" s="394"/>
      <c r="ANK46" s="394"/>
      <c r="ANL46" s="394"/>
      <c r="ANM46" s="394"/>
      <c r="ANN46" s="394"/>
      <c r="ANO46" s="394"/>
      <c r="ANP46" s="394"/>
      <c r="ANQ46" s="394"/>
      <c r="ANR46" s="394"/>
      <c r="ANS46" s="394"/>
      <c r="ANT46" s="394"/>
      <c r="ANU46" s="394"/>
      <c r="ANV46" s="394"/>
      <c r="ANW46" s="394"/>
      <c r="ANX46" s="394"/>
      <c r="ANY46" s="394"/>
      <c r="ANZ46" s="394"/>
      <c r="AOA46" s="394"/>
      <c r="AOB46" s="394"/>
      <c r="AOC46" s="394"/>
      <c r="AOD46" s="394"/>
      <c r="AOE46" s="394"/>
      <c r="AOF46" s="394"/>
      <c r="AOG46" s="394"/>
      <c r="AOH46" s="394"/>
      <c r="AOI46" s="394"/>
      <c r="AOJ46" s="394"/>
      <c r="AOK46" s="394"/>
      <c r="AOL46" s="394"/>
      <c r="AOM46" s="394"/>
      <c r="AON46" s="394"/>
      <c r="AOO46" s="394"/>
      <c r="AOP46" s="394"/>
      <c r="AOQ46" s="394"/>
      <c r="AOR46" s="394"/>
      <c r="AOS46" s="394"/>
      <c r="AOT46" s="394"/>
      <c r="AOU46" s="394"/>
      <c r="AOV46" s="394"/>
      <c r="AOW46" s="394"/>
      <c r="AOX46" s="394"/>
      <c r="AOY46" s="394"/>
      <c r="AOZ46" s="394"/>
      <c r="APA46" s="394"/>
      <c r="APB46" s="394"/>
      <c r="APC46" s="394"/>
      <c r="APD46" s="394"/>
      <c r="APE46" s="394"/>
      <c r="APF46" s="394"/>
      <c r="APG46" s="394"/>
      <c r="APH46" s="394"/>
      <c r="API46" s="394"/>
      <c r="APJ46" s="394"/>
      <c r="APK46" s="394"/>
      <c r="APL46" s="394"/>
      <c r="APM46" s="394"/>
      <c r="APN46" s="394"/>
      <c r="APO46" s="394"/>
      <c r="APP46" s="394"/>
      <c r="APQ46" s="394"/>
      <c r="APR46" s="394"/>
      <c r="APS46" s="394"/>
      <c r="APT46" s="394"/>
      <c r="APU46" s="394"/>
      <c r="APV46" s="394"/>
      <c r="APW46" s="394"/>
      <c r="APX46" s="394"/>
      <c r="APY46" s="394"/>
      <c r="APZ46" s="394"/>
      <c r="AQA46" s="394"/>
      <c r="AQB46" s="394"/>
      <c r="AQC46" s="394"/>
      <c r="AQD46" s="394"/>
      <c r="AQE46" s="394"/>
      <c r="AQF46" s="394"/>
      <c r="AQG46" s="394"/>
      <c r="AQH46" s="394"/>
      <c r="AQI46" s="394"/>
      <c r="AQJ46" s="394"/>
      <c r="AQK46" s="394"/>
      <c r="AQL46" s="394"/>
      <c r="AQM46" s="394"/>
      <c r="AQN46" s="394"/>
      <c r="AQO46" s="394"/>
      <c r="AQP46" s="394"/>
      <c r="AQQ46" s="394"/>
      <c r="AQR46" s="394"/>
      <c r="AQS46" s="394"/>
      <c r="AQT46" s="394"/>
      <c r="AQU46" s="394"/>
      <c r="AQV46" s="394"/>
      <c r="AQW46" s="394"/>
      <c r="AQX46" s="394"/>
      <c r="AQY46" s="394"/>
      <c r="AQZ46" s="394"/>
      <c r="ARA46" s="394"/>
      <c r="ARB46" s="394"/>
      <c r="ARC46" s="394"/>
      <c r="ARD46" s="394"/>
      <c r="ARE46" s="394"/>
      <c r="ARF46" s="394"/>
      <c r="ARG46" s="394"/>
      <c r="ARH46" s="394"/>
      <c r="ARI46" s="394"/>
      <c r="ARJ46" s="394"/>
      <c r="ARK46" s="394"/>
      <c r="ARL46" s="394"/>
      <c r="ARM46" s="394"/>
      <c r="ARN46" s="394"/>
      <c r="ARO46" s="394"/>
      <c r="ARP46" s="394"/>
      <c r="ARQ46" s="394"/>
      <c r="ARR46" s="394"/>
      <c r="ARS46" s="394"/>
      <c r="ART46" s="394"/>
      <c r="ARU46" s="394"/>
      <c r="ARV46" s="394"/>
      <c r="ARW46" s="394"/>
      <c r="ARX46" s="394"/>
      <c r="ARY46" s="394"/>
      <c r="ARZ46" s="394"/>
      <c r="ASA46" s="394"/>
      <c r="ASB46" s="394"/>
      <c r="ASC46" s="394"/>
      <c r="ASD46" s="394"/>
      <c r="ASE46" s="394"/>
      <c r="ASF46" s="394"/>
      <c r="ASG46" s="394"/>
      <c r="ASH46" s="394"/>
      <c r="ASI46" s="394"/>
      <c r="ASJ46" s="394"/>
      <c r="ASK46" s="394"/>
      <c r="ASL46" s="394"/>
      <c r="ASM46" s="394"/>
      <c r="ASN46" s="394"/>
      <c r="ASO46" s="394"/>
      <c r="ASP46" s="394"/>
      <c r="ASQ46" s="394"/>
      <c r="ASR46" s="394"/>
      <c r="ASS46" s="394"/>
      <c r="AST46" s="394"/>
      <c r="ASU46" s="394"/>
      <c r="ASV46" s="394"/>
      <c r="ASW46" s="394"/>
      <c r="ASX46" s="394"/>
      <c r="ASY46" s="394"/>
      <c r="ASZ46" s="394"/>
      <c r="ATA46" s="394"/>
      <c r="ATB46" s="394"/>
      <c r="ATC46" s="394"/>
      <c r="ATD46" s="394"/>
      <c r="ATE46" s="394"/>
      <c r="ATF46" s="394"/>
      <c r="ATG46" s="394"/>
      <c r="ATH46" s="394"/>
      <c r="ATI46" s="394"/>
      <c r="ATJ46" s="394"/>
      <c r="ATK46" s="394"/>
      <c r="ATL46" s="394"/>
      <c r="ATM46" s="394"/>
      <c r="ATN46" s="394"/>
      <c r="ATO46" s="394"/>
      <c r="ATP46" s="394"/>
      <c r="ATQ46" s="394"/>
      <c r="ATR46" s="394"/>
      <c r="ATS46" s="394"/>
      <c r="ATT46" s="394"/>
      <c r="ATU46" s="394"/>
      <c r="ATV46" s="394"/>
      <c r="ATW46" s="394"/>
      <c r="ATX46" s="394"/>
      <c r="ATY46" s="394"/>
      <c r="ATZ46" s="394"/>
      <c r="AUA46" s="394"/>
      <c r="AUB46" s="394"/>
      <c r="AUC46" s="394"/>
      <c r="AUD46" s="394"/>
      <c r="AUE46" s="394"/>
      <c r="AUF46" s="394"/>
      <c r="AUG46" s="394"/>
      <c r="AUH46" s="394"/>
      <c r="AUI46" s="394"/>
      <c r="AUJ46" s="394"/>
      <c r="AUK46" s="394"/>
      <c r="AUL46" s="394"/>
      <c r="AUM46" s="394"/>
      <c r="AUN46" s="394"/>
      <c r="AUO46" s="394"/>
      <c r="AUP46" s="394"/>
      <c r="AUQ46" s="394"/>
      <c r="AUR46" s="394"/>
      <c r="AUS46" s="394"/>
      <c r="AUT46" s="394"/>
      <c r="AUU46" s="394"/>
      <c r="AUV46" s="394"/>
      <c r="AUW46" s="394"/>
      <c r="AUX46" s="394"/>
      <c r="AUY46" s="394"/>
      <c r="AUZ46" s="394"/>
      <c r="AVA46" s="394"/>
      <c r="AVB46" s="394"/>
      <c r="AVC46" s="394"/>
      <c r="AVD46" s="394"/>
      <c r="AVE46" s="394"/>
      <c r="AVF46" s="394"/>
      <c r="AVG46" s="394"/>
      <c r="AVH46" s="394"/>
      <c r="AVI46" s="394"/>
      <c r="AVJ46" s="394"/>
      <c r="AVK46" s="394"/>
      <c r="AVL46" s="394"/>
      <c r="AVM46" s="394"/>
      <c r="AVN46" s="394"/>
      <c r="AVO46" s="394"/>
      <c r="AVP46" s="394"/>
      <c r="AVQ46" s="394"/>
      <c r="AVR46" s="394"/>
      <c r="AVS46" s="394"/>
      <c r="AVT46" s="394"/>
      <c r="AVU46" s="394"/>
      <c r="AVV46" s="394"/>
      <c r="AVW46" s="394"/>
      <c r="AVX46" s="394"/>
      <c r="AVY46" s="394"/>
      <c r="AVZ46" s="394"/>
      <c r="AWA46" s="394"/>
      <c r="AWB46" s="394"/>
      <c r="AWC46" s="394"/>
      <c r="AWD46" s="394"/>
      <c r="AWE46" s="394"/>
      <c r="AWF46" s="394"/>
      <c r="AWG46" s="394"/>
      <c r="AWH46" s="394"/>
      <c r="AWI46" s="394"/>
      <c r="AWJ46" s="394"/>
      <c r="AWK46" s="394"/>
      <c r="AWL46" s="394"/>
      <c r="AWM46" s="394"/>
      <c r="AWN46" s="394"/>
      <c r="AWO46" s="394"/>
      <c r="AWP46" s="394"/>
      <c r="AWQ46" s="394"/>
      <c r="AWR46" s="394"/>
      <c r="AWS46" s="394"/>
      <c r="AWT46" s="394"/>
      <c r="AWU46" s="394"/>
      <c r="AWV46" s="394"/>
      <c r="AWW46" s="394"/>
      <c r="AWX46" s="394"/>
      <c r="AWY46" s="394"/>
      <c r="AWZ46" s="394"/>
      <c r="AXA46" s="394"/>
      <c r="AXB46" s="394"/>
      <c r="AXC46" s="394"/>
      <c r="AXD46" s="394"/>
      <c r="AXE46" s="394"/>
      <c r="AXF46" s="394"/>
      <c r="AXG46" s="394"/>
      <c r="AXH46" s="394"/>
      <c r="AXI46" s="394"/>
      <c r="AXJ46" s="394"/>
      <c r="AXK46" s="394"/>
      <c r="AXL46" s="394"/>
      <c r="AXM46" s="394"/>
      <c r="AXN46" s="394"/>
      <c r="AXO46" s="394"/>
      <c r="AXP46" s="394"/>
      <c r="AXQ46" s="394"/>
      <c r="AXR46" s="394"/>
      <c r="AXS46" s="394"/>
      <c r="AXT46" s="394"/>
      <c r="AXU46" s="394"/>
      <c r="AXV46" s="394"/>
      <c r="AXW46" s="394"/>
      <c r="AXX46" s="394"/>
      <c r="AXY46" s="394"/>
      <c r="AXZ46" s="394"/>
      <c r="AYA46" s="394"/>
      <c r="AYB46" s="394"/>
      <c r="AYC46" s="394"/>
      <c r="AYD46" s="394"/>
      <c r="AYE46" s="394"/>
      <c r="AYF46" s="394"/>
      <c r="AYG46" s="394"/>
      <c r="AYH46" s="394"/>
      <c r="AYI46" s="394"/>
      <c r="AYJ46" s="394"/>
      <c r="AYK46" s="394"/>
      <c r="AYL46" s="394"/>
      <c r="AYM46" s="394"/>
      <c r="AYN46" s="394"/>
      <c r="AYO46" s="394"/>
      <c r="AYP46" s="394"/>
      <c r="AYQ46" s="394"/>
      <c r="AYR46" s="394"/>
      <c r="AYS46" s="394"/>
      <c r="AYT46" s="394"/>
      <c r="AYU46" s="394"/>
      <c r="AYV46" s="394"/>
      <c r="AYW46" s="394"/>
      <c r="AYX46" s="394"/>
      <c r="AYY46" s="394"/>
      <c r="AYZ46" s="394"/>
      <c r="AZA46" s="394"/>
      <c r="AZB46" s="394"/>
      <c r="AZC46" s="394"/>
      <c r="AZD46" s="394"/>
      <c r="AZE46" s="394"/>
      <c r="AZF46" s="394"/>
      <c r="AZG46" s="394"/>
      <c r="AZH46" s="394"/>
      <c r="AZI46" s="394"/>
      <c r="AZJ46" s="394"/>
      <c r="AZK46" s="394"/>
      <c r="AZL46" s="394"/>
      <c r="AZM46" s="394"/>
      <c r="AZN46" s="394"/>
      <c r="AZO46" s="394"/>
      <c r="AZP46" s="394"/>
      <c r="AZQ46" s="394"/>
      <c r="AZR46" s="394"/>
      <c r="AZS46" s="394"/>
      <c r="AZT46" s="394"/>
      <c r="AZU46" s="394"/>
      <c r="AZV46" s="394"/>
      <c r="AZW46" s="394"/>
      <c r="AZX46" s="394"/>
      <c r="AZY46" s="394"/>
      <c r="AZZ46" s="394"/>
      <c r="BAA46" s="394"/>
      <c r="BAB46" s="394"/>
      <c r="BAC46" s="394"/>
      <c r="BAD46" s="394"/>
      <c r="BAE46" s="394"/>
      <c r="BAF46" s="394"/>
      <c r="BAG46" s="394"/>
      <c r="BAH46" s="394"/>
      <c r="BAI46" s="394"/>
      <c r="BAJ46" s="394"/>
      <c r="BAK46" s="394"/>
      <c r="BAL46" s="394"/>
      <c r="BAM46" s="394"/>
      <c r="BAN46" s="394"/>
      <c r="BAO46" s="394"/>
      <c r="BAP46" s="394"/>
      <c r="BAQ46" s="394"/>
      <c r="BAR46" s="394"/>
      <c r="BAS46" s="394"/>
      <c r="BAT46" s="394"/>
      <c r="BAU46" s="394"/>
      <c r="BAV46" s="394"/>
      <c r="BAW46" s="394"/>
      <c r="BAX46" s="394"/>
      <c r="BAY46" s="394"/>
      <c r="BAZ46" s="394"/>
      <c r="BBA46" s="394"/>
      <c r="BBB46" s="394"/>
      <c r="BBC46" s="394"/>
      <c r="BBD46" s="394"/>
      <c r="BBE46" s="394"/>
      <c r="BBF46" s="394"/>
      <c r="BBG46" s="394"/>
      <c r="BBH46" s="394"/>
      <c r="BBI46" s="394"/>
      <c r="BBJ46" s="394"/>
      <c r="BBK46" s="394"/>
      <c r="BBL46" s="394"/>
      <c r="BBM46" s="394"/>
      <c r="BBN46" s="394"/>
      <c r="BBO46" s="394"/>
      <c r="BBP46" s="394"/>
      <c r="BBQ46" s="394"/>
      <c r="BBR46" s="394"/>
      <c r="BBS46" s="394"/>
      <c r="BBT46" s="394"/>
      <c r="BBU46" s="394"/>
      <c r="BBV46" s="394"/>
      <c r="BBW46" s="394"/>
      <c r="BBX46" s="394"/>
      <c r="BBY46" s="394"/>
      <c r="BBZ46" s="394"/>
      <c r="BCA46" s="394"/>
      <c r="BCB46" s="394"/>
      <c r="BCC46" s="394"/>
      <c r="BCD46" s="394"/>
      <c r="BCE46" s="394"/>
      <c r="BCF46" s="394"/>
      <c r="BCG46" s="394"/>
      <c r="BCH46" s="394"/>
      <c r="BCI46" s="394"/>
      <c r="BCJ46" s="394"/>
      <c r="BCK46" s="394"/>
      <c r="BCL46" s="394"/>
      <c r="BCM46" s="394"/>
      <c r="BCN46" s="394"/>
      <c r="BCO46" s="394"/>
      <c r="BCP46" s="394"/>
      <c r="BCQ46" s="394"/>
      <c r="BCR46" s="394"/>
      <c r="BCS46" s="394"/>
      <c r="BCT46" s="394"/>
      <c r="BCU46" s="394"/>
      <c r="BCV46" s="394"/>
      <c r="BCW46" s="394"/>
      <c r="BCX46" s="394"/>
      <c r="BCY46" s="394"/>
      <c r="BCZ46" s="394"/>
      <c r="BDA46" s="394"/>
      <c r="BDB46" s="394"/>
      <c r="BDC46" s="394"/>
      <c r="BDD46" s="394"/>
      <c r="BDE46" s="394"/>
      <c r="BDF46" s="394"/>
      <c r="BDG46" s="394"/>
      <c r="BDH46" s="394"/>
      <c r="BDI46" s="394"/>
      <c r="BDJ46" s="394"/>
      <c r="BDK46" s="394"/>
      <c r="BDL46" s="394"/>
      <c r="BDM46" s="394"/>
      <c r="BDN46" s="394"/>
      <c r="BDO46" s="394"/>
      <c r="BDP46" s="394"/>
      <c r="BDQ46" s="394"/>
      <c r="BDR46" s="394"/>
      <c r="BDS46" s="394"/>
      <c r="BDT46" s="394"/>
      <c r="BDU46" s="394"/>
      <c r="BDV46" s="394"/>
      <c r="BDW46" s="394"/>
      <c r="BDX46" s="394"/>
      <c r="BDY46" s="394"/>
      <c r="BDZ46" s="394"/>
      <c r="BEA46" s="394"/>
      <c r="BEB46" s="394"/>
      <c r="BEC46" s="394"/>
      <c r="BED46" s="394"/>
      <c r="BEE46" s="394"/>
      <c r="BEF46" s="394"/>
      <c r="BEG46" s="394"/>
      <c r="BEH46" s="394"/>
      <c r="BEI46" s="394"/>
      <c r="BEJ46" s="394"/>
      <c r="BEK46" s="394"/>
      <c r="BEL46" s="394"/>
      <c r="BEM46" s="394"/>
      <c r="BEN46" s="394"/>
      <c r="BEO46" s="394"/>
      <c r="BEP46" s="394"/>
      <c r="BEQ46" s="394"/>
      <c r="BER46" s="394"/>
      <c r="BES46" s="394"/>
      <c r="BET46" s="394"/>
      <c r="BEU46" s="394"/>
      <c r="BEV46" s="394"/>
      <c r="BEW46" s="394"/>
      <c r="BEX46" s="394"/>
      <c r="BEY46" s="394"/>
      <c r="BEZ46" s="394"/>
      <c r="BFA46" s="394"/>
      <c r="BFB46" s="394"/>
      <c r="BFC46" s="394"/>
      <c r="BFD46" s="394"/>
      <c r="BFE46" s="394"/>
      <c r="BFF46" s="394"/>
      <c r="BFG46" s="394"/>
      <c r="BFH46" s="394"/>
      <c r="BFI46" s="394"/>
      <c r="BFJ46" s="394"/>
      <c r="BFK46" s="394"/>
      <c r="BFL46" s="394"/>
      <c r="BFM46" s="394"/>
      <c r="BFN46" s="394"/>
      <c r="BFO46" s="394"/>
      <c r="BFP46" s="394"/>
      <c r="BFQ46" s="394"/>
      <c r="BFR46" s="394"/>
      <c r="BFS46" s="394"/>
      <c r="BFT46" s="394"/>
      <c r="BFU46" s="394"/>
      <c r="BFV46" s="394"/>
      <c r="BFW46" s="394"/>
      <c r="BFX46" s="394"/>
      <c r="BFY46" s="394"/>
      <c r="BFZ46" s="394"/>
      <c r="BGA46" s="394"/>
      <c r="BGB46" s="394"/>
      <c r="BGC46" s="394"/>
      <c r="BGD46" s="394"/>
      <c r="BGE46" s="394"/>
      <c r="BGF46" s="394"/>
      <c r="BGG46" s="394"/>
      <c r="BGH46" s="394"/>
      <c r="BGI46" s="394"/>
      <c r="BGJ46" s="394"/>
      <c r="BGK46" s="394"/>
      <c r="BGL46" s="394"/>
      <c r="BGM46" s="394"/>
      <c r="BGN46" s="394"/>
      <c r="BGO46" s="394"/>
      <c r="BGP46" s="394"/>
      <c r="BGQ46" s="394"/>
      <c r="BGR46" s="394"/>
      <c r="BGS46" s="394"/>
      <c r="BGT46" s="394"/>
      <c r="BGU46" s="394"/>
      <c r="BGV46" s="394"/>
      <c r="BGW46" s="394"/>
      <c r="BGX46" s="394"/>
      <c r="BGY46" s="394"/>
      <c r="BGZ46" s="394"/>
      <c r="BHA46" s="394"/>
      <c r="BHB46" s="394"/>
      <c r="BHC46" s="394"/>
      <c r="BHD46" s="394"/>
      <c r="BHE46" s="394"/>
      <c r="BHF46" s="394"/>
      <c r="BHG46" s="394"/>
      <c r="BHH46" s="394"/>
      <c r="BHI46" s="394"/>
      <c r="BHJ46" s="394"/>
      <c r="BHK46" s="394"/>
      <c r="BHL46" s="394"/>
      <c r="BHM46" s="394"/>
      <c r="BHN46" s="394"/>
      <c r="BHO46" s="394"/>
      <c r="BHP46" s="394"/>
      <c r="BHQ46" s="394"/>
      <c r="BHR46" s="394"/>
      <c r="BHS46" s="394"/>
      <c r="BHT46" s="394"/>
      <c r="BHU46" s="394"/>
      <c r="BHV46" s="394"/>
      <c r="BHW46" s="394"/>
      <c r="BHX46" s="394"/>
      <c r="BHY46" s="394"/>
      <c r="BHZ46" s="394"/>
      <c r="BIA46" s="394"/>
      <c r="BIB46" s="394"/>
      <c r="BIC46" s="394"/>
      <c r="BID46" s="394"/>
      <c r="BIE46" s="394"/>
      <c r="BIF46" s="394"/>
      <c r="BIG46" s="394"/>
      <c r="BIH46" s="394"/>
      <c r="BII46" s="394"/>
      <c r="BIJ46" s="394"/>
      <c r="BIK46" s="394"/>
      <c r="BIL46" s="394"/>
      <c r="BIM46" s="394"/>
      <c r="BIN46" s="394"/>
      <c r="BIO46" s="394"/>
      <c r="BIP46" s="394"/>
      <c r="BIQ46" s="394"/>
      <c r="BIR46" s="394"/>
      <c r="BIS46" s="394"/>
      <c r="BIT46" s="394"/>
      <c r="BIU46" s="394"/>
      <c r="BIV46" s="394"/>
      <c r="BIW46" s="394"/>
      <c r="BIX46" s="394"/>
      <c r="BIY46" s="394"/>
      <c r="BIZ46" s="394"/>
      <c r="BJA46" s="394"/>
      <c r="BJB46" s="394"/>
      <c r="BJC46" s="394"/>
      <c r="BJD46" s="394"/>
      <c r="BJE46" s="394"/>
      <c r="BJF46" s="394"/>
      <c r="BJG46" s="394"/>
      <c r="BJH46" s="394"/>
      <c r="BJI46" s="394"/>
      <c r="BJJ46" s="394"/>
      <c r="BJK46" s="394"/>
      <c r="BJL46" s="394"/>
      <c r="BJM46" s="394"/>
      <c r="BJN46" s="394"/>
      <c r="BJO46" s="394"/>
      <c r="BJP46" s="394"/>
      <c r="BJQ46" s="394"/>
      <c r="BJR46" s="394"/>
      <c r="BJS46" s="394"/>
      <c r="BJT46" s="394"/>
      <c r="BJU46" s="394"/>
      <c r="BJV46" s="394"/>
      <c r="BJW46" s="394"/>
      <c r="BJX46" s="394"/>
      <c r="BJY46" s="394"/>
      <c r="BJZ46" s="394"/>
      <c r="BKA46" s="394"/>
      <c r="BKB46" s="394"/>
      <c r="BKC46" s="394"/>
      <c r="BKD46" s="394"/>
      <c r="BKE46" s="394"/>
      <c r="BKF46" s="394"/>
      <c r="BKG46" s="394"/>
      <c r="BKH46" s="394"/>
      <c r="BKI46" s="394"/>
      <c r="BKJ46" s="394"/>
      <c r="BKK46" s="394"/>
      <c r="BKL46" s="394"/>
      <c r="BKM46" s="394"/>
      <c r="BKN46" s="394"/>
      <c r="BKO46" s="394"/>
      <c r="BKP46" s="394"/>
      <c r="BKQ46" s="394"/>
      <c r="BKR46" s="394"/>
      <c r="BKS46" s="394"/>
      <c r="BKT46" s="394"/>
      <c r="BKU46" s="394"/>
      <c r="BKV46" s="394"/>
      <c r="BKW46" s="394"/>
      <c r="BKX46" s="394"/>
      <c r="BKY46" s="394"/>
      <c r="BKZ46" s="394"/>
      <c r="BLA46" s="394"/>
      <c r="BLB46" s="394"/>
      <c r="BLC46" s="394"/>
      <c r="BLD46" s="394"/>
      <c r="BLE46" s="394"/>
      <c r="BLF46" s="394"/>
      <c r="BLG46" s="394"/>
      <c r="BLH46" s="394"/>
      <c r="BLI46" s="394"/>
      <c r="BLJ46" s="394"/>
      <c r="BLK46" s="394"/>
      <c r="BLL46" s="394"/>
      <c r="BLM46" s="394"/>
      <c r="BLN46" s="394"/>
      <c r="BLO46" s="394"/>
      <c r="BLP46" s="394"/>
      <c r="BLQ46" s="394"/>
      <c r="BLR46" s="394"/>
      <c r="BLS46" s="394"/>
      <c r="BLT46" s="394"/>
      <c r="BLU46" s="394"/>
      <c r="BLV46" s="394"/>
      <c r="BLW46" s="394"/>
      <c r="BLX46" s="394"/>
      <c r="BLY46" s="394"/>
      <c r="BLZ46" s="394"/>
      <c r="BMA46" s="394"/>
      <c r="BMB46" s="394"/>
      <c r="BMC46" s="394"/>
      <c r="BMD46" s="394"/>
      <c r="BME46" s="394"/>
      <c r="BMF46" s="394"/>
      <c r="BMG46" s="394"/>
      <c r="BMH46" s="394"/>
      <c r="BMI46" s="394"/>
      <c r="BMJ46" s="394"/>
      <c r="BMK46" s="394"/>
      <c r="BML46" s="394"/>
      <c r="BMM46" s="394"/>
      <c r="BMN46" s="394"/>
      <c r="BMO46" s="394"/>
      <c r="BMP46" s="394"/>
      <c r="BMQ46" s="394"/>
      <c r="BMR46" s="394"/>
      <c r="BMS46" s="394"/>
      <c r="BMT46" s="394"/>
      <c r="BMU46" s="394"/>
      <c r="BMV46" s="394"/>
      <c r="BMW46" s="394"/>
      <c r="BMX46" s="394"/>
      <c r="BMY46" s="394"/>
      <c r="BMZ46" s="394"/>
      <c r="BNA46" s="394"/>
      <c r="BNB46" s="394"/>
      <c r="BNC46" s="394"/>
      <c r="BND46" s="394"/>
      <c r="BNE46" s="394"/>
      <c r="BNF46" s="394"/>
      <c r="BNG46" s="394"/>
      <c r="BNH46" s="394"/>
      <c r="BNI46" s="394"/>
      <c r="BNJ46" s="394"/>
      <c r="BNK46" s="394"/>
      <c r="BNL46" s="394"/>
      <c r="BNM46" s="394"/>
      <c r="BNN46" s="394"/>
      <c r="BNO46" s="394"/>
      <c r="BNP46" s="394"/>
      <c r="BNQ46" s="394"/>
      <c r="BNR46" s="394"/>
      <c r="BNS46" s="394"/>
      <c r="BNT46" s="394"/>
      <c r="BNU46" s="394"/>
      <c r="BNV46" s="394"/>
      <c r="BNW46" s="394"/>
      <c r="BNX46" s="394"/>
      <c r="BNY46" s="394"/>
      <c r="BNZ46" s="394"/>
      <c r="BOA46" s="394"/>
      <c r="BOB46" s="394"/>
      <c r="BOC46" s="394"/>
      <c r="BOD46" s="394"/>
      <c r="BOE46" s="394"/>
      <c r="BOF46" s="394"/>
      <c r="BOG46" s="394"/>
      <c r="BOH46" s="394"/>
      <c r="BOI46" s="394"/>
      <c r="BOJ46" s="394"/>
      <c r="BOK46" s="394"/>
      <c r="BOL46" s="394"/>
      <c r="BOM46" s="394"/>
      <c r="BON46" s="394"/>
      <c r="BOO46" s="394"/>
      <c r="BOP46" s="394"/>
      <c r="BOQ46" s="394"/>
      <c r="BOR46" s="394"/>
      <c r="BOS46" s="394"/>
      <c r="BOT46" s="394"/>
      <c r="BOU46" s="394"/>
      <c r="BOV46" s="394"/>
      <c r="BOW46" s="394"/>
      <c r="BOX46" s="394"/>
      <c r="BOY46" s="394"/>
      <c r="BOZ46" s="394"/>
      <c r="BPA46" s="394"/>
      <c r="BPB46" s="394"/>
      <c r="BPC46" s="394"/>
      <c r="BPD46" s="394"/>
      <c r="BPE46" s="394"/>
      <c r="BPF46" s="394"/>
      <c r="BPG46" s="394"/>
      <c r="BPH46" s="394"/>
      <c r="BPI46" s="394"/>
      <c r="BPJ46" s="394"/>
      <c r="BPK46" s="394"/>
      <c r="BPL46" s="394"/>
      <c r="BPM46" s="394"/>
      <c r="BPN46" s="394"/>
      <c r="BPO46" s="394"/>
      <c r="BPP46" s="394"/>
      <c r="BPQ46" s="394"/>
      <c r="BPR46" s="394"/>
      <c r="BPS46" s="394"/>
      <c r="BPT46" s="394"/>
      <c r="BPU46" s="394"/>
      <c r="BPV46" s="394"/>
      <c r="BPW46" s="394"/>
      <c r="BPX46" s="394"/>
      <c r="BPY46" s="394"/>
      <c r="BPZ46" s="394"/>
      <c r="BQA46" s="394"/>
      <c r="BQB46" s="394"/>
      <c r="BQC46" s="394"/>
      <c r="BQD46" s="394"/>
      <c r="BQE46" s="394"/>
      <c r="BQF46" s="394"/>
      <c r="BQG46" s="394"/>
      <c r="BQH46" s="394"/>
      <c r="BQI46" s="394"/>
      <c r="BQJ46" s="394"/>
      <c r="BQK46" s="394"/>
      <c r="BQL46" s="394"/>
      <c r="BQM46" s="394"/>
      <c r="BQN46" s="394"/>
      <c r="BQO46" s="394"/>
      <c r="BQP46" s="394"/>
      <c r="BQQ46" s="394"/>
      <c r="BQR46" s="394"/>
      <c r="BQS46" s="394"/>
      <c r="BQT46" s="394"/>
      <c r="BQU46" s="394"/>
      <c r="BQV46" s="394"/>
      <c r="BQW46" s="394"/>
      <c r="BQX46" s="394"/>
      <c r="BQY46" s="394"/>
      <c r="BQZ46" s="394"/>
      <c r="BRA46" s="394"/>
      <c r="BRB46" s="394"/>
      <c r="BRC46" s="394"/>
      <c r="BRD46" s="394"/>
      <c r="BRE46" s="394"/>
      <c r="BRF46" s="394"/>
      <c r="BRG46" s="394"/>
      <c r="BRH46" s="394"/>
      <c r="BRI46" s="394"/>
      <c r="BRJ46" s="394"/>
      <c r="BRK46" s="394"/>
      <c r="BRL46" s="394"/>
      <c r="BRM46" s="394"/>
      <c r="BRN46" s="394"/>
      <c r="BRO46" s="394"/>
      <c r="BRP46" s="394"/>
      <c r="BRQ46" s="394"/>
      <c r="BRR46" s="394"/>
      <c r="BRS46" s="394"/>
      <c r="BRT46" s="394"/>
      <c r="BRU46" s="394"/>
      <c r="BRV46" s="394"/>
      <c r="BRW46" s="394"/>
      <c r="BRX46" s="394"/>
      <c r="BRY46" s="394"/>
      <c r="BRZ46" s="394"/>
      <c r="BSA46" s="394"/>
      <c r="BSB46" s="394"/>
      <c r="BSC46" s="394"/>
      <c r="BSD46" s="394"/>
      <c r="BSE46" s="394"/>
      <c r="BSF46" s="394"/>
      <c r="BSG46" s="394"/>
      <c r="BSH46" s="394"/>
      <c r="BSI46" s="394"/>
      <c r="BSJ46" s="394"/>
      <c r="BSK46" s="394"/>
      <c r="BSL46" s="394"/>
      <c r="BSM46" s="394"/>
      <c r="BSN46" s="394"/>
      <c r="BSO46" s="394"/>
      <c r="BSP46" s="394"/>
      <c r="BSQ46" s="394"/>
      <c r="BSR46" s="394"/>
      <c r="BSS46" s="394"/>
      <c r="BST46" s="394"/>
      <c r="BSU46" s="394"/>
      <c r="BSV46" s="394"/>
      <c r="BSW46" s="394"/>
      <c r="BSX46" s="394"/>
      <c r="BSY46" s="394"/>
      <c r="BSZ46" s="394"/>
      <c r="BTA46" s="394"/>
      <c r="BTB46" s="394"/>
      <c r="BTC46" s="394"/>
      <c r="BTD46" s="394"/>
      <c r="BTE46" s="394"/>
      <c r="BTF46" s="394"/>
      <c r="BTG46" s="394"/>
      <c r="BTH46" s="394"/>
      <c r="BTI46" s="394"/>
    </row>
    <row r="47" spans="1:1881" ht="37.5" customHeight="1" x14ac:dyDescent="0.25">
      <c r="A47" s="188">
        <v>379</v>
      </c>
      <c r="B47" s="65" t="s">
        <v>67</v>
      </c>
      <c r="C47" s="134" t="s">
        <v>160</v>
      </c>
      <c r="D47" s="174" t="s">
        <v>138</v>
      </c>
      <c r="E47" s="32" t="e">
        <f>HLOOKUP($D$2,'2019 Data(H)'!$C$1:$CP$300,138,FALSE)</f>
        <v>#N/A</v>
      </c>
      <c r="F47" s="624"/>
      <c r="G47" s="395">
        <f>IF((F44+F45)&gt;F47,"Error: Please review account numbers (506+536)&gt;379",)</f>
        <v>0</v>
      </c>
      <c r="H47" s="13"/>
      <c r="I47" s="31"/>
      <c r="J47" s="365"/>
      <c r="L47" s="833" t="s">
        <v>1244</v>
      </c>
      <c r="M47" s="610"/>
      <c r="N47" s="635"/>
    </row>
    <row r="48" spans="1:1881" ht="93" customHeight="1" x14ac:dyDescent="0.25">
      <c r="A48" s="188">
        <v>368</v>
      </c>
      <c r="B48" s="65" t="s">
        <v>76</v>
      </c>
      <c r="C48" s="134" t="s">
        <v>160</v>
      </c>
      <c r="D48" s="165" t="s">
        <v>611</v>
      </c>
      <c r="E48" s="32" t="e">
        <f>HLOOKUP($D$2,'2019 Data(H)'!$C$1:$CP$300,129,FALSE)</f>
        <v>#N/A</v>
      </c>
      <c r="F48" s="624"/>
      <c r="G48" s="395">
        <f t="shared" ref="G48:G54" si="1">IF(F48&lt;0,"Error: Enter as positive.",)</f>
        <v>0</v>
      </c>
      <c r="H48" s="13"/>
      <c r="I48" s="149"/>
      <c r="J48" s="365"/>
      <c r="L48" s="833" t="s">
        <v>1144</v>
      </c>
      <c r="M48" s="610"/>
      <c r="N48" s="635"/>
    </row>
    <row r="49" spans="1:1881" ht="99.75" customHeight="1" x14ac:dyDescent="0.25">
      <c r="A49" s="405">
        <v>4</v>
      </c>
      <c r="B49" s="65" t="s">
        <v>62</v>
      </c>
      <c r="C49" s="134" t="s">
        <v>160</v>
      </c>
      <c r="D49" s="458" t="s">
        <v>890</v>
      </c>
      <c r="E49" s="398" t="e">
        <f>HLOOKUP($D$2,'2019 Data(H)'!$C$1:$CP$300,3,FALSE)</f>
        <v>#N/A</v>
      </c>
      <c r="F49" s="624"/>
      <c r="G49" s="395">
        <f t="shared" si="1"/>
        <v>0</v>
      </c>
      <c r="H49" s="13"/>
      <c r="I49" s="31"/>
      <c r="J49" s="365"/>
      <c r="L49" s="833" t="s">
        <v>1145</v>
      </c>
      <c r="M49" s="610"/>
      <c r="N49" s="635"/>
    </row>
    <row r="50" spans="1:1881" ht="117.75" customHeight="1" x14ac:dyDescent="0.25">
      <c r="A50" s="188">
        <v>5</v>
      </c>
      <c r="B50" s="65" t="s">
        <v>62</v>
      </c>
      <c r="C50" s="134" t="s">
        <v>160</v>
      </c>
      <c r="D50" s="124" t="s">
        <v>166</v>
      </c>
      <c r="E50" s="32" t="e">
        <f>HLOOKUP($D$2,'2019 Data(H)'!$C$1:$CP$300,4,FALSE)</f>
        <v>#N/A</v>
      </c>
      <c r="F50" s="624"/>
      <c r="G50" s="395">
        <f t="shared" si="1"/>
        <v>0</v>
      </c>
      <c r="H50" s="13"/>
      <c r="I50" s="31"/>
      <c r="J50" s="365"/>
      <c r="L50" s="833" t="s">
        <v>915</v>
      </c>
      <c r="M50" s="610"/>
      <c r="N50" s="635"/>
    </row>
    <row r="51" spans="1:1881" ht="93.75" customHeight="1" x14ac:dyDescent="0.25">
      <c r="A51" s="188">
        <v>380</v>
      </c>
      <c r="B51" s="65" t="s">
        <v>67</v>
      </c>
      <c r="C51" s="134" t="s">
        <v>160</v>
      </c>
      <c r="D51" s="124" t="s">
        <v>167</v>
      </c>
      <c r="E51" s="32" t="e">
        <f>HLOOKUP($D$2,'2019 Data(H)'!$C$1:$CP$300,139,FALSE)</f>
        <v>#N/A</v>
      </c>
      <c r="F51" s="624"/>
      <c r="G51" s="395">
        <f t="shared" si="1"/>
        <v>0</v>
      </c>
      <c r="H51" s="13"/>
      <c r="I51" s="31"/>
      <c r="J51" s="365"/>
      <c r="L51" s="833" t="s">
        <v>916</v>
      </c>
      <c r="M51" s="610"/>
      <c r="N51" s="635"/>
    </row>
    <row r="52" spans="1:1881" ht="48.75" customHeight="1" x14ac:dyDescent="0.25">
      <c r="A52" s="188">
        <v>391</v>
      </c>
      <c r="B52" s="65" t="s">
        <v>76</v>
      </c>
      <c r="C52" s="134" t="s">
        <v>160</v>
      </c>
      <c r="D52" s="175" t="s">
        <v>159</v>
      </c>
      <c r="E52" s="32" t="e">
        <f>HLOOKUP($D$2,'2019 Data(H)'!$C$1:$CP$300,149,FALSE)</f>
        <v>#N/A</v>
      </c>
      <c r="F52" s="624"/>
      <c r="G52" s="395">
        <f t="shared" si="1"/>
        <v>0</v>
      </c>
      <c r="H52" s="13"/>
      <c r="I52" s="31"/>
      <c r="J52" s="365"/>
      <c r="L52" s="833" t="s">
        <v>1146</v>
      </c>
      <c r="M52" s="610"/>
      <c r="N52" s="635"/>
    </row>
    <row r="53" spans="1:1881" ht="51.75" customHeight="1" x14ac:dyDescent="0.25">
      <c r="A53" s="188">
        <v>7</v>
      </c>
      <c r="B53" s="65" t="s">
        <v>76</v>
      </c>
      <c r="C53" s="134" t="s">
        <v>160</v>
      </c>
      <c r="D53" s="175" t="s">
        <v>1245</v>
      </c>
      <c r="E53" s="32" t="e">
        <f>HLOOKUP($D$2,'2019 Data(H)'!$C$1:$CP$300,6,FALSE)</f>
        <v>#N/A</v>
      </c>
      <c r="F53" s="624"/>
      <c r="G53" s="395">
        <f t="shared" si="1"/>
        <v>0</v>
      </c>
      <c r="H53" s="13"/>
      <c r="I53" s="31"/>
      <c r="J53" s="365"/>
      <c r="L53" s="833" t="s">
        <v>1147</v>
      </c>
      <c r="M53" s="610"/>
      <c r="N53" s="635"/>
    </row>
    <row r="54" spans="1:1881" ht="78.75" customHeight="1" x14ac:dyDescent="0.25">
      <c r="A54" s="188">
        <v>11</v>
      </c>
      <c r="B54" s="65" t="s">
        <v>76</v>
      </c>
      <c r="C54" s="134" t="s">
        <v>160</v>
      </c>
      <c r="D54" s="165" t="s">
        <v>168</v>
      </c>
      <c r="E54" s="32" t="e">
        <f>HLOOKUP($D$2,'2019 Data(H)'!$C$1:$CP$300,8,FALSE)</f>
        <v>#N/A</v>
      </c>
      <c r="F54" s="624"/>
      <c r="G54" s="395">
        <f t="shared" si="1"/>
        <v>0</v>
      </c>
      <c r="H54" s="13"/>
      <c r="I54" s="31"/>
      <c r="J54" s="365"/>
      <c r="L54" s="833" t="s">
        <v>1148</v>
      </c>
      <c r="M54" s="610"/>
      <c r="N54" s="635"/>
    </row>
    <row r="55" spans="1:1881" s="378" customFormat="1" ht="70.5" customHeight="1" x14ac:dyDescent="0.25">
      <c r="A55" s="455">
        <v>645</v>
      </c>
      <c r="B55" s="456" t="s">
        <v>830</v>
      </c>
      <c r="C55" s="851" t="s">
        <v>160</v>
      </c>
      <c r="D55" s="852" t="s">
        <v>889</v>
      </c>
      <c r="E55" s="454" t="s">
        <v>832</v>
      </c>
      <c r="F55" s="624"/>
      <c r="G55" s="395">
        <f>IF(F55&lt;0,"Note: Number is normally positive.",)</f>
        <v>0</v>
      </c>
      <c r="H55" s="149"/>
      <c r="I55" s="297"/>
      <c r="J55" s="365"/>
      <c r="K55" s="394"/>
      <c r="L55" s="833" t="s">
        <v>1149</v>
      </c>
      <c r="M55" s="610"/>
      <c r="N55" s="635"/>
      <c r="O55" s="394"/>
      <c r="P55" s="394"/>
      <c r="Q55" s="394"/>
      <c r="R55" s="394"/>
      <c r="S55" s="394"/>
      <c r="T55" s="394"/>
      <c r="U55" s="394"/>
      <c r="V55" s="394"/>
      <c r="W55" s="394"/>
      <c r="X55" s="394"/>
      <c r="Y55" s="394"/>
      <c r="Z55" s="394"/>
      <c r="AA55" s="394"/>
      <c r="AB55" s="394"/>
      <c r="AC55" s="394"/>
      <c r="AD55" s="394"/>
      <c r="AE55" s="394"/>
      <c r="AF55" s="394"/>
      <c r="AG55" s="394"/>
      <c r="AH55" s="394"/>
      <c r="AI55" s="394"/>
      <c r="AJ55" s="394"/>
      <c r="AK55" s="394"/>
      <c r="AL55" s="394"/>
      <c r="AM55" s="394"/>
      <c r="AN55" s="394"/>
      <c r="AO55" s="394"/>
      <c r="AP55" s="394"/>
      <c r="AQ55" s="394"/>
      <c r="AR55" s="394"/>
      <c r="AS55" s="394"/>
      <c r="AT55" s="394"/>
      <c r="AU55" s="394"/>
      <c r="AV55" s="394"/>
      <c r="AW55" s="394"/>
      <c r="AX55" s="394"/>
      <c r="AY55" s="394"/>
      <c r="AZ55" s="394"/>
      <c r="BA55" s="394"/>
      <c r="BB55" s="394"/>
      <c r="BC55" s="394"/>
      <c r="BD55" s="394"/>
      <c r="BE55" s="394"/>
      <c r="BF55" s="394"/>
      <c r="BG55" s="394"/>
      <c r="BH55" s="394"/>
      <c r="BI55" s="394"/>
      <c r="BJ55" s="394"/>
      <c r="BK55" s="394"/>
      <c r="BL55" s="394"/>
      <c r="BM55" s="394"/>
      <c r="BN55" s="394"/>
      <c r="BO55" s="394"/>
      <c r="BP55" s="394"/>
      <c r="BQ55" s="394"/>
      <c r="BR55" s="394"/>
      <c r="BS55" s="394"/>
      <c r="BT55" s="394"/>
      <c r="BU55" s="394"/>
      <c r="BV55" s="394"/>
      <c r="BW55" s="394"/>
      <c r="BX55" s="394"/>
      <c r="BY55" s="394"/>
      <c r="BZ55" s="394"/>
      <c r="CA55" s="394"/>
      <c r="CB55" s="394"/>
      <c r="CC55" s="394"/>
      <c r="CD55" s="394"/>
      <c r="CE55" s="394"/>
      <c r="CF55" s="394"/>
      <c r="CG55" s="394"/>
      <c r="CH55" s="394"/>
      <c r="CI55" s="394"/>
      <c r="CJ55" s="394"/>
      <c r="CK55" s="394"/>
      <c r="CL55" s="394"/>
      <c r="CM55" s="394"/>
      <c r="CN55" s="394"/>
      <c r="CO55" s="394"/>
      <c r="CP55" s="394"/>
      <c r="CQ55" s="394"/>
      <c r="CR55" s="394"/>
      <c r="CS55" s="394"/>
      <c r="CT55" s="394"/>
      <c r="CU55" s="394"/>
      <c r="CV55" s="394"/>
      <c r="CW55" s="394"/>
      <c r="CX55" s="394"/>
      <c r="CY55" s="394"/>
      <c r="CZ55" s="394"/>
      <c r="DA55" s="394"/>
      <c r="DB55" s="394"/>
      <c r="DC55" s="394"/>
      <c r="DD55" s="394"/>
      <c r="DE55" s="394"/>
      <c r="DF55" s="394"/>
      <c r="DG55" s="394"/>
      <c r="DH55" s="394"/>
      <c r="DI55" s="394"/>
      <c r="DJ55" s="394"/>
      <c r="DK55" s="394"/>
      <c r="DL55" s="394"/>
      <c r="DM55" s="394"/>
      <c r="DN55" s="394"/>
      <c r="DO55" s="394"/>
      <c r="DP55" s="394"/>
      <c r="DQ55" s="394"/>
      <c r="DR55" s="394"/>
      <c r="DS55" s="394"/>
      <c r="DT55" s="394"/>
      <c r="DU55" s="394"/>
      <c r="DV55" s="394"/>
      <c r="DW55" s="394"/>
      <c r="DX55" s="394"/>
      <c r="DY55" s="394"/>
      <c r="DZ55" s="394"/>
      <c r="EA55" s="394"/>
      <c r="EB55" s="394"/>
      <c r="EC55" s="394"/>
      <c r="ED55" s="394"/>
      <c r="EE55" s="394"/>
      <c r="EF55" s="394"/>
      <c r="EG55" s="394"/>
      <c r="EH55" s="394"/>
      <c r="EI55" s="394"/>
      <c r="EJ55" s="394"/>
      <c r="EK55" s="394"/>
      <c r="EL55" s="394"/>
      <c r="EM55" s="394"/>
      <c r="EN55" s="394"/>
      <c r="EO55" s="394"/>
      <c r="EP55" s="394"/>
      <c r="EQ55" s="394"/>
      <c r="ER55" s="394"/>
      <c r="ES55" s="394"/>
      <c r="ET55" s="394"/>
      <c r="EU55" s="394"/>
      <c r="EV55" s="394"/>
      <c r="EW55" s="394"/>
      <c r="EX55" s="394"/>
      <c r="EY55" s="394"/>
      <c r="EZ55" s="394"/>
      <c r="FA55" s="394"/>
      <c r="FB55" s="394"/>
      <c r="FC55" s="394"/>
      <c r="FD55" s="394"/>
      <c r="FE55" s="394"/>
      <c r="FF55" s="394"/>
      <c r="FG55" s="394"/>
      <c r="FH55" s="394"/>
      <c r="FI55" s="394"/>
      <c r="FJ55" s="394"/>
      <c r="FK55" s="394"/>
      <c r="FL55" s="394"/>
      <c r="FM55" s="394"/>
      <c r="FN55" s="394"/>
      <c r="FO55" s="394"/>
      <c r="FP55" s="394"/>
      <c r="FQ55" s="394"/>
      <c r="FR55" s="394"/>
      <c r="FS55" s="394"/>
      <c r="FT55" s="394"/>
      <c r="FU55" s="394"/>
      <c r="FV55" s="394"/>
      <c r="FW55" s="394"/>
      <c r="FX55" s="394"/>
      <c r="FY55" s="394"/>
      <c r="FZ55" s="394"/>
      <c r="GA55" s="394"/>
      <c r="GB55" s="394"/>
      <c r="GC55" s="394"/>
      <c r="GD55" s="394"/>
      <c r="GE55" s="394"/>
      <c r="GF55" s="394"/>
      <c r="GG55" s="394"/>
      <c r="GH55" s="394"/>
      <c r="GI55" s="394"/>
      <c r="GJ55" s="394"/>
      <c r="GK55" s="394"/>
      <c r="GL55" s="394"/>
      <c r="GM55" s="394"/>
      <c r="GN55" s="394"/>
      <c r="GO55" s="394"/>
      <c r="GP55" s="394"/>
      <c r="GQ55" s="394"/>
      <c r="GR55" s="394"/>
      <c r="GS55" s="394"/>
      <c r="GT55" s="394"/>
      <c r="GU55" s="394"/>
      <c r="GV55" s="394"/>
      <c r="GW55" s="394"/>
      <c r="GX55" s="394"/>
      <c r="GY55" s="394"/>
      <c r="GZ55" s="394"/>
      <c r="HA55" s="394"/>
      <c r="HB55" s="394"/>
      <c r="HC55" s="394"/>
      <c r="HD55" s="394"/>
      <c r="HE55" s="394"/>
      <c r="HF55" s="394"/>
      <c r="HG55" s="394"/>
      <c r="HH55" s="394"/>
      <c r="HI55" s="394"/>
      <c r="HJ55" s="394"/>
      <c r="HK55" s="394"/>
      <c r="HL55" s="394"/>
      <c r="HM55" s="394"/>
      <c r="HN55" s="394"/>
      <c r="HO55" s="394"/>
      <c r="HP55" s="394"/>
      <c r="HQ55" s="394"/>
      <c r="HR55" s="394"/>
      <c r="HS55" s="394"/>
      <c r="HT55" s="394"/>
      <c r="HU55" s="394"/>
      <c r="HV55" s="394"/>
      <c r="HW55" s="394"/>
      <c r="HX55" s="394"/>
      <c r="HY55" s="394"/>
      <c r="HZ55" s="394"/>
      <c r="IA55" s="394"/>
      <c r="IB55" s="394"/>
      <c r="IC55" s="394"/>
      <c r="ID55" s="394"/>
      <c r="IE55" s="394"/>
      <c r="IF55" s="394"/>
      <c r="IG55" s="394"/>
      <c r="IH55" s="394"/>
      <c r="II55" s="394"/>
      <c r="IJ55" s="394"/>
      <c r="IK55" s="394"/>
      <c r="IL55" s="394"/>
      <c r="IM55" s="394"/>
      <c r="IN55" s="394"/>
      <c r="IO55" s="394"/>
      <c r="IP55" s="394"/>
      <c r="IQ55" s="394"/>
      <c r="IR55" s="394"/>
      <c r="IS55" s="394"/>
      <c r="IT55" s="394"/>
      <c r="IU55" s="394"/>
      <c r="IV55" s="394"/>
      <c r="IW55" s="394"/>
      <c r="IX55" s="394"/>
      <c r="IY55" s="394"/>
      <c r="IZ55" s="394"/>
      <c r="JA55" s="394"/>
      <c r="JB55" s="394"/>
      <c r="JC55" s="394"/>
      <c r="JD55" s="394"/>
      <c r="JE55" s="394"/>
      <c r="JF55" s="394"/>
      <c r="JG55" s="394"/>
      <c r="JH55" s="394"/>
      <c r="JI55" s="394"/>
      <c r="JJ55" s="394"/>
      <c r="JK55" s="394"/>
      <c r="JL55" s="394"/>
      <c r="JM55" s="394"/>
      <c r="JN55" s="394"/>
      <c r="JO55" s="394"/>
      <c r="JP55" s="394"/>
      <c r="JQ55" s="394"/>
      <c r="JR55" s="394"/>
      <c r="JS55" s="394"/>
      <c r="JT55" s="394"/>
      <c r="JU55" s="394"/>
      <c r="JV55" s="394"/>
      <c r="JW55" s="394"/>
      <c r="JX55" s="394"/>
      <c r="JY55" s="394"/>
      <c r="JZ55" s="394"/>
      <c r="KA55" s="394"/>
      <c r="KB55" s="394"/>
      <c r="KC55" s="394"/>
      <c r="KD55" s="394"/>
      <c r="KE55" s="394"/>
      <c r="KF55" s="394"/>
      <c r="KG55" s="394"/>
      <c r="KH55" s="394"/>
      <c r="KI55" s="394"/>
      <c r="KJ55" s="394"/>
      <c r="KK55" s="394"/>
      <c r="KL55" s="394"/>
      <c r="KM55" s="394"/>
      <c r="KN55" s="394"/>
      <c r="KO55" s="394"/>
      <c r="KP55" s="394"/>
      <c r="KQ55" s="394"/>
      <c r="KR55" s="394"/>
      <c r="KS55" s="394"/>
      <c r="KT55" s="394"/>
      <c r="KU55" s="394"/>
      <c r="KV55" s="394"/>
      <c r="KW55" s="394"/>
      <c r="KX55" s="394"/>
      <c r="KY55" s="394"/>
      <c r="KZ55" s="394"/>
      <c r="LA55" s="394"/>
      <c r="LB55" s="394"/>
      <c r="LC55" s="394"/>
      <c r="LD55" s="394"/>
      <c r="LE55" s="394"/>
      <c r="LF55" s="394"/>
      <c r="LG55" s="394"/>
      <c r="LH55" s="394"/>
      <c r="LI55" s="394"/>
      <c r="LJ55" s="394"/>
      <c r="LK55" s="394"/>
      <c r="LL55" s="394"/>
      <c r="LM55" s="394"/>
      <c r="LN55" s="394"/>
      <c r="LO55" s="394"/>
      <c r="LP55" s="394"/>
      <c r="LQ55" s="394"/>
      <c r="LR55" s="394"/>
      <c r="LS55" s="394"/>
      <c r="LT55" s="394"/>
      <c r="LU55" s="394"/>
      <c r="LV55" s="394"/>
      <c r="LW55" s="394"/>
      <c r="LX55" s="394"/>
      <c r="LY55" s="394"/>
      <c r="LZ55" s="394"/>
      <c r="MA55" s="394"/>
      <c r="MB55" s="394"/>
      <c r="MC55" s="394"/>
      <c r="MD55" s="394"/>
      <c r="ME55" s="394"/>
      <c r="MF55" s="394"/>
      <c r="MG55" s="394"/>
      <c r="MH55" s="394"/>
      <c r="MI55" s="394"/>
      <c r="MJ55" s="394"/>
      <c r="MK55" s="394"/>
      <c r="ML55" s="394"/>
      <c r="MM55" s="394"/>
      <c r="MN55" s="394"/>
      <c r="MO55" s="394"/>
      <c r="MP55" s="394"/>
      <c r="MQ55" s="394"/>
      <c r="MR55" s="394"/>
      <c r="MS55" s="394"/>
      <c r="MT55" s="394"/>
      <c r="MU55" s="394"/>
      <c r="MV55" s="394"/>
      <c r="MW55" s="394"/>
      <c r="MX55" s="394"/>
      <c r="MY55" s="394"/>
      <c r="MZ55" s="394"/>
      <c r="NA55" s="394"/>
      <c r="NB55" s="394"/>
      <c r="NC55" s="394"/>
      <c r="ND55" s="394"/>
      <c r="NE55" s="394"/>
      <c r="NF55" s="394"/>
      <c r="NG55" s="394"/>
      <c r="NH55" s="394"/>
      <c r="NI55" s="394"/>
      <c r="NJ55" s="394"/>
      <c r="NK55" s="394"/>
      <c r="NL55" s="394"/>
      <c r="NM55" s="394"/>
      <c r="NN55" s="394"/>
      <c r="NO55" s="394"/>
      <c r="NP55" s="394"/>
      <c r="NQ55" s="394"/>
      <c r="NR55" s="394"/>
      <c r="NS55" s="394"/>
      <c r="NT55" s="394"/>
      <c r="NU55" s="394"/>
      <c r="NV55" s="394"/>
      <c r="NW55" s="394"/>
      <c r="NX55" s="394"/>
      <c r="NY55" s="394"/>
      <c r="NZ55" s="394"/>
      <c r="OA55" s="394"/>
      <c r="OB55" s="394"/>
      <c r="OC55" s="394"/>
      <c r="OD55" s="394"/>
      <c r="OE55" s="394"/>
      <c r="OF55" s="394"/>
      <c r="OG55" s="394"/>
      <c r="OH55" s="394"/>
      <c r="OI55" s="394"/>
      <c r="OJ55" s="394"/>
      <c r="OK55" s="394"/>
      <c r="OL55" s="394"/>
      <c r="OM55" s="394"/>
      <c r="ON55" s="394"/>
      <c r="OO55" s="394"/>
      <c r="OP55" s="394"/>
      <c r="OQ55" s="394"/>
      <c r="OR55" s="394"/>
      <c r="OS55" s="394"/>
      <c r="OT55" s="394"/>
      <c r="OU55" s="394"/>
      <c r="OV55" s="394"/>
      <c r="OW55" s="394"/>
      <c r="OX55" s="394"/>
      <c r="OY55" s="394"/>
      <c r="OZ55" s="394"/>
      <c r="PA55" s="394"/>
      <c r="PB55" s="394"/>
      <c r="PC55" s="394"/>
      <c r="PD55" s="394"/>
      <c r="PE55" s="394"/>
      <c r="PF55" s="394"/>
      <c r="PG55" s="394"/>
      <c r="PH55" s="394"/>
      <c r="PI55" s="394"/>
      <c r="PJ55" s="394"/>
      <c r="PK55" s="394"/>
      <c r="PL55" s="394"/>
      <c r="PM55" s="394"/>
      <c r="PN55" s="394"/>
      <c r="PO55" s="394"/>
      <c r="PP55" s="394"/>
      <c r="PQ55" s="394"/>
      <c r="PR55" s="394"/>
      <c r="PS55" s="394"/>
      <c r="PT55" s="394"/>
      <c r="PU55" s="394"/>
      <c r="PV55" s="394"/>
      <c r="PW55" s="394"/>
      <c r="PX55" s="394"/>
      <c r="PY55" s="394"/>
      <c r="PZ55" s="394"/>
      <c r="QA55" s="394"/>
      <c r="QB55" s="394"/>
      <c r="QC55" s="394"/>
      <c r="QD55" s="394"/>
      <c r="QE55" s="394"/>
      <c r="QF55" s="394"/>
      <c r="QG55" s="394"/>
      <c r="QH55" s="394"/>
      <c r="QI55" s="394"/>
      <c r="QJ55" s="394"/>
      <c r="QK55" s="394"/>
      <c r="QL55" s="394"/>
      <c r="QM55" s="394"/>
      <c r="QN55" s="394"/>
      <c r="QO55" s="394"/>
      <c r="QP55" s="394"/>
      <c r="QQ55" s="394"/>
      <c r="QR55" s="394"/>
      <c r="QS55" s="394"/>
      <c r="QT55" s="394"/>
      <c r="QU55" s="394"/>
      <c r="QV55" s="394"/>
      <c r="QW55" s="394"/>
      <c r="QX55" s="394"/>
      <c r="QY55" s="394"/>
      <c r="QZ55" s="394"/>
      <c r="RA55" s="394"/>
      <c r="RB55" s="394"/>
      <c r="RC55" s="394"/>
      <c r="RD55" s="394"/>
      <c r="RE55" s="394"/>
      <c r="RF55" s="394"/>
      <c r="RG55" s="394"/>
      <c r="RH55" s="394"/>
      <c r="RI55" s="394"/>
      <c r="RJ55" s="394"/>
      <c r="RK55" s="394"/>
      <c r="RL55" s="394"/>
      <c r="RM55" s="394"/>
      <c r="RN55" s="394"/>
      <c r="RO55" s="394"/>
      <c r="RP55" s="394"/>
      <c r="RQ55" s="394"/>
      <c r="RR55" s="394"/>
      <c r="RS55" s="394"/>
      <c r="RT55" s="394"/>
      <c r="RU55" s="394"/>
      <c r="RV55" s="394"/>
      <c r="RW55" s="394"/>
      <c r="RX55" s="394"/>
      <c r="RY55" s="394"/>
      <c r="RZ55" s="394"/>
      <c r="SA55" s="394"/>
      <c r="SB55" s="394"/>
      <c r="SC55" s="394"/>
      <c r="SD55" s="394"/>
      <c r="SE55" s="394"/>
      <c r="SF55" s="394"/>
      <c r="SG55" s="394"/>
      <c r="SH55" s="394"/>
      <c r="SI55" s="394"/>
      <c r="SJ55" s="394"/>
      <c r="SK55" s="394"/>
      <c r="SL55" s="394"/>
      <c r="SM55" s="394"/>
      <c r="SN55" s="394"/>
      <c r="SO55" s="394"/>
      <c r="SP55" s="394"/>
      <c r="SQ55" s="394"/>
      <c r="SR55" s="394"/>
      <c r="SS55" s="394"/>
      <c r="ST55" s="394"/>
      <c r="SU55" s="394"/>
      <c r="SV55" s="394"/>
      <c r="SW55" s="394"/>
      <c r="SX55" s="394"/>
      <c r="SY55" s="394"/>
      <c r="SZ55" s="394"/>
      <c r="TA55" s="394"/>
      <c r="TB55" s="394"/>
      <c r="TC55" s="394"/>
      <c r="TD55" s="394"/>
      <c r="TE55" s="394"/>
      <c r="TF55" s="394"/>
      <c r="TG55" s="394"/>
      <c r="TH55" s="394"/>
      <c r="TI55" s="394"/>
      <c r="TJ55" s="394"/>
      <c r="TK55" s="394"/>
      <c r="TL55" s="394"/>
      <c r="TM55" s="394"/>
      <c r="TN55" s="394"/>
      <c r="TO55" s="394"/>
      <c r="TP55" s="394"/>
      <c r="TQ55" s="394"/>
      <c r="TR55" s="394"/>
      <c r="TS55" s="394"/>
      <c r="TT55" s="394"/>
      <c r="TU55" s="394"/>
      <c r="TV55" s="394"/>
      <c r="TW55" s="394"/>
      <c r="TX55" s="394"/>
      <c r="TY55" s="394"/>
      <c r="TZ55" s="394"/>
      <c r="UA55" s="394"/>
      <c r="UB55" s="394"/>
      <c r="UC55" s="394"/>
      <c r="UD55" s="394"/>
      <c r="UE55" s="394"/>
      <c r="UF55" s="394"/>
      <c r="UG55" s="394"/>
      <c r="UH55" s="394"/>
      <c r="UI55" s="394"/>
      <c r="UJ55" s="394"/>
      <c r="UK55" s="394"/>
      <c r="UL55" s="394"/>
      <c r="UM55" s="394"/>
      <c r="UN55" s="394"/>
      <c r="UO55" s="394"/>
      <c r="UP55" s="394"/>
      <c r="UQ55" s="394"/>
      <c r="UR55" s="394"/>
      <c r="US55" s="394"/>
      <c r="UT55" s="394"/>
      <c r="UU55" s="394"/>
      <c r="UV55" s="394"/>
      <c r="UW55" s="394"/>
      <c r="UX55" s="394"/>
      <c r="UY55" s="394"/>
      <c r="UZ55" s="394"/>
      <c r="VA55" s="394"/>
      <c r="VB55" s="394"/>
      <c r="VC55" s="394"/>
      <c r="VD55" s="394"/>
      <c r="VE55" s="394"/>
      <c r="VF55" s="394"/>
      <c r="VG55" s="394"/>
      <c r="VH55" s="394"/>
      <c r="VI55" s="394"/>
      <c r="VJ55" s="394"/>
      <c r="VK55" s="394"/>
      <c r="VL55" s="394"/>
      <c r="VM55" s="394"/>
      <c r="VN55" s="394"/>
      <c r="VO55" s="394"/>
      <c r="VP55" s="394"/>
      <c r="VQ55" s="394"/>
      <c r="VR55" s="394"/>
      <c r="VS55" s="394"/>
      <c r="VT55" s="394"/>
      <c r="VU55" s="394"/>
      <c r="VV55" s="394"/>
      <c r="VW55" s="394"/>
      <c r="VX55" s="394"/>
      <c r="VY55" s="394"/>
      <c r="VZ55" s="394"/>
      <c r="WA55" s="394"/>
      <c r="WB55" s="394"/>
      <c r="WC55" s="394"/>
      <c r="WD55" s="394"/>
      <c r="WE55" s="394"/>
      <c r="WF55" s="394"/>
      <c r="WG55" s="394"/>
      <c r="WH55" s="394"/>
      <c r="WI55" s="394"/>
      <c r="WJ55" s="394"/>
      <c r="WK55" s="394"/>
      <c r="WL55" s="394"/>
      <c r="WM55" s="394"/>
      <c r="WN55" s="394"/>
      <c r="WO55" s="394"/>
      <c r="WP55" s="394"/>
      <c r="WQ55" s="394"/>
      <c r="WR55" s="394"/>
      <c r="WS55" s="394"/>
      <c r="WT55" s="394"/>
      <c r="WU55" s="394"/>
      <c r="WV55" s="394"/>
      <c r="WW55" s="394"/>
      <c r="WX55" s="394"/>
      <c r="WY55" s="394"/>
      <c r="WZ55" s="394"/>
      <c r="XA55" s="394"/>
      <c r="XB55" s="394"/>
      <c r="XC55" s="394"/>
      <c r="XD55" s="394"/>
      <c r="XE55" s="394"/>
      <c r="XF55" s="394"/>
      <c r="XG55" s="394"/>
      <c r="XH55" s="394"/>
      <c r="XI55" s="394"/>
      <c r="XJ55" s="394"/>
      <c r="XK55" s="394"/>
      <c r="XL55" s="394"/>
      <c r="XM55" s="394"/>
      <c r="XN55" s="394"/>
      <c r="XO55" s="394"/>
      <c r="XP55" s="394"/>
      <c r="XQ55" s="394"/>
      <c r="XR55" s="394"/>
      <c r="XS55" s="394"/>
      <c r="XT55" s="394"/>
      <c r="XU55" s="394"/>
      <c r="XV55" s="394"/>
      <c r="XW55" s="394"/>
      <c r="XX55" s="394"/>
      <c r="XY55" s="394"/>
      <c r="XZ55" s="394"/>
      <c r="YA55" s="394"/>
      <c r="YB55" s="394"/>
      <c r="YC55" s="394"/>
      <c r="YD55" s="394"/>
      <c r="YE55" s="394"/>
      <c r="YF55" s="394"/>
      <c r="YG55" s="394"/>
      <c r="YH55" s="394"/>
      <c r="YI55" s="394"/>
      <c r="YJ55" s="394"/>
      <c r="YK55" s="394"/>
      <c r="YL55" s="394"/>
      <c r="YM55" s="394"/>
      <c r="YN55" s="394"/>
      <c r="YO55" s="394"/>
      <c r="YP55" s="394"/>
      <c r="YQ55" s="394"/>
      <c r="YR55" s="394"/>
      <c r="YS55" s="394"/>
      <c r="YT55" s="394"/>
      <c r="YU55" s="394"/>
      <c r="YV55" s="394"/>
      <c r="YW55" s="394"/>
      <c r="YX55" s="394"/>
      <c r="YY55" s="394"/>
      <c r="YZ55" s="394"/>
      <c r="ZA55" s="394"/>
      <c r="ZB55" s="394"/>
      <c r="ZC55" s="394"/>
      <c r="ZD55" s="394"/>
      <c r="ZE55" s="394"/>
      <c r="ZF55" s="394"/>
      <c r="ZG55" s="394"/>
      <c r="ZH55" s="394"/>
      <c r="ZI55" s="394"/>
      <c r="ZJ55" s="394"/>
      <c r="ZK55" s="394"/>
      <c r="ZL55" s="394"/>
      <c r="ZM55" s="394"/>
      <c r="ZN55" s="394"/>
      <c r="ZO55" s="394"/>
      <c r="ZP55" s="394"/>
      <c r="ZQ55" s="394"/>
      <c r="ZR55" s="394"/>
      <c r="ZS55" s="394"/>
      <c r="ZT55" s="394"/>
      <c r="ZU55" s="394"/>
      <c r="ZV55" s="394"/>
      <c r="ZW55" s="394"/>
      <c r="ZX55" s="394"/>
      <c r="ZY55" s="394"/>
      <c r="ZZ55" s="394"/>
      <c r="AAA55" s="394"/>
      <c r="AAB55" s="394"/>
      <c r="AAC55" s="394"/>
      <c r="AAD55" s="394"/>
      <c r="AAE55" s="394"/>
      <c r="AAF55" s="394"/>
      <c r="AAG55" s="394"/>
      <c r="AAH55" s="394"/>
      <c r="AAI55" s="394"/>
      <c r="AAJ55" s="394"/>
      <c r="AAK55" s="394"/>
      <c r="AAL55" s="394"/>
      <c r="AAM55" s="394"/>
      <c r="AAN55" s="394"/>
      <c r="AAO55" s="394"/>
      <c r="AAP55" s="394"/>
      <c r="AAQ55" s="394"/>
      <c r="AAR55" s="394"/>
      <c r="AAS55" s="394"/>
      <c r="AAT55" s="394"/>
      <c r="AAU55" s="394"/>
      <c r="AAV55" s="394"/>
      <c r="AAW55" s="394"/>
      <c r="AAX55" s="394"/>
      <c r="AAY55" s="394"/>
      <c r="AAZ55" s="394"/>
      <c r="ABA55" s="394"/>
      <c r="ABB55" s="394"/>
      <c r="ABC55" s="394"/>
      <c r="ABD55" s="394"/>
      <c r="ABE55" s="394"/>
      <c r="ABF55" s="394"/>
      <c r="ABG55" s="394"/>
      <c r="ABH55" s="394"/>
      <c r="ABI55" s="394"/>
      <c r="ABJ55" s="394"/>
      <c r="ABK55" s="394"/>
      <c r="ABL55" s="394"/>
      <c r="ABM55" s="394"/>
      <c r="ABN55" s="394"/>
      <c r="ABO55" s="394"/>
      <c r="ABP55" s="394"/>
      <c r="ABQ55" s="394"/>
      <c r="ABR55" s="394"/>
      <c r="ABS55" s="394"/>
      <c r="ABT55" s="394"/>
      <c r="ABU55" s="394"/>
      <c r="ABV55" s="394"/>
      <c r="ABW55" s="394"/>
      <c r="ABX55" s="394"/>
      <c r="ABY55" s="394"/>
      <c r="ABZ55" s="394"/>
      <c r="ACA55" s="394"/>
      <c r="ACB55" s="394"/>
      <c r="ACC55" s="394"/>
      <c r="ACD55" s="394"/>
      <c r="ACE55" s="394"/>
      <c r="ACF55" s="394"/>
      <c r="ACG55" s="394"/>
      <c r="ACH55" s="394"/>
      <c r="ACI55" s="394"/>
      <c r="ACJ55" s="394"/>
      <c r="ACK55" s="394"/>
      <c r="ACL55" s="394"/>
      <c r="ACM55" s="394"/>
      <c r="ACN55" s="394"/>
      <c r="ACO55" s="394"/>
      <c r="ACP55" s="394"/>
      <c r="ACQ55" s="394"/>
      <c r="ACR55" s="394"/>
      <c r="ACS55" s="394"/>
      <c r="ACT55" s="394"/>
      <c r="ACU55" s="394"/>
      <c r="ACV55" s="394"/>
      <c r="ACW55" s="394"/>
      <c r="ACX55" s="394"/>
      <c r="ACY55" s="394"/>
      <c r="ACZ55" s="394"/>
      <c r="ADA55" s="394"/>
      <c r="ADB55" s="394"/>
      <c r="ADC55" s="394"/>
      <c r="ADD55" s="394"/>
      <c r="ADE55" s="394"/>
      <c r="ADF55" s="394"/>
      <c r="ADG55" s="394"/>
      <c r="ADH55" s="394"/>
      <c r="ADI55" s="394"/>
      <c r="ADJ55" s="394"/>
      <c r="ADK55" s="394"/>
      <c r="ADL55" s="394"/>
      <c r="ADM55" s="394"/>
      <c r="ADN55" s="394"/>
      <c r="ADO55" s="394"/>
      <c r="ADP55" s="394"/>
      <c r="ADQ55" s="394"/>
      <c r="ADR55" s="394"/>
      <c r="ADS55" s="394"/>
      <c r="ADT55" s="394"/>
      <c r="ADU55" s="394"/>
      <c r="ADV55" s="394"/>
      <c r="ADW55" s="394"/>
      <c r="ADX55" s="394"/>
      <c r="ADY55" s="394"/>
      <c r="ADZ55" s="394"/>
      <c r="AEA55" s="394"/>
      <c r="AEB55" s="394"/>
      <c r="AEC55" s="394"/>
      <c r="AED55" s="394"/>
      <c r="AEE55" s="394"/>
      <c r="AEF55" s="394"/>
      <c r="AEG55" s="394"/>
      <c r="AEH55" s="394"/>
      <c r="AEI55" s="394"/>
      <c r="AEJ55" s="394"/>
      <c r="AEK55" s="394"/>
      <c r="AEL55" s="394"/>
      <c r="AEM55" s="394"/>
      <c r="AEN55" s="394"/>
      <c r="AEO55" s="394"/>
      <c r="AEP55" s="394"/>
      <c r="AEQ55" s="394"/>
      <c r="AER55" s="394"/>
      <c r="AES55" s="394"/>
      <c r="AET55" s="394"/>
      <c r="AEU55" s="394"/>
      <c r="AEV55" s="394"/>
      <c r="AEW55" s="394"/>
      <c r="AEX55" s="394"/>
      <c r="AEY55" s="394"/>
      <c r="AEZ55" s="394"/>
      <c r="AFA55" s="394"/>
      <c r="AFB55" s="394"/>
      <c r="AFC55" s="394"/>
      <c r="AFD55" s="394"/>
      <c r="AFE55" s="394"/>
      <c r="AFF55" s="394"/>
      <c r="AFG55" s="394"/>
      <c r="AFH55" s="394"/>
      <c r="AFI55" s="394"/>
      <c r="AFJ55" s="394"/>
      <c r="AFK55" s="394"/>
      <c r="AFL55" s="394"/>
      <c r="AFM55" s="394"/>
      <c r="AFN55" s="394"/>
      <c r="AFO55" s="394"/>
      <c r="AFP55" s="394"/>
      <c r="AFQ55" s="394"/>
      <c r="AFR55" s="394"/>
      <c r="AFS55" s="394"/>
      <c r="AFT55" s="394"/>
      <c r="AFU55" s="394"/>
      <c r="AFV55" s="394"/>
      <c r="AFW55" s="394"/>
      <c r="AFX55" s="394"/>
      <c r="AFY55" s="394"/>
      <c r="AFZ55" s="394"/>
      <c r="AGA55" s="394"/>
      <c r="AGB55" s="394"/>
      <c r="AGC55" s="394"/>
      <c r="AGD55" s="394"/>
      <c r="AGE55" s="394"/>
      <c r="AGF55" s="394"/>
      <c r="AGG55" s="394"/>
      <c r="AGH55" s="394"/>
      <c r="AGI55" s="394"/>
      <c r="AGJ55" s="394"/>
      <c r="AGK55" s="394"/>
      <c r="AGL55" s="394"/>
      <c r="AGM55" s="394"/>
      <c r="AGN55" s="394"/>
      <c r="AGO55" s="394"/>
      <c r="AGP55" s="394"/>
      <c r="AGQ55" s="394"/>
      <c r="AGR55" s="394"/>
      <c r="AGS55" s="394"/>
      <c r="AGT55" s="394"/>
      <c r="AGU55" s="394"/>
      <c r="AGV55" s="394"/>
      <c r="AGW55" s="394"/>
      <c r="AGX55" s="394"/>
      <c r="AGY55" s="394"/>
      <c r="AGZ55" s="394"/>
      <c r="AHA55" s="394"/>
      <c r="AHB55" s="394"/>
      <c r="AHC55" s="394"/>
      <c r="AHD55" s="394"/>
      <c r="AHE55" s="394"/>
      <c r="AHF55" s="394"/>
      <c r="AHG55" s="394"/>
      <c r="AHH55" s="394"/>
      <c r="AHI55" s="394"/>
      <c r="AHJ55" s="394"/>
      <c r="AHK55" s="394"/>
      <c r="AHL55" s="394"/>
      <c r="AHM55" s="394"/>
      <c r="AHN55" s="394"/>
      <c r="AHO55" s="394"/>
      <c r="AHP55" s="394"/>
      <c r="AHQ55" s="394"/>
      <c r="AHR55" s="394"/>
      <c r="AHS55" s="394"/>
      <c r="AHT55" s="394"/>
      <c r="AHU55" s="394"/>
      <c r="AHV55" s="394"/>
      <c r="AHW55" s="394"/>
      <c r="AHX55" s="394"/>
      <c r="AHY55" s="394"/>
      <c r="AHZ55" s="394"/>
      <c r="AIA55" s="394"/>
      <c r="AIB55" s="394"/>
      <c r="AIC55" s="394"/>
      <c r="AID55" s="394"/>
      <c r="AIE55" s="394"/>
      <c r="AIF55" s="394"/>
      <c r="AIG55" s="394"/>
      <c r="AIH55" s="394"/>
      <c r="AII55" s="394"/>
      <c r="AIJ55" s="394"/>
      <c r="AIK55" s="394"/>
      <c r="AIL55" s="394"/>
      <c r="AIM55" s="394"/>
      <c r="AIN55" s="394"/>
      <c r="AIO55" s="394"/>
      <c r="AIP55" s="394"/>
      <c r="AIQ55" s="394"/>
      <c r="AIR55" s="394"/>
      <c r="AIS55" s="394"/>
      <c r="AIT55" s="394"/>
      <c r="AIU55" s="394"/>
      <c r="AIV55" s="394"/>
      <c r="AIW55" s="394"/>
      <c r="AIX55" s="394"/>
      <c r="AIY55" s="394"/>
      <c r="AIZ55" s="394"/>
      <c r="AJA55" s="394"/>
      <c r="AJB55" s="394"/>
      <c r="AJC55" s="394"/>
      <c r="AJD55" s="394"/>
      <c r="AJE55" s="394"/>
      <c r="AJF55" s="394"/>
      <c r="AJG55" s="394"/>
      <c r="AJH55" s="394"/>
      <c r="AJI55" s="394"/>
      <c r="AJJ55" s="394"/>
      <c r="AJK55" s="394"/>
      <c r="AJL55" s="394"/>
      <c r="AJM55" s="394"/>
      <c r="AJN55" s="394"/>
      <c r="AJO55" s="394"/>
      <c r="AJP55" s="394"/>
      <c r="AJQ55" s="394"/>
      <c r="AJR55" s="394"/>
      <c r="AJS55" s="394"/>
      <c r="AJT55" s="394"/>
      <c r="AJU55" s="394"/>
      <c r="AJV55" s="394"/>
      <c r="AJW55" s="394"/>
      <c r="AJX55" s="394"/>
      <c r="AJY55" s="394"/>
      <c r="AJZ55" s="394"/>
      <c r="AKA55" s="394"/>
      <c r="AKB55" s="394"/>
      <c r="AKC55" s="394"/>
      <c r="AKD55" s="394"/>
      <c r="AKE55" s="394"/>
      <c r="AKF55" s="394"/>
      <c r="AKG55" s="394"/>
      <c r="AKH55" s="394"/>
      <c r="AKI55" s="394"/>
      <c r="AKJ55" s="394"/>
      <c r="AKK55" s="394"/>
      <c r="AKL55" s="394"/>
      <c r="AKM55" s="394"/>
      <c r="AKN55" s="394"/>
      <c r="AKO55" s="394"/>
      <c r="AKP55" s="394"/>
      <c r="AKQ55" s="394"/>
      <c r="AKR55" s="394"/>
      <c r="AKS55" s="394"/>
      <c r="AKT55" s="394"/>
      <c r="AKU55" s="394"/>
      <c r="AKV55" s="394"/>
      <c r="AKW55" s="394"/>
      <c r="AKX55" s="394"/>
      <c r="AKY55" s="394"/>
      <c r="AKZ55" s="394"/>
      <c r="ALA55" s="394"/>
      <c r="ALB55" s="394"/>
      <c r="ALC55" s="394"/>
      <c r="ALD55" s="394"/>
      <c r="ALE55" s="394"/>
      <c r="ALF55" s="394"/>
      <c r="ALG55" s="394"/>
      <c r="ALH55" s="394"/>
      <c r="ALI55" s="394"/>
      <c r="ALJ55" s="394"/>
      <c r="ALK55" s="394"/>
      <c r="ALL55" s="394"/>
      <c r="ALM55" s="394"/>
      <c r="ALN55" s="394"/>
      <c r="ALO55" s="394"/>
      <c r="ALP55" s="394"/>
      <c r="ALQ55" s="394"/>
      <c r="ALR55" s="394"/>
      <c r="ALS55" s="394"/>
      <c r="ALT55" s="394"/>
      <c r="ALU55" s="394"/>
      <c r="ALV55" s="394"/>
      <c r="ALW55" s="394"/>
      <c r="ALX55" s="394"/>
      <c r="ALY55" s="394"/>
      <c r="ALZ55" s="394"/>
      <c r="AMA55" s="394"/>
      <c r="AMB55" s="394"/>
      <c r="AMC55" s="394"/>
      <c r="AMD55" s="394"/>
      <c r="AME55" s="394"/>
      <c r="AMF55" s="394"/>
      <c r="AMG55" s="394"/>
      <c r="AMH55" s="394"/>
      <c r="AMI55" s="394"/>
      <c r="AMJ55" s="394"/>
      <c r="AMK55" s="394"/>
      <c r="AML55" s="394"/>
      <c r="AMM55" s="394"/>
      <c r="AMN55" s="394"/>
      <c r="AMO55" s="394"/>
      <c r="AMP55" s="394"/>
      <c r="AMQ55" s="394"/>
      <c r="AMR55" s="394"/>
      <c r="AMS55" s="394"/>
      <c r="AMT55" s="394"/>
      <c r="AMU55" s="394"/>
      <c r="AMV55" s="394"/>
      <c r="AMW55" s="394"/>
      <c r="AMX55" s="394"/>
      <c r="AMY55" s="394"/>
      <c r="AMZ55" s="394"/>
      <c r="ANA55" s="394"/>
      <c r="ANB55" s="394"/>
      <c r="ANC55" s="394"/>
      <c r="AND55" s="394"/>
      <c r="ANE55" s="394"/>
      <c r="ANF55" s="394"/>
      <c r="ANG55" s="394"/>
      <c r="ANH55" s="394"/>
      <c r="ANI55" s="394"/>
      <c r="ANJ55" s="394"/>
      <c r="ANK55" s="394"/>
      <c r="ANL55" s="394"/>
      <c r="ANM55" s="394"/>
      <c r="ANN55" s="394"/>
      <c r="ANO55" s="394"/>
      <c r="ANP55" s="394"/>
      <c r="ANQ55" s="394"/>
      <c r="ANR55" s="394"/>
      <c r="ANS55" s="394"/>
      <c r="ANT55" s="394"/>
      <c r="ANU55" s="394"/>
      <c r="ANV55" s="394"/>
      <c r="ANW55" s="394"/>
      <c r="ANX55" s="394"/>
      <c r="ANY55" s="394"/>
      <c r="ANZ55" s="394"/>
      <c r="AOA55" s="394"/>
      <c r="AOB55" s="394"/>
      <c r="AOC55" s="394"/>
      <c r="AOD55" s="394"/>
      <c r="AOE55" s="394"/>
      <c r="AOF55" s="394"/>
      <c r="AOG55" s="394"/>
      <c r="AOH55" s="394"/>
      <c r="AOI55" s="394"/>
      <c r="AOJ55" s="394"/>
      <c r="AOK55" s="394"/>
      <c r="AOL55" s="394"/>
      <c r="AOM55" s="394"/>
      <c r="AON55" s="394"/>
      <c r="AOO55" s="394"/>
      <c r="AOP55" s="394"/>
      <c r="AOQ55" s="394"/>
      <c r="AOR55" s="394"/>
      <c r="AOS55" s="394"/>
      <c r="AOT55" s="394"/>
      <c r="AOU55" s="394"/>
      <c r="AOV55" s="394"/>
      <c r="AOW55" s="394"/>
      <c r="AOX55" s="394"/>
      <c r="AOY55" s="394"/>
      <c r="AOZ55" s="394"/>
      <c r="APA55" s="394"/>
      <c r="APB55" s="394"/>
      <c r="APC55" s="394"/>
      <c r="APD55" s="394"/>
      <c r="APE55" s="394"/>
      <c r="APF55" s="394"/>
      <c r="APG55" s="394"/>
      <c r="APH55" s="394"/>
      <c r="API55" s="394"/>
      <c r="APJ55" s="394"/>
      <c r="APK55" s="394"/>
      <c r="APL55" s="394"/>
      <c r="APM55" s="394"/>
      <c r="APN55" s="394"/>
      <c r="APO55" s="394"/>
      <c r="APP55" s="394"/>
      <c r="APQ55" s="394"/>
      <c r="APR55" s="394"/>
      <c r="APS55" s="394"/>
      <c r="APT55" s="394"/>
      <c r="APU55" s="394"/>
      <c r="APV55" s="394"/>
      <c r="APW55" s="394"/>
      <c r="APX55" s="394"/>
      <c r="APY55" s="394"/>
      <c r="APZ55" s="394"/>
      <c r="AQA55" s="394"/>
      <c r="AQB55" s="394"/>
      <c r="AQC55" s="394"/>
      <c r="AQD55" s="394"/>
      <c r="AQE55" s="394"/>
      <c r="AQF55" s="394"/>
      <c r="AQG55" s="394"/>
      <c r="AQH55" s="394"/>
      <c r="AQI55" s="394"/>
      <c r="AQJ55" s="394"/>
      <c r="AQK55" s="394"/>
      <c r="AQL55" s="394"/>
      <c r="AQM55" s="394"/>
      <c r="AQN55" s="394"/>
      <c r="AQO55" s="394"/>
      <c r="AQP55" s="394"/>
      <c r="AQQ55" s="394"/>
      <c r="AQR55" s="394"/>
      <c r="AQS55" s="394"/>
      <c r="AQT55" s="394"/>
      <c r="AQU55" s="394"/>
      <c r="AQV55" s="394"/>
      <c r="AQW55" s="394"/>
      <c r="AQX55" s="394"/>
      <c r="AQY55" s="394"/>
      <c r="AQZ55" s="394"/>
      <c r="ARA55" s="394"/>
      <c r="ARB55" s="394"/>
      <c r="ARC55" s="394"/>
      <c r="ARD55" s="394"/>
      <c r="ARE55" s="394"/>
      <c r="ARF55" s="394"/>
      <c r="ARG55" s="394"/>
      <c r="ARH55" s="394"/>
      <c r="ARI55" s="394"/>
      <c r="ARJ55" s="394"/>
      <c r="ARK55" s="394"/>
      <c r="ARL55" s="394"/>
      <c r="ARM55" s="394"/>
      <c r="ARN55" s="394"/>
      <c r="ARO55" s="394"/>
      <c r="ARP55" s="394"/>
      <c r="ARQ55" s="394"/>
      <c r="ARR55" s="394"/>
      <c r="ARS55" s="394"/>
      <c r="ART55" s="394"/>
      <c r="ARU55" s="394"/>
      <c r="ARV55" s="394"/>
      <c r="ARW55" s="394"/>
      <c r="ARX55" s="394"/>
      <c r="ARY55" s="394"/>
      <c r="ARZ55" s="394"/>
      <c r="ASA55" s="394"/>
      <c r="ASB55" s="394"/>
      <c r="ASC55" s="394"/>
      <c r="ASD55" s="394"/>
      <c r="ASE55" s="394"/>
      <c r="ASF55" s="394"/>
      <c r="ASG55" s="394"/>
      <c r="ASH55" s="394"/>
      <c r="ASI55" s="394"/>
      <c r="ASJ55" s="394"/>
      <c r="ASK55" s="394"/>
      <c r="ASL55" s="394"/>
      <c r="ASM55" s="394"/>
      <c r="ASN55" s="394"/>
      <c r="ASO55" s="394"/>
      <c r="ASP55" s="394"/>
      <c r="ASQ55" s="394"/>
      <c r="ASR55" s="394"/>
      <c r="ASS55" s="394"/>
      <c r="AST55" s="394"/>
      <c r="ASU55" s="394"/>
      <c r="ASV55" s="394"/>
      <c r="ASW55" s="394"/>
      <c r="ASX55" s="394"/>
      <c r="ASY55" s="394"/>
      <c r="ASZ55" s="394"/>
      <c r="ATA55" s="394"/>
      <c r="ATB55" s="394"/>
      <c r="ATC55" s="394"/>
      <c r="ATD55" s="394"/>
      <c r="ATE55" s="394"/>
      <c r="ATF55" s="394"/>
      <c r="ATG55" s="394"/>
      <c r="ATH55" s="394"/>
      <c r="ATI55" s="394"/>
      <c r="ATJ55" s="394"/>
      <c r="ATK55" s="394"/>
      <c r="ATL55" s="394"/>
      <c r="ATM55" s="394"/>
      <c r="ATN55" s="394"/>
      <c r="ATO55" s="394"/>
      <c r="ATP55" s="394"/>
      <c r="ATQ55" s="394"/>
      <c r="ATR55" s="394"/>
      <c r="ATS55" s="394"/>
      <c r="ATT55" s="394"/>
      <c r="ATU55" s="394"/>
      <c r="ATV55" s="394"/>
      <c r="ATW55" s="394"/>
      <c r="ATX55" s="394"/>
      <c r="ATY55" s="394"/>
      <c r="ATZ55" s="394"/>
      <c r="AUA55" s="394"/>
      <c r="AUB55" s="394"/>
      <c r="AUC55" s="394"/>
      <c r="AUD55" s="394"/>
      <c r="AUE55" s="394"/>
      <c r="AUF55" s="394"/>
      <c r="AUG55" s="394"/>
      <c r="AUH55" s="394"/>
      <c r="AUI55" s="394"/>
      <c r="AUJ55" s="394"/>
      <c r="AUK55" s="394"/>
      <c r="AUL55" s="394"/>
      <c r="AUM55" s="394"/>
      <c r="AUN55" s="394"/>
      <c r="AUO55" s="394"/>
      <c r="AUP55" s="394"/>
      <c r="AUQ55" s="394"/>
      <c r="AUR55" s="394"/>
      <c r="AUS55" s="394"/>
      <c r="AUT55" s="394"/>
      <c r="AUU55" s="394"/>
      <c r="AUV55" s="394"/>
      <c r="AUW55" s="394"/>
      <c r="AUX55" s="394"/>
      <c r="AUY55" s="394"/>
      <c r="AUZ55" s="394"/>
      <c r="AVA55" s="394"/>
      <c r="AVB55" s="394"/>
      <c r="AVC55" s="394"/>
      <c r="AVD55" s="394"/>
      <c r="AVE55" s="394"/>
      <c r="AVF55" s="394"/>
      <c r="AVG55" s="394"/>
      <c r="AVH55" s="394"/>
      <c r="AVI55" s="394"/>
      <c r="AVJ55" s="394"/>
      <c r="AVK55" s="394"/>
      <c r="AVL55" s="394"/>
      <c r="AVM55" s="394"/>
      <c r="AVN55" s="394"/>
      <c r="AVO55" s="394"/>
      <c r="AVP55" s="394"/>
      <c r="AVQ55" s="394"/>
      <c r="AVR55" s="394"/>
      <c r="AVS55" s="394"/>
      <c r="AVT55" s="394"/>
      <c r="AVU55" s="394"/>
      <c r="AVV55" s="394"/>
      <c r="AVW55" s="394"/>
      <c r="AVX55" s="394"/>
      <c r="AVY55" s="394"/>
      <c r="AVZ55" s="394"/>
      <c r="AWA55" s="394"/>
      <c r="AWB55" s="394"/>
      <c r="AWC55" s="394"/>
      <c r="AWD55" s="394"/>
      <c r="AWE55" s="394"/>
      <c r="AWF55" s="394"/>
      <c r="AWG55" s="394"/>
      <c r="AWH55" s="394"/>
      <c r="AWI55" s="394"/>
      <c r="AWJ55" s="394"/>
      <c r="AWK55" s="394"/>
      <c r="AWL55" s="394"/>
      <c r="AWM55" s="394"/>
      <c r="AWN55" s="394"/>
      <c r="AWO55" s="394"/>
      <c r="AWP55" s="394"/>
      <c r="AWQ55" s="394"/>
      <c r="AWR55" s="394"/>
      <c r="AWS55" s="394"/>
      <c r="AWT55" s="394"/>
      <c r="AWU55" s="394"/>
      <c r="AWV55" s="394"/>
      <c r="AWW55" s="394"/>
      <c r="AWX55" s="394"/>
      <c r="AWY55" s="394"/>
      <c r="AWZ55" s="394"/>
      <c r="AXA55" s="394"/>
      <c r="AXB55" s="394"/>
      <c r="AXC55" s="394"/>
      <c r="AXD55" s="394"/>
      <c r="AXE55" s="394"/>
      <c r="AXF55" s="394"/>
      <c r="AXG55" s="394"/>
      <c r="AXH55" s="394"/>
      <c r="AXI55" s="394"/>
      <c r="AXJ55" s="394"/>
      <c r="AXK55" s="394"/>
      <c r="AXL55" s="394"/>
      <c r="AXM55" s="394"/>
      <c r="AXN55" s="394"/>
      <c r="AXO55" s="394"/>
      <c r="AXP55" s="394"/>
      <c r="AXQ55" s="394"/>
      <c r="AXR55" s="394"/>
      <c r="AXS55" s="394"/>
      <c r="AXT55" s="394"/>
      <c r="AXU55" s="394"/>
      <c r="AXV55" s="394"/>
      <c r="AXW55" s="394"/>
      <c r="AXX55" s="394"/>
      <c r="AXY55" s="394"/>
      <c r="AXZ55" s="394"/>
      <c r="AYA55" s="394"/>
      <c r="AYB55" s="394"/>
      <c r="AYC55" s="394"/>
      <c r="AYD55" s="394"/>
      <c r="AYE55" s="394"/>
      <c r="AYF55" s="394"/>
      <c r="AYG55" s="394"/>
      <c r="AYH55" s="394"/>
      <c r="AYI55" s="394"/>
      <c r="AYJ55" s="394"/>
      <c r="AYK55" s="394"/>
      <c r="AYL55" s="394"/>
      <c r="AYM55" s="394"/>
      <c r="AYN55" s="394"/>
      <c r="AYO55" s="394"/>
      <c r="AYP55" s="394"/>
      <c r="AYQ55" s="394"/>
      <c r="AYR55" s="394"/>
      <c r="AYS55" s="394"/>
      <c r="AYT55" s="394"/>
      <c r="AYU55" s="394"/>
      <c r="AYV55" s="394"/>
      <c r="AYW55" s="394"/>
      <c r="AYX55" s="394"/>
      <c r="AYY55" s="394"/>
      <c r="AYZ55" s="394"/>
      <c r="AZA55" s="394"/>
      <c r="AZB55" s="394"/>
      <c r="AZC55" s="394"/>
      <c r="AZD55" s="394"/>
      <c r="AZE55" s="394"/>
      <c r="AZF55" s="394"/>
      <c r="AZG55" s="394"/>
      <c r="AZH55" s="394"/>
      <c r="AZI55" s="394"/>
      <c r="AZJ55" s="394"/>
      <c r="AZK55" s="394"/>
      <c r="AZL55" s="394"/>
      <c r="AZM55" s="394"/>
      <c r="AZN55" s="394"/>
      <c r="AZO55" s="394"/>
      <c r="AZP55" s="394"/>
      <c r="AZQ55" s="394"/>
      <c r="AZR55" s="394"/>
      <c r="AZS55" s="394"/>
      <c r="AZT55" s="394"/>
      <c r="AZU55" s="394"/>
      <c r="AZV55" s="394"/>
      <c r="AZW55" s="394"/>
      <c r="AZX55" s="394"/>
      <c r="AZY55" s="394"/>
      <c r="AZZ55" s="394"/>
      <c r="BAA55" s="394"/>
      <c r="BAB55" s="394"/>
      <c r="BAC55" s="394"/>
      <c r="BAD55" s="394"/>
      <c r="BAE55" s="394"/>
      <c r="BAF55" s="394"/>
      <c r="BAG55" s="394"/>
      <c r="BAH55" s="394"/>
      <c r="BAI55" s="394"/>
      <c r="BAJ55" s="394"/>
      <c r="BAK55" s="394"/>
      <c r="BAL55" s="394"/>
      <c r="BAM55" s="394"/>
      <c r="BAN55" s="394"/>
      <c r="BAO55" s="394"/>
      <c r="BAP55" s="394"/>
      <c r="BAQ55" s="394"/>
      <c r="BAR55" s="394"/>
      <c r="BAS55" s="394"/>
      <c r="BAT55" s="394"/>
      <c r="BAU55" s="394"/>
      <c r="BAV55" s="394"/>
      <c r="BAW55" s="394"/>
      <c r="BAX55" s="394"/>
      <c r="BAY55" s="394"/>
      <c r="BAZ55" s="394"/>
      <c r="BBA55" s="394"/>
      <c r="BBB55" s="394"/>
      <c r="BBC55" s="394"/>
      <c r="BBD55" s="394"/>
      <c r="BBE55" s="394"/>
      <c r="BBF55" s="394"/>
      <c r="BBG55" s="394"/>
      <c r="BBH55" s="394"/>
      <c r="BBI55" s="394"/>
      <c r="BBJ55" s="394"/>
      <c r="BBK55" s="394"/>
      <c r="BBL55" s="394"/>
      <c r="BBM55" s="394"/>
      <c r="BBN55" s="394"/>
      <c r="BBO55" s="394"/>
      <c r="BBP55" s="394"/>
      <c r="BBQ55" s="394"/>
      <c r="BBR55" s="394"/>
      <c r="BBS55" s="394"/>
      <c r="BBT55" s="394"/>
      <c r="BBU55" s="394"/>
      <c r="BBV55" s="394"/>
      <c r="BBW55" s="394"/>
      <c r="BBX55" s="394"/>
      <c r="BBY55" s="394"/>
      <c r="BBZ55" s="394"/>
      <c r="BCA55" s="394"/>
      <c r="BCB55" s="394"/>
      <c r="BCC55" s="394"/>
      <c r="BCD55" s="394"/>
      <c r="BCE55" s="394"/>
      <c r="BCF55" s="394"/>
      <c r="BCG55" s="394"/>
      <c r="BCH55" s="394"/>
      <c r="BCI55" s="394"/>
      <c r="BCJ55" s="394"/>
      <c r="BCK55" s="394"/>
      <c r="BCL55" s="394"/>
      <c r="BCM55" s="394"/>
      <c r="BCN55" s="394"/>
      <c r="BCO55" s="394"/>
      <c r="BCP55" s="394"/>
      <c r="BCQ55" s="394"/>
      <c r="BCR55" s="394"/>
      <c r="BCS55" s="394"/>
      <c r="BCT55" s="394"/>
      <c r="BCU55" s="394"/>
      <c r="BCV55" s="394"/>
      <c r="BCW55" s="394"/>
      <c r="BCX55" s="394"/>
      <c r="BCY55" s="394"/>
      <c r="BCZ55" s="394"/>
      <c r="BDA55" s="394"/>
      <c r="BDB55" s="394"/>
      <c r="BDC55" s="394"/>
      <c r="BDD55" s="394"/>
      <c r="BDE55" s="394"/>
      <c r="BDF55" s="394"/>
      <c r="BDG55" s="394"/>
      <c r="BDH55" s="394"/>
      <c r="BDI55" s="394"/>
      <c r="BDJ55" s="394"/>
      <c r="BDK55" s="394"/>
      <c r="BDL55" s="394"/>
      <c r="BDM55" s="394"/>
      <c r="BDN55" s="394"/>
      <c r="BDO55" s="394"/>
      <c r="BDP55" s="394"/>
      <c r="BDQ55" s="394"/>
      <c r="BDR55" s="394"/>
      <c r="BDS55" s="394"/>
      <c r="BDT55" s="394"/>
      <c r="BDU55" s="394"/>
      <c r="BDV55" s="394"/>
      <c r="BDW55" s="394"/>
      <c r="BDX55" s="394"/>
      <c r="BDY55" s="394"/>
      <c r="BDZ55" s="394"/>
      <c r="BEA55" s="394"/>
      <c r="BEB55" s="394"/>
      <c r="BEC55" s="394"/>
      <c r="BED55" s="394"/>
      <c r="BEE55" s="394"/>
      <c r="BEF55" s="394"/>
      <c r="BEG55" s="394"/>
      <c r="BEH55" s="394"/>
      <c r="BEI55" s="394"/>
      <c r="BEJ55" s="394"/>
      <c r="BEK55" s="394"/>
      <c r="BEL55" s="394"/>
      <c r="BEM55" s="394"/>
      <c r="BEN55" s="394"/>
      <c r="BEO55" s="394"/>
      <c r="BEP55" s="394"/>
      <c r="BEQ55" s="394"/>
      <c r="BER55" s="394"/>
      <c r="BES55" s="394"/>
      <c r="BET55" s="394"/>
      <c r="BEU55" s="394"/>
      <c r="BEV55" s="394"/>
      <c r="BEW55" s="394"/>
      <c r="BEX55" s="394"/>
      <c r="BEY55" s="394"/>
      <c r="BEZ55" s="394"/>
      <c r="BFA55" s="394"/>
      <c r="BFB55" s="394"/>
      <c r="BFC55" s="394"/>
      <c r="BFD55" s="394"/>
      <c r="BFE55" s="394"/>
      <c r="BFF55" s="394"/>
      <c r="BFG55" s="394"/>
      <c r="BFH55" s="394"/>
      <c r="BFI55" s="394"/>
      <c r="BFJ55" s="394"/>
      <c r="BFK55" s="394"/>
      <c r="BFL55" s="394"/>
      <c r="BFM55" s="394"/>
      <c r="BFN55" s="394"/>
      <c r="BFO55" s="394"/>
      <c r="BFP55" s="394"/>
      <c r="BFQ55" s="394"/>
      <c r="BFR55" s="394"/>
      <c r="BFS55" s="394"/>
      <c r="BFT55" s="394"/>
      <c r="BFU55" s="394"/>
      <c r="BFV55" s="394"/>
      <c r="BFW55" s="394"/>
      <c r="BFX55" s="394"/>
      <c r="BFY55" s="394"/>
      <c r="BFZ55" s="394"/>
      <c r="BGA55" s="394"/>
      <c r="BGB55" s="394"/>
      <c r="BGC55" s="394"/>
      <c r="BGD55" s="394"/>
      <c r="BGE55" s="394"/>
      <c r="BGF55" s="394"/>
      <c r="BGG55" s="394"/>
      <c r="BGH55" s="394"/>
      <c r="BGI55" s="394"/>
      <c r="BGJ55" s="394"/>
      <c r="BGK55" s="394"/>
      <c r="BGL55" s="394"/>
      <c r="BGM55" s="394"/>
      <c r="BGN55" s="394"/>
      <c r="BGO55" s="394"/>
      <c r="BGP55" s="394"/>
      <c r="BGQ55" s="394"/>
      <c r="BGR55" s="394"/>
      <c r="BGS55" s="394"/>
      <c r="BGT55" s="394"/>
      <c r="BGU55" s="394"/>
      <c r="BGV55" s="394"/>
      <c r="BGW55" s="394"/>
      <c r="BGX55" s="394"/>
      <c r="BGY55" s="394"/>
      <c r="BGZ55" s="394"/>
      <c r="BHA55" s="394"/>
      <c r="BHB55" s="394"/>
      <c r="BHC55" s="394"/>
      <c r="BHD55" s="394"/>
      <c r="BHE55" s="394"/>
      <c r="BHF55" s="394"/>
      <c r="BHG55" s="394"/>
      <c r="BHH55" s="394"/>
      <c r="BHI55" s="394"/>
      <c r="BHJ55" s="394"/>
      <c r="BHK55" s="394"/>
      <c r="BHL55" s="394"/>
      <c r="BHM55" s="394"/>
      <c r="BHN55" s="394"/>
      <c r="BHO55" s="394"/>
      <c r="BHP55" s="394"/>
      <c r="BHQ55" s="394"/>
      <c r="BHR55" s="394"/>
      <c r="BHS55" s="394"/>
      <c r="BHT55" s="394"/>
      <c r="BHU55" s="394"/>
      <c r="BHV55" s="394"/>
      <c r="BHW55" s="394"/>
      <c r="BHX55" s="394"/>
      <c r="BHY55" s="394"/>
      <c r="BHZ55" s="394"/>
      <c r="BIA55" s="394"/>
      <c r="BIB55" s="394"/>
      <c r="BIC55" s="394"/>
      <c r="BID55" s="394"/>
      <c r="BIE55" s="394"/>
      <c r="BIF55" s="394"/>
      <c r="BIG55" s="394"/>
      <c r="BIH55" s="394"/>
      <c r="BII55" s="394"/>
      <c r="BIJ55" s="394"/>
      <c r="BIK55" s="394"/>
      <c r="BIL55" s="394"/>
      <c r="BIM55" s="394"/>
      <c r="BIN55" s="394"/>
      <c r="BIO55" s="394"/>
      <c r="BIP55" s="394"/>
      <c r="BIQ55" s="394"/>
      <c r="BIR55" s="394"/>
      <c r="BIS55" s="394"/>
      <c r="BIT55" s="394"/>
      <c r="BIU55" s="394"/>
      <c r="BIV55" s="394"/>
      <c r="BIW55" s="394"/>
      <c r="BIX55" s="394"/>
      <c r="BIY55" s="394"/>
      <c r="BIZ55" s="394"/>
      <c r="BJA55" s="394"/>
      <c r="BJB55" s="394"/>
      <c r="BJC55" s="394"/>
      <c r="BJD55" s="394"/>
      <c r="BJE55" s="394"/>
      <c r="BJF55" s="394"/>
      <c r="BJG55" s="394"/>
      <c r="BJH55" s="394"/>
      <c r="BJI55" s="394"/>
      <c r="BJJ55" s="394"/>
      <c r="BJK55" s="394"/>
      <c r="BJL55" s="394"/>
      <c r="BJM55" s="394"/>
      <c r="BJN55" s="394"/>
      <c r="BJO55" s="394"/>
      <c r="BJP55" s="394"/>
      <c r="BJQ55" s="394"/>
      <c r="BJR55" s="394"/>
      <c r="BJS55" s="394"/>
      <c r="BJT55" s="394"/>
      <c r="BJU55" s="394"/>
      <c r="BJV55" s="394"/>
      <c r="BJW55" s="394"/>
      <c r="BJX55" s="394"/>
      <c r="BJY55" s="394"/>
      <c r="BJZ55" s="394"/>
      <c r="BKA55" s="394"/>
      <c r="BKB55" s="394"/>
      <c r="BKC55" s="394"/>
      <c r="BKD55" s="394"/>
      <c r="BKE55" s="394"/>
      <c r="BKF55" s="394"/>
      <c r="BKG55" s="394"/>
      <c r="BKH55" s="394"/>
      <c r="BKI55" s="394"/>
      <c r="BKJ55" s="394"/>
      <c r="BKK55" s="394"/>
      <c r="BKL55" s="394"/>
      <c r="BKM55" s="394"/>
      <c r="BKN55" s="394"/>
      <c r="BKO55" s="394"/>
      <c r="BKP55" s="394"/>
      <c r="BKQ55" s="394"/>
      <c r="BKR55" s="394"/>
      <c r="BKS55" s="394"/>
      <c r="BKT55" s="394"/>
      <c r="BKU55" s="394"/>
      <c r="BKV55" s="394"/>
      <c r="BKW55" s="394"/>
      <c r="BKX55" s="394"/>
      <c r="BKY55" s="394"/>
      <c r="BKZ55" s="394"/>
      <c r="BLA55" s="394"/>
      <c r="BLB55" s="394"/>
      <c r="BLC55" s="394"/>
      <c r="BLD55" s="394"/>
      <c r="BLE55" s="394"/>
      <c r="BLF55" s="394"/>
      <c r="BLG55" s="394"/>
      <c r="BLH55" s="394"/>
      <c r="BLI55" s="394"/>
      <c r="BLJ55" s="394"/>
      <c r="BLK55" s="394"/>
      <c r="BLL55" s="394"/>
      <c r="BLM55" s="394"/>
      <c r="BLN55" s="394"/>
      <c r="BLO55" s="394"/>
      <c r="BLP55" s="394"/>
      <c r="BLQ55" s="394"/>
      <c r="BLR55" s="394"/>
      <c r="BLS55" s="394"/>
      <c r="BLT55" s="394"/>
      <c r="BLU55" s="394"/>
      <c r="BLV55" s="394"/>
      <c r="BLW55" s="394"/>
      <c r="BLX55" s="394"/>
      <c r="BLY55" s="394"/>
      <c r="BLZ55" s="394"/>
      <c r="BMA55" s="394"/>
      <c r="BMB55" s="394"/>
      <c r="BMC55" s="394"/>
      <c r="BMD55" s="394"/>
      <c r="BME55" s="394"/>
      <c r="BMF55" s="394"/>
      <c r="BMG55" s="394"/>
      <c r="BMH55" s="394"/>
      <c r="BMI55" s="394"/>
      <c r="BMJ55" s="394"/>
      <c r="BMK55" s="394"/>
      <c r="BML55" s="394"/>
      <c r="BMM55" s="394"/>
      <c r="BMN55" s="394"/>
      <c r="BMO55" s="394"/>
      <c r="BMP55" s="394"/>
      <c r="BMQ55" s="394"/>
      <c r="BMR55" s="394"/>
      <c r="BMS55" s="394"/>
      <c r="BMT55" s="394"/>
      <c r="BMU55" s="394"/>
      <c r="BMV55" s="394"/>
      <c r="BMW55" s="394"/>
      <c r="BMX55" s="394"/>
      <c r="BMY55" s="394"/>
      <c r="BMZ55" s="394"/>
      <c r="BNA55" s="394"/>
      <c r="BNB55" s="394"/>
      <c r="BNC55" s="394"/>
      <c r="BND55" s="394"/>
      <c r="BNE55" s="394"/>
      <c r="BNF55" s="394"/>
      <c r="BNG55" s="394"/>
      <c r="BNH55" s="394"/>
      <c r="BNI55" s="394"/>
      <c r="BNJ55" s="394"/>
      <c r="BNK55" s="394"/>
      <c r="BNL55" s="394"/>
      <c r="BNM55" s="394"/>
      <c r="BNN55" s="394"/>
      <c r="BNO55" s="394"/>
      <c r="BNP55" s="394"/>
      <c r="BNQ55" s="394"/>
      <c r="BNR55" s="394"/>
      <c r="BNS55" s="394"/>
      <c r="BNT55" s="394"/>
      <c r="BNU55" s="394"/>
      <c r="BNV55" s="394"/>
      <c r="BNW55" s="394"/>
      <c r="BNX55" s="394"/>
      <c r="BNY55" s="394"/>
      <c r="BNZ55" s="394"/>
      <c r="BOA55" s="394"/>
      <c r="BOB55" s="394"/>
      <c r="BOC55" s="394"/>
      <c r="BOD55" s="394"/>
      <c r="BOE55" s="394"/>
      <c r="BOF55" s="394"/>
      <c r="BOG55" s="394"/>
      <c r="BOH55" s="394"/>
      <c r="BOI55" s="394"/>
      <c r="BOJ55" s="394"/>
      <c r="BOK55" s="394"/>
      <c r="BOL55" s="394"/>
      <c r="BOM55" s="394"/>
      <c r="BON55" s="394"/>
      <c r="BOO55" s="394"/>
      <c r="BOP55" s="394"/>
      <c r="BOQ55" s="394"/>
      <c r="BOR55" s="394"/>
      <c r="BOS55" s="394"/>
      <c r="BOT55" s="394"/>
      <c r="BOU55" s="394"/>
      <c r="BOV55" s="394"/>
      <c r="BOW55" s="394"/>
      <c r="BOX55" s="394"/>
      <c r="BOY55" s="394"/>
      <c r="BOZ55" s="394"/>
      <c r="BPA55" s="394"/>
      <c r="BPB55" s="394"/>
      <c r="BPC55" s="394"/>
      <c r="BPD55" s="394"/>
      <c r="BPE55" s="394"/>
      <c r="BPF55" s="394"/>
      <c r="BPG55" s="394"/>
      <c r="BPH55" s="394"/>
      <c r="BPI55" s="394"/>
      <c r="BPJ55" s="394"/>
      <c r="BPK55" s="394"/>
      <c r="BPL55" s="394"/>
      <c r="BPM55" s="394"/>
      <c r="BPN55" s="394"/>
      <c r="BPO55" s="394"/>
      <c r="BPP55" s="394"/>
      <c r="BPQ55" s="394"/>
      <c r="BPR55" s="394"/>
      <c r="BPS55" s="394"/>
      <c r="BPT55" s="394"/>
      <c r="BPU55" s="394"/>
      <c r="BPV55" s="394"/>
      <c r="BPW55" s="394"/>
      <c r="BPX55" s="394"/>
      <c r="BPY55" s="394"/>
      <c r="BPZ55" s="394"/>
      <c r="BQA55" s="394"/>
      <c r="BQB55" s="394"/>
      <c r="BQC55" s="394"/>
      <c r="BQD55" s="394"/>
      <c r="BQE55" s="394"/>
      <c r="BQF55" s="394"/>
      <c r="BQG55" s="394"/>
      <c r="BQH55" s="394"/>
      <c r="BQI55" s="394"/>
      <c r="BQJ55" s="394"/>
      <c r="BQK55" s="394"/>
      <c r="BQL55" s="394"/>
      <c r="BQM55" s="394"/>
      <c r="BQN55" s="394"/>
      <c r="BQO55" s="394"/>
      <c r="BQP55" s="394"/>
      <c r="BQQ55" s="394"/>
      <c r="BQR55" s="394"/>
      <c r="BQS55" s="394"/>
      <c r="BQT55" s="394"/>
      <c r="BQU55" s="394"/>
      <c r="BQV55" s="394"/>
      <c r="BQW55" s="394"/>
      <c r="BQX55" s="394"/>
      <c r="BQY55" s="394"/>
      <c r="BQZ55" s="394"/>
      <c r="BRA55" s="394"/>
      <c r="BRB55" s="394"/>
      <c r="BRC55" s="394"/>
      <c r="BRD55" s="394"/>
      <c r="BRE55" s="394"/>
      <c r="BRF55" s="394"/>
      <c r="BRG55" s="394"/>
      <c r="BRH55" s="394"/>
      <c r="BRI55" s="394"/>
      <c r="BRJ55" s="394"/>
      <c r="BRK55" s="394"/>
      <c r="BRL55" s="394"/>
      <c r="BRM55" s="394"/>
      <c r="BRN55" s="394"/>
      <c r="BRO55" s="394"/>
      <c r="BRP55" s="394"/>
      <c r="BRQ55" s="394"/>
      <c r="BRR55" s="394"/>
      <c r="BRS55" s="394"/>
      <c r="BRT55" s="394"/>
      <c r="BRU55" s="394"/>
      <c r="BRV55" s="394"/>
      <c r="BRW55" s="394"/>
      <c r="BRX55" s="394"/>
      <c r="BRY55" s="394"/>
      <c r="BRZ55" s="394"/>
      <c r="BSA55" s="394"/>
      <c r="BSB55" s="394"/>
      <c r="BSC55" s="394"/>
      <c r="BSD55" s="394"/>
      <c r="BSE55" s="394"/>
      <c r="BSF55" s="394"/>
      <c r="BSG55" s="394"/>
      <c r="BSH55" s="394"/>
      <c r="BSI55" s="394"/>
      <c r="BSJ55" s="394"/>
      <c r="BSK55" s="394"/>
      <c r="BSL55" s="394"/>
      <c r="BSM55" s="394"/>
      <c r="BSN55" s="394"/>
      <c r="BSO55" s="394"/>
      <c r="BSP55" s="394"/>
      <c r="BSQ55" s="394"/>
      <c r="BSR55" s="394"/>
      <c r="BSS55" s="394"/>
      <c r="BST55" s="394"/>
      <c r="BSU55" s="394"/>
      <c r="BSV55" s="394"/>
      <c r="BSW55" s="394"/>
      <c r="BSX55" s="394"/>
      <c r="BSY55" s="394"/>
      <c r="BSZ55" s="394"/>
      <c r="BTA55" s="394"/>
      <c r="BTB55" s="394"/>
      <c r="BTC55" s="394"/>
      <c r="BTD55" s="394"/>
      <c r="BTE55" s="394"/>
      <c r="BTF55" s="394"/>
      <c r="BTG55" s="394"/>
      <c r="BTH55" s="394"/>
      <c r="BTI55" s="394"/>
    </row>
    <row r="56" spans="1:1881" s="378" customFormat="1" ht="68.25" customHeight="1" x14ac:dyDescent="0.25">
      <c r="A56" s="455">
        <v>646</v>
      </c>
      <c r="B56" s="456" t="s">
        <v>830</v>
      </c>
      <c r="C56" s="851" t="s">
        <v>160</v>
      </c>
      <c r="D56" s="459" t="s">
        <v>831</v>
      </c>
      <c r="E56" s="454" t="s">
        <v>832</v>
      </c>
      <c r="F56" s="624"/>
      <c r="G56" s="395">
        <f>IF(F56&lt;0,"Note: Number is normally positive.",)</f>
        <v>0</v>
      </c>
      <c r="H56" s="149"/>
      <c r="I56" s="297"/>
      <c r="J56" s="365"/>
      <c r="K56" s="394"/>
      <c r="L56" s="833" t="s">
        <v>1150</v>
      </c>
      <c r="M56" s="610"/>
      <c r="N56" s="635"/>
      <c r="O56" s="394"/>
      <c r="P56" s="394"/>
      <c r="Q56" s="394"/>
      <c r="R56" s="394"/>
      <c r="S56" s="394"/>
      <c r="T56" s="394"/>
      <c r="U56" s="394"/>
      <c r="V56" s="394"/>
      <c r="W56" s="394"/>
      <c r="X56" s="394"/>
      <c r="Y56" s="394"/>
      <c r="Z56" s="394"/>
      <c r="AA56" s="394"/>
      <c r="AB56" s="394"/>
      <c r="AC56" s="394"/>
      <c r="AD56" s="394"/>
      <c r="AE56" s="394"/>
      <c r="AF56" s="394"/>
      <c r="AG56" s="394"/>
      <c r="AH56" s="394"/>
      <c r="AI56" s="394"/>
      <c r="AJ56" s="394"/>
      <c r="AK56" s="394"/>
      <c r="AL56" s="394"/>
      <c r="AM56" s="394"/>
      <c r="AN56" s="394"/>
      <c r="AO56" s="394"/>
      <c r="AP56" s="394"/>
      <c r="AQ56" s="394"/>
      <c r="AR56" s="394"/>
      <c r="AS56" s="394"/>
      <c r="AT56" s="394"/>
      <c r="AU56" s="394"/>
      <c r="AV56" s="394"/>
      <c r="AW56" s="394"/>
      <c r="AX56" s="394"/>
      <c r="AY56" s="394"/>
      <c r="AZ56" s="394"/>
      <c r="BA56" s="394"/>
      <c r="BB56" s="394"/>
      <c r="BC56" s="394"/>
      <c r="BD56" s="394"/>
      <c r="BE56" s="394"/>
      <c r="BF56" s="394"/>
      <c r="BG56" s="394"/>
      <c r="BH56" s="394"/>
      <c r="BI56" s="394"/>
      <c r="BJ56" s="394"/>
      <c r="BK56" s="394"/>
      <c r="BL56" s="394"/>
      <c r="BM56" s="394"/>
      <c r="BN56" s="394"/>
      <c r="BO56" s="394"/>
      <c r="BP56" s="394"/>
      <c r="BQ56" s="394"/>
      <c r="BR56" s="394"/>
      <c r="BS56" s="394"/>
      <c r="BT56" s="394"/>
      <c r="BU56" s="394"/>
      <c r="BV56" s="394"/>
      <c r="BW56" s="394"/>
      <c r="BX56" s="394"/>
      <c r="BY56" s="394"/>
      <c r="BZ56" s="394"/>
      <c r="CA56" s="394"/>
      <c r="CB56" s="394"/>
      <c r="CC56" s="394"/>
      <c r="CD56" s="394"/>
      <c r="CE56" s="394"/>
      <c r="CF56" s="394"/>
      <c r="CG56" s="394"/>
      <c r="CH56" s="394"/>
      <c r="CI56" s="394"/>
      <c r="CJ56" s="394"/>
      <c r="CK56" s="394"/>
      <c r="CL56" s="394"/>
      <c r="CM56" s="394"/>
      <c r="CN56" s="394"/>
      <c r="CO56" s="394"/>
      <c r="CP56" s="394"/>
      <c r="CQ56" s="394"/>
      <c r="CR56" s="394"/>
      <c r="CS56" s="394"/>
      <c r="CT56" s="394"/>
      <c r="CU56" s="394"/>
      <c r="CV56" s="394"/>
      <c r="CW56" s="394"/>
      <c r="CX56" s="394"/>
      <c r="CY56" s="394"/>
      <c r="CZ56" s="394"/>
      <c r="DA56" s="394"/>
      <c r="DB56" s="394"/>
      <c r="DC56" s="394"/>
      <c r="DD56" s="394"/>
      <c r="DE56" s="394"/>
      <c r="DF56" s="394"/>
      <c r="DG56" s="394"/>
      <c r="DH56" s="394"/>
      <c r="DI56" s="394"/>
      <c r="DJ56" s="394"/>
      <c r="DK56" s="394"/>
      <c r="DL56" s="394"/>
      <c r="DM56" s="394"/>
      <c r="DN56" s="394"/>
      <c r="DO56" s="394"/>
      <c r="DP56" s="394"/>
      <c r="DQ56" s="394"/>
      <c r="DR56" s="394"/>
      <c r="DS56" s="394"/>
      <c r="DT56" s="394"/>
      <c r="DU56" s="394"/>
      <c r="DV56" s="394"/>
      <c r="DW56" s="394"/>
      <c r="DX56" s="394"/>
      <c r="DY56" s="394"/>
      <c r="DZ56" s="394"/>
      <c r="EA56" s="394"/>
      <c r="EB56" s="394"/>
      <c r="EC56" s="394"/>
      <c r="ED56" s="394"/>
      <c r="EE56" s="394"/>
      <c r="EF56" s="394"/>
      <c r="EG56" s="394"/>
      <c r="EH56" s="394"/>
      <c r="EI56" s="394"/>
      <c r="EJ56" s="394"/>
      <c r="EK56" s="394"/>
      <c r="EL56" s="394"/>
      <c r="EM56" s="394"/>
      <c r="EN56" s="394"/>
      <c r="EO56" s="394"/>
      <c r="EP56" s="394"/>
      <c r="EQ56" s="394"/>
      <c r="ER56" s="394"/>
      <c r="ES56" s="394"/>
      <c r="ET56" s="394"/>
      <c r="EU56" s="394"/>
      <c r="EV56" s="394"/>
      <c r="EW56" s="394"/>
      <c r="EX56" s="394"/>
      <c r="EY56" s="394"/>
      <c r="EZ56" s="394"/>
      <c r="FA56" s="394"/>
      <c r="FB56" s="394"/>
      <c r="FC56" s="394"/>
      <c r="FD56" s="394"/>
      <c r="FE56" s="394"/>
      <c r="FF56" s="394"/>
      <c r="FG56" s="394"/>
      <c r="FH56" s="394"/>
      <c r="FI56" s="394"/>
      <c r="FJ56" s="394"/>
      <c r="FK56" s="394"/>
      <c r="FL56" s="394"/>
      <c r="FM56" s="394"/>
      <c r="FN56" s="394"/>
      <c r="FO56" s="394"/>
      <c r="FP56" s="394"/>
      <c r="FQ56" s="394"/>
      <c r="FR56" s="394"/>
      <c r="FS56" s="394"/>
      <c r="FT56" s="394"/>
      <c r="FU56" s="394"/>
      <c r="FV56" s="394"/>
      <c r="FW56" s="394"/>
      <c r="FX56" s="394"/>
      <c r="FY56" s="394"/>
      <c r="FZ56" s="394"/>
      <c r="GA56" s="394"/>
      <c r="GB56" s="394"/>
      <c r="GC56" s="394"/>
      <c r="GD56" s="394"/>
      <c r="GE56" s="394"/>
      <c r="GF56" s="394"/>
      <c r="GG56" s="394"/>
      <c r="GH56" s="394"/>
      <c r="GI56" s="394"/>
      <c r="GJ56" s="394"/>
      <c r="GK56" s="394"/>
      <c r="GL56" s="394"/>
      <c r="GM56" s="394"/>
      <c r="GN56" s="394"/>
      <c r="GO56" s="394"/>
      <c r="GP56" s="394"/>
      <c r="GQ56" s="394"/>
      <c r="GR56" s="394"/>
      <c r="GS56" s="394"/>
      <c r="GT56" s="394"/>
      <c r="GU56" s="394"/>
      <c r="GV56" s="394"/>
      <c r="GW56" s="394"/>
      <c r="GX56" s="394"/>
      <c r="GY56" s="394"/>
      <c r="GZ56" s="394"/>
      <c r="HA56" s="394"/>
      <c r="HB56" s="394"/>
      <c r="HC56" s="394"/>
      <c r="HD56" s="394"/>
      <c r="HE56" s="394"/>
      <c r="HF56" s="394"/>
      <c r="HG56" s="394"/>
      <c r="HH56" s="394"/>
      <c r="HI56" s="394"/>
      <c r="HJ56" s="394"/>
      <c r="HK56" s="394"/>
      <c r="HL56" s="394"/>
      <c r="HM56" s="394"/>
      <c r="HN56" s="394"/>
      <c r="HO56" s="394"/>
      <c r="HP56" s="394"/>
      <c r="HQ56" s="394"/>
      <c r="HR56" s="394"/>
      <c r="HS56" s="394"/>
      <c r="HT56" s="394"/>
      <c r="HU56" s="394"/>
      <c r="HV56" s="394"/>
      <c r="HW56" s="394"/>
      <c r="HX56" s="394"/>
      <c r="HY56" s="394"/>
      <c r="HZ56" s="394"/>
      <c r="IA56" s="394"/>
      <c r="IB56" s="394"/>
      <c r="IC56" s="394"/>
      <c r="ID56" s="394"/>
      <c r="IE56" s="394"/>
      <c r="IF56" s="394"/>
      <c r="IG56" s="394"/>
      <c r="IH56" s="394"/>
      <c r="II56" s="394"/>
      <c r="IJ56" s="394"/>
      <c r="IK56" s="394"/>
      <c r="IL56" s="394"/>
      <c r="IM56" s="394"/>
      <c r="IN56" s="394"/>
      <c r="IO56" s="394"/>
      <c r="IP56" s="394"/>
      <c r="IQ56" s="394"/>
      <c r="IR56" s="394"/>
      <c r="IS56" s="394"/>
      <c r="IT56" s="394"/>
      <c r="IU56" s="394"/>
      <c r="IV56" s="394"/>
      <c r="IW56" s="394"/>
      <c r="IX56" s="394"/>
      <c r="IY56" s="394"/>
      <c r="IZ56" s="394"/>
      <c r="JA56" s="394"/>
      <c r="JB56" s="394"/>
      <c r="JC56" s="394"/>
      <c r="JD56" s="394"/>
      <c r="JE56" s="394"/>
      <c r="JF56" s="394"/>
      <c r="JG56" s="394"/>
      <c r="JH56" s="394"/>
      <c r="JI56" s="394"/>
      <c r="JJ56" s="394"/>
      <c r="JK56" s="394"/>
      <c r="JL56" s="394"/>
      <c r="JM56" s="394"/>
      <c r="JN56" s="394"/>
      <c r="JO56" s="394"/>
      <c r="JP56" s="394"/>
      <c r="JQ56" s="394"/>
      <c r="JR56" s="394"/>
      <c r="JS56" s="394"/>
      <c r="JT56" s="394"/>
      <c r="JU56" s="394"/>
      <c r="JV56" s="394"/>
      <c r="JW56" s="394"/>
      <c r="JX56" s="394"/>
      <c r="JY56" s="394"/>
      <c r="JZ56" s="394"/>
      <c r="KA56" s="394"/>
      <c r="KB56" s="394"/>
      <c r="KC56" s="394"/>
      <c r="KD56" s="394"/>
      <c r="KE56" s="394"/>
      <c r="KF56" s="394"/>
      <c r="KG56" s="394"/>
      <c r="KH56" s="394"/>
      <c r="KI56" s="394"/>
      <c r="KJ56" s="394"/>
      <c r="KK56" s="394"/>
      <c r="KL56" s="394"/>
      <c r="KM56" s="394"/>
      <c r="KN56" s="394"/>
      <c r="KO56" s="394"/>
      <c r="KP56" s="394"/>
      <c r="KQ56" s="394"/>
      <c r="KR56" s="394"/>
      <c r="KS56" s="394"/>
      <c r="KT56" s="394"/>
      <c r="KU56" s="394"/>
      <c r="KV56" s="394"/>
      <c r="KW56" s="394"/>
      <c r="KX56" s="394"/>
      <c r="KY56" s="394"/>
      <c r="KZ56" s="394"/>
      <c r="LA56" s="394"/>
      <c r="LB56" s="394"/>
      <c r="LC56" s="394"/>
      <c r="LD56" s="394"/>
      <c r="LE56" s="394"/>
      <c r="LF56" s="394"/>
      <c r="LG56" s="394"/>
      <c r="LH56" s="394"/>
      <c r="LI56" s="394"/>
      <c r="LJ56" s="394"/>
      <c r="LK56" s="394"/>
      <c r="LL56" s="394"/>
      <c r="LM56" s="394"/>
      <c r="LN56" s="394"/>
      <c r="LO56" s="394"/>
      <c r="LP56" s="394"/>
      <c r="LQ56" s="394"/>
      <c r="LR56" s="394"/>
      <c r="LS56" s="394"/>
      <c r="LT56" s="394"/>
      <c r="LU56" s="394"/>
      <c r="LV56" s="394"/>
      <c r="LW56" s="394"/>
      <c r="LX56" s="394"/>
      <c r="LY56" s="394"/>
      <c r="LZ56" s="394"/>
      <c r="MA56" s="394"/>
      <c r="MB56" s="394"/>
      <c r="MC56" s="394"/>
      <c r="MD56" s="394"/>
      <c r="ME56" s="394"/>
      <c r="MF56" s="394"/>
      <c r="MG56" s="394"/>
      <c r="MH56" s="394"/>
      <c r="MI56" s="394"/>
      <c r="MJ56" s="394"/>
      <c r="MK56" s="394"/>
      <c r="ML56" s="394"/>
      <c r="MM56" s="394"/>
      <c r="MN56" s="394"/>
      <c r="MO56" s="394"/>
      <c r="MP56" s="394"/>
      <c r="MQ56" s="394"/>
      <c r="MR56" s="394"/>
      <c r="MS56" s="394"/>
      <c r="MT56" s="394"/>
      <c r="MU56" s="394"/>
      <c r="MV56" s="394"/>
      <c r="MW56" s="394"/>
      <c r="MX56" s="394"/>
      <c r="MY56" s="394"/>
      <c r="MZ56" s="394"/>
      <c r="NA56" s="394"/>
      <c r="NB56" s="394"/>
      <c r="NC56" s="394"/>
      <c r="ND56" s="394"/>
      <c r="NE56" s="394"/>
      <c r="NF56" s="394"/>
      <c r="NG56" s="394"/>
      <c r="NH56" s="394"/>
      <c r="NI56" s="394"/>
      <c r="NJ56" s="394"/>
      <c r="NK56" s="394"/>
      <c r="NL56" s="394"/>
      <c r="NM56" s="394"/>
      <c r="NN56" s="394"/>
      <c r="NO56" s="394"/>
      <c r="NP56" s="394"/>
      <c r="NQ56" s="394"/>
      <c r="NR56" s="394"/>
      <c r="NS56" s="394"/>
      <c r="NT56" s="394"/>
      <c r="NU56" s="394"/>
      <c r="NV56" s="394"/>
      <c r="NW56" s="394"/>
      <c r="NX56" s="394"/>
      <c r="NY56" s="394"/>
      <c r="NZ56" s="394"/>
      <c r="OA56" s="394"/>
      <c r="OB56" s="394"/>
      <c r="OC56" s="394"/>
      <c r="OD56" s="394"/>
      <c r="OE56" s="394"/>
      <c r="OF56" s="394"/>
      <c r="OG56" s="394"/>
      <c r="OH56" s="394"/>
      <c r="OI56" s="394"/>
      <c r="OJ56" s="394"/>
      <c r="OK56" s="394"/>
      <c r="OL56" s="394"/>
      <c r="OM56" s="394"/>
      <c r="ON56" s="394"/>
      <c r="OO56" s="394"/>
      <c r="OP56" s="394"/>
      <c r="OQ56" s="394"/>
      <c r="OR56" s="394"/>
      <c r="OS56" s="394"/>
      <c r="OT56" s="394"/>
      <c r="OU56" s="394"/>
      <c r="OV56" s="394"/>
      <c r="OW56" s="394"/>
      <c r="OX56" s="394"/>
      <c r="OY56" s="394"/>
      <c r="OZ56" s="394"/>
      <c r="PA56" s="394"/>
      <c r="PB56" s="394"/>
      <c r="PC56" s="394"/>
      <c r="PD56" s="394"/>
      <c r="PE56" s="394"/>
      <c r="PF56" s="394"/>
      <c r="PG56" s="394"/>
      <c r="PH56" s="394"/>
      <c r="PI56" s="394"/>
      <c r="PJ56" s="394"/>
      <c r="PK56" s="394"/>
      <c r="PL56" s="394"/>
      <c r="PM56" s="394"/>
      <c r="PN56" s="394"/>
      <c r="PO56" s="394"/>
      <c r="PP56" s="394"/>
      <c r="PQ56" s="394"/>
      <c r="PR56" s="394"/>
      <c r="PS56" s="394"/>
      <c r="PT56" s="394"/>
      <c r="PU56" s="394"/>
      <c r="PV56" s="394"/>
      <c r="PW56" s="394"/>
      <c r="PX56" s="394"/>
      <c r="PY56" s="394"/>
      <c r="PZ56" s="394"/>
      <c r="QA56" s="394"/>
      <c r="QB56" s="394"/>
      <c r="QC56" s="394"/>
      <c r="QD56" s="394"/>
      <c r="QE56" s="394"/>
      <c r="QF56" s="394"/>
      <c r="QG56" s="394"/>
      <c r="QH56" s="394"/>
      <c r="QI56" s="394"/>
      <c r="QJ56" s="394"/>
      <c r="QK56" s="394"/>
      <c r="QL56" s="394"/>
      <c r="QM56" s="394"/>
      <c r="QN56" s="394"/>
      <c r="QO56" s="394"/>
      <c r="QP56" s="394"/>
      <c r="QQ56" s="394"/>
      <c r="QR56" s="394"/>
      <c r="QS56" s="394"/>
      <c r="QT56" s="394"/>
      <c r="QU56" s="394"/>
      <c r="QV56" s="394"/>
      <c r="QW56" s="394"/>
      <c r="QX56" s="394"/>
      <c r="QY56" s="394"/>
      <c r="QZ56" s="394"/>
      <c r="RA56" s="394"/>
      <c r="RB56" s="394"/>
      <c r="RC56" s="394"/>
      <c r="RD56" s="394"/>
      <c r="RE56" s="394"/>
      <c r="RF56" s="394"/>
      <c r="RG56" s="394"/>
      <c r="RH56" s="394"/>
      <c r="RI56" s="394"/>
      <c r="RJ56" s="394"/>
      <c r="RK56" s="394"/>
      <c r="RL56" s="394"/>
      <c r="RM56" s="394"/>
      <c r="RN56" s="394"/>
      <c r="RO56" s="394"/>
      <c r="RP56" s="394"/>
      <c r="RQ56" s="394"/>
      <c r="RR56" s="394"/>
      <c r="RS56" s="394"/>
      <c r="RT56" s="394"/>
      <c r="RU56" s="394"/>
      <c r="RV56" s="394"/>
      <c r="RW56" s="394"/>
      <c r="RX56" s="394"/>
      <c r="RY56" s="394"/>
      <c r="RZ56" s="394"/>
      <c r="SA56" s="394"/>
      <c r="SB56" s="394"/>
      <c r="SC56" s="394"/>
      <c r="SD56" s="394"/>
      <c r="SE56" s="394"/>
      <c r="SF56" s="394"/>
      <c r="SG56" s="394"/>
      <c r="SH56" s="394"/>
      <c r="SI56" s="394"/>
      <c r="SJ56" s="394"/>
      <c r="SK56" s="394"/>
      <c r="SL56" s="394"/>
      <c r="SM56" s="394"/>
      <c r="SN56" s="394"/>
      <c r="SO56" s="394"/>
      <c r="SP56" s="394"/>
      <c r="SQ56" s="394"/>
      <c r="SR56" s="394"/>
      <c r="SS56" s="394"/>
      <c r="ST56" s="394"/>
      <c r="SU56" s="394"/>
      <c r="SV56" s="394"/>
      <c r="SW56" s="394"/>
      <c r="SX56" s="394"/>
      <c r="SY56" s="394"/>
      <c r="SZ56" s="394"/>
      <c r="TA56" s="394"/>
      <c r="TB56" s="394"/>
      <c r="TC56" s="394"/>
      <c r="TD56" s="394"/>
      <c r="TE56" s="394"/>
      <c r="TF56" s="394"/>
      <c r="TG56" s="394"/>
      <c r="TH56" s="394"/>
      <c r="TI56" s="394"/>
      <c r="TJ56" s="394"/>
      <c r="TK56" s="394"/>
      <c r="TL56" s="394"/>
      <c r="TM56" s="394"/>
      <c r="TN56" s="394"/>
      <c r="TO56" s="394"/>
      <c r="TP56" s="394"/>
      <c r="TQ56" s="394"/>
      <c r="TR56" s="394"/>
      <c r="TS56" s="394"/>
      <c r="TT56" s="394"/>
      <c r="TU56" s="394"/>
      <c r="TV56" s="394"/>
      <c r="TW56" s="394"/>
      <c r="TX56" s="394"/>
      <c r="TY56" s="394"/>
      <c r="TZ56" s="394"/>
      <c r="UA56" s="394"/>
      <c r="UB56" s="394"/>
      <c r="UC56" s="394"/>
      <c r="UD56" s="394"/>
      <c r="UE56" s="394"/>
      <c r="UF56" s="394"/>
      <c r="UG56" s="394"/>
      <c r="UH56" s="394"/>
      <c r="UI56" s="394"/>
      <c r="UJ56" s="394"/>
      <c r="UK56" s="394"/>
      <c r="UL56" s="394"/>
      <c r="UM56" s="394"/>
      <c r="UN56" s="394"/>
      <c r="UO56" s="394"/>
      <c r="UP56" s="394"/>
      <c r="UQ56" s="394"/>
      <c r="UR56" s="394"/>
      <c r="US56" s="394"/>
      <c r="UT56" s="394"/>
      <c r="UU56" s="394"/>
      <c r="UV56" s="394"/>
      <c r="UW56" s="394"/>
      <c r="UX56" s="394"/>
      <c r="UY56" s="394"/>
      <c r="UZ56" s="394"/>
      <c r="VA56" s="394"/>
      <c r="VB56" s="394"/>
      <c r="VC56" s="394"/>
      <c r="VD56" s="394"/>
      <c r="VE56" s="394"/>
      <c r="VF56" s="394"/>
      <c r="VG56" s="394"/>
      <c r="VH56" s="394"/>
      <c r="VI56" s="394"/>
      <c r="VJ56" s="394"/>
      <c r="VK56" s="394"/>
      <c r="VL56" s="394"/>
      <c r="VM56" s="394"/>
      <c r="VN56" s="394"/>
      <c r="VO56" s="394"/>
      <c r="VP56" s="394"/>
      <c r="VQ56" s="394"/>
      <c r="VR56" s="394"/>
      <c r="VS56" s="394"/>
      <c r="VT56" s="394"/>
      <c r="VU56" s="394"/>
      <c r="VV56" s="394"/>
      <c r="VW56" s="394"/>
      <c r="VX56" s="394"/>
      <c r="VY56" s="394"/>
      <c r="VZ56" s="394"/>
      <c r="WA56" s="394"/>
      <c r="WB56" s="394"/>
      <c r="WC56" s="394"/>
      <c r="WD56" s="394"/>
      <c r="WE56" s="394"/>
      <c r="WF56" s="394"/>
      <c r="WG56" s="394"/>
      <c r="WH56" s="394"/>
      <c r="WI56" s="394"/>
      <c r="WJ56" s="394"/>
      <c r="WK56" s="394"/>
      <c r="WL56" s="394"/>
      <c r="WM56" s="394"/>
      <c r="WN56" s="394"/>
      <c r="WO56" s="394"/>
      <c r="WP56" s="394"/>
      <c r="WQ56" s="394"/>
      <c r="WR56" s="394"/>
      <c r="WS56" s="394"/>
      <c r="WT56" s="394"/>
      <c r="WU56" s="394"/>
      <c r="WV56" s="394"/>
      <c r="WW56" s="394"/>
      <c r="WX56" s="394"/>
      <c r="WY56" s="394"/>
      <c r="WZ56" s="394"/>
      <c r="XA56" s="394"/>
      <c r="XB56" s="394"/>
      <c r="XC56" s="394"/>
      <c r="XD56" s="394"/>
      <c r="XE56" s="394"/>
      <c r="XF56" s="394"/>
      <c r="XG56" s="394"/>
      <c r="XH56" s="394"/>
      <c r="XI56" s="394"/>
      <c r="XJ56" s="394"/>
      <c r="XK56" s="394"/>
      <c r="XL56" s="394"/>
      <c r="XM56" s="394"/>
      <c r="XN56" s="394"/>
      <c r="XO56" s="394"/>
      <c r="XP56" s="394"/>
      <c r="XQ56" s="394"/>
      <c r="XR56" s="394"/>
      <c r="XS56" s="394"/>
      <c r="XT56" s="394"/>
      <c r="XU56" s="394"/>
      <c r="XV56" s="394"/>
      <c r="XW56" s="394"/>
      <c r="XX56" s="394"/>
      <c r="XY56" s="394"/>
      <c r="XZ56" s="394"/>
      <c r="YA56" s="394"/>
      <c r="YB56" s="394"/>
      <c r="YC56" s="394"/>
      <c r="YD56" s="394"/>
      <c r="YE56" s="394"/>
      <c r="YF56" s="394"/>
      <c r="YG56" s="394"/>
      <c r="YH56" s="394"/>
      <c r="YI56" s="394"/>
      <c r="YJ56" s="394"/>
      <c r="YK56" s="394"/>
      <c r="YL56" s="394"/>
      <c r="YM56" s="394"/>
      <c r="YN56" s="394"/>
      <c r="YO56" s="394"/>
      <c r="YP56" s="394"/>
      <c r="YQ56" s="394"/>
      <c r="YR56" s="394"/>
      <c r="YS56" s="394"/>
      <c r="YT56" s="394"/>
      <c r="YU56" s="394"/>
      <c r="YV56" s="394"/>
      <c r="YW56" s="394"/>
      <c r="YX56" s="394"/>
      <c r="YY56" s="394"/>
      <c r="YZ56" s="394"/>
      <c r="ZA56" s="394"/>
      <c r="ZB56" s="394"/>
      <c r="ZC56" s="394"/>
      <c r="ZD56" s="394"/>
      <c r="ZE56" s="394"/>
      <c r="ZF56" s="394"/>
      <c r="ZG56" s="394"/>
      <c r="ZH56" s="394"/>
      <c r="ZI56" s="394"/>
      <c r="ZJ56" s="394"/>
      <c r="ZK56" s="394"/>
      <c r="ZL56" s="394"/>
      <c r="ZM56" s="394"/>
      <c r="ZN56" s="394"/>
      <c r="ZO56" s="394"/>
      <c r="ZP56" s="394"/>
      <c r="ZQ56" s="394"/>
      <c r="ZR56" s="394"/>
      <c r="ZS56" s="394"/>
      <c r="ZT56" s="394"/>
      <c r="ZU56" s="394"/>
      <c r="ZV56" s="394"/>
      <c r="ZW56" s="394"/>
      <c r="ZX56" s="394"/>
      <c r="ZY56" s="394"/>
      <c r="ZZ56" s="394"/>
      <c r="AAA56" s="394"/>
      <c r="AAB56" s="394"/>
      <c r="AAC56" s="394"/>
      <c r="AAD56" s="394"/>
      <c r="AAE56" s="394"/>
      <c r="AAF56" s="394"/>
      <c r="AAG56" s="394"/>
      <c r="AAH56" s="394"/>
      <c r="AAI56" s="394"/>
      <c r="AAJ56" s="394"/>
      <c r="AAK56" s="394"/>
      <c r="AAL56" s="394"/>
      <c r="AAM56" s="394"/>
      <c r="AAN56" s="394"/>
      <c r="AAO56" s="394"/>
      <c r="AAP56" s="394"/>
      <c r="AAQ56" s="394"/>
      <c r="AAR56" s="394"/>
      <c r="AAS56" s="394"/>
      <c r="AAT56" s="394"/>
      <c r="AAU56" s="394"/>
      <c r="AAV56" s="394"/>
      <c r="AAW56" s="394"/>
      <c r="AAX56" s="394"/>
      <c r="AAY56" s="394"/>
      <c r="AAZ56" s="394"/>
      <c r="ABA56" s="394"/>
      <c r="ABB56" s="394"/>
      <c r="ABC56" s="394"/>
      <c r="ABD56" s="394"/>
      <c r="ABE56" s="394"/>
      <c r="ABF56" s="394"/>
      <c r="ABG56" s="394"/>
      <c r="ABH56" s="394"/>
      <c r="ABI56" s="394"/>
      <c r="ABJ56" s="394"/>
      <c r="ABK56" s="394"/>
      <c r="ABL56" s="394"/>
      <c r="ABM56" s="394"/>
      <c r="ABN56" s="394"/>
      <c r="ABO56" s="394"/>
      <c r="ABP56" s="394"/>
      <c r="ABQ56" s="394"/>
      <c r="ABR56" s="394"/>
      <c r="ABS56" s="394"/>
      <c r="ABT56" s="394"/>
      <c r="ABU56" s="394"/>
      <c r="ABV56" s="394"/>
      <c r="ABW56" s="394"/>
      <c r="ABX56" s="394"/>
      <c r="ABY56" s="394"/>
      <c r="ABZ56" s="394"/>
      <c r="ACA56" s="394"/>
      <c r="ACB56" s="394"/>
      <c r="ACC56" s="394"/>
      <c r="ACD56" s="394"/>
      <c r="ACE56" s="394"/>
      <c r="ACF56" s="394"/>
      <c r="ACG56" s="394"/>
      <c r="ACH56" s="394"/>
      <c r="ACI56" s="394"/>
      <c r="ACJ56" s="394"/>
      <c r="ACK56" s="394"/>
      <c r="ACL56" s="394"/>
      <c r="ACM56" s="394"/>
      <c r="ACN56" s="394"/>
      <c r="ACO56" s="394"/>
      <c r="ACP56" s="394"/>
      <c r="ACQ56" s="394"/>
      <c r="ACR56" s="394"/>
      <c r="ACS56" s="394"/>
      <c r="ACT56" s="394"/>
      <c r="ACU56" s="394"/>
      <c r="ACV56" s="394"/>
      <c r="ACW56" s="394"/>
      <c r="ACX56" s="394"/>
      <c r="ACY56" s="394"/>
      <c r="ACZ56" s="394"/>
      <c r="ADA56" s="394"/>
      <c r="ADB56" s="394"/>
      <c r="ADC56" s="394"/>
      <c r="ADD56" s="394"/>
      <c r="ADE56" s="394"/>
      <c r="ADF56" s="394"/>
      <c r="ADG56" s="394"/>
      <c r="ADH56" s="394"/>
      <c r="ADI56" s="394"/>
      <c r="ADJ56" s="394"/>
      <c r="ADK56" s="394"/>
      <c r="ADL56" s="394"/>
      <c r="ADM56" s="394"/>
      <c r="ADN56" s="394"/>
      <c r="ADO56" s="394"/>
      <c r="ADP56" s="394"/>
      <c r="ADQ56" s="394"/>
      <c r="ADR56" s="394"/>
      <c r="ADS56" s="394"/>
      <c r="ADT56" s="394"/>
      <c r="ADU56" s="394"/>
      <c r="ADV56" s="394"/>
      <c r="ADW56" s="394"/>
      <c r="ADX56" s="394"/>
      <c r="ADY56" s="394"/>
      <c r="ADZ56" s="394"/>
      <c r="AEA56" s="394"/>
      <c r="AEB56" s="394"/>
      <c r="AEC56" s="394"/>
      <c r="AED56" s="394"/>
      <c r="AEE56" s="394"/>
      <c r="AEF56" s="394"/>
      <c r="AEG56" s="394"/>
      <c r="AEH56" s="394"/>
      <c r="AEI56" s="394"/>
      <c r="AEJ56" s="394"/>
      <c r="AEK56" s="394"/>
      <c r="AEL56" s="394"/>
      <c r="AEM56" s="394"/>
      <c r="AEN56" s="394"/>
      <c r="AEO56" s="394"/>
      <c r="AEP56" s="394"/>
      <c r="AEQ56" s="394"/>
      <c r="AER56" s="394"/>
      <c r="AES56" s="394"/>
      <c r="AET56" s="394"/>
      <c r="AEU56" s="394"/>
      <c r="AEV56" s="394"/>
      <c r="AEW56" s="394"/>
      <c r="AEX56" s="394"/>
      <c r="AEY56" s="394"/>
      <c r="AEZ56" s="394"/>
      <c r="AFA56" s="394"/>
      <c r="AFB56" s="394"/>
      <c r="AFC56" s="394"/>
      <c r="AFD56" s="394"/>
      <c r="AFE56" s="394"/>
      <c r="AFF56" s="394"/>
      <c r="AFG56" s="394"/>
      <c r="AFH56" s="394"/>
      <c r="AFI56" s="394"/>
      <c r="AFJ56" s="394"/>
      <c r="AFK56" s="394"/>
      <c r="AFL56" s="394"/>
      <c r="AFM56" s="394"/>
      <c r="AFN56" s="394"/>
      <c r="AFO56" s="394"/>
      <c r="AFP56" s="394"/>
      <c r="AFQ56" s="394"/>
      <c r="AFR56" s="394"/>
      <c r="AFS56" s="394"/>
      <c r="AFT56" s="394"/>
      <c r="AFU56" s="394"/>
      <c r="AFV56" s="394"/>
      <c r="AFW56" s="394"/>
      <c r="AFX56" s="394"/>
      <c r="AFY56" s="394"/>
      <c r="AFZ56" s="394"/>
      <c r="AGA56" s="394"/>
      <c r="AGB56" s="394"/>
      <c r="AGC56" s="394"/>
      <c r="AGD56" s="394"/>
      <c r="AGE56" s="394"/>
      <c r="AGF56" s="394"/>
      <c r="AGG56" s="394"/>
      <c r="AGH56" s="394"/>
      <c r="AGI56" s="394"/>
      <c r="AGJ56" s="394"/>
      <c r="AGK56" s="394"/>
      <c r="AGL56" s="394"/>
      <c r="AGM56" s="394"/>
      <c r="AGN56" s="394"/>
      <c r="AGO56" s="394"/>
      <c r="AGP56" s="394"/>
      <c r="AGQ56" s="394"/>
      <c r="AGR56" s="394"/>
      <c r="AGS56" s="394"/>
      <c r="AGT56" s="394"/>
      <c r="AGU56" s="394"/>
      <c r="AGV56" s="394"/>
      <c r="AGW56" s="394"/>
      <c r="AGX56" s="394"/>
      <c r="AGY56" s="394"/>
      <c r="AGZ56" s="394"/>
      <c r="AHA56" s="394"/>
      <c r="AHB56" s="394"/>
      <c r="AHC56" s="394"/>
      <c r="AHD56" s="394"/>
      <c r="AHE56" s="394"/>
      <c r="AHF56" s="394"/>
      <c r="AHG56" s="394"/>
      <c r="AHH56" s="394"/>
      <c r="AHI56" s="394"/>
      <c r="AHJ56" s="394"/>
      <c r="AHK56" s="394"/>
      <c r="AHL56" s="394"/>
      <c r="AHM56" s="394"/>
      <c r="AHN56" s="394"/>
      <c r="AHO56" s="394"/>
      <c r="AHP56" s="394"/>
      <c r="AHQ56" s="394"/>
      <c r="AHR56" s="394"/>
      <c r="AHS56" s="394"/>
      <c r="AHT56" s="394"/>
      <c r="AHU56" s="394"/>
      <c r="AHV56" s="394"/>
      <c r="AHW56" s="394"/>
      <c r="AHX56" s="394"/>
      <c r="AHY56" s="394"/>
      <c r="AHZ56" s="394"/>
      <c r="AIA56" s="394"/>
      <c r="AIB56" s="394"/>
      <c r="AIC56" s="394"/>
      <c r="AID56" s="394"/>
      <c r="AIE56" s="394"/>
      <c r="AIF56" s="394"/>
      <c r="AIG56" s="394"/>
      <c r="AIH56" s="394"/>
      <c r="AII56" s="394"/>
      <c r="AIJ56" s="394"/>
      <c r="AIK56" s="394"/>
      <c r="AIL56" s="394"/>
      <c r="AIM56" s="394"/>
      <c r="AIN56" s="394"/>
      <c r="AIO56" s="394"/>
      <c r="AIP56" s="394"/>
      <c r="AIQ56" s="394"/>
      <c r="AIR56" s="394"/>
      <c r="AIS56" s="394"/>
      <c r="AIT56" s="394"/>
      <c r="AIU56" s="394"/>
      <c r="AIV56" s="394"/>
      <c r="AIW56" s="394"/>
      <c r="AIX56" s="394"/>
      <c r="AIY56" s="394"/>
      <c r="AIZ56" s="394"/>
      <c r="AJA56" s="394"/>
      <c r="AJB56" s="394"/>
      <c r="AJC56" s="394"/>
      <c r="AJD56" s="394"/>
      <c r="AJE56" s="394"/>
      <c r="AJF56" s="394"/>
      <c r="AJG56" s="394"/>
      <c r="AJH56" s="394"/>
      <c r="AJI56" s="394"/>
      <c r="AJJ56" s="394"/>
      <c r="AJK56" s="394"/>
      <c r="AJL56" s="394"/>
      <c r="AJM56" s="394"/>
      <c r="AJN56" s="394"/>
      <c r="AJO56" s="394"/>
      <c r="AJP56" s="394"/>
      <c r="AJQ56" s="394"/>
      <c r="AJR56" s="394"/>
      <c r="AJS56" s="394"/>
      <c r="AJT56" s="394"/>
      <c r="AJU56" s="394"/>
      <c r="AJV56" s="394"/>
      <c r="AJW56" s="394"/>
      <c r="AJX56" s="394"/>
      <c r="AJY56" s="394"/>
      <c r="AJZ56" s="394"/>
      <c r="AKA56" s="394"/>
      <c r="AKB56" s="394"/>
      <c r="AKC56" s="394"/>
      <c r="AKD56" s="394"/>
      <c r="AKE56" s="394"/>
      <c r="AKF56" s="394"/>
      <c r="AKG56" s="394"/>
      <c r="AKH56" s="394"/>
      <c r="AKI56" s="394"/>
      <c r="AKJ56" s="394"/>
      <c r="AKK56" s="394"/>
      <c r="AKL56" s="394"/>
      <c r="AKM56" s="394"/>
      <c r="AKN56" s="394"/>
      <c r="AKO56" s="394"/>
      <c r="AKP56" s="394"/>
      <c r="AKQ56" s="394"/>
      <c r="AKR56" s="394"/>
      <c r="AKS56" s="394"/>
      <c r="AKT56" s="394"/>
      <c r="AKU56" s="394"/>
      <c r="AKV56" s="394"/>
      <c r="AKW56" s="394"/>
      <c r="AKX56" s="394"/>
      <c r="AKY56" s="394"/>
      <c r="AKZ56" s="394"/>
      <c r="ALA56" s="394"/>
      <c r="ALB56" s="394"/>
      <c r="ALC56" s="394"/>
      <c r="ALD56" s="394"/>
      <c r="ALE56" s="394"/>
      <c r="ALF56" s="394"/>
      <c r="ALG56" s="394"/>
      <c r="ALH56" s="394"/>
      <c r="ALI56" s="394"/>
      <c r="ALJ56" s="394"/>
      <c r="ALK56" s="394"/>
      <c r="ALL56" s="394"/>
      <c r="ALM56" s="394"/>
      <c r="ALN56" s="394"/>
      <c r="ALO56" s="394"/>
      <c r="ALP56" s="394"/>
      <c r="ALQ56" s="394"/>
      <c r="ALR56" s="394"/>
      <c r="ALS56" s="394"/>
      <c r="ALT56" s="394"/>
      <c r="ALU56" s="394"/>
      <c r="ALV56" s="394"/>
      <c r="ALW56" s="394"/>
      <c r="ALX56" s="394"/>
      <c r="ALY56" s="394"/>
      <c r="ALZ56" s="394"/>
      <c r="AMA56" s="394"/>
      <c r="AMB56" s="394"/>
      <c r="AMC56" s="394"/>
      <c r="AMD56" s="394"/>
      <c r="AME56" s="394"/>
      <c r="AMF56" s="394"/>
      <c r="AMG56" s="394"/>
      <c r="AMH56" s="394"/>
      <c r="AMI56" s="394"/>
      <c r="AMJ56" s="394"/>
      <c r="AMK56" s="394"/>
      <c r="AML56" s="394"/>
      <c r="AMM56" s="394"/>
      <c r="AMN56" s="394"/>
      <c r="AMO56" s="394"/>
      <c r="AMP56" s="394"/>
      <c r="AMQ56" s="394"/>
      <c r="AMR56" s="394"/>
      <c r="AMS56" s="394"/>
      <c r="AMT56" s="394"/>
      <c r="AMU56" s="394"/>
      <c r="AMV56" s="394"/>
      <c r="AMW56" s="394"/>
      <c r="AMX56" s="394"/>
      <c r="AMY56" s="394"/>
      <c r="AMZ56" s="394"/>
      <c r="ANA56" s="394"/>
      <c r="ANB56" s="394"/>
      <c r="ANC56" s="394"/>
      <c r="AND56" s="394"/>
      <c r="ANE56" s="394"/>
      <c r="ANF56" s="394"/>
      <c r="ANG56" s="394"/>
      <c r="ANH56" s="394"/>
      <c r="ANI56" s="394"/>
      <c r="ANJ56" s="394"/>
      <c r="ANK56" s="394"/>
      <c r="ANL56" s="394"/>
      <c r="ANM56" s="394"/>
      <c r="ANN56" s="394"/>
      <c r="ANO56" s="394"/>
      <c r="ANP56" s="394"/>
      <c r="ANQ56" s="394"/>
      <c r="ANR56" s="394"/>
      <c r="ANS56" s="394"/>
      <c r="ANT56" s="394"/>
      <c r="ANU56" s="394"/>
      <c r="ANV56" s="394"/>
      <c r="ANW56" s="394"/>
      <c r="ANX56" s="394"/>
      <c r="ANY56" s="394"/>
      <c r="ANZ56" s="394"/>
      <c r="AOA56" s="394"/>
      <c r="AOB56" s="394"/>
      <c r="AOC56" s="394"/>
      <c r="AOD56" s="394"/>
      <c r="AOE56" s="394"/>
      <c r="AOF56" s="394"/>
      <c r="AOG56" s="394"/>
      <c r="AOH56" s="394"/>
      <c r="AOI56" s="394"/>
      <c r="AOJ56" s="394"/>
      <c r="AOK56" s="394"/>
      <c r="AOL56" s="394"/>
      <c r="AOM56" s="394"/>
      <c r="AON56" s="394"/>
      <c r="AOO56" s="394"/>
      <c r="AOP56" s="394"/>
      <c r="AOQ56" s="394"/>
      <c r="AOR56" s="394"/>
      <c r="AOS56" s="394"/>
      <c r="AOT56" s="394"/>
      <c r="AOU56" s="394"/>
      <c r="AOV56" s="394"/>
      <c r="AOW56" s="394"/>
      <c r="AOX56" s="394"/>
      <c r="AOY56" s="394"/>
      <c r="AOZ56" s="394"/>
      <c r="APA56" s="394"/>
      <c r="APB56" s="394"/>
      <c r="APC56" s="394"/>
      <c r="APD56" s="394"/>
      <c r="APE56" s="394"/>
      <c r="APF56" s="394"/>
      <c r="APG56" s="394"/>
      <c r="APH56" s="394"/>
      <c r="API56" s="394"/>
      <c r="APJ56" s="394"/>
      <c r="APK56" s="394"/>
      <c r="APL56" s="394"/>
      <c r="APM56" s="394"/>
      <c r="APN56" s="394"/>
      <c r="APO56" s="394"/>
      <c r="APP56" s="394"/>
      <c r="APQ56" s="394"/>
      <c r="APR56" s="394"/>
      <c r="APS56" s="394"/>
      <c r="APT56" s="394"/>
      <c r="APU56" s="394"/>
      <c r="APV56" s="394"/>
      <c r="APW56" s="394"/>
      <c r="APX56" s="394"/>
      <c r="APY56" s="394"/>
      <c r="APZ56" s="394"/>
      <c r="AQA56" s="394"/>
      <c r="AQB56" s="394"/>
      <c r="AQC56" s="394"/>
      <c r="AQD56" s="394"/>
      <c r="AQE56" s="394"/>
      <c r="AQF56" s="394"/>
      <c r="AQG56" s="394"/>
      <c r="AQH56" s="394"/>
      <c r="AQI56" s="394"/>
      <c r="AQJ56" s="394"/>
      <c r="AQK56" s="394"/>
      <c r="AQL56" s="394"/>
      <c r="AQM56" s="394"/>
      <c r="AQN56" s="394"/>
      <c r="AQO56" s="394"/>
      <c r="AQP56" s="394"/>
      <c r="AQQ56" s="394"/>
      <c r="AQR56" s="394"/>
      <c r="AQS56" s="394"/>
      <c r="AQT56" s="394"/>
      <c r="AQU56" s="394"/>
      <c r="AQV56" s="394"/>
      <c r="AQW56" s="394"/>
      <c r="AQX56" s="394"/>
      <c r="AQY56" s="394"/>
      <c r="AQZ56" s="394"/>
      <c r="ARA56" s="394"/>
      <c r="ARB56" s="394"/>
      <c r="ARC56" s="394"/>
      <c r="ARD56" s="394"/>
      <c r="ARE56" s="394"/>
      <c r="ARF56" s="394"/>
      <c r="ARG56" s="394"/>
      <c r="ARH56" s="394"/>
      <c r="ARI56" s="394"/>
      <c r="ARJ56" s="394"/>
      <c r="ARK56" s="394"/>
      <c r="ARL56" s="394"/>
      <c r="ARM56" s="394"/>
      <c r="ARN56" s="394"/>
      <c r="ARO56" s="394"/>
      <c r="ARP56" s="394"/>
      <c r="ARQ56" s="394"/>
      <c r="ARR56" s="394"/>
      <c r="ARS56" s="394"/>
      <c r="ART56" s="394"/>
      <c r="ARU56" s="394"/>
      <c r="ARV56" s="394"/>
      <c r="ARW56" s="394"/>
      <c r="ARX56" s="394"/>
      <c r="ARY56" s="394"/>
      <c r="ARZ56" s="394"/>
      <c r="ASA56" s="394"/>
      <c r="ASB56" s="394"/>
      <c r="ASC56" s="394"/>
      <c r="ASD56" s="394"/>
      <c r="ASE56" s="394"/>
      <c r="ASF56" s="394"/>
      <c r="ASG56" s="394"/>
      <c r="ASH56" s="394"/>
      <c r="ASI56" s="394"/>
      <c r="ASJ56" s="394"/>
      <c r="ASK56" s="394"/>
      <c r="ASL56" s="394"/>
      <c r="ASM56" s="394"/>
      <c r="ASN56" s="394"/>
      <c r="ASO56" s="394"/>
      <c r="ASP56" s="394"/>
      <c r="ASQ56" s="394"/>
      <c r="ASR56" s="394"/>
      <c r="ASS56" s="394"/>
      <c r="AST56" s="394"/>
      <c r="ASU56" s="394"/>
      <c r="ASV56" s="394"/>
      <c r="ASW56" s="394"/>
      <c r="ASX56" s="394"/>
      <c r="ASY56" s="394"/>
      <c r="ASZ56" s="394"/>
      <c r="ATA56" s="394"/>
      <c r="ATB56" s="394"/>
      <c r="ATC56" s="394"/>
      <c r="ATD56" s="394"/>
      <c r="ATE56" s="394"/>
      <c r="ATF56" s="394"/>
      <c r="ATG56" s="394"/>
      <c r="ATH56" s="394"/>
      <c r="ATI56" s="394"/>
      <c r="ATJ56" s="394"/>
      <c r="ATK56" s="394"/>
      <c r="ATL56" s="394"/>
      <c r="ATM56" s="394"/>
      <c r="ATN56" s="394"/>
      <c r="ATO56" s="394"/>
      <c r="ATP56" s="394"/>
      <c r="ATQ56" s="394"/>
      <c r="ATR56" s="394"/>
      <c r="ATS56" s="394"/>
      <c r="ATT56" s="394"/>
      <c r="ATU56" s="394"/>
      <c r="ATV56" s="394"/>
      <c r="ATW56" s="394"/>
      <c r="ATX56" s="394"/>
      <c r="ATY56" s="394"/>
      <c r="ATZ56" s="394"/>
      <c r="AUA56" s="394"/>
      <c r="AUB56" s="394"/>
      <c r="AUC56" s="394"/>
      <c r="AUD56" s="394"/>
      <c r="AUE56" s="394"/>
      <c r="AUF56" s="394"/>
      <c r="AUG56" s="394"/>
      <c r="AUH56" s="394"/>
      <c r="AUI56" s="394"/>
      <c r="AUJ56" s="394"/>
      <c r="AUK56" s="394"/>
      <c r="AUL56" s="394"/>
      <c r="AUM56" s="394"/>
      <c r="AUN56" s="394"/>
      <c r="AUO56" s="394"/>
      <c r="AUP56" s="394"/>
      <c r="AUQ56" s="394"/>
      <c r="AUR56" s="394"/>
      <c r="AUS56" s="394"/>
      <c r="AUT56" s="394"/>
      <c r="AUU56" s="394"/>
      <c r="AUV56" s="394"/>
      <c r="AUW56" s="394"/>
      <c r="AUX56" s="394"/>
      <c r="AUY56" s="394"/>
      <c r="AUZ56" s="394"/>
      <c r="AVA56" s="394"/>
      <c r="AVB56" s="394"/>
      <c r="AVC56" s="394"/>
      <c r="AVD56" s="394"/>
      <c r="AVE56" s="394"/>
      <c r="AVF56" s="394"/>
      <c r="AVG56" s="394"/>
      <c r="AVH56" s="394"/>
      <c r="AVI56" s="394"/>
      <c r="AVJ56" s="394"/>
      <c r="AVK56" s="394"/>
      <c r="AVL56" s="394"/>
      <c r="AVM56" s="394"/>
      <c r="AVN56" s="394"/>
      <c r="AVO56" s="394"/>
      <c r="AVP56" s="394"/>
      <c r="AVQ56" s="394"/>
      <c r="AVR56" s="394"/>
      <c r="AVS56" s="394"/>
      <c r="AVT56" s="394"/>
      <c r="AVU56" s="394"/>
      <c r="AVV56" s="394"/>
      <c r="AVW56" s="394"/>
      <c r="AVX56" s="394"/>
      <c r="AVY56" s="394"/>
      <c r="AVZ56" s="394"/>
      <c r="AWA56" s="394"/>
      <c r="AWB56" s="394"/>
      <c r="AWC56" s="394"/>
      <c r="AWD56" s="394"/>
      <c r="AWE56" s="394"/>
      <c r="AWF56" s="394"/>
      <c r="AWG56" s="394"/>
      <c r="AWH56" s="394"/>
      <c r="AWI56" s="394"/>
      <c r="AWJ56" s="394"/>
      <c r="AWK56" s="394"/>
      <c r="AWL56" s="394"/>
      <c r="AWM56" s="394"/>
      <c r="AWN56" s="394"/>
      <c r="AWO56" s="394"/>
      <c r="AWP56" s="394"/>
      <c r="AWQ56" s="394"/>
      <c r="AWR56" s="394"/>
      <c r="AWS56" s="394"/>
      <c r="AWT56" s="394"/>
      <c r="AWU56" s="394"/>
      <c r="AWV56" s="394"/>
      <c r="AWW56" s="394"/>
      <c r="AWX56" s="394"/>
      <c r="AWY56" s="394"/>
      <c r="AWZ56" s="394"/>
      <c r="AXA56" s="394"/>
      <c r="AXB56" s="394"/>
      <c r="AXC56" s="394"/>
      <c r="AXD56" s="394"/>
      <c r="AXE56" s="394"/>
      <c r="AXF56" s="394"/>
      <c r="AXG56" s="394"/>
      <c r="AXH56" s="394"/>
      <c r="AXI56" s="394"/>
      <c r="AXJ56" s="394"/>
      <c r="AXK56" s="394"/>
      <c r="AXL56" s="394"/>
      <c r="AXM56" s="394"/>
      <c r="AXN56" s="394"/>
      <c r="AXO56" s="394"/>
      <c r="AXP56" s="394"/>
      <c r="AXQ56" s="394"/>
      <c r="AXR56" s="394"/>
      <c r="AXS56" s="394"/>
      <c r="AXT56" s="394"/>
      <c r="AXU56" s="394"/>
      <c r="AXV56" s="394"/>
      <c r="AXW56" s="394"/>
      <c r="AXX56" s="394"/>
      <c r="AXY56" s="394"/>
      <c r="AXZ56" s="394"/>
      <c r="AYA56" s="394"/>
      <c r="AYB56" s="394"/>
      <c r="AYC56" s="394"/>
      <c r="AYD56" s="394"/>
      <c r="AYE56" s="394"/>
      <c r="AYF56" s="394"/>
      <c r="AYG56" s="394"/>
      <c r="AYH56" s="394"/>
      <c r="AYI56" s="394"/>
      <c r="AYJ56" s="394"/>
      <c r="AYK56" s="394"/>
      <c r="AYL56" s="394"/>
      <c r="AYM56" s="394"/>
      <c r="AYN56" s="394"/>
      <c r="AYO56" s="394"/>
      <c r="AYP56" s="394"/>
      <c r="AYQ56" s="394"/>
      <c r="AYR56" s="394"/>
      <c r="AYS56" s="394"/>
      <c r="AYT56" s="394"/>
      <c r="AYU56" s="394"/>
      <c r="AYV56" s="394"/>
      <c r="AYW56" s="394"/>
      <c r="AYX56" s="394"/>
      <c r="AYY56" s="394"/>
      <c r="AYZ56" s="394"/>
      <c r="AZA56" s="394"/>
      <c r="AZB56" s="394"/>
      <c r="AZC56" s="394"/>
      <c r="AZD56" s="394"/>
      <c r="AZE56" s="394"/>
      <c r="AZF56" s="394"/>
      <c r="AZG56" s="394"/>
      <c r="AZH56" s="394"/>
      <c r="AZI56" s="394"/>
      <c r="AZJ56" s="394"/>
      <c r="AZK56" s="394"/>
      <c r="AZL56" s="394"/>
      <c r="AZM56" s="394"/>
      <c r="AZN56" s="394"/>
      <c r="AZO56" s="394"/>
      <c r="AZP56" s="394"/>
      <c r="AZQ56" s="394"/>
      <c r="AZR56" s="394"/>
      <c r="AZS56" s="394"/>
      <c r="AZT56" s="394"/>
      <c r="AZU56" s="394"/>
      <c r="AZV56" s="394"/>
      <c r="AZW56" s="394"/>
      <c r="AZX56" s="394"/>
      <c r="AZY56" s="394"/>
      <c r="AZZ56" s="394"/>
      <c r="BAA56" s="394"/>
      <c r="BAB56" s="394"/>
      <c r="BAC56" s="394"/>
      <c r="BAD56" s="394"/>
      <c r="BAE56" s="394"/>
      <c r="BAF56" s="394"/>
      <c r="BAG56" s="394"/>
      <c r="BAH56" s="394"/>
      <c r="BAI56" s="394"/>
      <c r="BAJ56" s="394"/>
      <c r="BAK56" s="394"/>
      <c r="BAL56" s="394"/>
      <c r="BAM56" s="394"/>
      <c r="BAN56" s="394"/>
      <c r="BAO56" s="394"/>
      <c r="BAP56" s="394"/>
      <c r="BAQ56" s="394"/>
      <c r="BAR56" s="394"/>
      <c r="BAS56" s="394"/>
      <c r="BAT56" s="394"/>
      <c r="BAU56" s="394"/>
      <c r="BAV56" s="394"/>
      <c r="BAW56" s="394"/>
      <c r="BAX56" s="394"/>
      <c r="BAY56" s="394"/>
      <c r="BAZ56" s="394"/>
      <c r="BBA56" s="394"/>
      <c r="BBB56" s="394"/>
      <c r="BBC56" s="394"/>
      <c r="BBD56" s="394"/>
      <c r="BBE56" s="394"/>
      <c r="BBF56" s="394"/>
      <c r="BBG56" s="394"/>
      <c r="BBH56" s="394"/>
      <c r="BBI56" s="394"/>
      <c r="BBJ56" s="394"/>
      <c r="BBK56" s="394"/>
      <c r="BBL56" s="394"/>
      <c r="BBM56" s="394"/>
      <c r="BBN56" s="394"/>
      <c r="BBO56" s="394"/>
      <c r="BBP56" s="394"/>
      <c r="BBQ56" s="394"/>
      <c r="BBR56" s="394"/>
      <c r="BBS56" s="394"/>
      <c r="BBT56" s="394"/>
      <c r="BBU56" s="394"/>
      <c r="BBV56" s="394"/>
      <c r="BBW56" s="394"/>
      <c r="BBX56" s="394"/>
      <c r="BBY56" s="394"/>
      <c r="BBZ56" s="394"/>
      <c r="BCA56" s="394"/>
      <c r="BCB56" s="394"/>
      <c r="BCC56" s="394"/>
      <c r="BCD56" s="394"/>
      <c r="BCE56" s="394"/>
      <c r="BCF56" s="394"/>
      <c r="BCG56" s="394"/>
      <c r="BCH56" s="394"/>
      <c r="BCI56" s="394"/>
      <c r="BCJ56" s="394"/>
      <c r="BCK56" s="394"/>
      <c r="BCL56" s="394"/>
      <c r="BCM56" s="394"/>
      <c r="BCN56" s="394"/>
      <c r="BCO56" s="394"/>
      <c r="BCP56" s="394"/>
      <c r="BCQ56" s="394"/>
      <c r="BCR56" s="394"/>
      <c r="BCS56" s="394"/>
      <c r="BCT56" s="394"/>
      <c r="BCU56" s="394"/>
      <c r="BCV56" s="394"/>
      <c r="BCW56" s="394"/>
      <c r="BCX56" s="394"/>
      <c r="BCY56" s="394"/>
      <c r="BCZ56" s="394"/>
      <c r="BDA56" s="394"/>
      <c r="BDB56" s="394"/>
      <c r="BDC56" s="394"/>
      <c r="BDD56" s="394"/>
      <c r="BDE56" s="394"/>
      <c r="BDF56" s="394"/>
      <c r="BDG56" s="394"/>
      <c r="BDH56" s="394"/>
      <c r="BDI56" s="394"/>
      <c r="BDJ56" s="394"/>
      <c r="BDK56" s="394"/>
      <c r="BDL56" s="394"/>
      <c r="BDM56" s="394"/>
      <c r="BDN56" s="394"/>
      <c r="BDO56" s="394"/>
      <c r="BDP56" s="394"/>
      <c r="BDQ56" s="394"/>
      <c r="BDR56" s="394"/>
      <c r="BDS56" s="394"/>
      <c r="BDT56" s="394"/>
      <c r="BDU56" s="394"/>
      <c r="BDV56" s="394"/>
      <c r="BDW56" s="394"/>
      <c r="BDX56" s="394"/>
      <c r="BDY56" s="394"/>
      <c r="BDZ56" s="394"/>
      <c r="BEA56" s="394"/>
      <c r="BEB56" s="394"/>
      <c r="BEC56" s="394"/>
      <c r="BED56" s="394"/>
      <c r="BEE56" s="394"/>
      <c r="BEF56" s="394"/>
      <c r="BEG56" s="394"/>
      <c r="BEH56" s="394"/>
      <c r="BEI56" s="394"/>
      <c r="BEJ56" s="394"/>
      <c r="BEK56" s="394"/>
      <c r="BEL56" s="394"/>
      <c r="BEM56" s="394"/>
      <c r="BEN56" s="394"/>
      <c r="BEO56" s="394"/>
      <c r="BEP56" s="394"/>
      <c r="BEQ56" s="394"/>
      <c r="BER56" s="394"/>
      <c r="BES56" s="394"/>
      <c r="BET56" s="394"/>
      <c r="BEU56" s="394"/>
      <c r="BEV56" s="394"/>
      <c r="BEW56" s="394"/>
      <c r="BEX56" s="394"/>
      <c r="BEY56" s="394"/>
      <c r="BEZ56" s="394"/>
      <c r="BFA56" s="394"/>
      <c r="BFB56" s="394"/>
      <c r="BFC56" s="394"/>
      <c r="BFD56" s="394"/>
      <c r="BFE56" s="394"/>
      <c r="BFF56" s="394"/>
      <c r="BFG56" s="394"/>
      <c r="BFH56" s="394"/>
      <c r="BFI56" s="394"/>
      <c r="BFJ56" s="394"/>
      <c r="BFK56" s="394"/>
      <c r="BFL56" s="394"/>
      <c r="BFM56" s="394"/>
      <c r="BFN56" s="394"/>
      <c r="BFO56" s="394"/>
      <c r="BFP56" s="394"/>
      <c r="BFQ56" s="394"/>
      <c r="BFR56" s="394"/>
      <c r="BFS56" s="394"/>
      <c r="BFT56" s="394"/>
      <c r="BFU56" s="394"/>
      <c r="BFV56" s="394"/>
      <c r="BFW56" s="394"/>
      <c r="BFX56" s="394"/>
      <c r="BFY56" s="394"/>
      <c r="BFZ56" s="394"/>
      <c r="BGA56" s="394"/>
      <c r="BGB56" s="394"/>
      <c r="BGC56" s="394"/>
      <c r="BGD56" s="394"/>
      <c r="BGE56" s="394"/>
      <c r="BGF56" s="394"/>
      <c r="BGG56" s="394"/>
      <c r="BGH56" s="394"/>
      <c r="BGI56" s="394"/>
      <c r="BGJ56" s="394"/>
      <c r="BGK56" s="394"/>
      <c r="BGL56" s="394"/>
      <c r="BGM56" s="394"/>
      <c r="BGN56" s="394"/>
      <c r="BGO56" s="394"/>
      <c r="BGP56" s="394"/>
      <c r="BGQ56" s="394"/>
      <c r="BGR56" s="394"/>
      <c r="BGS56" s="394"/>
      <c r="BGT56" s="394"/>
      <c r="BGU56" s="394"/>
      <c r="BGV56" s="394"/>
      <c r="BGW56" s="394"/>
      <c r="BGX56" s="394"/>
      <c r="BGY56" s="394"/>
      <c r="BGZ56" s="394"/>
      <c r="BHA56" s="394"/>
      <c r="BHB56" s="394"/>
      <c r="BHC56" s="394"/>
      <c r="BHD56" s="394"/>
      <c r="BHE56" s="394"/>
      <c r="BHF56" s="394"/>
      <c r="BHG56" s="394"/>
      <c r="BHH56" s="394"/>
      <c r="BHI56" s="394"/>
      <c r="BHJ56" s="394"/>
      <c r="BHK56" s="394"/>
      <c r="BHL56" s="394"/>
      <c r="BHM56" s="394"/>
      <c r="BHN56" s="394"/>
      <c r="BHO56" s="394"/>
      <c r="BHP56" s="394"/>
      <c r="BHQ56" s="394"/>
      <c r="BHR56" s="394"/>
      <c r="BHS56" s="394"/>
      <c r="BHT56" s="394"/>
      <c r="BHU56" s="394"/>
      <c r="BHV56" s="394"/>
      <c r="BHW56" s="394"/>
      <c r="BHX56" s="394"/>
      <c r="BHY56" s="394"/>
      <c r="BHZ56" s="394"/>
      <c r="BIA56" s="394"/>
      <c r="BIB56" s="394"/>
      <c r="BIC56" s="394"/>
      <c r="BID56" s="394"/>
      <c r="BIE56" s="394"/>
      <c r="BIF56" s="394"/>
      <c r="BIG56" s="394"/>
      <c r="BIH56" s="394"/>
      <c r="BII56" s="394"/>
      <c r="BIJ56" s="394"/>
      <c r="BIK56" s="394"/>
      <c r="BIL56" s="394"/>
      <c r="BIM56" s="394"/>
      <c r="BIN56" s="394"/>
      <c r="BIO56" s="394"/>
      <c r="BIP56" s="394"/>
      <c r="BIQ56" s="394"/>
      <c r="BIR56" s="394"/>
      <c r="BIS56" s="394"/>
      <c r="BIT56" s="394"/>
      <c r="BIU56" s="394"/>
      <c r="BIV56" s="394"/>
      <c r="BIW56" s="394"/>
      <c r="BIX56" s="394"/>
      <c r="BIY56" s="394"/>
      <c r="BIZ56" s="394"/>
      <c r="BJA56" s="394"/>
      <c r="BJB56" s="394"/>
      <c r="BJC56" s="394"/>
      <c r="BJD56" s="394"/>
      <c r="BJE56" s="394"/>
      <c r="BJF56" s="394"/>
      <c r="BJG56" s="394"/>
      <c r="BJH56" s="394"/>
      <c r="BJI56" s="394"/>
      <c r="BJJ56" s="394"/>
      <c r="BJK56" s="394"/>
      <c r="BJL56" s="394"/>
      <c r="BJM56" s="394"/>
      <c r="BJN56" s="394"/>
      <c r="BJO56" s="394"/>
      <c r="BJP56" s="394"/>
      <c r="BJQ56" s="394"/>
      <c r="BJR56" s="394"/>
      <c r="BJS56" s="394"/>
      <c r="BJT56" s="394"/>
      <c r="BJU56" s="394"/>
      <c r="BJV56" s="394"/>
      <c r="BJW56" s="394"/>
      <c r="BJX56" s="394"/>
      <c r="BJY56" s="394"/>
      <c r="BJZ56" s="394"/>
      <c r="BKA56" s="394"/>
      <c r="BKB56" s="394"/>
      <c r="BKC56" s="394"/>
      <c r="BKD56" s="394"/>
      <c r="BKE56" s="394"/>
      <c r="BKF56" s="394"/>
      <c r="BKG56" s="394"/>
      <c r="BKH56" s="394"/>
      <c r="BKI56" s="394"/>
      <c r="BKJ56" s="394"/>
      <c r="BKK56" s="394"/>
      <c r="BKL56" s="394"/>
      <c r="BKM56" s="394"/>
      <c r="BKN56" s="394"/>
      <c r="BKO56" s="394"/>
      <c r="BKP56" s="394"/>
      <c r="BKQ56" s="394"/>
      <c r="BKR56" s="394"/>
      <c r="BKS56" s="394"/>
      <c r="BKT56" s="394"/>
      <c r="BKU56" s="394"/>
      <c r="BKV56" s="394"/>
      <c r="BKW56" s="394"/>
      <c r="BKX56" s="394"/>
      <c r="BKY56" s="394"/>
      <c r="BKZ56" s="394"/>
      <c r="BLA56" s="394"/>
      <c r="BLB56" s="394"/>
      <c r="BLC56" s="394"/>
      <c r="BLD56" s="394"/>
      <c r="BLE56" s="394"/>
      <c r="BLF56" s="394"/>
      <c r="BLG56" s="394"/>
      <c r="BLH56" s="394"/>
      <c r="BLI56" s="394"/>
      <c r="BLJ56" s="394"/>
      <c r="BLK56" s="394"/>
      <c r="BLL56" s="394"/>
      <c r="BLM56" s="394"/>
      <c r="BLN56" s="394"/>
      <c r="BLO56" s="394"/>
      <c r="BLP56" s="394"/>
      <c r="BLQ56" s="394"/>
      <c r="BLR56" s="394"/>
      <c r="BLS56" s="394"/>
      <c r="BLT56" s="394"/>
      <c r="BLU56" s="394"/>
      <c r="BLV56" s="394"/>
      <c r="BLW56" s="394"/>
      <c r="BLX56" s="394"/>
      <c r="BLY56" s="394"/>
      <c r="BLZ56" s="394"/>
      <c r="BMA56" s="394"/>
      <c r="BMB56" s="394"/>
      <c r="BMC56" s="394"/>
      <c r="BMD56" s="394"/>
      <c r="BME56" s="394"/>
      <c r="BMF56" s="394"/>
      <c r="BMG56" s="394"/>
      <c r="BMH56" s="394"/>
      <c r="BMI56" s="394"/>
      <c r="BMJ56" s="394"/>
      <c r="BMK56" s="394"/>
      <c r="BML56" s="394"/>
      <c r="BMM56" s="394"/>
      <c r="BMN56" s="394"/>
      <c r="BMO56" s="394"/>
      <c r="BMP56" s="394"/>
      <c r="BMQ56" s="394"/>
      <c r="BMR56" s="394"/>
      <c r="BMS56" s="394"/>
      <c r="BMT56" s="394"/>
      <c r="BMU56" s="394"/>
      <c r="BMV56" s="394"/>
      <c r="BMW56" s="394"/>
      <c r="BMX56" s="394"/>
      <c r="BMY56" s="394"/>
      <c r="BMZ56" s="394"/>
      <c r="BNA56" s="394"/>
      <c r="BNB56" s="394"/>
      <c r="BNC56" s="394"/>
      <c r="BND56" s="394"/>
      <c r="BNE56" s="394"/>
      <c r="BNF56" s="394"/>
      <c r="BNG56" s="394"/>
      <c r="BNH56" s="394"/>
      <c r="BNI56" s="394"/>
      <c r="BNJ56" s="394"/>
      <c r="BNK56" s="394"/>
      <c r="BNL56" s="394"/>
      <c r="BNM56" s="394"/>
      <c r="BNN56" s="394"/>
      <c r="BNO56" s="394"/>
      <c r="BNP56" s="394"/>
      <c r="BNQ56" s="394"/>
      <c r="BNR56" s="394"/>
      <c r="BNS56" s="394"/>
      <c r="BNT56" s="394"/>
      <c r="BNU56" s="394"/>
      <c r="BNV56" s="394"/>
      <c r="BNW56" s="394"/>
      <c r="BNX56" s="394"/>
      <c r="BNY56" s="394"/>
      <c r="BNZ56" s="394"/>
      <c r="BOA56" s="394"/>
      <c r="BOB56" s="394"/>
      <c r="BOC56" s="394"/>
      <c r="BOD56" s="394"/>
      <c r="BOE56" s="394"/>
      <c r="BOF56" s="394"/>
      <c r="BOG56" s="394"/>
      <c r="BOH56" s="394"/>
      <c r="BOI56" s="394"/>
      <c r="BOJ56" s="394"/>
      <c r="BOK56" s="394"/>
      <c r="BOL56" s="394"/>
      <c r="BOM56" s="394"/>
      <c r="BON56" s="394"/>
      <c r="BOO56" s="394"/>
      <c r="BOP56" s="394"/>
      <c r="BOQ56" s="394"/>
      <c r="BOR56" s="394"/>
      <c r="BOS56" s="394"/>
      <c r="BOT56" s="394"/>
      <c r="BOU56" s="394"/>
      <c r="BOV56" s="394"/>
      <c r="BOW56" s="394"/>
      <c r="BOX56" s="394"/>
      <c r="BOY56" s="394"/>
      <c r="BOZ56" s="394"/>
      <c r="BPA56" s="394"/>
      <c r="BPB56" s="394"/>
      <c r="BPC56" s="394"/>
      <c r="BPD56" s="394"/>
      <c r="BPE56" s="394"/>
      <c r="BPF56" s="394"/>
      <c r="BPG56" s="394"/>
      <c r="BPH56" s="394"/>
      <c r="BPI56" s="394"/>
      <c r="BPJ56" s="394"/>
      <c r="BPK56" s="394"/>
      <c r="BPL56" s="394"/>
      <c r="BPM56" s="394"/>
      <c r="BPN56" s="394"/>
      <c r="BPO56" s="394"/>
      <c r="BPP56" s="394"/>
      <c r="BPQ56" s="394"/>
      <c r="BPR56" s="394"/>
      <c r="BPS56" s="394"/>
      <c r="BPT56" s="394"/>
      <c r="BPU56" s="394"/>
      <c r="BPV56" s="394"/>
      <c r="BPW56" s="394"/>
      <c r="BPX56" s="394"/>
      <c r="BPY56" s="394"/>
      <c r="BPZ56" s="394"/>
      <c r="BQA56" s="394"/>
      <c r="BQB56" s="394"/>
      <c r="BQC56" s="394"/>
      <c r="BQD56" s="394"/>
      <c r="BQE56" s="394"/>
      <c r="BQF56" s="394"/>
      <c r="BQG56" s="394"/>
      <c r="BQH56" s="394"/>
      <c r="BQI56" s="394"/>
      <c r="BQJ56" s="394"/>
      <c r="BQK56" s="394"/>
      <c r="BQL56" s="394"/>
      <c r="BQM56" s="394"/>
      <c r="BQN56" s="394"/>
      <c r="BQO56" s="394"/>
      <c r="BQP56" s="394"/>
      <c r="BQQ56" s="394"/>
      <c r="BQR56" s="394"/>
      <c r="BQS56" s="394"/>
      <c r="BQT56" s="394"/>
      <c r="BQU56" s="394"/>
      <c r="BQV56" s="394"/>
      <c r="BQW56" s="394"/>
      <c r="BQX56" s="394"/>
      <c r="BQY56" s="394"/>
      <c r="BQZ56" s="394"/>
      <c r="BRA56" s="394"/>
      <c r="BRB56" s="394"/>
      <c r="BRC56" s="394"/>
      <c r="BRD56" s="394"/>
      <c r="BRE56" s="394"/>
      <c r="BRF56" s="394"/>
      <c r="BRG56" s="394"/>
      <c r="BRH56" s="394"/>
      <c r="BRI56" s="394"/>
      <c r="BRJ56" s="394"/>
      <c r="BRK56" s="394"/>
      <c r="BRL56" s="394"/>
      <c r="BRM56" s="394"/>
      <c r="BRN56" s="394"/>
      <c r="BRO56" s="394"/>
      <c r="BRP56" s="394"/>
      <c r="BRQ56" s="394"/>
      <c r="BRR56" s="394"/>
      <c r="BRS56" s="394"/>
      <c r="BRT56" s="394"/>
      <c r="BRU56" s="394"/>
      <c r="BRV56" s="394"/>
      <c r="BRW56" s="394"/>
      <c r="BRX56" s="394"/>
      <c r="BRY56" s="394"/>
      <c r="BRZ56" s="394"/>
      <c r="BSA56" s="394"/>
      <c r="BSB56" s="394"/>
      <c r="BSC56" s="394"/>
      <c r="BSD56" s="394"/>
      <c r="BSE56" s="394"/>
      <c r="BSF56" s="394"/>
      <c r="BSG56" s="394"/>
      <c r="BSH56" s="394"/>
      <c r="BSI56" s="394"/>
      <c r="BSJ56" s="394"/>
      <c r="BSK56" s="394"/>
      <c r="BSL56" s="394"/>
      <c r="BSM56" s="394"/>
      <c r="BSN56" s="394"/>
      <c r="BSO56" s="394"/>
      <c r="BSP56" s="394"/>
      <c r="BSQ56" s="394"/>
      <c r="BSR56" s="394"/>
      <c r="BSS56" s="394"/>
      <c r="BST56" s="394"/>
      <c r="BSU56" s="394"/>
      <c r="BSV56" s="394"/>
      <c r="BSW56" s="394"/>
      <c r="BSX56" s="394"/>
      <c r="BSY56" s="394"/>
      <c r="BSZ56" s="394"/>
      <c r="BTA56" s="394"/>
      <c r="BTB56" s="394"/>
      <c r="BTC56" s="394"/>
      <c r="BTD56" s="394"/>
      <c r="BTE56" s="394"/>
      <c r="BTF56" s="394"/>
      <c r="BTG56" s="394"/>
      <c r="BTH56" s="394"/>
      <c r="BTI56" s="394"/>
    </row>
    <row r="57" spans="1:1881" ht="57.75" customHeight="1" x14ac:dyDescent="0.25">
      <c r="A57" s="188">
        <v>9</v>
      </c>
      <c r="B57" s="65" t="s">
        <v>67</v>
      </c>
      <c r="C57" s="134" t="s">
        <v>160</v>
      </c>
      <c r="D57" s="165" t="s">
        <v>612</v>
      </c>
      <c r="E57" s="32" t="e">
        <f>HLOOKUP($D$2,'2019 Data(H)'!$C$1:$CP$300,7,FALSE)</f>
        <v>#N/A</v>
      </c>
      <c r="F57" s="624"/>
      <c r="G57" s="395">
        <f>IF(F47-F49-F50-F51-F57=0,,"Error: Total assets less total liabilities do not equal total fund balance. Account numbers 379-4-5-380-9= 0  The amount of the formula is in the cell to the right")</f>
        <v>0</v>
      </c>
      <c r="H57" s="192">
        <f>F47-F49-F50-F51-F57</f>
        <v>0</v>
      </c>
      <c r="I57" s="31"/>
      <c r="J57" s="365"/>
      <c r="L57" s="833" t="s">
        <v>1151</v>
      </c>
      <c r="M57" s="610"/>
      <c r="N57" s="635"/>
    </row>
    <row r="58" spans="1:1881" s="4" customFormat="1" ht="66" customHeight="1" x14ac:dyDescent="0.3">
      <c r="A58" s="188">
        <v>540</v>
      </c>
      <c r="B58" s="150" t="s">
        <v>66</v>
      </c>
      <c r="C58" s="182" t="s">
        <v>221</v>
      </c>
      <c r="D58" s="175" t="s">
        <v>892</v>
      </c>
      <c r="E58" s="32" t="e">
        <f>HLOOKUP($D$2,'2019 Data(H)'!$C$1:$CP$300,190,FALSE)</f>
        <v>#N/A</v>
      </c>
      <c r="F58" s="624"/>
      <c r="G58" s="395"/>
      <c r="H58" s="17"/>
      <c r="I58" s="297"/>
      <c r="J58" s="365"/>
      <c r="K58" s="443"/>
      <c r="L58" s="833" t="s">
        <v>1152</v>
      </c>
      <c r="M58" s="443"/>
      <c r="N58" s="635"/>
      <c r="O58" s="443"/>
      <c r="P58" s="443"/>
      <c r="Q58" s="443"/>
      <c r="R58" s="443"/>
      <c r="S58" s="443"/>
      <c r="T58" s="443"/>
      <c r="U58" s="394"/>
      <c r="V58" s="394"/>
      <c r="W58" s="394"/>
      <c r="X58" s="394"/>
      <c r="Y58" s="394"/>
      <c r="Z58" s="394"/>
      <c r="AA58" s="394"/>
      <c r="AB58" s="394"/>
      <c r="AC58" s="394"/>
      <c r="AD58" s="394"/>
      <c r="AE58" s="394"/>
      <c r="AF58" s="394"/>
      <c r="AG58" s="394"/>
      <c r="AH58" s="394"/>
      <c r="AI58" s="394"/>
      <c r="AJ58" s="394"/>
      <c r="AK58" s="394"/>
      <c r="AL58" s="394"/>
      <c r="AM58" s="394"/>
      <c r="AN58" s="394"/>
      <c r="AO58" s="394"/>
      <c r="AP58" s="394"/>
      <c r="AQ58" s="394"/>
      <c r="AR58" s="394"/>
      <c r="AS58" s="394"/>
      <c r="AT58" s="394"/>
      <c r="AU58" s="394"/>
      <c r="AV58" s="394"/>
      <c r="AW58" s="394"/>
      <c r="AX58" s="394"/>
      <c r="AY58" s="394"/>
      <c r="AZ58" s="394"/>
      <c r="BA58" s="394"/>
      <c r="BB58" s="394"/>
      <c r="BC58" s="394"/>
      <c r="BD58" s="394"/>
      <c r="BE58" s="394"/>
      <c r="BF58" s="394"/>
      <c r="BG58" s="394"/>
      <c r="BH58" s="394"/>
      <c r="BI58" s="394"/>
      <c r="BJ58" s="394"/>
      <c r="BK58" s="394"/>
      <c r="BL58" s="394"/>
      <c r="BM58" s="394"/>
      <c r="BN58" s="394"/>
      <c r="BO58" s="394"/>
      <c r="BP58" s="394"/>
      <c r="BQ58" s="394"/>
      <c r="BR58" s="394"/>
      <c r="BS58" s="394"/>
      <c r="BT58" s="394"/>
      <c r="BU58" s="394"/>
      <c r="BV58" s="394"/>
      <c r="BW58" s="394"/>
      <c r="BX58" s="394"/>
      <c r="BY58" s="394"/>
      <c r="BZ58" s="394"/>
      <c r="CA58" s="394"/>
      <c r="CB58" s="394"/>
      <c r="CC58" s="394"/>
      <c r="CD58" s="394"/>
      <c r="CE58" s="394"/>
      <c r="CF58" s="394"/>
      <c r="CG58" s="394"/>
      <c r="CH58" s="394"/>
      <c r="CI58" s="394"/>
      <c r="CJ58" s="394"/>
      <c r="CK58" s="394"/>
      <c r="CL58" s="394"/>
      <c r="CM58" s="394"/>
      <c r="CN58" s="394"/>
      <c r="CO58" s="394"/>
      <c r="CP58" s="394"/>
      <c r="CQ58" s="394"/>
      <c r="CR58" s="394"/>
      <c r="CS58" s="394"/>
      <c r="CT58" s="394"/>
      <c r="CU58" s="394"/>
      <c r="CV58" s="394"/>
      <c r="CW58" s="394"/>
      <c r="CX58" s="394"/>
      <c r="CY58" s="394"/>
      <c r="CZ58" s="394"/>
      <c r="DA58" s="394"/>
      <c r="DB58" s="394"/>
      <c r="DC58" s="394"/>
      <c r="DD58" s="394"/>
      <c r="DE58" s="394"/>
      <c r="DF58" s="394"/>
      <c r="DG58" s="394"/>
      <c r="DH58" s="394"/>
      <c r="DI58" s="394"/>
      <c r="DJ58" s="394"/>
      <c r="DK58" s="394"/>
      <c r="DL58" s="394"/>
      <c r="DM58" s="394"/>
      <c r="DN58" s="394"/>
      <c r="DO58" s="394"/>
      <c r="DP58" s="394"/>
      <c r="DQ58" s="394"/>
      <c r="DR58" s="394"/>
      <c r="DS58" s="394"/>
      <c r="DT58" s="394"/>
      <c r="DU58" s="394"/>
      <c r="DV58" s="394"/>
      <c r="DW58" s="394"/>
      <c r="DX58" s="394"/>
      <c r="DY58" s="394"/>
      <c r="DZ58" s="394"/>
      <c r="EA58" s="394"/>
      <c r="EB58" s="394"/>
      <c r="EC58" s="394"/>
      <c r="ED58" s="394"/>
      <c r="EE58" s="394"/>
      <c r="EF58" s="394"/>
      <c r="EG58" s="394"/>
      <c r="EH58" s="394"/>
      <c r="EI58" s="394"/>
      <c r="EJ58" s="394"/>
      <c r="EK58" s="394"/>
      <c r="EL58" s="394"/>
      <c r="EM58" s="394"/>
      <c r="EN58" s="394"/>
      <c r="EO58" s="394"/>
      <c r="EP58" s="394"/>
      <c r="EQ58" s="394"/>
      <c r="ER58" s="394"/>
      <c r="ES58" s="394"/>
      <c r="ET58" s="394"/>
      <c r="EU58" s="394"/>
      <c r="EV58" s="394"/>
      <c r="EW58" s="394"/>
      <c r="EX58" s="394"/>
      <c r="EY58" s="394"/>
      <c r="EZ58" s="394"/>
      <c r="FA58" s="394"/>
      <c r="FB58" s="394"/>
      <c r="FC58" s="394"/>
      <c r="FD58" s="394"/>
      <c r="FE58" s="394"/>
      <c r="FF58" s="394"/>
      <c r="FG58" s="394"/>
      <c r="FH58" s="394"/>
      <c r="FI58" s="394"/>
      <c r="FJ58" s="394"/>
      <c r="FK58" s="394"/>
      <c r="FL58" s="394"/>
      <c r="FM58" s="394"/>
      <c r="FN58" s="394"/>
      <c r="FO58" s="394"/>
      <c r="FP58" s="394"/>
      <c r="FQ58" s="394"/>
      <c r="FR58" s="394"/>
      <c r="FS58" s="394"/>
      <c r="FT58" s="394"/>
      <c r="FU58" s="394"/>
      <c r="FV58" s="394"/>
      <c r="FW58" s="394"/>
      <c r="FX58" s="394"/>
      <c r="FY58" s="394"/>
      <c r="FZ58" s="394"/>
      <c r="GA58" s="394"/>
      <c r="GB58" s="394"/>
      <c r="GC58" s="394"/>
      <c r="GD58" s="394"/>
      <c r="GE58" s="394"/>
      <c r="GF58" s="394"/>
      <c r="GG58" s="394"/>
      <c r="GH58" s="394"/>
      <c r="GI58" s="394"/>
      <c r="GJ58" s="394"/>
      <c r="GK58" s="394"/>
      <c r="GL58" s="394"/>
      <c r="GM58" s="394"/>
      <c r="GN58" s="394"/>
      <c r="GO58" s="394"/>
      <c r="GP58" s="394"/>
      <c r="GQ58" s="394"/>
      <c r="GR58" s="394"/>
      <c r="GS58" s="394"/>
      <c r="GT58" s="394"/>
      <c r="GU58" s="394"/>
      <c r="GV58" s="394"/>
      <c r="GW58" s="394"/>
      <c r="GX58" s="394"/>
      <c r="GY58" s="394"/>
      <c r="GZ58" s="394"/>
      <c r="HA58" s="394"/>
      <c r="HB58" s="394"/>
      <c r="HC58" s="394"/>
      <c r="HD58" s="394"/>
      <c r="HE58" s="394"/>
      <c r="HF58" s="394"/>
      <c r="HG58" s="394"/>
      <c r="HH58" s="394"/>
      <c r="HI58" s="394"/>
      <c r="HJ58" s="394"/>
      <c r="HK58" s="394"/>
      <c r="HL58" s="394"/>
      <c r="HM58" s="394"/>
      <c r="HN58" s="394"/>
      <c r="HO58" s="394"/>
      <c r="HP58" s="394"/>
      <c r="HQ58" s="394"/>
      <c r="HR58" s="394"/>
      <c r="HS58" s="394"/>
      <c r="HT58" s="394"/>
      <c r="HU58" s="394"/>
      <c r="HV58" s="394"/>
      <c r="HW58" s="394"/>
      <c r="HX58" s="394"/>
      <c r="HY58" s="394"/>
      <c r="HZ58" s="394"/>
      <c r="IA58" s="394"/>
      <c r="IB58" s="394"/>
      <c r="IC58" s="394"/>
      <c r="ID58" s="394"/>
      <c r="IE58" s="394"/>
      <c r="IF58" s="394"/>
      <c r="IG58" s="394"/>
      <c r="IH58" s="394"/>
      <c r="II58" s="394"/>
      <c r="IJ58" s="394"/>
      <c r="IK58" s="394"/>
      <c r="IL58" s="394"/>
      <c r="IM58" s="394"/>
      <c r="IN58" s="394"/>
      <c r="IO58" s="394"/>
      <c r="IP58" s="394"/>
      <c r="IQ58" s="394"/>
      <c r="IR58" s="394"/>
      <c r="IS58" s="394"/>
      <c r="IT58" s="394"/>
      <c r="IU58" s="394"/>
      <c r="IV58" s="394"/>
      <c r="IW58" s="394"/>
      <c r="IX58" s="394"/>
      <c r="IY58" s="394"/>
      <c r="IZ58" s="394"/>
      <c r="JA58" s="394"/>
      <c r="JB58" s="394"/>
      <c r="JC58" s="394"/>
      <c r="JD58" s="394"/>
      <c r="JE58" s="394"/>
      <c r="JF58" s="394"/>
      <c r="JG58" s="394"/>
      <c r="JH58" s="394"/>
      <c r="JI58" s="394"/>
      <c r="JJ58" s="394"/>
      <c r="JK58" s="394"/>
      <c r="JL58" s="394"/>
      <c r="JM58" s="394"/>
      <c r="JN58" s="394"/>
      <c r="JO58" s="394"/>
      <c r="JP58" s="394"/>
      <c r="JQ58" s="394"/>
      <c r="JR58" s="394"/>
      <c r="JS58" s="394"/>
      <c r="JT58" s="394"/>
      <c r="JU58" s="394"/>
      <c r="JV58" s="394"/>
      <c r="JW58" s="394"/>
      <c r="JX58" s="394"/>
      <c r="JY58" s="394"/>
      <c r="JZ58" s="394"/>
      <c r="KA58" s="394"/>
      <c r="KB58" s="394"/>
      <c r="KC58" s="394"/>
      <c r="KD58" s="394"/>
      <c r="KE58" s="394"/>
      <c r="KF58" s="394"/>
      <c r="KG58" s="394"/>
      <c r="KH58" s="394"/>
      <c r="KI58" s="394"/>
      <c r="KJ58" s="394"/>
      <c r="KK58" s="394"/>
      <c r="KL58" s="394"/>
      <c r="KM58" s="394"/>
      <c r="KN58" s="394"/>
      <c r="KO58" s="394"/>
      <c r="KP58" s="394"/>
      <c r="KQ58" s="394"/>
      <c r="KR58" s="394"/>
      <c r="KS58" s="394"/>
      <c r="KT58" s="394"/>
      <c r="KU58" s="394"/>
      <c r="KV58" s="394"/>
      <c r="KW58" s="394"/>
      <c r="KX58" s="394"/>
      <c r="KY58" s="394"/>
      <c r="KZ58" s="394"/>
      <c r="LA58" s="394"/>
      <c r="LB58" s="394"/>
      <c r="LC58" s="394"/>
      <c r="LD58" s="394"/>
      <c r="LE58" s="394"/>
      <c r="LF58" s="394"/>
      <c r="LG58" s="394"/>
      <c r="LH58" s="394"/>
      <c r="LI58" s="394"/>
      <c r="LJ58" s="394"/>
      <c r="LK58" s="394"/>
      <c r="LL58" s="394"/>
      <c r="LM58" s="394"/>
      <c r="LN58" s="394"/>
      <c r="LO58" s="394"/>
      <c r="LP58" s="394"/>
      <c r="LQ58" s="394"/>
      <c r="LR58" s="394"/>
      <c r="LS58" s="394"/>
      <c r="LT58" s="394"/>
      <c r="LU58" s="394"/>
      <c r="LV58" s="394"/>
      <c r="LW58" s="394"/>
      <c r="LX58" s="394"/>
      <c r="LY58" s="394"/>
      <c r="LZ58" s="394"/>
      <c r="MA58" s="394"/>
      <c r="MB58" s="394"/>
      <c r="MC58" s="394"/>
      <c r="MD58" s="394"/>
      <c r="ME58" s="394"/>
      <c r="MF58" s="394"/>
      <c r="MG58" s="394"/>
      <c r="MH58" s="394"/>
      <c r="MI58" s="394"/>
      <c r="MJ58" s="394"/>
      <c r="MK58" s="394"/>
      <c r="ML58" s="394"/>
      <c r="MM58" s="394"/>
      <c r="MN58" s="394"/>
      <c r="MO58" s="394"/>
      <c r="MP58" s="394"/>
      <c r="MQ58" s="394"/>
      <c r="MR58" s="394"/>
      <c r="MS58" s="394"/>
      <c r="MT58" s="394"/>
      <c r="MU58" s="394"/>
      <c r="MV58" s="394"/>
      <c r="MW58" s="394"/>
      <c r="MX58" s="394"/>
      <c r="MY58" s="394"/>
      <c r="MZ58" s="394"/>
      <c r="NA58" s="394"/>
      <c r="NB58" s="394"/>
      <c r="NC58" s="394"/>
      <c r="ND58" s="394"/>
      <c r="NE58" s="394"/>
      <c r="NF58" s="394"/>
      <c r="NG58" s="394"/>
      <c r="NH58" s="394"/>
      <c r="NI58" s="394"/>
      <c r="NJ58" s="394"/>
      <c r="NK58" s="394"/>
      <c r="NL58" s="394"/>
      <c r="NM58" s="394"/>
      <c r="NN58" s="394"/>
      <c r="NO58" s="394"/>
      <c r="NP58" s="394"/>
      <c r="NQ58" s="394"/>
      <c r="NR58" s="394"/>
      <c r="NS58" s="394"/>
      <c r="NT58" s="394"/>
      <c r="NU58" s="394"/>
      <c r="NV58" s="394"/>
      <c r="NW58" s="394"/>
      <c r="NX58" s="394"/>
      <c r="NY58" s="394"/>
      <c r="NZ58" s="394"/>
      <c r="OA58" s="394"/>
      <c r="OB58" s="394"/>
      <c r="OC58" s="394"/>
      <c r="OD58" s="394"/>
      <c r="OE58" s="394"/>
      <c r="OF58" s="394"/>
      <c r="OG58" s="394"/>
      <c r="OH58" s="394"/>
      <c r="OI58" s="394"/>
      <c r="OJ58" s="394"/>
      <c r="OK58" s="394"/>
      <c r="OL58" s="394"/>
      <c r="OM58" s="394"/>
      <c r="ON58" s="394"/>
      <c r="OO58" s="394"/>
      <c r="OP58" s="394"/>
      <c r="OQ58" s="394"/>
      <c r="OR58" s="394"/>
      <c r="OS58" s="394"/>
      <c r="OT58" s="394"/>
      <c r="OU58" s="394"/>
      <c r="OV58" s="394"/>
      <c r="OW58" s="394"/>
      <c r="OX58" s="394"/>
      <c r="OY58" s="394"/>
      <c r="OZ58" s="394"/>
      <c r="PA58" s="394"/>
      <c r="PB58" s="394"/>
      <c r="PC58" s="394"/>
      <c r="PD58" s="394"/>
      <c r="PE58" s="394"/>
      <c r="PF58" s="394"/>
      <c r="PG58" s="394"/>
      <c r="PH58" s="394"/>
      <c r="PI58" s="394"/>
      <c r="PJ58" s="394"/>
      <c r="PK58" s="394"/>
      <c r="PL58" s="394"/>
      <c r="PM58" s="394"/>
      <c r="PN58" s="394"/>
      <c r="PO58" s="394"/>
      <c r="PP58" s="394"/>
      <c r="PQ58" s="394"/>
      <c r="PR58" s="394"/>
      <c r="PS58" s="394"/>
      <c r="PT58" s="394"/>
      <c r="PU58" s="394"/>
      <c r="PV58" s="394"/>
      <c r="PW58" s="394"/>
      <c r="PX58" s="394"/>
      <c r="PY58" s="394"/>
      <c r="PZ58" s="394"/>
      <c r="QA58" s="394"/>
      <c r="QB58" s="394"/>
      <c r="QC58" s="394"/>
      <c r="QD58" s="394"/>
      <c r="QE58" s="394"/>
      <c r="QF58" s="394"/>
      <c r="QG58" s="394"/>
      <c r="QH58" s="394"/>
      <c r="QI58" s="394"/>
      <c r="QJ58" s="394"/>
      <c r="QK58" s="394"/>
      <c r="QL58" s="394"/>
      <c r="QM58" s="394"/>
      <c r="QN58" s="394"/>
      <c r="QO58" s="394"/>
      <c r="QP58" s="394"/>
      <c r="QQ58" s="394"/>
      <c r="QR58" s="394"/>
      <c r="QS58" s="394"/>
      <c r="QT58" s="394"/>
      <c r="QU58" s="394"/>
      <c r="QV58" s="394"/>
      <c r="QW58" s="394"/>
      <c r="QX58" s="394"/>
      <c r="QY58" s="394"/>
      <c r="QZ58" s="394"/>
      <c r="RA58" s="394"/>
      <c r="RB58" s="394"/>
      <c r="RC58" s="394"/>
      <c r="RD58" s="394"/>
      <c r="RE58" s="394"/>
      <c r="RF58" s="394"/>
      <c r="RG58" s="394"/>
      <c r="RH58" s="394"/>
      <c r="RI58" s="394"/>
      <c r="RJ58" s="394"/>
      <c r="RK58" s="394"/>
      <c r="RL58" s="394"/>
      <c r="RM58" s="394"/>
      <c r="RN58" s="394"/>
      <c r="RO58" s="394"/>
      <c r="RP58" s="394"/>
      <c r="RQ58" s="394"/>
      <c r="RR58" s="394"/>
      <c r="RS58" s="394"/>
      <c r="RT58" s="394"/>
      <c r="RU58" s="394"/>
      <c r="RV58" s="394"/>
      <c r="RW58" s="394"/>
      <c r="RX58" s="394"/>
      <c r="RY58" s="394"/>
      <c r="RZ58" s="394"/>
      <c r="SA58" s="394"/>
      <c r="SB58" s="394"/>
      <c r="SC58" s="394"/>
      <c r="SD58" s="394"/>
      <c r="SE58" s="394"/>
      <c r="SF58" s="394"/>
      <c r="SG58" s="394"/>
      <c r="SH58" s="394"/>
      <c r="SI58" s="394"/>
      <c r="SJ58" s="394"/>
      <c r="SK58" s="394"/>
      <c r="SL58" s="394"/>
      <c r="SM58" s="394"/>
      <c r="SN58" s="394"/>
      <c r="SO58" s="394"/>
      <c r="SP58" s="394"/>
      <c r="SQ58" s="394"/>
      <c r="SR58" s="394"/>
      <c r="SS58" s="394"/>
      <c r="ST58" s="394"/>
      <c r="SU58" s="394"/>
      <c r="SV58" s="394"/>
      <c r="SW58" s="394"/>
      <c r="SX58" s="394"/>
      <c r="SY58" s="394"/>
      <c r="SZ58" s="394"/>
      <c r="TA58" s="394"/>
      <c r="TB58" s="394"/>
      <c r="TC58" s="394"/>
      <c r="TD58" s="394"/>
      <c r="TE58" s="394"/>
      <c r="TF58" s="394"/>
      <c r="TG58" s="394"/>
      <c r="TH58" s="394"/>
      <c r="TI58" s="394"/>
      <c r="TJ58" s="394"/>
      <c r="TK58" s="394"/>
      <c r="TL58" s="394"/>
      <c r="TM58" s="394"/>
      <c r="TN58" s="394"/>
      <c r="TO58" s="394"/>
      <c r="TP58" s="394"/>
      <c r="TQ58" s="394"/>
      <c r="TR58" s="394"/>
      <c r="TS58" s="394"/>
      <c r="TT58" s="394"/>
      <c r="TU58" s="394"/>
      <c r="TV58" s="394"/>
      <c r="TW58" s="394"/>
      <c r="TX58" s="394"/>
      <c r="TY58" s="394"/>
      <c r="TZ58" s="394"/>
      <c r="UA58" s="394"/>
      <c r="UB58" s="394"/>
      <c r="UC58" s="394"/>
      <c r="UD58" s="394"/>
      <c r="UE58" s="394"/>
      <c r="UF58" s="394"/>
      <c r="UG58" s="394"/>
      <c r="UH58" s="394"/>
      <c r="UI58" s="394"/>
      <c r="UJ58" s="394"/>
      <c r="UK58" s="394"/>
      <c r="UL58" s="394"/>
      <c r="UM58" s="394"/>
      <c r="UN58" s="394"/>
      <c r="UO58" s="394"/>
      <c r="UP58" s="394"/>
      <c r="UQ58" s="394"/>
      <c r="UR58" s="394"/>
      <c r="US58" s="394"/>
      <c r="UT58" s="394"/>
      <c r="UU58" s="394"/>
      <c r="UV58" s="394"/>
      <c r="UW58" s="394"/>
      <c r="UX58" s="394"/>
      <c r="UY58" s="394"/>
      <c r="UZ58" s="394"/>
      <c r="VA58" s="394"/>
      <c r="VB58" s="394"/>
      <c r="VC58" s="394"/>
      <c r="VD58" s="394"/>
      <c r="VE58" s="394"/>
      <c r="VF58" s="394"/>
      <c r="VG58" s="394"/>
      <c r="VH58" s="394"/>
      <c r="VI58" s="394"/>
      <c r="VJ58" s="394"/>
      <c r="VK58" s="394"/>
      <c r="VL58" s="394"/>
      <c r="VM58" s="394"/>
      <c r="VN58" s="394"/>
      <c r="VO58" s="394"/>
      <c r="VP58" s="394"/>
      <c r="VQ58" s="394"/>
      <c r="VR58" s="394"/>
      <c r="VS58" s="394"/>
      <c r="VT58" s="394"/>
      <c r="VU58" s="394"/>
      <c r="VV58" s="394"/>
      <c r="VW58" s="394"/>
      <c r="VX58" s="394"/>
      <c r="VY58" s="394"/>
      <c r="VZ58" s="394"/>
      <c r="WA58" s="394"/>
      <c r="WB58" s="394"/>
      <c r="WC58" s="394"/>
      <c r="WD58" s="394"/>
      <c r="WE58" s="394"/>
      <c r="WF58" s="394"/>
      <c r="WG58" s="394"/>
      <c r="WH58" s="394"/>
      <c r="WI58" s="394"/>
      <c r="WJ58" s="394"/>
      <c r="WK58" s="394"/>
      <c r="WL58" s="394"/>
      <c r="WM58" s="394"/>
      <c r="WN58" s="394"/>
      <c r="WO58" s="394"/>
      <c r="WP58" s="394"/>
      <c r="WQ58" s="394"/>
      <c r="WR58" s="394"/>
      <c r="WS58" s="394"/>
      <c r="WT58" s="394"/>
      <c r="WU58" s="394"/>
      <c r="WV58" s="394"/>
      <c r="WW58" s="394"/>
      <c r="WX58" s="394"/>
      <c r="WY58" s="394"/>
      <c r="WZ58" s="394"/>
      <c r="XA58" s="394"/>
      <c r="XB58" s="394"/>
      <c r="XC58" s="394"/>
      <c r="XD58" s="394"/>
      <c r="XE58" s="394"/>
      <c r="XF58" s="394"/>
      <c r="XG58" s="394"/>
      <c r="XH58" s="394"/>
      <c r="XI58" s="394"/>
      <c r="XJ58" s="394"/>
      <c r="XK58" s="394"/>
      <c r="XL58" s="394"/>
      <c r="XM58" s="394"/>
      <c r="XN58" s="394"/>
      <c r="XO58" s="394"/>
      <c r="XP58" s="394"/>
      <c r="XQ58" s="394"/>
      <c r="XR58" s="394"/>
      <c r="XS58" s="394"/>
      <c r="XT58" s="394"/>
      <c r="XU58" s="394"/>
      <c r="XV58" s="394"/>
      <c r="XW58" s="394"/>
      <c r="XX58" s="394"/>
      <c r="XY58" s="394"/>
      <c r="XZ58" s="394"/>
      <c r="YA58" s="394"/>
      <c r="YB58" s="394"/>
      <c r="YC58" s="394"/>
      <c r="YD58" s="394"/>
      <c r="YE58" s="394"/>
      <c r="YF58" s="394"/>
      <c r="YG58" s="394"/>
      <c r="YH58" s="394"/>
      <c r="YI58" s="394"/>
      <c r="YJ58" s="394"/>
      <c r="YK58" s="394"/>
      <c r="YL58" s="394"/>
      <c r="YM58" s="394"/>
      <c r="YN58" s="394"/>
      <c r="YO58" s="394"/>
      <c r="YP58" s="394"/>
      <c r="YQ58" s="394"/>
      <c r="YR58" s="394"/>
      <c r="YS58" s="394"/>
      <c r="YT58" s="394"/>
      <c r="YU58" s="394"/>
      <c r="YV58" s="394"/>
      <c r="YW58" s="394"/>
      <c r="YX58" s="394"/>
      <c r="YY58" s="394"/>
      <c r="YZ58" s="394"/>
      <c r="ZA58" s="394"/>
      <c r="ZB58" s="394"/>
      <c r="ZC58" s="394"/>
      <c r="ZD58" s="394"/>
      <c r="ZE58" s="394"/>
      <c r="ZF58" s="394"/>
      <c r="ZG58" s="394"/>
      <c r="ZH58" s="394"/>
      <c r="ZI58" s="394"/>
      <c r="ZJ58" s="394"/>
      <c r="ZK58" s="394"/>
      <c r="ZL58" s="394"/>
      <c r="ZM58" s="394"/>
      <c r="ZN58" s="394"/>
      <c r="ZO58" s="394"/>
      <c r="ZP58" s="394"/>
      <c r="ZQ58" s="394"/>
      <c r="ZR58" s="394"/>
      <c r="ZS58" s="394"/>
      <c r="ZT58" s="394"/>
      <c r="ZU58" s="394"/>
      <c r="ZV58" s="394"/>
      <c r="ZW58" s="394"/>
      <c r="ZX58" s="394"/>
      <c r="ZY58" s="394"/>
      <c r="ZZ58" s="394"/>
      <c r="AAA58" s="394"/>
      <c r="AAB58" s="394"/>
      <c r="AAC58" s="394"/>
      <c r="AAD58" s="394"/>
      <c r="AAE58" s="394"/>
      <c r="AAF58" s="394"/>
      <c r="AAG58" s="394"/>
      <c r="AAH58" s="394"/>
      <c r="AAI58" s="394"/>
      <c r="AAJ58" s="394"/>
      <c r="AAK58" s="394"/>
      <c r="AAL58" s="394"/>
      <c r="AAM58" s="394"/>
      <c r="AAN58" s="394"/>
      <c r="AAO58" s="394"/>
      <c r="AAP58" s="394"/>
      <c r="AAQ58" s="394"/>
      <c r="AAR58" s="394"/>
      <c r="AAS58" s="394"/>
      <c r="AAT58" s="394"/>
      <c r="AAU58" s="394"/>
      <c r="AAV58" s="394"/>
      <c r="AAW58" s="394"/>
      <c r="AAX58" s="394"/>
      <c r="AAY58" s="394"/>
      <c r="AAZ58" s="394"/>
      <c r="ABA58" s="394"/>
      <c r="ABB58" s="394"/>
      <c r="ABC58" s="394"/>
      <c r="ABD58" s="394"/>
      <c r="ABE58" s="394"/>
      <c r="ABF58" s="394"/>
      <c r="ABG58" s="394"/>
      <c r="ABH58" s="394"/>
      <c r="ABI58" s="394"/>
      <c r="ABJ58" s="394"/>
      <c r="ABK58" s="394"/>
      <c r="ABL58" s="394"/>
      <c r="ABM58" s="394"/>
      <c r="ABN58" s="394"/>
      <c r="ABO58" s="394"/>
      <c r="ABP58" s="394"/>
      <c r="ABQ58" s="394"/>
      <c r="ABR58" s="394"/>
      <c r="ABS58" s="394"/>
      <c r="ABT58" s="394"/>
      <c r="ABU58" s="394"/>
      <c r="ABV58" s="394"/>
      <c r="ABW58" s="394"/>
      <c r="ABX58" s="394"/>
      <c r="ABY58" s="394"/>
      <c r="ABZ58" s="394"/>
      <c r="ACA58" s="394"/>
      <c r="ACB58" s="394"/>
      <c r="ACC58" s="394"/>
      <c r="ACD58" s="394"/>
      <c r="ACE58" s="394"/>
      <c r="ACF58" s="394"/>
      <c r="ACG58" s="394"/>
      <c r="ACH58" s="394"/>
      <c r="ACI58" s="394"/>
      <c r="ACJ58" s="394"/>
      <c r="ACK58" s="394"/>
      <c r="ACL58" s="394"/>
      <c r="ACM58" s="394"/>
      <c r="ACN58" s="394"/>
      <c r="ACO58" s="394"/>
      <c r="ACP58" s="394"/>
      <c r="ACQ58" s="394"/>
      <c r="ACR58" s="394"/>
      <c r="ACS58" s="394"/>
      <c r="ACT58" s="394"/>
      <c r="ACU58" s="394"/>
      <c r="ACV58" s="394"/>
      <c r="ACW58" s="394"/>
      <c r="ACX58" s="394"/>
      <c r="ACY58" s="394"/>
      <c r="ACZ58" s="394"/>
      <c r="ADA58" s="394"/>
      <c r="ADB58" s="394"/>
      <c r="ADC58" s="394"/>
      <c r="ADD58" s="394"/>
      <c r="ADE58" s="394"/>
      <c r="ADF58" s="394"/>
      <c r="ADG58" s="394"/>
      <c r="ADH58" s="394"/>
      <c r="ADI58" s="394"/>
      <c r="ADJ58" s="394"/>
      <c r="ADK58" s="394"/>
      <c r="ADL58" s="394"/>
      <c r="ADM58" s="394"/>
      <c r="ADN58" s="394"/>
      <c r="ADO58" s="394"/>
      <c r="ADP58" s="394"/>
      <c r="ADQ58" s="394"/>
      <c r="ADR58" s="394"/>
      <c r="ADS58" s="394"/>
      <c r="ADT58" s="394"/>
      <c r="ADU58" s="394"/>
      <c r="ADV58" s="394"/>
      <c r="ADW58" s="394"/>
      <c r="ADX58" s="394"/>
      <c r="ADY58" s="394"/>
      <c r="ADZ58" s="394"/>
      <c r="AEA58" s="394"/>
      <c r="AEB58" s="394"/>
      <c r="AEC58" s="394"/>
      <c r="AED58" s="394"/>
      <c r="AEE58" s="394"/>
      <c r="AEF58" s="394"/>
      <c r="AEG58" s="394"/>
      <c r="AEH58" s="394"/>
      <c r="AEI58" s="394"/>
      <c r="AEJ58" s="394"/>
      <c r="AEK58" s="394"/>
      <c r="AEL58" s="394"/>
      <c r="AEM58" s="394"/>
      <c r="AEN58" s="394"/>
      <c r="AEO58" s="394"/>
      <c r="AEP58" s="394"/>
      <c r="AEQ58" s="394"/>
      <c r="AER58" s="394"/>
      <c r="AES58" s="394"/>
      <c r="AET58" s="394"/>
      <c r="AEU58" s="394"/>
      <c r="AEV58" s="394"/>
      <c r="AEW58" s="394"/>
      <c r="AEX58" s="394"/>
      <c r="AEY58" s="394"/>
      <c r="AEZ58" s="394"/>
      <c r="AFA58" s="394"/>
      <c r="AFB58" s="394"/>
      <c r="AFC58" s="394"/>
      <c r="AFD58" s="394"/>
      <c r="AFE58" s="394"/>
      <c r="AFF58" s="394"/>
      <c r="AFG58" s="394"/>
      <c r="AFH58" s="394"/>
      <c r="AFI58" s="394"/>
      <c r="AFJ58" s="394"/>
      <c r="AFK58" s="394"/>
      <c r="AFL58" s="394"/>
      <c r="AFM58" s="394"/>
      <c r="AFN58" s="394"/>
      <c r="AFO58" s="394"/>
      <c r="AFP58" s="394"/>
      <c r="AFQ58" s="394"/>
      <c r="AFR58" s="394"/>
      <c r="AFS58" s="394"/>
      <c r="AFT58" s="394"/>
      <c r="AFU58" s="394"/>
      <c r="AFV58" s="394"/>
      <c r="AFW58" s="394"/>
      <c r="AFX58" s="394"/>
      <c r="AFY58" s="394"/>
      <c r="AFZ58" s="394"/>
      <c r="AGA58" s="394"/>
      <c r="AGB58" s="394"/>
      <c r="AGC58" s="394"/>
      <c r="AGD58" s="394"/>
      <c r="AGE58" s="394"/>
      <c r="AGF58" s="394"/>
      <c r="AGG58" s="394"/>
      <c r="AGH58" s="394"/>
      <c r="AGI58" s="394"/>
      <c r="AGJ58" s="394"/>
      <c r="AGK58" s="394"/>
      <c r="AGL58" s="394"/>
      <c r="AGM58" s="394"/>
      <c r="AGN58" s="394"/>
      <c r="AGO58" s="394"/>
      <c r="AGP58" s="394"/>
      <c r="AGQ58" s="394"/>
      <c r="AGR58" s="394"/>
      <c r="AGS58" s="394"/>
      <c r="AGT58" s="394"/>
      <c r="AGU58" s="394"/>
      <c r="AGV58" s="394"/>
      <c r="AGW58" s="394"/>
      <c r="AGX58" s="394"/>
      <c r="AGY58" s="394"/>
      <c r="AGZ58" s="394"/>
      <c r="AHA58" s="394"/>
      <c r="AHB58" s="394"/>
      <c r="AHC58" s="394"/>
      <c r="AHD58" s="394"/>
      <c r="AHE58" s="394"/>
      <c r="AHF58" s="394"/>
      <c r="AHG58" s="394"/>
      <c r="AHH58" s="394"/>
      <c r="AHI58" s="394"/>
      <c r="AHJ58" s="394"/>
      <c r="AHK58" s="394"/>
      <c r="AHL58" s="394"/>
      <c r="AHM58" s="394"/>
      <c r="AHN58" s="394"/>
      <c r="AHO58" s="394"/>
      <c r="AHP58" s="394"/>
      <c r="AHQ58" s="394"/>
      <c r="AHR58" s="394"/>
      <c r="AHS58" s="394"/>
      <c r="AHT58" s="394"/>
      <c r="AHU58" s="394"/>
      <c r="AHV58" s="394"/>
      <c r="AHW58" s="394"/>
      <c r="AHX58" s="394"/>
      <c r="AHY58" s="394"/>
      <c r="AHZ58" s="394"/>
      <c r="AIA58" s="394"/>
      <c r="AIB58" s="394"/>
      <c r="AIC58" s="394"/>
      <c r="AID58" s="394"/>
      <c r="AIE58" s="394"/>
      <c r="AIF58" s="394"/>
      <c r="AIG58" s="394"/>
      <c r="AIH58" s="394"/>
      <c r="AII58" s="394"/>
      <c r="AIJ58" s="394"/>
      <c r="AIK58" s="394"/>
      <c r="AIL58" s="394"/>
      <c r="AIM58" s="394"/>
      <c r="AIN58" s="394"/>
      <c r="AIO58" s="394"/>
      <c r="AIP58" s="394"/>
      <c r="AIQ58" s="394"/>
      <c r="AIR58" s="394"/>
      <c r="AIS58" s="394"/>
      <c r="AIT58" s="394"/>
      <c r="AIU58" s="394"/>
      <c r="AIV58" s="394"/>
      <c r="AIW58" s="394"/>
      <c r="AIX58" s="394"/>
      <c r="AIY58" s="394"/>
      <c r="AIZ58" s="394"/>
      <c r="AJA58" s="394"/>
      <c r="AJB58" s="394"/>
      <c r="AJC58" s="394"/>
      <c r="AJD58" s="394"/>
      <c r="AJE58" s="394"/>
      <c r="AJF58" s="394"/>
      <c r="AJG58" s="394"/>
      <c r="AJH58" s="394"/>
      <c r="AJI58" s="394"/>
      <c r="AJJ58" s="394"/>
      <c r="AJK58" s="394"/>
      <c r="AJL58" s="394"/>
      <c r="AJM58" s="394"/>
      <c r="AJN58" s="394"/>
      <c r="AJO58" s="394"/>
      <c r="AJP58" s="394"/>
      <c r="AJQ58" s="394"/>
      <c r="AJR58" s="394"/>
      <c r="AJS58" s="394"/>
      <c r="AJT58" s="394"/>
      <c r="AJU58" s="394"/>
      <c r="AJV58" s="394"/>
      <c r="AJW58" s="394"/>
      <c r="AJX58" s="394"/>
      <c r="AJY58" s="394"/>
      <c r="AJZ58" s="394"/>
      <c r="AKA58" s="394"/>
      <c r="AKB58" s="394"/>
      <c r="AKC58" s="394"/>
      <c r="AKD58" s="394"/>
      <c r="AKE58" s="394"/>
      <c r="AKF58" s="394"/>
      <c r="AKG58" s="394"/>
      <c r="AKH58" s="394"/>
      <c r="AKI58" s="394"/>
      <c r="AKJ58" s="394"/>
      <c r="AKK58" s="394"/>
      <c r="AKL58" s="394"/>
      <c r="AKM58" s="394"/>
      <c r="AKN58" s="394"/>
      <c r="AKO58" s="394"/>
      <c r="AKP58" s="394"/>
      <c r="AKQ58" s="394"/>
      <c r="AKR58" s="394"/>
      <c r="AKS58" s="394"/>
      <c r="AKT58" s="394"/>
      <c r="AKU58" s="394"/>
      <c r="AKV58" s="394"/>
      <c r="AKW58" s="394"/>
      <c r="AKX58" s="394"/>
      <c r="AKY58" s="394"/>
      <c r="AKZ58" s="394"/>
      <c r="ALA58" s="394"/>
      <c r="ALB58" s="394"/>
      <c r="ALC58" s="394"/>
      <c r="ALD58" s="394"/>
      <c r="ALE58" s="394"/>
      <c r="ALF58" s="394"/>
      <c r="ALG58" s="394"/>
      <c r="ALH58" s="394"/>
      <c r="ALI58" s="394"/>
      <c r="ALJ58" s="394"/>
      <c r="ALK58" s="394"/>
      <c r="ALL58" s="394"/>
      <c r="ALM58" s="394"/>
      <c r="ALN58" s="394"/>
      <c r="ALO58" s="394"/>
      <c r="ALP58" s="394"/>
      <c r="ALQ58" s="394"/>
      <c r="ALR58" s="394"/>
      <c r="ALS58" s="394"/>
      <c r="ALT58" s="394"/>
      <c r="ALU58" s="394"/>
      <c r="ALV58" s="394"/>
      <c r="ALW58" s="394"/>
      <c r="ALX58" s="394"/>
      <c r="ALY58" s="394"/>
      <c r="ALZ58" s="394"/>
      <c r="AMA58" s="394"/>
      <c r="AMB58" s="394"/>
      <c r="AMC58" s="394"/>
      <c r="AMD58" s="394"/>
      <c r="AME58" s="394"/>
      <c r="AMF58" s="394"/>
      <c r="AMG58" s="394"/>
      <c r="AMH58" s="394"/>
      <c r="AMI58" s="394"/>
      <c r="AMJ58" s="394"/>
      <c r="AMK58" s="394"/>
      <c r="AML58" s="394"/>
      <c r="AMM58" s="394"/>
      <c r="AMN58" s="394"/>
      <c r="AMO58" s="394"/>
      <c r="AMP58" s="394"/>
      <c r="AMQ58" s="394"/>
      <c r="AMR58" s="394"/>
      <c r="AMS58" s="394"/>
      <c r="AMT58" s="394"/>
      <c r="AMU58" s="394"/>
      <c r="AMV58" s="394"/>
      <c r="AMW58" s="394"/>
      <c r="AMX58" s="394"/>
      <c r="AMY58" s="394"/>
      <c r="AMZ58" s="394"/>
      <c r="ANA58" s="394"/>
      <c r="ANB58" s="394"/>
      <c r="ANC58" s="394"/>
      <c r="AND58" s="394"/>
      <c r="ANE58" s="394"/>
      <c r="ANF58" s="394"/>
      <c r="ANG58" s="394"/>
      <c r="ANH58" s="394"/>
      <c r="ANI58" s="394"/>
      <c r="ANJ58" s="394"/>
      <c r="ANK58" s="394"/>
      <c r="ANL58" s="394"/>
      <c r="ANM58" s="394"/>
      <c r="ANN58" s="394"/>
      <c r="ANO58" s="394"/>
      <c r="ANP58" s="394"/>
      <c r="ANQ58" s="394"/>
      <c r="ANR58" s="394"/>
      <c r="ANS58" s="394"/>
      <c r="ANT58" s="394"/>
      <c r="ANU58" s="394"/>
      <c r="ANV58" s="394"/>
      <c r="ANW58" s="394"/>
      <c r="ANX58" s="394"/>
      <c r="ANY58" s="394"/>
      <c r="ANZ58" s="394"/>
      <c r="AOA58" s="394"/>
      <c r="AOB58" s="394"/>
      <c r="AOC58" s="394"/>
      <c r="AOD58" s="394"/>
      <c r="AOE58" s="394"/>
      <c r="AOF58" s="394"/>
      <c r="AOG58" s="394"/>
      <c r="AOH58" s="394"/>
      <c r="AOI58" s="394"/>
      <c r="AOJ58" s="394"/>
      <c r="AOK58" s="394"/>
      <c r="AOL58" s="394"/>
      <c r="AOM58" s="394"/>
      <c r="AON58" s="394"/>
      <c r="AOO58" s="394"/>
      <c r="AOP58" s="394"/>
      <c r="AOQ58" s="394"/>
      <c r="AOR58" s="394"/>
      <c r="AOS58" s="394"/>
      <c r="AOT58" s="394"/>
      <c r="AOU58" s="394"/>
      <c r="AOV58" s="394"/>
      <c r="AOW58" s="394"/>
      <c r="AOX58" s="394"/>
      <c r="AOY58" s="394"/>
      <c r="AOZ58" s="394"/>
      <c r="APA58" s="394"/>
      <c r="APB58" s="394"/>
      <c r="APC58" s="394"/>
      <c r="APD58" s="394"/>
      <c r="APE58" s="394"/>
      <c r="APF58" s="394"/>
      <c r="APG58" s="394"/>
      <c r="APH58" s="394"/>
      <c r="API58" s="394"/>
      <c r="APJ58" s="394"/>
      <c r="APK58" s="394"/>
      <c r="APL58" s="394"/>
      <c r="APM58" s="394"/>
      <c r="APN58" s="394"/>
      <c r="APO58" s="394"/>
      <c r="APP58" s="394"/>
      <c r="APQ58" s="394"/>
      <c r="APR58" s="394"/>
      <c r="APS58" s="394"/>
      <c r="APT58" s="394"/>
      <c r="APU58" s="394"/>
      <c r="APV58" s="394"/>
      <c r="APW58" s="394"/>
      <c r="APX58" s="394"/>
      <c r="APY58" s="394"/>
      <c r="APZ58" s="394"/>
      <c r="AQA58" s="394"/>
      <c r="AQB58" s="394"/>
      <c r="AQC58" s="394"/>
      <c r="AQD58" s="394"/>
      <c r="AQE58" s="394"/>
      <c r="AQF58" s="394"/>
      <c r="AQG58" s="394"/>
      <c r="AQH58" s="394"/>
      <c r="AQI58" s="394"/>
      <c r="AQJ58" s="394"/>
      <c r="AQK58" s="394"/>
      <c r="AQL58" s="394"/>
      <c r="AQM58" s="394"/>
      <c r="AQN58" s="394"/>
      <c r="AQO58" s="394"/>
      <c r="AQP58" s="394"/>
      <c r="AQQ58" s="394"/>
      <c r="AQR58" s="394"/>
      <c r="AQS58" s="394"/>
      <c r="AQT58" s="394"/>
      <c r="AQU58" s="394"/>
      <c r="AQV58" s="394"/>
      <c r="AQW58" s="394"/>
      <c r="AQX58" s="394"/>
      <c r="AQY58" s="394"/>
      <c r="AQZ58" s="394"/>
      <c r="ARA58" s="394"/>
      <c r="ARB58" s="394"/>
      <c r="ARC58" s="394"/>
      <c r="ARD58" s="394"/>
      <c r="ARE58" s="394"/>
      <c r="ARF58" s="394"/>
      <c r="ARG58" s="394"/>
      <c r="ARH58" s="394"/>
      <c r="ARI58" s="394"/>
      <c r="ARJ58" s="394"/>
      <c r="ARK58" s="394"/>
      <c r="ARL58" s="394"/>
      <c r="ARM58" s="394"/>
      <c r="ARN58" s="394"/>
      <c r="ARO58" s="394"/>
      <c r="ARP58" s="394"/>
      <c r="ARQ58" s="394"/>
      <c r="ARR58" s="394"/>
      <c r="ARS58" s="394"/>
      <c r="ART58" s="394"/>
      <c r="ARU58" s="394"/>
      <c r="ARV58" s="394"/>
      <c r="ARW58" s="394"/>
      <c r="ARX58" s="394"/>
      <c r="ARY58" s="394"/>
      <c r="ARZ58" s="394"/>
      <c r="ASA58" s="394"/>
      <c r="ASB58" s="394"/>
      <c r="ASC58" s="394"/>
      <c r="ASD58" s="394"/>
      <c r="ASE58" s="394"/>
      <c r="ASF58" s="394"/>
      <c r="ASG58" s="394"/>
      <c r="ASH58" s="394"/>
      <c r="ASI58" s="394"/>
      <c r="ASJ58" s="394"/>
      <c r="ASK58" s="394"/>
      <c r="ASL58" s="394"/>
      <c r="ASM58" s="394"/>
      <c r="ASN58" s="394"/>
      <c r="ASO58" s="394"/>
      <c r="ASP58" s="394"/>
      <c r="ASQ58" s="394"/>
      <c r="ASR58" s="394"/>
      <c r="ASS58" s="394"/>
      <c r="AST58" s="394"/>
      <c r="ASU58" s="394"/>
      <c r="ASV58" s="394"/>
      <c r="ASW58" s="394"/>
      <c r="ASX58" s="394"/>
      <c r="ASY58" s="394"/>
      <c r="ASZ58" s="394"/>
      <c r="ATA58" s="394"/>
      <c r="ATB58" s="394"/>
      <c r="ATC58" s="394"/>
      <c r="ATD58" s="394"/>
      <c r="ATE58" s="394"/>
      <c r="ATF58" s="394"/>
      <c r="ATG58" s="394"/>
      <c r="ATH58" s="394"/>
      <c r="ATI58" s="394"/>
      <c r="ATJ58" s="394"/>
      <c r="ATK58" s="394"/>
      <c r="ATL58" s="394"/>
      <c r="ATM58" s="394"/>
      <c r="ATN58" s="394"/>
      <c r="ATO58" s="394"/>
      <c r="ATP58" s="394"/>
      <c r="ATQ58" s="394"/>
      <c r="ATR58" s="394"/>
      <c r="ATS58" s="394"/>
      <c r="ATT58" s="394"/>
      <c r="ATU58" s="394"/>
      <c r="ATV58" s="394"/>
      <c r="ATW58" s="394"/>
      <c r="ATX58" s="394"/>
      <c r="ATY58" s="394"/>
      <c r="ATZ58" s="394"/>
      <c r="AUA58" s="394"/>
      <c r="AUB58" s="394"/>
      <c r="AUC58" s="394"/>
      <c r="AUD58" s="394"/>
      <c r="AUE58" s="394"/>
      <c r="AUF58" s="394"/>
      <c r="AUG58" s="394"/>
      <c r="AUH58" s="394"/>
      <c r="AUI58" s="394"/>
      <c r="AUJ58" s="394"/>
      <c r="AUK58" s="394"/>
      <c r="AUL58" s="394"/>
      <c r="AUM58" s="394"/>
      <c r="AUN58" s="394"/>
      <c r="AUO58" s="394"/>
      <c r="AUP58" s="394"/>
      <c r="AUQ58" s="394"/>
      <c r="AUR58" s="394"/>
      <c r="AUS58" s="394"/>
      <c r="AUT58" s="394"/>
      <c r="AUU58" s="394"/>
      <c r="AUV58" s="394"/>
      <c r="AUW58" s="394"/>
      <c r="AUX58" s="394"/>
      <c r="AUY58" s="394"/>
      <c r="AUZ58" s="394"/>
      <c r="AVA58" s="394"/>
      <c r="AVB58" s="394"/>
      <c r="AVC58" s="394"/>
      <c r="AVD58" s="394"/>
      <c r="AVE58" s="394"/>
      <c r="AVF58" s="394"/>
      <c r="AVG58" s="394"/>
      <c r="AVH58" s="394"/>
      <c r="AVI58" s="394"/>
      <c r="AVJ58" s="394"/>
      <c r="AVK58" s="394"/>
      <c r="AVL58" s="394"/>
      <c r="AVM58" s="394"/>
      <c r="AVN58" s="394"/>
      <c r="AVO58" s="394"/>
      <c r="AVP58" s="394"/>
      <c r="AVQ58" s="394"/>
      <c r="AVR58" s="394"/>
      <c r="AVS58" s="394"/>
      <c r="AVT58" s="394"/>
      <c r="AVU58" s="394"/>
      <c r="AVV58" s="394"/>
      <c r="AVW58" s="394"/>
      <c r="AVX58" s="394"/>
      <c r="AVY58" s="394"/>
      <c r="AVZ58" s="394"/>
      <c r="AWA58" s="394"/>
      <c r="AWB58" s="394"/>
      <c r="AWC58" s="394"/>
      <c r="AWD58" s="394"/>
      <c r="AWE58" s="394"/>
      <c r="AWF58" s="394"/>
      <c r="AWG58" s="394"/>
      <c r="AWH58" s="394"/>
      <c r="AWI58" s="394"/>
      <c r="AWJ58" s="394"/>
      <c r="AWK58" s="394"/>
      <c r="AWL58" s="394"/>
      <c r="AWM58" s="394"/>
      <c r="AWN58" s="394"/>
      <c r="AWO58" s="394"/>
      <c r="AWP58" s="394"/>
      <c r="AWQ58" s="394"/>
      <c r="AWR58" s="394"/>
      <c r="AWS58" s="394"/>
      <c r="AWT58" s="394"/>
      <c r="AWU58" s="394"/>
      <c r="AWV58" s="394"/>
      <c r="AWW58" s="394"/>
      <c r="AWX58" s="394"/>
      <c r="AWY58" s="394"/>
      <c r="AWZ58" s="394"/>
      <c r="AXA58" s="394"/>
      <c r="AXB58" s="394"/>
      <c r="AXC58" s="394"/>
      <c r="AXD58" s="394"/>
      <c r="AXE58" s="394"/>
      <c r="AXF58" s="394"/>
      <c r="AXG58" s="394"/>
      <c r="AXH58" s="394"/>
      <c r="AXI58" s="394"/>
      <c r="AXJ58" s="394"/>
      <c r="AXK58" s="394"/>
      <c r="AXL58" s="394"/>
      <c r="AXM58" s="394"/>
      <c r="AXN58" s="394"/>
      <c r="AXO58" s="394"/>
      <c r="AXP58" s="394"/>
      <c r="AXQ58" s="394"/>
      <c r="AXR58" s="394"/>
      <c r="AXS58" s="394"/>
      <c r="AXT58" s="394"/>
      <c r="AXU58" s="394"/>
      <c r="AXV58" s="394"/>
      <c r="AXW58" s="394"/>
      <c r="AXX58" s="394"/>
      <c r="AXY58" s="394"/>
      <c r="AXZ58" s="394"/>
      <c r="AYA58" s="394"/>
      <c r="AYB58" s="394"/>
      <c r="AYC58" s="394"/>
      <c r="AYD58" s="394"/>
      <c r="AYE58" s="394"/>
      <c r="AYF58" s="394"/>
      <c r="AYG58" s="394"/>
      <c r="AYH58" s="394"/>
      <c r="AYI58" s="394"/>
      <c r="AYJ58" s="394"/>
      <c r="AYK58" s="394"/>
      <c r="AYL58" s="394"/>
      <c r="AYM58" s="394"/>
      <c r="AYN58" s="394"/>
      <c r="AYO58" s="394"/>
      <c r="AYP58" s="394"/>
      <c r="AYQ58" s="394"/>
      <c r="AYR58" s="394"/>
      <c r="AYS58" s="394"/>
      <c r="AYT58" s="394"/>
      <c r="AYU58" s="394"/>
      <c r="AYV58" s="394"/>
      <c r="AYW58" s="394"/>
      <c r="AYX58" s="394"/>
      <c r="AYY58" s="394"/>
      <c r="AYZ58" s="394"/>
      <c r="AZA58" s="394"/>
      <c r="AZB58" s="394"/>
      <c r="AZC58" s="394"/>
      <c r="AZD58" s="394"/>
      <c r="AZE58" s="394"/>
      <c r="AZF58" s="394"/>
      <c r="AZG58" s="394"/>
      <c r="AZH58" s="394"/>
      <c r="AZI58" s="394"/>
      <c r="AZJ58" s="394"/>
      <c r="AZK58" s="394"/>
      <c r="AZL58" s="394"/>
      <c r="AZM58" s="394"/>
      <c r="AZN58" s="394"/>
      <c r="AZO58" s="394"/>
      <c r="AZP58" s="394"/>
      <c r="AZQ58" s="394"/>
      <c r="AZR58" s="394"/>
      <c r="AZS58" s="394"/>
      <c r="AZT58" s="394"/>
      <c r="AZU58" s="394"/>
      <c r="AZV58" s="394"/>
      <c r="AZW58" s="394"/>
      <c r="AZX58" s="394"/>
      <c r="AZY58" s="394"/>
      <c r="AZZ58" s="394"/>
      <c r="BAA58" s="394"/>
      <c r="BAB58" s="394"/>
      <c r="BAC58" s="394"/>
      <c r="BAD58" s="394"/>
      <c r="BAE58" s="394"/>
      <c r="BAF58" s="394"/>
      <c r="BAG58" s="394"/>
      <c r="BAH58" s="394"/>
      <c r="BAI58" s="394"/>
      <c r="BAJ58" s="394"/>
      <c r="BAK58" s="394"/>
      <c r="BAL58" s="394"/>
      <c r="BAM58" s="394"/>
      <c r="BAN58" s="394"/>
      <c r="BAO58" s="394"/>
      <c r="BAP58" s="394"/>
      <c r="BAQ58" s="394"/>
      <c r="BAR58" s="394"/>
      <c r="BAS58" s="394"/>
      <c r="BAT58" s="394"/>
      <c r="BAU58" s="394"/>
      <c r="BAV58" s="394"/>
      <c r="BAW58" s="394"/>
      <c r="BAX58" s="394"/>
      <c r="BAY58" s="394"/>
      <c r="BAZ58" s="394"/>
      <c r="BBA58" s="394"/>
      <c r="BBB58" s="394"/>
      <c r="BBC58" s="394"/>
      <c r="BBD58" s="394"/>
      <c r="BBE58" s="394"/>
      <c r="BBF58" s="394"/>
      <c r="BBG58" s="394"/>
      <c r="BBH58" s="394"/>
      <c r="BBI58" s="394"/>
      <c r="BBJ58" s="394"/>
      <c r="BBK58" s="394"/>
      <c r="BBL58" s="394"/>
      <c r="BBM58" s="394"/>
      <c r="BBN58" s="394"/>
      <c r="BBO58" s="394"/>
      <c r="BBP58" s="394"/>
      <c r="BBQ58" s="394"/>
      <c r="BBR58" s="394"/>
      <c r="BBS58" s="394"/>
      <c r="BBT58" s="394"/>
      <c r="BBU58" s="394"/>
      <c r="BBV58" s="394"/>
      <c r="BBW58" s="394"/>
      <c r="BBX58" s="394"/>
      <c r="BBY58" s="394"/>
      <c r="BBZ58" s="394"/>
      <c r="BCA58" s="394"/>
      <c r="BCB58" s="394"/>
      <c r="BCC58" s="394"/>
      <c r="BCD58" s="394"/>
      <c r="BCE58" s="394"/>
      <c r="BCF58" s="394"/>
      <c r="BCG58" s="394"/>
      <c r="BCH58" s="394"/>
      <c r="BCI58" s="394"/>
      <c r="BCJ58" s="394"/>
      <c r="BCK58" s="394"/>
      <c r="BCL58" s="394"/>
      <c r="BCM58" s="394"/>
      <c r="BCN58" s="394"/>
      <c r="BCO58" s="394"/>
      <c r="BCP58" s="394"/>
      <c r="BCQ58" s="394"/>
      <c r="BCR58" s="394"/>
      <c r="BCS58" s="394"/>
      <c r="BCT58" s="394"/>
      <c r="BCU58" s="394"/>
      <c r="BCV58" s="394"/>
      <c r="BCW58" s="394"/>
      <c r="BCX58" s="394"/>
      <c r="BCY58" s="394"/>
      <c r="BCZ58" s="394"/>
      <c r="BDA58" s="394"/>
      <c r="BDB58" s="394"/>
      <c r="BDC58" s="394"/>
      <c r="BDD58" s="394"/>
      <c r="BDE58" s="394"/>
      <c r="BDF58" s="394"/>
      <c r="BDG58" s="394"/>
      <c r="BDH58" s="394"/>
      <c r="BDI58" s="394"/>
      <c r="BDJ58" s="394"/>
      <c r="BDK58" s="394"/>
      <c r="BDL58" s="394"/>
      <c r="BDM58" s="394"/>
      <c r="BDN58" s="394"/>
      <c r="BDO58" s="394"/>
      <c r="BDP58" s="394"/>
      <c r="BDQ58" s="394"/>
      <c r="BDR58" s="394"/>
      <c r="BDS58" s="394"/>
      <c r="BDT58" s="394"/>
      <c r="BDU58" s="394"/>
      <c r="BDV58" s="394"/>
      <c r="BDW58" s="394"/>
      <c r="BDX58" s="394"/>
      <c r="BDY58" s="394"/>
      <c r="BDZ58" s="394"/>
      <c r="BEA58" s="394"/>
      <c r="BEB58" s="394"/>
      <c r="BEC58" s="394"/>
      <c r="BED58" s="394"/>
      <c r="BEE58" s="394"/>
      <c r="BEF58" s="394"/>
      <c r="BEG58" s="394"/>
      <c r="BEH58" s="394"/>
      <c r="BEI58" s="394"/>
      <c r="BEJ58" s="394"/>
      <c r="BEK58" s="394"/>
      <c r="BEL58" s="394"/>
      <c r="BEM58" s="394"/>
      <c r="BEN58" s="394"/>
      <c r="BEO58" s="394"/>
      <c r="BEP58" s="394"/>
      <c r="BEQ58" s="394"/>
      <c r="BER58" s="394"/>
      <c r="BES58" s="394"/>
      <c r="BET58" s="394"/>
      <c r="BEU58" s="394"/>
      <c r="BEV58" s="394"/>
      <c r="BEW58" s="394"/>
      <c r="BEX58" s="394"/>
      <c r="BEY58" s="394"/>
      <c r="BEZ58" s="394"/>
      <c r="BFA58" s="394"/>
      <c r="BFB58" s="394"/>
      <c r="BFC58" s="394"/>
      <c r="BFD58" s="394"/>
      <c r="BFE58" s="394"/>
      <c r="BFF58" s="394"/>
      <c r="BFG58" s="394"/>
      <c r="BFH58" s="394"/>
      <c r="BFI58" s="394"/>
      <c r="BFJ58" s="394"/>
      <c r="BFK58" s="394"/>
      <c r="BFL58" s="394"/>
      <c r="BFM58" s="394"/>
      <c r="BFN58" s="394"/>
      <c r="BFO58" s="394"/>
      <c r="BFP58" s="394"/>
      <c r="BFQ58" s="394"/>
      <c r="BFR58" s="394"/>
      <c r="BFS58" s="394"/>
      <c r="BFT58" s="394"/>
      <c r="BFU58" s="394"/>
      <c r="BFV58" s="394"/>
      <c r="BFW58" s="394"/>
      <c r="BFX58" s="394"/>
      <c r="BFY58" s="394"/>
      <c r="BFZ58" s="394"/>
      <c r="BGA58" s="394"/>
      <c r="BGB58" s="394"/>
      <c r="BGC58" s="394"/>
      <c r="BGD58" s="394"/>
      <c r="BGE58" s="394"/>
      <c r="BGF58" s="394"/>
      <c r="BGG58" s="394"/>
      <c r="BGH58" s="394"/>
      <c r="BGI58" s="394"/>
      <c r="BGJ58" s="394"/>
      <c r="BGK58" s="394"/>
      <c r="BGL58" s="394"/>
      <c r="BGM58" s="394"/>
      <c r="BGN58" s="394"/>
      <c r="BGO58" s="394"/>
      <c r="BGP58" s="394"/>
      <c r="BGQ58" s="394"/>
      <c r="BGR58" s="394"/>
      <c r="BGS58" s="394"/>
      <c r="BGT58" s="394"/>
      <c r="BGU58" s="394"/>
      <c r="BGV58" s="394"/>
      <c r="BGW58" s="394"/>
      <c r="BGX58" s="394"/>
      <c r="BGY58" s="394"/>
      <c r="BGZ58" s="394"/>
      <c r="BHA58" s="394"/>
      <c r="BHB58" s="394"/>
      <c r="BHC58" s="394"/>
      <c r="BHD58" s="394"/>
      <c r="BHE58" s="394"/>
      <c r="BHF58" s="394"/>
      <c r="BHG58" s="394"/>
      <c r="BHH58" s="394"/>
      <c r="BHI58" s="394"/>
      <c r="BHJ58" s="394"/>
      <c r="BHK58" s="394"/>
      <c r="BHL58" s="394"/>
      <c r="BHM58" s="394"/>
      <c r="BHN58" s="394"/>
      <c r="BHO58" s="394"/>
      <c r="BHP58" s="394"/>
      <c r="BHQ58" s="394"/>
      <c r="BHR58" s="394"/>
      <c r="BHS58" s="394"/>
      <c r="BHT58" s="394"/>
      <c r="BHU58" s="394"/>
      <c r="BHV58" s="394"/>
      <c r="BHW58" s="394"/>
      <c r="BHX58" s="394"/>
      <c r="BHY58" s="394"/>
      <c r="BHZ58" s="394"/>
      <c r="BIA58" s="394"/>
      <c r="BIB58" s="394"/>
      <c r="BIC58" s="394"/>
      <c r="BID58" s="394"/>
      <c r="BIE58" s="394"/>
      <c r="BIF58" s="394"/>
      <c r="BIG58" s="394"/>
      <c r="BIH58" s="394"/>
      <c r="BII58" s="394"/>
      <c r="BIJ58" s="394"/>
      <c r="BIK58" s="394"/>
      <c r="BIL58" s="394"/>
      <c r="BIM58" s="394"/>
      <c r="BIN58" s="394"/>
      <c r="BIO58" s="394"/>
      <c r="BIP58" s="394"/>
      <c r="BIQ58" s="394"/>
      <c r="BIR58" s="394"/>
      <c r="BIS58" s="394"/>
      <c r="BIT58" s="394"/>
      <c r="BIU58" s="394"/>
      <c r="BIV58" s="394"/>
      <c r="BIW58" s="394"/>
      <c r="BIX58" s="394"/>
      <c r="BIY58" s="394"/>
      <c r="BIZ58" s="394"/>
      <c r="BJA58" s="394"/>
      <c r="BJB58" s="394"/>
      <c r="BJC58" s="394"/>
      <c r="BJD58" s="394"/>
      <c r="BJE58" s="394"/>
      <c r="BJF58" s="394"/>
      <c r="BJG58" s="394"/>
      <c r="BJH58" s="394"/>
      <c r="BJI58" s="394"/>
      <c r="BJJ58" s="394"/>
      <c r="BJK58" s="394"/>
      <c r="BJL58" s="394"/>
      <c r="BJM58" s="394"/>
      <c r="BJN58" s="394"/>
      <c r="BJO58" s="394"/>
      <c r="BJP58" s="394"/>
      <c r="BJQ58" s="394"/>
      <c r="BJR58" s="394"/>
      <c r="BJS58" s="394"/>
      <c r="BJT58" s="394"/>
      <c r="BJU58" s="394"/>
      <c r="BJV58" s="394"/>
      <c r="BJW58" s="394"/>
      <c r="BJX58" s="394"/>
      <c r="BJY58" s="394"/>
      <c r="BJZ58" s="394"/>
      <c r="BKA58" s="394"/>
      <c r="BKB58" s="394"/>
      <c r="BKC58" s="394"/>
      <c r="BKD58" s="394"/>
      <c r="BKE58" s="394"/>
      <c r="BKF58" s="394"/>
      <c r="BKG58" s="394"/>
      <c r="BKH58" s="394"/>
      <c r="BKI58" s="394"/>
      <c r="BKJ58" s="394"/>
      <c r="BKK58" s="394"/>
      <c r="BKL58" s="394"/>
      <c r="BKM58" s="394"/>
      <c r="BKN58" s="394"/>
      <c r="BKO58" s="394"/>
      <c r="BKP58" s="394"/>
      <c r="BKQ58" s="394"/>
      <c r="BKR58" s="394"/>
      <c r="BKS58" s="394"/>
      <c r="BKT58" s="394"/>
      <c r="BKU58" s="394"/>
      <c r="BKV58" s="394"/>
      <c r="BKW58" s="394"/>
      <c r="BKX58" s="394"/>
      <c r="BKY58" s="394"/>
      <c r="BKZ58" s="394"/>
      <c r="BLA58" s="394"/>
      <c r="BLB58" s="394"/>
      <c r="BLC58" s="394"/>
      <c r="BLD58" s="394"/>
      <c r="BLE58" s="394"/>
      <c r="BLF58" s="394"/>
      <c r="BLG58" s="394"/>
      <c r="BLH58" s="394"/>
      <c r="BLI58" s="394"/>
      <c r="BLJ58" s="394"/>
      <c r="BLK58" s="394"/>
      <c r="BLL58" s="394"/>
      <c r="BLM58" s="394"/>
      <c r="BLN58" s="394"/>
      <c r="BLO58" s="394"/>
      <c r="BLP58" s="394"/>
      <c r="BLQ58" s="394"/>
      <c r="BLR58" s="394"/>
      <c r="BLS58" s="394"/>
      <c r="BLT58" s="394"/>
      <c r="BLU58" s="394"/>
      <c r="BLV58" s="394"/>
      <c r="BLW58" s="394"/>
      <c r="BLX58" s="394"/>
      <c r="BLY58" s="394"/>
      <c r="BLZ58" s="394"/>
      <c r="BMA58" s="394"/>
      <c r="BMB58" s="394"/>
      <c r="BMC58" s="394"/>
      <c r="BMD58" s="394"/>
      <c r="BME58" s="394"/>
      <c r="BMF58" s="394"/>
      <c r="BMG58" s="394"/>
      <c r="BMH58" s="394"/>
      <c r="BMI58" s="394"/>
      <c r="BMJ58" s="394"/>
      <c r="BMK58" s="394"/>
      <c r="BML58" s="394"/>
      <c r="BMM58" s="394"/>
      <c r="BMN58" s="394"/>
      <c r="BMO58" s="394"/>
      <c r="BMP58" s="394"/>
      <c r="BMQ58" s="394"/>
      <c r="BMR58" s="394"/>
      <c r="BMS58" s="394"/>
      <c r="BMT58" s="394"/>
      <c r="BMU58" s="394"/>
      <c r="BMV58" s="394"/>
      <c r="BMW58" s="394"/>
      <c r="BMX58" s="394"/>
      <c r="BMY58" s="394"/>
      <c r="BMZ58" s="394"/>
      <c r="BNA58" s="394"/>
      <c r="BNB58" s="394"/>
      <c r="BNC58" s="394"/>
      <c r="BND58" s="394"/>
      <c r="BNE58" s="394"/>
      <c r="BNF58" s="394"/>
      <c r="BNG58" s="394"/>
      <c r="BNH58" s="394"/>
      <c r="BNI58" s="394"/>
      <c r="BNJ58" s="394"/>
      <c r="BNK58" s="394"/>
      <c r="BNL58" s="394"/>
      <c r="BNM58" s="394"/>
      <c r="BNN58" s="394"/>
      <c r="BNO58" s="394"/>
      <c r="BNP58" s="394"/>
      <c r="BNQ58" s="394"/>
      <c r="BNR58" s="394"/>
      <c r="BNS58" s="394"/>
      <c r="BNT58" s="394"/>
      <c r="BNU58" s="394"/>
      <c r="BNV58" s="394"/>
      <c r="BNW58" s="394"/>
      <c r="BNX58" s="394"/>
      <c r="BNY58" s="394"/>
      <c r="BNZ58" s="394"/>
      <c r="BOA58" s="394"/>
      <c r="BOB58" s="394"/>
      <c r="BOC58" s="394"/>
      <c r="BOD58" s="394"/>
      <c r="BOE58" s="394"/>
      <c r="BOF58" s="394"/>
      <c r="BOG58" s="394"/>
      <c r="BOH58" s="394"/>
      <c r="BOI58" s="394"/>
      <c r="BOJ58" s="394"/>
      <c r="BOK58" s="394"/>
      <c r="BOL58" s="394"/>
      <c r="BOM58" s="394"/>
      <c r="BON58" s="394"/>
      <c r="BOO58" s="394"/>
      <c r="BOP58" s="394"/>
      <c r="BOQ58" s="394"/>
      <c r="BOR58" s="394"/>
      <c r="BOS58" s="394"/>
      <c r="BOT58" s="394"/>
      <c r="BOU58" s="394"/>
      <c r="BOV58" s="394"/>
      <c r="BOW58" s="394"/>
      <c r="BOX58" s="394"/>
      <c r="BOY58" s="394"/>
      <c r="BOZ58" s="394"/>
      <c r="BPA58" s="394"/>
      <c r="BPB58" s="394"/>
      <c r="BPC58" s="394"/>
      <c r="BPD58" s="394"/>
      <c r="BPE58" s="394"/>
      <c r="BPF58" s="394"/>
      <c r="BPG58" s="394"/>
      <c r="BPH58" s="394"/>
      <c r="BPI58" s="394"/>
      <c r="BPJ58" s="394"/>
      <c r="BPK58" s="394"/>
      <c r="BPL58" s="394"/>
      <c r="BPM58" s="394"/>
      <c r="BPN58" s="394"/>
      <c r="BPO58" s="394"/>
      <c r="BPP58" s="394"/>
      <c r="BPQ58" s="394"/>
      <c r="BPR58" s="394"/>
      <c r="BPS58" s="394"/>
      <c r="BPT58" s="394"/>
      <c r="BPU58" s="394"/>
      <c r="BPV58" s="394"/>
      <c r="BPW58" s="394"/>
      <c r="BPX58" s="394"/>
      <c r="BPY58" s="394"/>
      <c r="BPZ58" s="394"/>
      <c r="BQA58" s="394"/>
      <c r="BQB58" s="394"/>
      <c r="BQC58" s="394"/>
      <c r="BQD58" s="394"/>
      <c r="BQE58" s="394"/>
      <c r="BQF58" s="394"/>
      <c r="BQG58" s="394"/>
      <c r="BQH58" s="394"/>
      <c r="BQI58" s="394"/>
      <c r="BQJ58" s="394"/>
      <c r="BQK58" s="394"/>
      <c r="BQL58" s="394"/>
      <c r="BQM58" s="394"/>
      <c r="BQN58" s="394"/>
      <c r="BQO58" s="394"/>
      <c r="BQP58" s="394"/>
      <c r="BQQ58" s="394"/>
      <c r="BQR58" s="394"/>
      <c r="BQS58" s="394"/>
      <c r="BQT58" s="394"/>
      <c r="BQU58" s="394"/>
      <c r="BQV58" s="394"/>
      <c r="BQW58" s="394"/>
      <c r="BQX58" s="394"/>
      <c r="BQY58" s="394"/>
      <c r="BQZ58" s="394"/>
      <c r="BRA58" s="394"/>
      <c r="BRB58" s="394"/>
      <c r="BRC58" s="394"/>
      <c r="BRD58" s="394"/>
      <c r="BRE58" s="394"/>
      <c r="BRF58" s="394"/>
      <c r="BRG58" s="394"/>
      <c r="BRH58" s="394"/>
      <c r="BRI58" s="394"/>
      <c r="BRJ58" s="394"/>
      <c r="BRK58" s="394"/>
      <c r="BRL58" s="394"/>
      <c r="BRM58" s="394"/>
      <c r="BRN58" s="394"/>
      <c r="BRO58" s="394"/>
      <c r="BRP58" s="394"/>
      <c r="BRQ58" s="394"/>
      <c r="BRR58" s="394"/>
      <c r="BRS58" s="394"/>
      <c r="BRT58" s="394"/>
      <c r="BRU58" s="394"/>
      <c r="BRV58" s="394"/>
      <c r="BRW58" s="394"/>
      <c r="BRX58" s="394"/>
      <c r="BRY58" s="394"/>
      <c r="BRZ58" s="394"/>
      <c r="BSA58" s="394"/>
      <c r="BSB58" s="394"/>
      <c r="BSC58" s="394"/>
      <c r="BSD58" s="394"/>
      <c r="BSE58" s="394"/>
      <c r="BSF58" s="394"/>
      <c r="BSG58" s="394"/>
      <c r="BSH58" s="394"/>
      <c r="BSI58" s="394"/>
      <c r="BSJ58" s="394"/>
      <c r="BSK58" s="394"/>
      <c r="BSL58" s="394"/>
      <c r="BSM58" s="394"/>
      <c r="BSN58" s="394"/>
      <c r="BSO58" s="394"/>
      <c r="BSP58" s="394"/>
      <c r="BSQ58" s="394"/>
      <c r="BSR58" s="394"/>
      <c r="BSS58" s="394"/>
      <c r="BST58" s="394"/>
      <c r="BSU58" s="394"/>
      <c r="BSV58" s="394"/>
      <c r="BSW58" s="394"/>
      <c r="BSX58" s="394"/>
      <c r="BSY58" s="394"/>
      <c r="BSZ58" s="394"/>
      <c r="BTA58" s="394"/>
      <c r="BTB58" s="394"/>
      <c r="BTC58" s="394"/>
      <c r="BTD58" s="394"/>
      <c r="BTE58" s="394"/>
      <c r="BTF58" s="394"/>
      <c r="BTG58" s="394"/>
      <c r="BTH58" s="394"/>
      <c r="BTI58" s="394"/>
    </row>
    <row r="59" spans="1:1881" ht="30" customHeight="1" x14ac:dyDescent="0.25">
      <c r="A59" s="189"/>
      <c r="B59" s="136" t="s">
        <v>164</v>
      </c>
      <c r="C59" s="139"/>
      <c r="D59" s="154"/>
      <c r="E59" s="143"/>
      <c r="F59" s="724"/>
      <c r="G59" s="551"/>
      <c r="H59" s="13"/>
      <c r="I59" s="31"/>
      <c r="L59" s="833" t="s">
        <v>1153</v>
      </c>
      <c r="M59" s="610"/>
      <c r="N59" s="635"/>
    </row>
    <row r="60" spans="1:1881" ht="63" customHeight="1" x14ac:dyDescent="0.25">
      <c r="A60" s="188">
        <v>369</v>
      </c>
      <c r="B60" s="64" t="s">
        <v>63</v>
      </c>
      <c r="C60" s="159" t="s">
        <v>165</v>
      </c>
      <c r="D60" s="165" t="s">
        <v>161</v>
      </c>
      <c r="E60" s="32" t="e">
        <f>HLOOKUP($D$2,'2019 Data(H)'!$C$1:$CP$300,130,FALSE)</f>
        <v>#N/A</v>
      </c>
      <c r="F60" s="624"/>
      <c r="G60" s="395"/>
      <c r="H60" s="13"/>
      <c r="I60" s="31"/>
      <c r="J60" s="365"/>
      <c r="L60" s="833" t="s">
        <v>1154</v>
      </c>
      <c r="M60" s="610"/>
      <c r="N60" s="635"/>
    </row>
    <row r="61" spans="1:1881" ht="50.25" customHeight="1" x14ac:dyDescent="0.25">
      <c r="A61" s="188">
        <v>16</v>
      </c>
      <c r="B61" s="64" t="s">
        <v>73</v>
      </c>
      <c r="C61" s="159" t="s">
        <v>165</v>
      </c>
      <c r="D61" s="175" t="s">
        <v>162</v>
      </c>
      <c r="E61" s="32" t="e">
        <f>HLOOKUP($D$2,'2019 Data(H)'!$C$1:$CP$300,12,FALSE)</f>
        <v>#N/A</v>
      </c>
      <c r="F61" s="624"/>
      <c r="G61" s="395"/>
      <c r="H61" s="13"/>
      <c r="I61" s="31"/>
      <c r="J61" s="365"/>
      <c r="L61" s="833" t="s">
        <v>1155</v>
      </c>
      <c r="M61" s="610"/>
      <c r="N61" s="635"/>
    </row>
    <row r="62" spans="1:1881" ht="65.25" customHeight="1" x14ac:dyDescent="0.25">
      <c r="A62" s="188">
        <v>370</v>
      </c>
      <c r="B62" s="64" t="s">
        <v>63</v>
      </c>
      <c r="C62" s="159" t="s">
        <v>165</v>
      </c>
      <c r="D62" s="165" t="s">
        <v>603</v>
      </c>
      <c r="E62" s="32" t="e">
        <f>HLOOKUP($D$2,'2019 Data(H)'!$C$1:$CP$300,131,FALSE)</f>
        <v>#N/A</v>
      </c>
      <c r="F62" s="624"/>
      <c r="G62" s="395">
        <f>IF(F62&lt;0,"Error: Enter as positive.",)</f>
        <v>0</v>
      </c>
      <c r="H62" s="13"/>
      <c r="I62" s="31"/>
      <c r="J62" s="365"/>
      <c r="L62" s="833" t="s">
        <v>1156</v>
      </c>
      <c r="M62" s="610"/>
      <c r="N62" s="635"/>
    </row>
    <row r="63" spans="1:1881" ht="69.75" customHeight="1" x14ac:dyDescent="0.25">
      <c r="A63" s="188">
        <v>532</v>
      </c>
      <c r="B63" s="64" t="s">
        <v>62</v>
      </c>
      <c r="C63" s="159" t="s">
        <v>165</v>
      </c>
      <c r="D63" s="135" t="s">
        <v>169</v>
      </c>
      <c r="E63" s="32" t="e">
        <f>HLOOKUP($D$2,'2019 Data(H)'!$C$1:$CP$300,182,FALSE)</f>
        <v>#N/A</v>
      </c>
      <c r="F63" s="624"/>
      <c r="G63" s="395">
        <f>IF(F63&lt;0,"Error: Enter as positive.",)</f>
        <v>0</v>
      </c>
      <c r="H63" s="13"/>
      <c r="I63" s="31"/>
      <c r="J63" s="365"/>
      <c r="L63" s="833" t="s">
        <v>1157</v>
      </c>
      <c r="M63" s="610"/>
      <c r="N63" s="635"/>
    </row>
    <row r="64" spans="1:1881" ht="54" customHeight="1" x14ac:dyDescent="0.25">
      <c r="A64" s="188">
        <v>17</v>
      </c>
      <c r="B64" s="64" t="s">
        <v>67</v>
      </c>
      <c r="C64" s="159" t="s">
        <v>165</v>
      </c>
      <c r="D64" s="175" t="s">
        <v>597</v>
      </c>
      <c r="E64" s="32" t="e">
        <f>HLOOKUP($D$2,'2019 Data(H)'!$C$1:$CP$300,13,FALSE)</f>
        <v>#N/A</v>
      </c>
      <c r="F64" s="624"/>
      <c r="G64" s="395"/>
      <c r="H64" s="13"/>
      <c r="I64" s="31"/>
      <c r="L64" s="833" t="s">
        <v>1158</v>
      </c>
      <c r="M64" s="610"/>
      <c r="N64" s="635"/>
    </row>
    <row r="65" spans="1:1881" ht="58.5" customHeight="1" x14ac:dyDescent="0.25">
      <c r="A65" s="188">
        <v>20</v>
      </c>
      <c r="B65" s="64" t="s">
        <v>62</v>
      </c>
      <c r="C65" s="159" t="s">
        <v>165</v>
      </c>
      <c r="D65" s="175" t="s">
        <v>598</v>
      </c>
      <c r="E65" s="32" t="e">
        <f>HLOOKUP($D$2,'2019 Data(H)'!$C$1:$CP$300,15,FALSE)</f>
        <v>#N/A</v>
      </c>
      <c r="F65" s="624"/>
      <c r="G65" s="395">
        <f>IF(F65&lt;0,"Error: Enter as positive.",)</f>
        <v>0</v>
      </c>
      <c r="H65" s="13"/>
      <c r="I65" s="31"/>
      <c r="L65" s="833" t="s">
        <v>1159</v>
      </c>
      <c r="M65" s="610"/>
      <c r="N65" s="635"/>
    </row>
    <row r="66" spans="1:1881" ht="54" customHeight="1" x14ac:dyDescent="0.25">
      <c r="A66" s="188">
        <v>533</v>
      </c>
      <c r="B66" s="64" t="s">
        <v>62</v>
      </c>
      <c r="C66" s="159" t="s">
        <v>165</v>
      </c>
      <c r="D66" s="135" t="s">
        <v>1246</v>
      </c>
      <c r="E66" s="32" t="e">
        <f>HLOOKUP($D$2,'2019 Data(H)'!$C$1:$CP$300,183,FALSE)</f>
        <v>#N/A</v>
      </c>
      <c r="F66" s="624"/>
      <c r="G66" s="316"/>
      <c r="H66" s="13"/>
      <c r="I66" s="31"/>
      <c r="L66" s="833" t="s">
        <v>1247</v>
      </c>
      <c r="M66" s="610"/>
      <c r="N66" s="635"/>
    </row>
    <row r="67" spans="1:1881" s="4" customFormat="1" ht="62.25" customHeight="1" x14ac:dyDescent="0.25">
      <c r="A67" s="188">
        <v>508</v>
      </c>
      <c r="B67" s="64" t="s">
        <v>62</v>
      </c>
      <c r="C67" s="159" t="s">
        <v>165</v>
      </c>
      <c r="D67" s="175" t="s">
        <v>622</v>
      </c>
      <c r="E67" s="32" t="e">
        <f>HLOOKUP($D$2,'2019 Data(H)'!$C$1:$CP$300,158,FALSE)</f>
        <v>#N/A</v>
      </c>
      <c r="F67" s="624"/>
      <c r="G67" s="395"/>
      <c r="H67" s="17"/>
      <c r="I67" s="297"/>
      <c r="J67" s="394"/>
      <c r="K67" s="394"/>
      <c r="L67" s="833" t="s">
        <v>902</v>
      </c>
      <c r="M67" s="610"/>
      <c r="N67" s="635"/>
      <c r="O67" s="394"/>
      <c r="P67" s="394"/>
      <c r="Q67" s="394"/>
      <c r="R67" s="394"/>
      <c r="S67" s="394"/>
      <c r="T67" s="394"/>
      <c r="U67" s="394"/>
      <c r="V67" s="394"/>
      <c r="W67" s="394"/>
      <c r="X67" s="394"/>
      <c r="Y67" s="394"/>
      <c r="Z67" s="394"/>
      <c r="AA67" s="394"/>
      <c r="AB67" s="394"/>
      <c r="AC67" s="394"/>
      <c r="AD67" s="394"/>
      <c r="AE67" s="394"/>
      <c r="AF67" s="394"/>
      <c r="AG67" s="394"/>
      <c r="AH67" s="394"/>
      <c r="AI67" s="394"/>
      <c r="AJ67" s="394"/>
      <c r="AK67" s="394"/>
      <c r="AL67" s="394"/>
      <c r="AM67" s="394"/>
      <c r="AN67" s="394"/>
      <c r="AO67" s="394"/>
      <c r="AP67" s="394"/>
      <c r="AQ67" s="394"/>
      <c r="AR67" s="394"/>
      <c r="AS67" s="394"/>
      <c r="AT67" s="394"/>
      <c r="AU67" s="394"/>
      <c r="AV67" s="394"/>
      <c r="AW67" s="394"/>
      <c r="AX67" s="394"/>
      <c r="AY67" s="394"/>
      <c r="AZ67" s="394"/>
      <c r="BA67" s="394"/>
      <c r="BB67" s="394"/>
      <c r="BC67" s="394"/>
      <c r="BD67" s="394"/>
      <c r="BE67" s="394"/>
      <c r="BF67" s="394"/>
      <c r="BG67" s="394"/>
      <c r="BH67" s="394"/>
      <c r="BI67" s="394"/>
      <c r="BJ67" s="394"/>
      <c r="BK67" s="394"/>
      <c r="BL67" s="394"/>
      <c r="BM67" s="394"/>
      <c r="BN67" s="394"/>
      <c r="BO67" s="394"/>
      <c r="BP67" s="394"/>
      <c r="BQ67" s="394"/>
      <c r="BR67" s="394"/>
      <c r="BS67" s="394"/>
      <c r="BT67" s="394"/>
      <c r="BU67" s="394"/>
      <c r="BV67" s="394"/>
      <c r="BW67" s="394"/>
      <c r="BX67" s="394"/>
      <c r="BY67" s="394"/>
      <c r="BZ67" s="394"/>
      <c r="CA67" s="394"/>
      <c r="CB67" s="394"/>
      <c r="CC67" s="394"/>
      <c r="CD67" s="394"/>
      <c r="CE67" s="394"/>
      <c r="CF67" s="394"/>
      <c r="CG67" s="394"/>
      <c r="CH67" s="394"/>
      <c r="CI67" s="394"/>
      <c r="CJ67" s="394"/>
      <c r="CK67" s="394"/>
      <c r="CL67" s="394"/>
      <c r="CM67" s="394"/>
      <c r="CN67" s="394"/>
      <c r="CO67" s="394"/>
      <c r="CP67" s="394"/>
      <c r="CQ67" s="394"/>
      <c r="CR67" s="394"/>
      <c r="CS67" s="394"/>
      <c r="CT67" s="394"/>
      <c r="CU67" s="394"/>
      <c r="CV67" s="394"/>
      <c r="CW67" s="394"/>
      <c r="CX67" s="394"/>
      <c r="CY67" s="394"/>
      <c r="CZ67" s="394"/>
      <c r="DA67" s="394"/>
      <c r="DB67" s="394"/>
      <c r="DC67" s="394"/>
      <c r="DD67" s="394"/>
      <c r="DE67" s="394"/>
      <c r="DF67" s="394"/>
      <c r="DG67" s="394"/>
      <c r="DH67" s="394"/>
      <c r="DI67" s="394"/>
      <c r="DJ67" s="394"/>
      <c r="DK67" s="394"/>
      <c r="DL67" s="394"/>
      <c r="DM67" s="394"/>
      <c r="DN67" s="394"/>
      <c r="DO67" s="394"/>
      <c r="DP67" s="394"/>
      <c r="DQ67" s="394"/>
      <c r="DR67" s="394"/>
      <c r="DS67" s="394"/>
      <c r="DT67" s="394"/>
      <c r="DU67" s="394"/>
      <c r="DV67" s="394"/>
      <c r="DW67" s="394"/>
      <c r="DX67" s="394"/>
      <c r="DY67" s="394"/>
      <c r="DZ67" s="394"/>
      <c r="EA67" s="394"/>
      <c r="EB67" s="394"/>
      <c r="EC67" s="394"/>
      <c r="ED67" s="394"/>
      <c r="EE67" s="394"/>
      <c r="EF67" s="394"/>
      <c r="EG67" s="394"/>
      <c r="EH67" s="394"/>
      <c r="EI67" s="394"/>
      <c r="EJ67" s="394"/>
      <c r="EK67" s="394"/>
      <c r="EL67" s="394"/>
      <c r="EM67" s="394"/>
      <c r="EN67" s="394"/>
      <c r="EO67" s="394"/>
      <c r="EP67" s="394"/>
      <c r="EQ67" s="394"/>
      <c r="ER67" s="394"/>
      <c r="ES67" s="394"/>
      <c r="ET67" s="394"/>
      <c r="EU67" s="394"/>
      <c r="EV67" s="394"/>
      <c r="EW67" s="394"/>
      <c r="EX67" s="394"/>
      <c r="EY67" s="394"/>
      <c r="EZ67" s="394"/>
      <c r="FA67" s="394"/>
      <c r="FB67" s="394"/>
      <c r="FC67" s="394"/>
      <c r="FD67" s="394"/>
      <c r="FE67" s="394"/>
      <c r="FF67" s="394"/>
      <c r="FG67" s="394"/>
      <c r="FH67" s="394"/>
      <c r="FI67" s="394"/>
      <c r="FJ67" s="394"/>
      <c r="FK67" s="394"/>
      <c r="FL67" s="394"/>
      <c r="FM67" s="394"/>
      <c r="FN67" s="394"/>
      <c r="FO67" s="394"/>
      <c r="FP67" s="394"/>
      <c r="FQ67" s="394"/>
      <c r="FR67" s="394"/>
      <c r="FS67" s="394"/>
      <c r="FT67" s="394"/>
      <c r="FU67" s="394"/>
      <c r="FV67" s="394"/>
      <c r="FW67" s="394"/>
      <c r="FX67" s="394"/>
      <c r="FY67" s="394"/>
      <c r="FZ67" s="394"/>
      <c r="GA67" s="394"/>
      <c r="GB67" s="394"/>
      <c r="GC67" s="394"/>
      <c r="GD67" s="394"/>
      <c r="GE67" s="394"/>
      <c r="GF67" s="394"/>
      <c r="GG67" s="394"/>
      <c r="GH67" s="394"/>
      <c r="GI67" s="394"/>
      <c r="GJ67" s="394"/>
      <c r="GK67" s="394"/>
      <c r="GL67" s="394"/>
      <c r="GM67" s="394"/>
      <c r="GN67" s="394"/>
      <c r="GO67" s="394"/>
      <c r="GP67" s="394"/>
      <c r="GQ67" s="394"/>
      <c r="GR67" s="394"/>
      <c r="GS67" s="394"/>
      <c r="GT67" s="394"/>
      <c r="GU67" s="394"/>
      <c r="GV67" s="394"/>
      <c r="GW67" s="394"/>
      <c r="GX67" s="394"/>
      <c r="GY67" s="394"/>
      <c r="GZ67" s="394"/>
      <c r="HA67" s="394"/>
      <c r="HB67" s="394"/>
      <c r="HC67" s="394"/>
      <c r="HD67" s="394"/>
      <c r="HE67" s="394"/>
      <c r="HF67" s="394"/>
      <c r="HG67" s="394"/>
      <c r="HH67" s="394"/>
      <c r="HI67" s="394"/>
      <c r="HJ67" s="394"/>
      <c r="HK67" s="394"/>
      <c r="HL67" s="394"/>
      <c r="HM67" s="394"/>
      <c r="HN67" s="394"/>
      <c r="HO67" s="394"/>
      <c r="HP67" s="394"/>
      <c r="HQ67" s="394"/>
      <c r="HR67" s="394"/>
      <c r="HS67" s="394"/>
      <c r="HT67" s="394"/>
      <c r="HU67" s="394"/>
      <c r="HV67" s="394"/>
      <c r="HW67" s="394"/>
      <c r="HX67" s="394"/>
      <c r="HY67" s="394"/>
      <c r="HZ67" s="394"/>
      <c r="IA67" s="394"/>
      <c r="IB67" s="394"/>
      <c r="IC67" s="394"/>
      <c r="ID67" s="394"/>
      <c r="IE67" s="394"/>
      <c r="IF67" s="394"/>
      <c r="IG67" s="394"/>
      <c r="IH67" s="394"/>
      <c r="II67" s="394"/>
      <c r="IJ67" s="394"/>
      <c r="IK67" s="394"/>
      <c r="IL67" s="394"/>
      <c r="IM67" s="394"/>
      <c r="IN67" s="394"/>
      <c r="IO67" s="394"/>
      <c r="IP67" s="394"/>
      <c r="IQ67" s="394"/>
      <c r="IR67" s="394"/>
      <c r="IS67" s="394"/>
      <c r="IT67" s="394"/>
      <c r="IU67" s="394"/>
      <c r="IV67" s="394"/>
      <c r="IW67" s="394"/>
      <c r="IX67" s="394"/>
      <c r="IY67" s="394"/>
      <c r="IZ67" s="394"/>
      <c r="JA67" s="394"/>
      <c r="JB67" s="394"/>
      <c r="JC67" s="394"/>
      <c r="JD67" s="394"/>
      <c r="JE67" s="394"/>
      <c r="JF67" s="394"/>
      <c r="JG67" s="394"/>
      <c r="JH67" s="394"/>
      <c r="JI67" s="394"/>
      <c r="JJ67" s="394"/>
      <c r="JK67" s="394"/>
      <c r="JL67" s="394"/>
      <c r="JM67" s="394"/>
      <c r="JN67" s="394"/>
      <c r="JO67" s="394"/>
      <c r="JP67" s="394"/>
      <c r="JQ67" s="394"/>
      <c r="JR67" s="394"/>
      <c r="JS67" s="394"/>
      <c r="JT67" s="394"/>
      <c r="JU67" s="394"/>
      <c r="JV67" s="394"/>
      <c r="JW67" s="394"/>
      <c r="JX67" s="394"/>
      <c r="JY67" s="394"/>
      <c r="JZ67" s="394"/>
      <c r="KA67" s="394"/>
      <c r="KB67" s="394"/>
      <c r="KC67" s="394"/>
      <c r="KD67" s="394"/>
      <c r="KE67" s="394"/>
      <c r="KF67" s="394"/>
      <c r="KG67" s="394"/>
      <c r="KH67" s="394"/>
      <c r="KI67" s="394"/>
      <c r="KJ67" s="394"/>
      <c r="KK67" s="394"/>
      <c r="KL67" s="394"/>
      <c r="KM67" s="394"/>
      <c r="KN67" s="394"/>
      <c r="KO67" s="394"/>
      <c r="KP67" s="394"/>
      <c r="KQ67" s="394"/>
      <c r="KR67" s="394"/>
      <c r="KS67" s="394"/>
      <c r="KT67" s="394"/>
      <c r="KU67" s="394"/>
      <c r="KV67" s="394"/>
      <c r="KW67" s="394"/>
      <c r="KX67" s="394"/>
      <c r="KY67" s="394"/>
      <c r="KZ67" s="394"/>
      <c r="LA67" s="394"/>
      <c r="LB67" s="394"/>
      <c r="LC67" s="394"/>
      <c r="LD67" s="394"/>
      <c r="LE67" s="394"/>
      <c r="LF67" s="394"/>
      <c r="LG67" s="394"/>
      <c r="LH67" s="394"/>
      <c r="LI67" s="394"/>
      <c r="LJ67" s="394"/>
      <c r="LK67" s="394"/>
      <c r="LL67" s="394"/>
      <c r="LM67" s="394"/>
      <c r="LN67" s="394"/>
      <c r="LO67" s="394"/>
      <c r="LP67" s="394"/>
      <c r="LQ67" s="394"/>
      <c r="LR67" s="394"/>
      <c r="LS67" s="394"/>
      <c r="LT67" s="394"/>
      <c r="LU67" s="394"/>
      <c r="LV67" s="394"/>
      <c r="LW67" s="394"/>
      <c r="LX67" s="394"/>
      <c r="LY67" s="394"/>
      <c r="LZ67" s="394"/>
      <c r="MA67" s="394"/>
      <c r="MB67" s="394"/>
      <c r="MC67" s="394"/>
      <c r="MD67" s="394"/>
      <c r="ME67" s="394"/>
      <c r="MF67" s="394"/>
      <c r="MG67" s="394"/>
      <c r="MH67" s="394"/>
      <c r="MI67" s="394"/>
      <c r="MJ67" s="394"/>
      <c r="MK67" s="394"/>
      <c r="ML67" s="394"/>
      <c r="MM67" s="394"/>
      <c r="MN67" s="394"/>
      <c r="MO67" s="394"/>
      <c r="MP67" s="394"/>
      <c r="MQ67" s="394"/>
      <c r="MR67" s="394"/>
      <c r="MS67" s="394"/>
      <c r="MT67" s="394"/>
      <c r="MU67" s="394"/>
      <c r="MV67" s="394"/>
      <c r="MW67" s="394"/>
      <c r="MX67" s="394"/>
      <c r="MY67" s="394"/>
      <c r="MZ67" s="394"/>
      <c r="NA67" s="394"/>
      <c r="NB67" s="394"/>
      <c r="NC67" s="394"/>
      <c r="ND67" s="394"/>
      <c r="NE67" s="394"/>
      <c r="NF67" s="394"/>
      <c r="NG67" s="394"/>
      <c r="NH67" s="394"/>
      <c r="NI67" s="394"/>
      <c r="NJ67" s="394"/>
      <c r="NK67" s="394"/>
      <c r="NL67" s="394"/>
      <c r="NM67" s="394"/>
      <c r="NN67" s="394"/>
      <c r="NO67" s="394"/>
      <c r="NP67" s="394"/>
      <c r="NQ67" s="394"/>
      <c r="NR67" s="394"/>
      <c r="NS67" s="394"/>
      <c r="NT67" s="394"/>
      <c r="NU67" s="394"/>
      <c r="NV67" s="394"/>
      <c r="NW67" s="394"/>
      <c r="NX67" s="394"/>
      <c r="NY67" s="394"/>
      <c r="NZ67" s="394"/>
      <c r="OA67" s="394"/>
      <c r="OB67" s="394"/>
      <c r="OC67" s="394"/>
      <c r="OD67" s="394"/>
      <c r="OE67" s="394"/>
      <c r="OF67" s="394"/>
      <c r="OG67" s="394"/>
      <c r="OH67" s="394"/>
      <c r="OI67" s="394"/>
      <c r="OJ67" s="394"/>
      <c r="OK67" s="394"/>
      <c r="OL67" s="394"/>
      <c r="OM67" s="394"/>
      <c r="ON67" s="394"/>
      <c r="OO67" s="394"/>
      <c r="OP67" s="394"/>
      <c r="OQ67" s="394"/>
      <c r="OR67" s="394"/>
      <c r="OS67" s="394"/>
      <c r="OT67" s="394"/>
      <c r="OU67" s="394"/>
      <c r="OV67" s="394"/>
      <c r="OW67" s="394"/>
      <c r="OX67" s="394"/>
      <c r="OY67" s="394"/>
      <c r="OZ67" s="394"/>
      <c r="PA67" s="394"/>
      <c r="PB67" s="394"/>
      <c r="PC67" s="394"/>
      <c r="PD67" s="394"/>
      <c r="PE67" s="394"/>
      <c r="PF67" s="394"/>
      <c r="PG67" s="394"/>
      <c r="PH67" s="394"/>
      <c r="PI67" s="394"/>
      <c r="PJ67" s="394"/>
      <c r="PK67" s="394"/>
      <c r="PL67" s="394"/>
      <c r="PM67" s="394"/>
      <c r="PN67" s="394"/>
      <c r="PO67" s="394"/>
      <c r="PP67" s="394"/>
      <c r="PQ67" s="394"/>
      <c r="PR67" s="394"/>
      <c r="PS67" s="394"/>
      <c r="PT67" s="394"/>
      <c r="PU67" s="394"/>
      <c r="PV67" s="394"/>
      <c r="PW67" s="394"/>
      <c r="PX67" s="394"/>
      <c r="PY67" s="394"/>
      <c r="PZ67" s="394"/>
      <c r="QA67" s="394"/>
      <c r="QB67" s="394"/>
      <c r="QC67" s="394"/>
      <c r="QD67" s="394"/>
      <c r="QE67" s="394"/>
      <c r="QF67" s="394"/>
      <c r="QG67" s="394"/>
      <c r="QH67" s="394"/>
      <c r="QI67" s="394"/>
      <c r="QJ67" s="394"/>
      <c r="QK67" s="394"/>
      <c r="QL67" s="394"/>
      <c r="QM67" s="394"/>
      <c r="QN67" s="394"/>
      <c r="QO67" s="394"/>
      <c r="QP67" s="394"/>
      <c r="QQ67" s="394"/>
      <c r="QR67" s="394"/>
      <c r="QS67" s="394"/>
      <c r="QT67" s="394"/>
      <c r="QU67" s="394"/>
      <c r="QV67" s="394"/>
      <c r="QW67" s="394"/>
      <c r="QX67" s="394"/>
      <c r="QY67" s="394"/>
      <c r="QZ67" s="394"/>
      <c r="RA67" s="394"/>
      <c r="RB67" s="394"/>
      <c r="RC67" s="394"/>
      <c r="RD67" s="394"/>
      <c r="RE67" s="394"/>
      <c r="RF67" s="394"/>
      <c r="RG67" s="394"/>
      <c r="RH67" s="394"/>
      <c r="RI67" s="394"/>
      <c r="RJ67" s="394"/>
      <c r="RK67" s="394"/>
      <c r="RL67" s="394"/>
      <c r="RM67" s="394"/>
      <c r="RN67" s="394"/>
      <c r="RO67" s="394"/>
      <c r="RP67" s="394"/>
      <c r="RQ67" s="394"/>
      <c r="RR67" s="394"/>
      <c r="RS67" s="394"/>
      <c r="RT67" s="394"/>
      <c r="RU67" s="394"/>
      <c r="RV67" s="394"/>
      <c r="RW67" s="394"/>
      <c r="RX67" s="394"/>
      <c r="RY67" s="394"/>
      <c r="RZ67" s="394"/>
      <c r="SA67" s="394"/>
      <c r="SB67" s="394"/>
      <c r="SC67" s="394"/>
      <c r="SD67" s="394"/>
      <c r="SE67" s="394"/>
      <c r="SF67" s="394"/>
      <c r="SG67" s="394"/>
      <c r="SH67" s="394"/>
      <c r="SI67" s="394"/>
      <c r="SJ67" s="394"/>
      <c r="SK67" s="394"/>
      <c r="SL67" s="394"/>
      <c r="SM67" s="394"/>
      <c r="SN67" s="394"/>
      <c r="SO67" s="394"/>
      <c r="SP67" s="394"/>
      <c r="SQ67" s="394"/>
      <c r="SR67" s="394"/>
      <c r="SS67" s="394"/>
      <c r="ST67" s="394"/>
      <c r="SU67" s="394"/>
      <c r="SV67" s="394"/>
      <c r="SW67" s="394"/>
      <c r="SX67" s="394"/>
      <c r="SY67" s="394"/>
      <c r="SZ67" s="394"/>
      <c r="TA67" s="394"/>
      <c r="TB67" s="394"/>
      <c r="TC67" s="394"/>
      <c r="TD67" s="394"/>
      <c r="TE67" s="394"/>
      <c r="TF67" s="394"/>
      <c r="TG67" s="394"/>
      <c r="TH67" s="394"/>
      <c r="TI67" s="394"/>
      <c r="TJ67" s="394"/>
      <c r="TK67" s="394"/>
      <c r="TL67" s="394"/>
      <c r="TM67" s="394"/>
      <c r="TN67" s="394"/>
      <c r="TO67" s="394"/>
      <c r="TP67" s="394"/>
      <c r="TQ67" s="394"/>
      <c r="TR67" s="394"/>
      <c r="TS67" s="394"/>
      <c r="TT67" s="394"/>
      <c r="TU67" s="394"/>
      <c r="TV67" s="394"/>
      <c r="TW67" s="394"/>
      <c r="TX67" s="394"/>
      <c r="TY67" s="394"/>
      <c r="TZ67" s="394"/>
      <c r="UA67" s="394"/>
      <c r="UB67" s="394"/>
      <c r="UC67" s="394"/>
      <c r="UD67" s="394"/>
      <c r="UE67" s="394"/>
      <c r="UF67" s="394"/>
      <c r="UG67" s="394"/>
      <c r="UH67" s="394"/>
      <c r="UI67" s="394"/>
      <c r="UJ67" s="394"/>
      <c r="UK67" s="394"/>
      <c r="UL67" s="394"/>
      <c r="UM67" s="394"/>
      <c r="UN67" s="394"/>
      <c r="UO67" s="394"/>
      <c r="UP67" s="394"/>
      <c r="UQ67" s="394"/>
      <c r="UR67" s="394"/>
      <c r="US67" s="394"/>
      <c r="UT67" s="394"/>
      <c r="UU67" s="394"/>
      <c r="UV67" s="394"/>
      <c r="UW67" s="394"/>
      <c r="UX67" s="394"/>
      <c r="UY67" s="394"/>
      <c r="UZ67" s="394"/>
      <c r="VA67" s="394"/>
      <c r="VB67" s="394"/>
      <c r="VC67" s="394"/>
      <c r="VD67" s="394"/>
      <c r="VE67" s="394"/>
      <c r="VF67" s="394"/>
      <c r="VG67" s="394"/>
      <c r="VH67" s="394"/>
      <c r="VI67" s="394"/>
      <c r="VJ67" s="394"/>
      <c r="VK67" s="394"/>
      <c r="VL67" s="394"/>
      <c r="VM67" s="394"/>
      <c r="VN67" s="394"/>
      <c r="VO67" s="394"/>
      <c r="VP67" s="394"/>
      <c r="VQ67" s="394"/>
      <c r="VR67" s="394"/>
      <c r="VS67" s="394"/>
      <c r="VT67" s="394"/>
      <c r="VU67" s="394"/>
      <c r="VV67" s="394"/>
      <c r="VW67" s="394"/>
      <c r="VX67" s="394"/>
      <c r="VY67" s="394"/>
      <c r="VZ67" s="394"/>
      <c r="WA67" s="394"/>
      <c r="WB67" s="394"/>
      <c r="WC67" s="394"/>
      <c r="WD67" s="394"/>
      <c r="WE67" s="394"/>
      <c r="WF67" s="394"/>
      <c r="WG67" s="394"/>
      <c r="WH67" s="394"/>
      <c r="WI67" s="394"/>
      <c r="WJ67" s="394"/>
      <c r="WK67" s="394"/>
      <c r="WL67" s="394"/>
      <c r="WM67" s="394"/>
      <c r="WN67" s="394"/>
      <c r="WO67" s="394"/>
      <c r="WP67" s="394"/>
      <c r="WQ67" s="394"/>
      <c r="WR67" s="394"/>
      <c r="WS67" s="394"/>
      <c r="WT67" s="394"/>
      <c r="WU67" s="394"/>
      <c r="WV67" s="394"/>
      <c r="WW67" s="394"/>
      <c r="WX67" s="394"/>
      <c r="WY67" s="394"/>
      <c r="WZ67" s="394"/>
      <c r="XA67" s="394"/>
      <c r="XB67" s="394"/>
      <c r="XC67" s="394"/>
      <c r="XD67" s="394"/>
      <c r="XE67" s="394"/>
      <c r="XF67" s="394"/>
      <c r="XG67" s="394"/>
      <c r="XH67" s="394"/>
      <c r="XI67" s="394"/>
      <c r="XJ67" s="394"/>
      <c r="XK67" s="394"/>
      <c r="XL67" s="394"/>
      <c r="XM67" s="394"/>
      <c r="XN67" s="394"/>
      <c r="XO67" s="394"/>
      <c r="XP67" s="394"/>
      <c r="XQ67" s="394"/>
      <c r="XR67" s="394"/>
      <c r="XS67" s="394"/>
      <c r="XT67" s="394"/>
      <c r="XU67" s="394"/>
      <c r="XV67" s="394"/>
      <c r="XW67" s="394"/>
      <c r="XX67" s="394"/>
      <c r="XY67" s="394"/>
      <c r="XZ67" s="394"/>
      <c r="YA67" s="394"/>
      <c r="YB67" s="394"/>
      <c r="YC67" s="394"/>
      <c r="YD67" s="394"/>
      <c r="YE67" s="394"/>
      <c r="YF67" s="394"/>
      <c r="YG67" s="394"/>
      <c r="YH67" s="394"/>
      <c r="YI67" s="394"/>
      <c r="YJ67" s="394"/>
      <c r="YK67" s="394"/>
      <c r="YL67" s="394"/>
      <c r="YM67" s="394"/>
      <c r="YN67" s="394"/>
      <c r="YO67" s="394"/>
      <c r="YP67" s="394"/>
      <c r="YQ67" s="394"/>
      <c r="YR67" s="394"/>
      <c r="YS67" s="394"/>
      <c r="YT67" s="394"/>
      <c r="YU67" s="394"/>
      <c r="YV67" s="394"/>
      <c r="YW67" s="394"/>
      <c r="YX67" s="394"/>
      <c r="YY67" s="394"/>
      <c r="YZ67" s="394"/>
      <c r="ZA67" s="394"/>
      <c r="ZB67" s="394"/>
      <c r="ZC67" s="394"/>
      <c r="ZD67" s="394"/>
      <c r="ZE67" s="394"/>
      <c r="ZF67" s="394"/>
      <c r="ZG67" s="394"/>
      <c r="ZH67" s="394"/>
      <c r="ZI67" s="394"/>
      <c r="ZJ67" s="394"/>
      <c r="ZK67" s="394"/>
      <c r="ZL67" s="394"/>
      <c r="ZM67" s="394"/>
      <c r="ZN67" s="394"/>
      <c r="ZO67" s="394"/>
      <c r="ZP67" s="394"/>
      <c r="ZQ67" s="394"/>
      <c r="ZR67" s="394"/>
      <c r="ZS67" s="394"/>
      <c r="ZT67" s="394"/>
      <c r="ZU67" s="394"/>
      <c r="ZV67" s="394"/>
      <c r="ZW67" s="394"/>
      <c r="ZX67" s="394"/>
      <c r="ZY67" s="394"/>
      <c r="ZZ67" s="394"/>
      <c r="AAA67" s="394"/>
      <c r="AAB67" s="394"/>
      <c r="AAC67" s="394"/>
      <c r="AAD67" s="394"/>
      <c r="AAE67" s="394"/>
      <c r="AAF67" s="394"/>
      <c r="AAG67" s="394"/>
      <c r="AAH67" s="394"/>
      <c r="AAI67" s="394"/>
      <c r="AAJ67" s="394"/>
      <c r="AAK67" s="394"/>
      <c r="AAL67" s="394"/>
      <c r="AAM67" s="394"/>
      <c r="AAN67" s="394"/>
      <c r="AAO67" s="394"/>
      <c r="AAP67" s="394"/>
      <c r="AAQ67" s="394"/>
      <c r="AAR67" s="394"/>
      <c r="AAS67" s="394"/>
      <c r="AAT67" s="394"/>
      <c r="AAU67" s="394"/>
      <c r="AAV67" s="394"/>
      <c r="AAW67" s="394"/>
      <c r="AAX67" s="394"/>
      <c r="AAY67" s="394"/>
      <c r="AAZ67" s="394"/>
      <c r="ABA67" s="394"/>
      <c r="ABB67" s="394"/>
      <c r="ABC67" s="394"/>
      <c r="ABD67" s="394"/>
      <c r="ABE67" s="394"/>
      <c r="ABF67" s="394"/>
      <c r="ABG67" s="394"/>
      <c r="ABH67" s="394"/>
      <c r="ABI67" s="394"/>
      <c r="ABJ67" s="394"/>
      <c r="ABK67" s="394"/>
      <c r="ABL67" s="394"/>
      <c r="ABM67" s="394"/>
      <c r="ABN67" s="394"/>
      <c r="ABO67" s="394"/>
      <c r="ABP67" s="394"/>
      <c r="ABQ67" s="394"/>
      <c r="ABR67" s="394"/>
      <c r="ABS67" s="394"/>
      <c r="ABT67" s="394"/>
      <c r="ABU67" s="394"/>
      <c r="ABV67" s="394"/>
      <c r="ABW67" s="394"/>
      <c r="ABX67" s="394"/>
      <c r="ABY67" s="394"/>
      <c r="ABZ67" s="394"/>
      <c r="ACA67" s="394"/>
      <c r="ACB67" s="394"/>
      <c r="ACC67" s="394"/>
      <c r="ACD67" s="394"/>
      <c r="ACE67" s="394"/>
      <c r="ACF67" s="394"/>
      <c r="ACG67" s="394"/>
      <c r="ACH67" s="394"/>
      <c r="ACI67" s="394"/>
      <c r="ACJ67" s="394"/>
      <c r="ACK67" s="394"/>
      <c r="ACL67" s="394"/>
      <c r="ACM67" s="394"/>
      <c r="ACN67" s="394"/>
      <c r="ACO67" s="394"/>
      <c r="ACP67" s="394"/>
      <c r="ACQ67" s="394"/>
      <c r="ACR67" s="394"/>
      <c r="ACS67" s="394"/>
      <c r="ACT67" s="394"/>
      <c r="ACU67" s="394"/>
      <c r="ACV67" s="394"/>
      <c r="ACW67" s="394"/>
      <c r="ACX67" s="394"/>
      <c r="ACY67" s="394"/>
      <c r="ACZ67" s="394"/>
      <c r="ADA67" s="394"/>
      <c r="ADB67" s="394"/>
      <c r="ADC67" s="394"/>
      <c r="ADD67" s="394"/>
      <c r="ADE67" s="394"/>
      <c r="ADF67" s="394"/>
      <c r="ADG67" s="394"/>
      <c r="ADH67" s="394"/>
      <c r="ADI67" s="394"/>
      <c r="ADJ67" s="394"/>
      <c r="ADK67" s="394"/>
      <c r="ADL67" s="394"/>
      <c r="ADM67" s="394"/>
      <c r="ADN67" s="394"/>
      <c r="ADO67" s="394"/>
      <c r="ADP67" s="394"/>
      <c r="ADQ67" s="394"/>
      <c r="ADR67" s="394"/>
      <c r="ADS67" s="394"/>
      <c r="ADT67" s="394"/>
      <c r="ADU67" s="394"/>
      <c r="ADV67" s="394"/>
      <c r="ADW67" s="394"/>
      <c r="ADX67" s="394"/>
      <c r="ADY67" s="394"/>
      <c r="ADZ67" s="394"/>
      <c r="AEA67" s="394"/>
      <c r="AEB67" s="394"/>
      <c r="AEC67" s="394"/>
      <c r="AED67" s="394"/>
      <c r="AEE67" s="394"/>
      <c r="AEF67" s="394"/>
      <c r="AEG67" s="394"/>
      <c r="AEH67" s="394"/>
      <c r="AEI67" s="394"/>
      <c r="AEJ67" s="394"/>
      <c r="AEK67" s="394"/>
      <c r="AEL67" s="394"/>
      <c r="AEM67" s="394"/>
      <c r="AEN67" s="394"/>
      <c r="AEO67" s="394"/>
      <c r="AEP67" s="394"/>
      <c r="AEQ67" s="394"/>
      <c r="AER67" s="394"/>
      <c r="AES67" s="394"/>
      <c r="AET67" s="394"/>
      <c r="AEU67" s="394"/>
      <c r="AEV67" s="394"/>
      <c r="AEW67" s="394"/>
      <c r="AEX67" s="394"/>
      <c r="AEY67" s="394"/>
      <c r="AEZ67" s="394"/>
      <c r="AFA67" s="394"/>
      <c r="AFB67" s="394"/>
      <c r="AFC67" s="394"/>
      <c r="AFD67" s="394"/>
      <c r="AFE67" s="394"/>
      <c r="AFF67" s="394"/>
      <c r="AFG67" s="394"/>
      <c r="AFH67" s="394"/>
      <c r="AFI67" s="394"/>
      <c r="AFJ67" s="394"/>
      <c r="AFK67" s="394"/>
      <c r="AFL67" s="394"/>
      <c r="AFM67" s="394"/>
      <c r="AFN67" s="394"/>
      <c r="AFO67" s="394"/>
      <c r="AFP67" s="394"/>
      <c r="AFQ67" s="394"/>
      <c r="AFR67" s="394"/>
      <c r="AFS67" s="394"/>
      <c r="AFT67" s="394"/>
      <c r="AFU67" s="394"/>
      <c r="AFV67" s="394"/>
      <c r="AFW67" s="394"/>
      <c r="AFX67" s="394"/>
      <c r="AFY67" s="394"/>
      <c r="AFZ67" s="394"/>
      <c r="AGA67" s="394"/>
      <c r="AGB67" s="394"/>
      <c r="AGC67" s="394"/>
      <c r="AGD67" s="394"/>
      <c r="AGE67" s="394"/>
      <c r="AGF67" s="394"/>
      <c r="AGG67" s="394"/>
      <c r="AGH67" s="394"/>
      <c r="AGI67" s="394"/>
      <c r="AGJ67" s="394"/>
      <c r="AGK67" s="394"/>
      <c r="AGL67" s="394"/>
      <c r="AGM67" s="394"/>
      <c r="AGN67" s="394"/>
      <c r="AGO67" s="394"/>
      <c r="AGP67" s="394"/>
      <c r="AGQ67" s="394"/>
      <c r="AGR67" s="394"/>
      <c r="AGS67" s="394"/>
      <c r="AGT67" s="394"/>
      <c r="AGU67" s="394"/>
      <c r="AGV67" s="394"/>
      <c r="AGW67" s="394"/>
      <c r="AGX67" s="394"/>
      <c r="AGY67" s="394"/>
      <c r="AGZ67" s="394"/>
      <c r="AHA67" s="394"/>
      <c r="AHB67" s="394"/>
      <c r="AHC67" s="394"/>
      <c r="AHD67" s="394"/>
      <c r="AHE67" s="394"/>
      <c r="AHF67" s="394"/>
      <c r="AHG67" s="394"/>
      <c r="AHH67" s="394"/>
      <c r="AHI67" s="394"/>
      <c r="AHJ67" s="394"/>
      <c r="AHK67" s="394"/>
      <c r="AHL67" s="394"/>
      <c r="AHM67" s="394"/>
      <c r="AHN67" s="394"/>
      <c r="AHO67" s="394"/>
      <c r="AHP67" s="394"/>
      <c r="AHQ67" s="394"/>
      <c r="AHR67" s="394"/>
      <c r="AHS67" s="394"/>
      <c r="AHT67" s="394"/>
      <c r="AHU67" s="394"/>
      <c r="AHV67" s="394"/>
      <c r="AHW67" s="394"/>
      <c r="AHX67" s="394"/>
      <c r="AHY67" s="394"/>
      <c r="AHZ67" s="394"/>
      <c r="AIA67" s="394"/>
      <c r="AIB67" s="394"/>
      <c r="AIC67" s="394"/>
      <c r="AID67" s="394"/>
      <c r="AIE67" s="394"/>
      <c r="AIF67" s="394"/>
      <c r="AIG67" s="394"/>
      <c r="AIH67" s="394"/>
      <c r="AII67" s="394"/>
      <c r="AIJ67" s="394"/>
      <c r="AIK67" s="394"/>
      <c r="AIL67" s="394"/>
      <c r="AIM67" s="394"/>
      <c r="AIN67" s="394"/>
      <c r="AIO67" s="394"/>
      <c r="AIP67" s="394"/>
      <c r="AIQ67" s="394"/>
      <c r="AIR67" s="394"/>
      <c r="AIS67" s="394"/>
      <c r="AIT67" s="394"/>
      <c r="AIU67" s="394"/>
      <c r="AIV67" s="394"/>
      <c r="AIW67" s="394"/>
      <c r="AIX67" s="394"/>
      <c r="AIY67" s="394"/>
      <c r="AIZ67" s="394"/>
      <c r="AJA67" s="394"/>
      <c r="AJB67" s="394"/>
      <c r="AJC67" s="394"/>
      <c r="AJD67" s="394"/>
      <c r="AJE67" s="394"/>
      <c r="AJF67" s="394"/>
      <c r="AJG67" s="394"/>
      <c r="AJH67" s="394"/>
      <c r="AJI67" s="394"/>
      <c r="AJJ67" s="394"/>
      <c r="AJK67" s="394"/>
      <c r="AJL67" s="394"/>
      <c r="AJM67" s="394"/>
      <c r="AJN67" s="394"/>
      <c r="AJO67" s="394"/>
      <c r="AJP67" s="394"/>
      <c r="AJQ67" s="394"/>
      <c r="AJR67" s="394"/>
      <c r="AJS67" s="394"/>
      <c r="AJT67" s="394"/>
      <c r="AJU67" s="394"/>
      <c r="AJV67" s="394"/>
      <c r="AJW67" s="394"/>
      <c r="AJX67" s="394"/>
      <c r="AJY67" s="394"/>
      <c r="AJZ67" s="394"/>
      <c r="AKA67" s="394"/>
      <c r="AKB67" s="394"/>
      <c r="AKC67" s="394"/>
      <c r="AKD67" s="394"/>
      <c r="AKE67" s="394"/>
      <c r="AKF67" s="394"/>
      <c r="AKG67" s="394"/>
      <c r="AKH67" s="394"/>
      <c r="AKI67" s="394"/>
      <c r="AKJ67" s="394"/>
      <c r="AKK67" s="394"/>
      <c r="AKL67" s="394"/>
      <c r="AKM67" s="394"/>
      <c r="AKN67" s="394"/>
      <c r="AKO67" s="394"/>
      <c r="AKP67" s="394"/>
      <c r="AKQ67" s="394"/>
      <c r="AKR67" s="394"/>
      <c r="AKS67" s="394"/>
      <c r="AKT67" s="394"/>
      <c r="AKU67" s="394"/>
      <c r="AKV67" s="394"/>
      <c r="AKW67" s="394"/>
      <c r="AKX67" s="394"/>
      <c r="AKY67" s="394"/>
      <c r="AKZ67" s="394"/>
      <c r="ALA67" s="394"/>
      <c r="ALB67" s="394"/>
      <c r="ALC67" s="394"/>
      <c r="ALD67" s="394"/>
      <c r="ALE67" s="394"/>
      <c r="ALF67" s="394"/>
      <c r="ALG67" s="394"/>
      <c r="ALH67" s="394"/>
      <c r="ALI67" s="394"/>
      <c r="ALJ67" s="394"/>
      <c r="ALK67" s="394"/>
      <c r="ALL67" s="394"/>
      <c r="ALM67" s="394"/>
      <c r="ALN67" s="394"/>
      <c r="ALO67" s="394"/>
      <c r="ALP67" s="394"/>
      <c r="ALQ67" s="394"/>
      <c r="ALR67" s="394"/>
      <c r="ALS67" s="394"/>
      <c r="ALT67" s="394"/>
      <c r="ALU67" s="394"/>
      <c r="ALV67" s="394"/>
      <c r="ALW67" s="394"/>
      <c r="ALX67" s="394"/>
      <c r="ALY67" s="394"/>
      <c r="ALZ67" s="394"/>
      <c r="AMA67" s="394"/>
      <c r="AMB67" s="394"/>
      <c r="AMC67" s="394"/>
      <c r="AMD67" s="394"/>
      <c r="AME67" s="394"/>
      <c r="AMF67" s="394"/>
      <c r="AMG67" s="394"/>
      <c r="AMH67" s="394"/>
      <c r="AMI67" s="394"/>
      <c r="AMJ67" s="394"/>
      <c r="AMK67" s="394"/>
      <c r="AML67" s="394"/>
      <c r="AMM67" s="394"/>
      <c r="AMN67" s="394"/>
      <c r="AMO67" s="394"/>
      <c r="AMP67" s="394"/>
      <c r="AMQ67" s="394"/>
      <c r="AMR67" s="394"/>
      <c r="AMS67" s="394"/>
      <c r="AMT67" s="394"/>
      <c r="AMU67" s="394"/>
      <c r="AMV67" s="394"/>
      <c r="AMW67" s="394"/>
      <c r="AMX67" s="394"/>
      <c r="AMY67" s="394"/>
      <c r="AMZ67" s="394"/>
      <c r="ANA67" s="394"/>
      <c r="ANB67" s="394"/>
      <c r="ANC67" s="394"/>
      <c r="AND67" s="394"/>
      <c r="ANE67" s="394"/>
      <c r="ANF67" s="394"/>
      <c r="ANG67" s="394"/>
      <c r="ANH67" s="394"/>
      <c r="ANI67" s="394"/>
      <c r="ANJ67" s="394"/>
      <c r="ANK67" s="394"/>
      <c r="ANL67" s="394"/>
      <c r="ANM67" s="394"/>
      <c r="ANN67" s="394"/>
      <c r="ANO67" s="394"/>
      <c r="ANP67" s="394"/>
      <c r="ANQ67" s="394"/>
      <c r="ANR67" s="394"/>
      <c r="ANS67" s="394"/>
      <c r="ANT67" s="394"/>
      <c r="ANU67" s="394"/>
      <c r="ANV67" s="394"/>
      <c r="ANW67" s="394"/>
      <c r="ANX67" s="394"/>
      <c r="ANY67" s="394"/>
      <c r="ANZ67" s="394"/>
      <c r="AOA67" s="394"/>
      <c r="AOB67" s="394"/>
      <c r="AOC67" s="394"/>
      <c r="AOD67" s="394"/>
      <c r="AOE67" s="394"/>
      <c r="AOF67" s="394"/>
      <c r="AOG67" s="394"/>
      <c r="AOH67" s="394"/>
      <c r="AOI67" s="394"/>
      <c r="AOJ67" s="394"/>
      <c r="AOK67" s="394"/>
      <c r="AOL67" s="394"/>
      <c r="AOM67" s="394"/>
      <c r="AON67" s="394"/>
      <c r="AOO67" s="394"/>
      <c r="AOP67" s="394"/>
      <c r="AOQ67" s="394"/>
      <c r="AOR67" s="394"/>
      <c r="AOS67" s="394"/>
      <c r="AOT67" s="394"/>
      <c r="AOU67" s="394"/>
      <c r="AOV67" s="394"/>
      <c r="AOW67" s="394"/>
      <c r="AOX67" s="394"/>
      <c r="AOY67" s="394"/>
      <c r="AOZ67" s="394"/>
      <c r="APA67" s="394"/>
      <c r="APB67" s="394"/>
      <c r="APC67" s="394"/>
      <c r="APD67" s="394"/>
      <c r="APE67" s="394"/>
      <c r="APF67" s="394"/>
      <c r="APG67" s="394"/>
      <c r="APH67" s="394"/>
      <c r="API67" s="394"/>
      <c r="APJ67" s="394"/>
      <c r="APK67" s="394"/>
      <c r="APL67" s="394"/>
      <c r="APM67" s="394"/>
      <c r="APN67" s="394"/>
      <c r="APO67" s="394"/>
      <c r="APP67" s="394"/>
      <c r="APQ67" s="394"/>
      <c r="APR67" s="394"/>
      <c r="APS67" s="394"/>
      <c r="APT67" s="394"/>
      <c r="APU67" s="394"/>
      <c r="APV67" s="394"/>
      <c r="APW67" s="394"/>
      <c r="APX67" s="394"/>
      <c r="APY67" s="394"/>
      <c r="APZ67" s="394"/>
      <c r="AQA67" s="394"/>
      <c r="AQB67" s="394"/>
      <c r="AQC67" s="394"/>
      <c r="AQD67" s="394"/>
      <c r="AQE67" s="394"/>
      <c r="AQF67" s="394"/>
      <c r="AQG67" s="394"/>
      <c r="AQH67" s="394"/>
      <c r="AQI67" s="394"/>
      <c r="AQJ67" s="394"/>
      <c r="AQK67" s="394"/>
      <c r="AQL67" s="394"/>
      <c r="AQM67" s="394"/>
      <c r="AQN67" s="394"/>
      <c r="AQO67" s="394"/>
      <c r="AQP67" s="394"/>
      <c r="AQQ67" s="394"/>
      <c r="AQR67" s="394"/>
      <c r="AQS67" s="394"/>
      <c r="AQT67" s="394"/>
      <c r="AQU67" s="394"/>
      <c r="AQV67" s="394"/>
      <c r="AQW67" s="394"/>
      <c r="AQX67" s="394"/>
      <c r="AQY67" s="394"/>
      <c r="AQZ67" s="394"/>
      <c r="ARA67" s="394"/>
      <c r="ARB67" s="394"/>
      <c r="ARC67" s="394"/>
      <c r="ARD67" s="394"/>
      <c r="ARE67" s="394"/>
      <c r="ARF67" s="394"/>
      <c r="ARG67" s="394"/>
      <c r="ARH67" s="394"/>
      <c r="ARI67" s="394"/>
      <c r="ARJ67" s="394"/>
      <c r="ARK67" s="394"/>
      <c r="ARL67" s="394"/>
      <c r="ARM67" s="394"/>
      <c r="ARN67" s="394"/>
      <c r="ARO67" s="394"/>
      <c r="ARP67" s="394"/>
      <c r="ARQ67" s="394"/>
      <c r="ARR67" s="394"/>
      <c r="ARS67" s="394"/>
      <c r="ART67" s="394"/>
      <c r="ARU67" s="394"/>
      <c r="ARV67" s="394"/>
      <c r="ARW67" s="394"/>
      <c r="ARX67" s="394"/>
      <c r="ARY67" s="394"/>
      <c r="ARZ67" s="394"/>
      <c r="ASA67" s="394"/>
      <c r="ASB67" s="394"/>
      <c r="ASC67" s="394"/>
      <c r="ASD67" s="394"/>
      <c r="ASE67" s="394"/>
      <c r="ASF67" s="394"/>
      <c r="ASG67" s="394"/>
      <c r="ASH67" s="394"/>
      <c r="ASI67" s="394"/>
      <c r="ASJ67" s="394"/>
      <c r="ASK67" s="394"/>
      <c r="ASL67" s="394"/>
      <c r="ASM67" s="394"/>
      <c r="ASN67" s="394"/>
      <c r="ASO67" s="394"/>
      <c r="ASP67" s="394"/>
      <c r="ASQ67" s="394"/>
      <c r="ASR67" s="394"/>
      <c r="ASS67" s="394"/>
      <c r="AST67" s="394"/>
      <c r="ASU67" s="394"/>
      <c r="ASV67" s="394"/>
      <c r="ASW67" s="394"/>
      <c r="ASX67" s="394"/>
      <c r="ASY67" s="394"/>
      <c r="ASZ67" s="394"/>
      <c r="ATA67" s="394"/>
      <c r="ATB67" s="394"/>
      <c r="ATC67" s="394"/>
      <c r="ATD67" s="394"/>
      <c r="ATE67" s="394"/>
      <c r="ATF67" s="394"/>
      <c r="ATG67" s="394"/>
      <c r="ATH67" s="394"/>
      <c r="ATI67" s="394"/>
      <c r="ATJ67" s="394"/>
      <c r="ATK67" s="394"/>
      <c r="ATL67" s="394"/>
      <c r="ATM67" s="394"/>
      <c r="ATN67" s="394"/>
      <c r="ATO67" s="394"/>
      <c r="ATP67" s="394"/>
      <c r="ATQ67" s="394"/>
      <c r="ATR67" s="394"/>
      <c r="ATS67" s="394"/>
      <c r="ATT67" s="394"/>
      <c r="ATU67" s="394"/>
      <c r="ATV67" s="394"/>
      <c r="ATW67" s="394"/>
      <c r="ATX67" s="394"/>
      <c r="ATY67" s="394"/>
      <c r="ATZ67" s="394"/>
      <c r="AUA67" s="394"/>
      <c r="AUB67" s="394"/>
      <c r="AUC67" s="394"/>
      <c r="AUD67" s="394"/>
      <c r="AUE67" s="394"/>
      <c r="AUF67" s="394"/>
      <c r="AUG67" s="394"/>
      <c r="AUH67" s="394"/>
      <c r="AUI67" s="394"/>
      <c r="AUJ67" s="394"/>
      <c r="AUK67" s="394"/>
      <c r="AUL67" s="394"/>
      <c r="AUM67" s="394"/>
      <c r="AUN67" s="394"/>
      <c r="AUO67" s="394"/>
      <c r="AUP67" s="394"/>
      <c r="AUQ67" s="394"/>
      <c r="AUR67" s="394"/>
      <c r="AUS67" s="394"/>
      <c r="AUT67" s="394"/>
      <c r="AUU67" s="394"/>
      <c r="AUV67" s="394"/>
      <c r="AUW67" s="394"/>
      <c r="AUX67" s="394"/>
      <c r="AUY67" s="394"/>
      <c r="AUZ67" s="394"/>
      <c r="AVA67" s="394"/>
      <c r="AVB67" s="394"/>
      <c r="AVC67" s="394"/>
      <c r="AVD67" s="394"/>
      <c r="AVE67" s="394"/>
      <c r="AVF67" s="394"/>
      <c r="AVG67" s="394"/>
      <c r="AVH67" s="394"/>
      <c r="AVI67" s="394"/>
      <c r="AVJ67" s="394"/>
      <c r="AVK67" s="394"/>
      <c r="AVL67" s="394"/>
      <c r="AVM67" s="394"/>
      <c r="AVN67" s="394"/>
      <c r="AVO67" s="394"/>
      <c r="AVP67" s="394"/>
      <c r="AVQ67" s="394"/>
      <c r="AVR67" s="394"/>
      <c r="AVS67" s="394"/>
      <c r="AVT67" s="394"/>
      <c r="AVU67" s="394"/>
      <c r="AVV67" s="394"/>
      <c r="AVW67" s="394"/>
      <c r="AVX67" s="394"/>
      <c r="AVY67" s="394"/>
      <c r="AVZ67" s="394"/>
      <c r="AWA67" s="394"/>
      <c r="AWB67" s="394"/>
      <c r="AWC67" s="394"/>
      <c r="AWD67" s="394"/>
      <c r="AWE67" s="394"/>
      <c r="AWF67" s="394"/>
      <c r="AWG67" s="394"/>
      <c r="AWH67" s="394"/>
      <c r="AWI67" s="394"/>
      <c r="AWJ67" s="394"/>
      <c r="AWK67" s="394"/>
      <c r="AWL67" s="394"/>
      <c r="AWM67" s="394"/>
      <c r="AWN67" s="394"/>
      <c r="AWO67" s="394"/>
      <c r="AWP67" s="394"/>
      <c r="AWQ67" s="394"/>
      <c r="AWR67" s="394"/>
      <c r="AWS67" s="394"/>
      <c r="AWT67" s="394"/>
      <c r="AWU67" s="394"/>
      <c r="AWV67" s="394"/>
      <c r="AWW67" s="394"/>
      <c r="AWX67" s="394"/>
      <c r="AWY67" s="394"/>
      <c r="AWZ67" s="394"/>
      <c r="AXA67" s="394"/>
      <c r="AXB67" s="394"/>
      <c r="AXC67" s="394"/>
      <c r="AXD67" s="394"/>
      <c r="AXE67" s="394"/>
      <c r="AXF67" s="394"/>
      <c r="AXG67" s="394"/>
      <c r="AXH67" s="394"/>
      <c r="AXI67" s="394"/>
      <c r="AXJ67" s="394"/>
      <c r="AXK67" s="394"/>
      <c r="AXL67" s="394"/>
      <c r="AXM67" s="394"/>
      <c r="AXN67" s="394"/>
      <c r="AXO67" s="394"/>
      <c r="AXP67" s="394"/>
      <c r="AXQ67" s="394"/>
      <c r="AXR67" s="394"/>
      <c r="AXS67" s="394"/>
      <c r="AXT67" s="394"/>
      <c r="AXU67" s="394"/>
      <c r="AXV67" s="394"/>
      <c r="AXW67" s="394"/>
      <c r="AXX67" s="394"/>
      <c r="AXY67" s="394"/>
      <c r="AXZ67" s="394"/>
      <c r="AYA67" s="394"/>
      <c r="AYB67" s="394"/>
      <c r="AYC67" s="394"/>
      <c r="AYD67" s="394"/>
      <c r="AYE67" s="394"/>
      <c r="AYF67" s="394"/>
      <c r="AYG67" s="394"/>
      <c r="AYH67" s="394"/>
      <c r="AYI67" s="394"/>
      <c r="AYJ67" s="394"/>
      <c r="AYK67" s="394"/>
      <c r="AYL67" s="394"/>
      <c r="AYM67" s="394"/>
      <c r="AYN67" s="394"/>
      <c r="AYO67" s="394"/>
      <c r="AYP67" s="394"/>
      <c r="AYQ67" s="394"/>
      <c r="AYR67" s="394"/>
      <c r="AYS67" s="394"/>
      <c r="AYT67" s="394"/>
      <c r="AYU67" s="394"/>
      <c r="AYV67" s="394"/>
      <c r="AYW67" s="394"/>
      <c r="AYX67" s="394"/>
      <c r="AYY67" s="394"/>
      <c r="AYZ67" s="394"/>
      <c r="AZA67" s="394"/>
      <c r="AZB67" s="394"/>
      <c r="AZC67" s="394"/>
      <c r="AZD67" s="394"/>
      <c r="AZE67" s="394"/>
      <c r="AZF67" s="394"/>
      <c r="AZG67" s="394"/>
      <c r="AZH67" s="394"/>
      <c r="AZI67" s="394"/>
      <c r="AZJ67" s="394"/>
      <c r="AZK67" s="394"/>
      <c r="AZL67" s="394"/>
      <c r="AZM67" s="394"/>
      <c r="AZN67" s="394"/>
      <c r="AZO67" s="394"/>
      <c r="AZP67" s="394"/>
      <c r="AZQ67" s="394"/>
      <c r="AZR67" s="394"/>
      <c r="AZS67" s="394"/>
      <c r="AZT67" s="394"/>
      <c r="AZU67" s="394"/>
      <c r="AZV67" s="394"/>
      <c r="AZW67" s="394"/>
      <c r="AZX67" s="394"/>
      <c r="AZY67" s="394"/>
      <c r="AZZ67" s="394"/>
      <c r="BAA67" s="394"/>
      <c r="BAB67" s="394"/>
      <c r="BAC67" s="394"/>
      <c r="BAD67" s="394"/>
      <c r="BAE67" s="394"/>
      <c r="BAF67" s="394"/>
      <c r="BAG67" s="394"/>
      <c r="BAH67" s="394"/>
      <c r="BAI67" s="394"/>
      <c r="BAJ67" s="394"/>
      <c r="BAK67" s="394"/>
      <c r="BAL67" s="394"/>
      <c r="BAM67" s="394"/>
      <c r="BAN67" s="394"/>
      <c r="BAO67" s="394"/>
      <c r="BAP67" s="394"/>
      <c r="BAQ67" s="394"/>
      <c r="BAR67" s="394"/>
      <c r="BAS67" s="394"/>
      <c r="BAT67" s="394"/>
      <c r="BAU67" s="394"/>
      <c r="BAV67" s="394"/>
      <c r="BAW67" s="394"/>
      <c r="BAX67" s="394"/>
      <c r="BAY67" s="394"/>
      <c r="BAZ67" s="394"/>
      <c r="BBA67" s="394"/>
      <c r="BBB67" s="394"/>
      <c r="BBC67" s="394"/>
      <c r="BBD67" s="394"/>
      <c r="BBE67" s="394"/>
      <c r="BBF67" s="394"/>
      <c r="BBG67" s="394"/>
      <c r="BBH67" s="394"/>
      <c r="BBI67" s="394"/>
      <c r="BBJ67" s="394"/>
      <c r="BBK67" s="394"/>
      <c r="BBL67" s="394"/>
      <c r="BBM67" s="394"/>
      <c r="BBN67" s="394"/>
      <c r="BBO67" s="394"/>
      <c r="BBP67" s="394"/>
      <c r="BBQ67" s="394"/>
      <c r="BBR67" s="394"/>
      <c r="BBS67" s="394"/>
      <c r="BBT67" s="394"/>
      <c r="BBU67" s="394"/>
      <c r="BBV67" s="394"/>
      <c r="BBW67" s="394"/>
      <c r="BBX67" s="394"/>
      <c r="BBY67" s="394"/>
      <c r="BBZ67" s="394"/>
      <c r="BCA67" s="394"/>
      <c r="BCB67" s="394"/>
      <c r="BCC67" s="394"/>
      <c r="BCD67" s="394"/>
      <c r="BCE67" s="394"/>
      <c r="BCF67" s="394"/>
      <c r="BCG67" s="394"/>
      <c r="BCH67" s="394"/>
      <c r="BCI67" s="394"/>
      <c r="BCJ67" s="394"/>
      <c r="BCK67" s="394"/>
      <c r="BCL67" s="394"/>
      <c r="BCM67" s="394"/>
      <c r="BCN67" s="394"/>
      <c r="BCO67" s="394"/>
      <c r="BCP67" s="394"/>
      <c r="BCQ67" s="394"/>
      <c r="BCR67" s="394"/>
      <c r="BCS67" s="394"/>
      <c r="BCT67" s="394"/>
      <c r="BCU67" s="394"/>
      <c r="BCV67" s="394"/>
      <c r="BCW67" s="394"/>
      <c r="BCX67" s="394"/>
      <c r="BCY67" s="394"/>
      <c r="BCZ67" s="394"/>
      <c r="BDA67" s="394"/>
      <c r="BDB67" s="394"/>
      <c r="BDC67" s="394"/>
      <c r="BDD67" s="394"/>
      <c r="BDE67" s="394"/>
      <c r="BDF67" s="394"/>
      <c r="BDG67" s="394"/>
      <c r="BDH67" s="394"/>
      <c r="BDI67" s="394"/>
      <c r="BDJ67" s="394"/>
      <c r="BDK67" s="394"/>
      <c r="BDL67" s="394"/>
      <c r="BDM67" s="394"/>
      <c r="BDN67" s="394"/>
      <c r="BDO67" s="394"/>
      <c r="BDP67" s="394"/>
      <c r="BDQ67" s="394"/>
      <c r="BDR67" s="394"/>
      <c r="BDS67" s="394"/>
      <c r="BDT67" s="394"/>
      <c r="BDU67" s="394"/>
      <c r="BDV67" s="394"/>
      <c r="BDW67" s="394"/>
      <c r="BDX67" s="394"/>
      <c r="BDY67" s="394"/>
      <c r="BDZ67" s="394"/>
      <c r="BEA67" s="394"/>
      <c r="BEB67" s="394"/>
      <c r="BEC67" s="394"/>
      <c r="BED67" s="394"/>
      <c r="BEE67" s="394"/>
      <c r="BEF67" s="394"/>
      <c r="BEG67" s="394"/>
      <c r="BEH67" s="394"/>
      <c r="BEI67" s="394"/>
      <c r="BEJ67" s="394"/>
      <c r="BEK67" s="394"/>
      <c r="BEL67" s="394"/>
      <c r="BEM67" s="394"/>
      <c r="BEN67" s="394"/>
      <c r="BEO67" s="394"/>
      <c r="BEP67" s="394"/>
      <c r="BEQ67" s="394"/>
      <c r="BER67" s="394"/>
      <c r="BES67" s="394"/>
      <c r="BET67" s="394"/>
      <c r="BEU67" s="394"/>
      <c r="BEV67" s="394"/>
      <c r="BEW67" s="394"/>
      <c r="BEX67" s="394"/>
      <c r="BEY67" s="394"/>
      <c r="BEZ67" s="394"/>
      <c r="BFA67" s="394"/>
      <c r="BFB67" s="394"/>
      <c r="BFC67" s="394"/>
      <c r="BFD67" s="394"/>
      <c r="BFE67" s="394"/>
      <c r="BFF67" s="394"/>
      <c r="BFG67" s="394"/>
      <c r="BFH67" s="394"/>
      <c r="BFI67" s="394"/>
      <c r="BFJ67" s="394"/>
      <c r="BFK67" s="394"/>
      <c r="BFL67" s="394"/>
      <c r="BFM67" s="394"/>
      <c r="BFN67" s="394"/>
      <c r="BFO67" s="394"/>
      <c r="BFP67" s="394"/>
      <c r="BFQ67" s="394"/>
      <c r="BFR67" s="394"/>
      <c r="BFS67" s="394"/>
      <c r="BFT67" s="394"/>
      <c r="BFU67" s="394"/>
      <c r="BFV67" s="394"/>
      <c r="BFW67" s="394"/>
      <c r="BFX67" s="394"/>
      <c r="BFY67" s="394"/>
      <c r="BFZ67" s="394"/>
      <c r="BGA67" s="394"/>
      <c r="BGB67" s="394"/>
      <c r="BGC67" s="394"/>
      <c r="BGD67" s="394"/>
      <c r="BGE67" s="394"/>
      <c r="BGF67" s="394"/>
      <c r="BGG67" s="394"/>
      <c r="BGH67" s="394"/>
      <c r="BGI67" s="394"/>
      <c r="BGJ67" s="394"/>
      <c r="BGK67" s="394"/>
      <c r="BGL67" s="394"/>
      <c r="BGM67" s="394"/>
      <c r="BGN67" s="394"/>
      <c r="BGO67" s="394"/>
      <c r="BGP67" s="394"/>
      <c r="BGQ67" s="394"/>
      <c r="BGR67" s="394"/>
      <c r="BGS67" s="394"/>
      <c r="BGT67" s="394"/>
      <c r="BGU67" s="394"/>
      <c r="BGV67" s="394"/>
      <c r="BGW67" s="394"/>
      <c r="BGX67" s="394"/>
      <c r="BGY67" s="394"/>
      <c r="BGZ67" s="394"/>
      <c r="BHA67" s="394"/>
      <c r="BHB67" s="394"/>
      <c r="BHC67" s="394"/>
      <c r="BHD67" s="394"/>
      <c r="BHE67" s="394"/>
      <c r="BHF67" s="394"/>
      <c r="BHG67" s="394"/>
      <c r="BHH67" s="394"/>
      <c r="BHI67" s="394"/>
      <c r="BHJ67" s="394"/>
      <c r="BHK67" s="394"/>
      <c r="BHL67" s="394"/>
      <c r="BHM67" s="394"/>
      <c r="BHN67" s="394"/>
      <c r="BHO67" s="394"/>
      <c r="BHP67" s="394"/>
      <c r="BHQ67" s="394"/>
      <c r="BHR67" s="394"/>
      <c r="BHS67" s="394"/>
      <c r="BHT67" s="394"/>
      <c r="BHU67" s="394"/>
      <c r="BHV67" s="394"/>
      <c r="BHW67" s="394"/>
      <c r="BHX67" s="394"/>
      <c r="BHY67" s="394"/>
      <c r="BHZ67" s="394"/>
      <c r="BIA67" s="394"/>
      <c r="BIB67" s="394"/>
      <c r="BIC67" s="394"/>
      <c r="BID67" s="394"/>
      <c r="BIE67" s="394"/>
      <c r="BIF67" s="394"/>
      <c r="BIG67" s="394"/>
      <c r="BIH67" s="394"/>
      <c r="BII67" s="394"/>
      <c r="BIJ67" s="394"/>
      <c r="BIK67" s="394"/>
      <c r="BIL67" s="394"/>
      <c r="BIM67" s="394"/>
      <c r="BIN67" s="394"/>
      <c r="BIO67" s="394"/>
      <c r="BIP67" s="394"/>
      <c r="BIQ67" s="394"/>
      <c r="BIR67" s="394"/>
      <c r="BIS67" s="394"/>
      <c r="BIT67" s="394"/>
      <c r="BIU67" s="394"/>
      <c r="BIV67" s="394"/>
      <c r="BIW67" s="394"/>
      <c r="BIX67" s="394"/>
      <c r="BIY67" s="394"/>
      <c r="BIZ67" s="394"/>
      <c r="BJA67" s="394"/>
      <c r="BJB67" s="394"/>
      <c r="BJC67" s="394"/>
      <c r="BJD67" s="394"/>
      <c r="BJE67" s="394"/>
      <c r="BJF67" s="394"/>
      <c r="BJG67" s="394"/>
      <c r="BJH67" s="394"/>
      <c r="BJI67" s="394"/>
      <c r="BJJ67" s="394"/>
      <c r="BJK67" s="394"/>
      <c r="BJL67" s="394"/>
      <c r="BJM67" s="394"/>
      <c r="BJN67" s="394"/>
      <c r="BJO67" s="394"/>
      <c r="BJP67" s="394"/>
      <c r="BJQ67" s="394"/>
      <c r="BJR67" s="394"/>
      <c r="BJS67" s="394"/>
      <c r="BJT67" s="394"/>
      <c r="BJU67" s="394"/>
      <c r="BJV67" s="394"/>
      <c r="BJW67" s="394"/>
      <c r="BJX67" s="394"/>
      <c r="BJY67" s="394"/>
      <c r="BJZ67" s="394"/>
      <c r="BKA67" s="394"/>
      <c r="BKB67" s="394"/>
      <c r="BKC67" s="394"/>
      <c r="BKD67" s="394"/>
      <c r="BKE67" s="394"/>
      <c r="BKF67" s="394"/>
      <c r="BKG67" s="394"/>
      <c r="BKH67" s="394"/>
      <c r="BKI67" s="394"/>
      <c r="BKJ67" s="394"/>
      <c r="BKK67" s="394"/>
      <c r="BKL67" s="394"/>
      <c r="BKM67" s="394"/>
      <c r="BKN67" s="394"/>
      <c r="BKO67" s="394"/>
      <c r="BKP67" s="394"/>
      <c r="BKQ67" s="394"/>
      <c r="BKR67" s="394"/>
      <c r="BKS67" s="394"/>
      <c r="BKT67" s="394"/>
      <c r="BKU67" s="394"/>
      <c r="BKV67" s="394"/>
      <c r="BKW67" s="394"/>
      <c r="BKX67" s="394"/>
      <c r="BKY67" s="394"/>
      <c r="BKZ67" s="394"/>
      <c r="BLA67" s="394"/>
      <c r="BLB67" s="394"/>
      <c r="BLC67" s="394"/>
      <c r="BLD67" s="394"/>
      <c r="BLE67" s="394"/>
      <c r="BLF67" s="394"/>
      <c r="BLG67" s="394"/>
      <c r="BLH67" s="394"/>
      <c r="BLI67" s="394"/>
      <c r="BLJ67" s="394"/>
      <c r="BLK67" s="394"/>
      <c r="BLL67" s="394"/>
      <c r="BLM67" s="394"/>
      <c r="BLN67" s="394"/>
      <c r="BLO67" s="394"/>
      <c r="BLP67" s="394"/>
      <c r="BLQ67" s="394"/>
      <c r="BLR67" s="394"/>
      <c r="BLS67" s="394"/>
      <c r="BLT67" s="394"/>
      <c r="BLU67" s="394"/>
      <c r="BLV67" s="394"/>
      <c r="BLW67" s="394"/>
      <c r="BLX67" s="394"/>
      <c r="BLY67" s="394"/>
      <c r="BLZ67" s="394"/>
      <c r="BMA67" s="394"/>
      <c r="BMB67" s="394"/>
      <c r="BMC67" s="394"/>
      <c r="BMD67" s="394"/>
      <c r="BME67" s="394"/>
      <c r="BMF67" s="394"/>
      <c r="BMG67" s="394"/>
      <c r="BMH67" s="394"/>
      <c r="BMI67" s="394"/>
      <c r="BMJ67" s="394"/>
      <c r="BMK67" s="394"/>
      <c r="BML67" s="394"/>
      <c r="BMM67" s="394"/>
      <c r="BMN67" s="394"/>
      <c r="BMO67" s="394"/>
      <c r="BMP67" s="394"/>
      <c r="BMQ67" s="394"/>
      <c r="BMR67" s="394"/>
      <c r="BMS67" s="394"/>
      <c r="BMT67" s="394"/>
      <c r="BMU67" s="394"/>
      <c r="BMV67" s="394"/>
      <c r="BMW67" s="394"/>
      <c r="BMX67" s="394"/>
      <c r="BMY67" s="394"/>
      <c r="BMZ67" s="394"/>
      <c r="BNA67" s="394"/>
      <c r="BNB67" s="394"/>
      <c r="BNC67" s="394"/>
      <c r="BND67" s="394"/>
      <c r="BNE67" s="394"/>
      <c r="BNF67" s="394"/>
      <c r="BNG67" s="394"/>
      <c r="BNH67" s="394"/>
      <c r="BNI67" s="394"/>
      <c r="BNJ67" s="394"/>
      <c r="BNK67" s="394"/>
      <c r="BNL67" s="394"/>
      <c r="BNM67" s="394"/>
      <c r="BNN67" s="394"/>
      <c r="BNO67" s="394"/>
      <c r="BNP67" s="394"/>
      <c r="BNQ67" s="394"/>
      <c r="BNR67" s="394"/>
      <c r="BNS67" s="394"/>
      <c r="BNT67" s="394"/>
      <c r="BNU67" s="394"/>
      <c r="BNV67" s="394"/>
      <c r="BNW67" s="394"/>
      <c r="BNX67" s="394"/>
      <c r="BNY67" s="394"/>
      <c r="BNZ67" s="394"/>
      <c r="BOA67" s="394"/>
      <c r="BOB67" s="394"/>
      <c r="BOC67" s="394"/>
      <c r="BOD67" s="394"/>
      <c r="BOE67" s="394"/>
      <c r="BOF67" s="394"/>
      <c r="BOG67" s="394"/>
      <c r="BOH67" s="394"/>
      <c r="BOI67" s="394"/>
      <c r="BOJ67" s="394"/>
      <c r="BOK67" s="394"/>
      <c r="BOL67" s="394"/>
      <c r="BOM67" s="394"/>
      <c r="BON67" s="394"/>
      <c r="BOO67" s="394"/>
      <c r="BOP67" s="394"/>
      <c r="BOQ67" s="394"/>
      <c r="BOR67" s="394"/>
      <c r="BOS67" s="394"/>
      <c r="BOT67" s="394"/>
      <c r="BOU67" s="394"/>
      <c r="BOV67" s="394"/>
      <c r="BOW67" s="394"/>
      <c r="BOX67" s="394"/>
      <c r="BOY67" s="394"/>
      <c r="BOZ67" s="394"/>
      <c r="BPA67" s="394"/>
      <c r="BPB67" s="394"/>
      <c r="BPC67" s="394"/>
      <c r="BPD67" s="394"/>
      <c r="BPE67" s="394"/>
      <c r="BPF67" s="394"/>
      <c r="BPG67" s="394"/>
      <c r="BPH67" s="394"/>
      <c r="BPI67" s="394"/>
      <c r="BPJ67" s="394"/>
      <c r="BPK67" s="394"/>
      <c r="BPL67" s="394"/>
      <c r="BPM67" s="394"/>
      <c r="BPN67" s="394"/>
      <c r="BPO67" s="394"/>
      <c r="BPP67" s="394"/>
      <c r="BPQ67" s="394"/>
      <c r="BPR67" s="394"/>
      <c r="BPS67" s="394"/>
      <c r="BPT67" s="394"/>
      <c r="BPU67" s="394"/>
      <c r="BPV67" s="394"/>
      <c r="BPW67" s="394"/>
      <c r="BPX67" s="394"/>
      <c r="BPY67" s="394"/>
      <c r="BPZ67" s="394"/>
      <c r="BQA67" s="394"/>
      <c r="BQB67" s="394"/>
      <c r="BQC67" s="394"/>
      <c r="BQD67" s="394"/>
      <c r="BQE67" s="394"/>
      <c r="BQF67" s="394"/>
      <c r="BQG67" s="394"/>
      <c r="BQH67" s="394"/>
      <c r="BQI67" s="394"/>
      <c r="BQJ67" s="394"/>
      <c r="BQK67" s="394"/>
      <c r="BQL67" s="394"/>
      <c r="BQM67" s="394"/>
      <c r="BQN67" s="394"/>
      <c r="BQO67" s="394"/>
      <c r="BQP67" s="394"/>
      <c r="BQQ67" s="394"/>
      <c r="BQR67" s="394"/>
      <c r="BQS67" s="394"/>
      <c r="BQT67" s="394"/>
      <c r="BQU67" s="394"/>
      <c r="BQV67" s="394"/>
      <c r="BQW67" s="394"/>
      <c r="BQX67" s="394"/>
      <c r="BQY67" s="394"/>
      <c r="BQZ67" s="394"/>
      <c r="BRA67" s="394"/>
      <c r="BRB67" s="394"/>
      <c r="BRC67" s="394"/>
      <c r="BRD67" s="394"/>
      <c r="BRE67" s="394"/>
      <c r="BRF67" s="394"/>
      <c r="BRG67" s="394"/>
      <c r="BRH67" s="394"/>
      <c r="BRI67" s="394"/>
      <c r="BRJ67" s="394"/>
      <c r="BRK67" s="394"/>
      <c r="BRL67" s="394"/>
      <c r="BRM67" s="394"/>
      <c r="BRN67" s="394"/>
      <c r="BRO67" s="394"/>
      <c r="BRP67" s="394"/>
      <c r="BRQ67" s="394"/>
      <c r="BRR67" s="394"/>
      <c r="BRS67" s="394"/>
      <c r="BRT67" s="394"/>
      <c r="BRU67" s="394"/>
      <c r="BRV67" s="394"/>
      <c r="BRW67" s="394"/>
      <c r="BRX67" s="394"/>
      <c r="BRY67" s="394"/>
      <c r="BRZ67" s="394"/>
      <c r="BSA67" s="394"/>
      <c r="BSB67" s="394"/>
      <c r="BSC67" s="394"/>
      <c r="BSD67" s="394"/>
      <c r="BSE67" s="394"/>
      <c r="BSF67" s="394"/>
      <c r="BSG67" s="394"/>
      <c r="BSH67" s="394"/>
      <c r="BSI67" s="394"/>
      <c r="BSJ67" s="394"/>
      <c r="BSK67" s="394"/>
      <c r="BSL67" s="394"/>
      <c r="BSM67" s="394"/>
      <c r="BSN67" s="394"/>
      <c r="BSO67" s="394"/>
      <c r="BSP67" s="394"/>
      <c r="BSQ67" s="394"/>
      <c r="BSR67" s="394"/>
      <c r="BSS67" s="394"/>
      <c r="BST67" s="394"/>
      <c r="BSU67" s="394"/>
      <c r="BSV67" s="394"/>
      <c r="BSW67" s="394"/>
      <c r="BSX67" s="394"/>
      <c r="BSY67" s="394"/>
      <c r="BSZ67" s="394"/>
      <c r="BTA67" s="394"/>
      <c r="BTB67" s="394"/>
      <c r="BTC67" s="394"/>
      <c r="BTD67" s="394"/>
      <c r="BTE67" s="394"/>
      <c r="BTF67" s="394"/>
      <c r="BTG67" s="394"/>
      <c r="BTH67" s="394"/>
      <c r="BTI67" s="394"/>
    </row>
    <row r="68" spans="1:1881" s="4" customFormat="1" ht="69" customHeight="1" x14ac:dyDescent="0.25">
      <c r="A68" s="188">
        <v>509</v>
      </c>
      <c r="B68" s="64" t="s">
        <v>62</v>
      </c>
      <c r="C68" s="159" t="s">
        <v>165</v>
      </c>
      <c r="D68" s="175" t="s">
        <v>620</v>
      </c>
      <c r="E68" s="32" t="e">
        <f>HLOOKUP($D$2,'2019 Data(H)'!$C$1:$CP$300,159,FALSE)</f>
        <v>#N/A</v>
      </c>
      <c r="F68" s="624"/>
      <c r="G68" s="395">
        <f>IF(F68&lt;0,"Error: Enter as positive.",)</f>
        <v>0</v>
      </c>
      <c r="H68" s="17"/>
      <c r="I68" s="297"/>
      <c r="J68" s="394"/>
      <c r="K68" s="394"/>
      <c r="L68" s="833" t="s">
        <v>1161</v>
      </c>
      <c r="M68" s="610"/>
      <c r="N68" s="635"/>
      <c r="O68" s="394"/>
      <c r="P68" s="394"/>
      <c r="Q68" s="394"/>
      <c r="R68" s="394"/>
      <c r="S68" s="394"/>
      <c r="T68" s="394"/>
      <c r="U68" s="394"/>
      <c r="V68" s="394"/>
      <c r="W68" s="394"/>
      <c r="X68" s="394"/>
      <c r="Y68" s="394"/>
      <c r="Z68" s="394"/>
      <c r="AA68" s="394"/>
      <c r="AB68" s="394"/>
      <c r="AC68" s="394"/>
      <c r="AD68" s="394"/>
      <c r="AE68" s="394"/>
      <c r="AF68" s="394"/>
      <c r="AG68" s="394"/>
      <c r="AH68" s="394"/>
      <c r="AI68" s="394"/>
      <c r="AJ68" s="394"/>
      <c r="AK68" s="394"/>
      <c r="AL68" s="394"/>
      <c r="AM68" s="394"/>
      <c r="AN68" s="394"/>
      <c r="AO68" s="394"/>
      <c r="AP68" s="394"/>
      <c r="AQ68" s="394"/>
      <c r="AR68" s="394"/>
      <c r="AS68" s="394"/>
      <c r="AT68" s="394"/>
      <c r="AU68" s="394"/>
      <c r="AV68" s="394"/>
      <c r="AW68" s="394"/>
      <c r="AX68" s="394"/>
      <c r="AY68" s="394"/>
      <c r="AZ68" s="394"/>
      <c r="BA68" s="394"/>
      <c r="BB68" s="394"/>
      <c r="BC68" s="394"/>
      <c r="BD68" s="394"/>
      <c r="BE68" s="394"/>
      <c r="BF68" s="394"/>
      <c r="BG68" s="394"/>
      <c r="BH68" s="394"/>
      <c r="BI68" s="394"/>
      <c r="BJ68" s="394"/>
      <c r="BK68" s="394"/>
      <c r="BL68" s="394"/>
      <c r="BM68" s="394"/>
      <c r="BN68" s="394"/>
      <c r="BO68" s="394"/>
      <c r="BP68" s="394"/>
      <c r="BQ68" s="394"/>
      <c r="BR68" s="394"/>
      <c r="BS68" s="394"/>
      <c r="BT68" s="394"/>
      <c r="BU68" s="394"/>
      <c r="BV68" s="394"/>
      <c r="BW68" s="394"/>
      <c r="BX68" s="394"/>
      <c r="BY68" s="394"/>
      <c r="BZ68" s="394"/>
      <c r="CA68" s="394"/>
      <c r="CB68" s="394"/>
      <c r="CC68" s="394"/>
      <c r="CD68" s="394"/>
      <c r="CE68" s="394"/>
      <c r="CF68" s="394"/>
      <c r="CG68" s="394"/>
      <c r="CH68" s="394"/>
      <c r="CI68" s="394"/>
      <c r="CJ68" s="394"/>
      <c r="CK68" s="394"/>
      <c r="CL68" s="394"/>
      <c r="CM68" s="394"/>
      <c r="CN68" s="394"/>
      <c r="CO68" s="394"/>
      <c r="CP68" s="394"/>
      <c r="CQ68" s="394"/>
      <c r="CR68" s="394"/>
      <c r="CS68" s="394"/>
      <c r="CT68" s="394"/>
      <c r="CU68" s="394"/>
      <c r="CV68" s="394"/>
      <c r="CW68" s="394"/>
      <c r="CX68" s="394"/>
      <c r="CY68" s="394"/>
      <c r="CZ68" s="394"/>
      <c r="DA68" s="394"/>
      <c r="DB68" s="394"/>
      <c r="DC68" s="394"/>
      <c r="DD68" s="394"/>
      <c r="DE68" s="394"/>
      <c r="DF68" s="394"/>
      <c r="DG68" s="394"/>
      <c r="DH68" s="394"/>
      <c r="DI68" s="394"/>
      <c r="DJ68" s="394"/>
      <c r="DK68" s="394"/>
      <c r="DL68" s="394"/>
      <c r="DM68" s="394"/>
      <c r="DN68" s="394"/>
      <c r="DO68" s="394"/>
      <c r="DP68" s="394"/>
      <c r="DQ68" s="394"/>
      <c r="DR68" s="394"/>
      <c r="DS68" s="394"/>
      <c r="DT68" s="394"/>
      <c r="DU68" s="394"/>
      <c r="DV68" s="394"/>
      <c r="DW68" s="394"/>
      <c r="DX68" s="394"/>
      <c r="DY68" s="394"/>
      <c r="DZ68" s="394"/>
      <c r="EA68" s="394"/>
      <c r="EB68" s="394"/>
      <c r="EC68" s="394"/>
      <c r="ED68" s="394"/>
      <c r="EE68" s="394"/>
      <c r="EF68" s="394"/>
      <c r="EG68" s="394"/>
      <c r="EH68" s="394"/>
      <c r="EI68" s="394"/>
      <c r="EJ68" s="394"/>
      <c r="EK68" s="394"/>
      <c r="EL68" s="394"/>
      <c r="EM68" s="394"/>
      <c r="EN68" s="394"/>
      <c r="EO68" s="394"/>
      <c r="EP68" s="394"/>
      <c r="EQ68" s="394"/>
      <c r="ER68" s="394"/>
      <c r="ES68" s="394"/>
      <c r="ET68" s="394"/>
      <c r="EU68" s="394"/>
      <c r="EV68" s="394"/>
      <c r="EW68" s="394"/>
      <c r="EX68" s="394"/>
      <c r="EY68" s="394"/>
      <c r="EZ68" s="394"/>
      <c r="FA68" s="394"/>
      <c r="FB68" s="394"/>
      <c r="FC68" s="394"/>
      <c r="FD68" s="394"/>
      <c r="FE68" s="394"/>
      <c r="FF68" s="394"/>
      <c r="FG68" s="394"/>
      <c r="FH68" s="394"/>
      <c r="FI68" s="394"/>
      <c r="FJ68" s="394"/>
      <c r="FK68" s="394"/>
      <c r="FL68" s="394"/>
      <c r="FM68" s="394"/>
      <c r="FN68" s="394"/>
      <c r="FO68" s="394"/>
      <c r="FP68" s="394"/>
      <c r="FQ68" s="394"/>
      <c r="FR68" s="394"/>
      <c r="FS68" s="394"/>
      <c r="FT68" s="394"/>
      <c r="FU68" s="394"/>
      <c r="FV68" s="394"/>
      <c r="FW68" s="394"/>
      <c r="FX68" s="394"/>
      <c r="FY68" s="394"/>
      <c r="FZ68" s="394"/>
      <c r="GA68" s="394"/>
      <c r="GB68" s="394"/>
      <c r="GC68" s="394"/>
      <c r="GD68" s="394"/>
      <c r="GE68" s="394"/>
      <c r="GF68" s="394"/>
      <c r="GG68" s="394"/>
      <c r="GH68" s="394"/>
      <c r="GI68" s="394"/>
      <c r="GJ68" s="394"/>
      <c r="GK68" s="394"/>
      <c r="GL68" s="394"/>
      <c r="GM68" s="394"/>
      <c r="GN68" s="394"/>
      <c r="GO68" s="394"/>
      <c r="GP68" s="394"/>
      <c r="GQ68" s="394"/>
      <c r="GR68" s="394"/>
      <c r="GS68" s="394"/>
      <c r="GT68" s="394"/>
      <c r="GU68" s="394"/>
      <c r="GV68" s="394"/>
      <c r="GW68" s="394"/>
      <c r="GX68" s="394"/>
      <c r="GY68" s="394"/>
      <c r="GZ68" s="394"/>
      <c r="HA68" s="394"/>
      <c r="HB68" s="394"/>
      <c r="HC68" s="394"/>
      <c r="HD68" s="394"/>
      <c r="HE68" s="394"/>
      <c r="HF68" s="394"/>
      <c r="HG68" s="394"/>
      <c r="HH68" s="394"/>
      <c r="HI68" s="394"/>
      <c r="HJ68" s="394"/>
      <c r="HK68" s="394"/>
      <c r="HL68" s="394"/>
      <c r="HM68" s="394"/>
      <c r="HN68" s="394"/>
      <c r="HO68" s="394"/>
      <c r="HP68" s="394"/>
      <c r="HQ68" s="394"/>
      <c r="HR68" s="394"/>
      <c r="HS68" s="394"/>
      <c r="HT68" s="394"/>
      <c r="HU68" s="394"/>
      <c r="HV68" s="394"/>
      <c r="HW68" s="394"/>
      <c r="HX68" s="394"/>
      <c r="HY68" s="394"/>
      <c r="HZ68" s="394"/>
      <c r="IA68" s="394"/>
      <c r="IB68" s="394"/>
      <c r="IC68" s="394"/>
      <c r="ID68" s="394"/>
      <c r="IE68" s="394"/>
      <c r="IF68" s="394"/>
      <c r="IG68" s="394"/>
      <c r="IH68" s="394"/>
      <c r="II68" s="394"/>
      <c r="IJ68" s="394"/>
      <c r="IK68" s="394"/>
      <c r="IL68" s="394"/>
      <c r="IM68" s="394"/>
      <c r="IN68" s="394"/>
      <c r="IO68" s="394"/>
      <c r="IP68" s="394"/>
      <c r="IQ68" s="394"/>
      <c r="IR68" s="394"/>
      <c r="IS68" s="394"/>
      <c r="IT68" s="394"/>
      <c r="IU68" s="394"/>
      <c r="IV68" s="394"/>
      <c r="IW68" s="394"/>
      <c r="IX68" s="394"/>
      <c r="IY68" s="394"/>
      <c r="IZ68" s="394"/>
      <c r="JA68" s="394"/>
      <c r="JB68" s="394"/>
      <c r="JC68" s="394"/>
      <c r="JD68" s="394"/>
      <c r="JE68" s="394"/>
      <c r="JF68" s="394"/>
      <c r="JG68" s="394"/>
      <c r="JH68" s="394"/>
      <c r="JI68" s="394"/>
      <c r="JJ68" s="394"/>
      <c r="JK68" s="394"/>
      <c r="JL68" s="394"/>
      <c r="JM68" s="394"/>
      <c r="JN68" s="394"/>
      <c r="JO68" s="394"/>
      <c r="JP68" s="394"/>
      <c r="JQ68" s="394"/>
      <c r="JR68" s="394"/>
      <c r="JS68" s="394"/>
      <c r="JT68" s="394"/>
      <c r="JU68" s="394"/>
      <c r="JV68" s="394"/>
      <c r="JW68" s="394"/>
      <c r="JX68" s="394"/>
      <c r="JY68" s="394"/>
      <c r="JZ68" s="394"/>
      <c r="KA68" s="394"/>
      <c r="KB68" s="394"/>
      <c r="KC68" s="394"/>
      <c r="KD68" s="394"/>
      <c r="KE68" s="394"/>
      <c r="KF68" s="394"/>
      <c r="KG68" s="394"/>
      <c r="KH68" s="394"/>
      <c r="KI68" s="394"/>
      <c r="KJ68" s="394"/>
      <c r="KK68" s="394"/>
      <c r="KL68" s="394"/>
      <c r="KM68" s="394"/>
      <c r="KN68" s="394"/>
      <c r="KO68" s="394"/>
      <c r="KP68" s="394"/>
      <c r="KQ68" s="394"/>
      <c r="KR68" s="394"/>
      <c r="KS68" s="394"/>
      <c r="KT68" s="394"/>
      <c r="KU68" s="394"/>
      <c r="KV68" s="394"/>
      <c r="KW68" s="394"/>
      <c r="KX68" s="394"/>
      <c r="KY68" s="394"/>
      <c r="KZ68" s="394"/>
      <c r="LA68" s="394"/>
      <c r="LB68" s="394"/>
      <c r="LC68" s="394"/>
      <c r="LD68" s="394"/>
      <c r="LE68" s="394"/>
      <c r="LF68" s="394"/>
      <c r="LG68" s="394"/>
      <c r="LH68" s="394"/>
      <c r="LI68" s="394"/>
      <c r="LJ68" s="394"/>
      <c r="LK68" s="394"/>
      <c r="LL68" s="394"/>
      <c r="LM68" s="394"/>
      <c r="LN68" s="394"/>
      <c r="LO68" s="394"/>
      <c r="LP68" s="394"/>
      <c r="LQ68" s="394"/>
      <c r="LR68" s="394"/>
      <c r="LS68" s="394"/>
      <c r="LT68" s="394"/>
      <c r="LU68" s="394"/>
      <c r="LV68" s="394"/>
      <c r="LW68" s="394"/>
      <c r="LX68" s="394"/>
      <c r="LY68" s="394"/>
      <c r="LZ68" s="394"/>
      <c r="MA68" s="394"/>
      <c r="MB68" s="394"/>
      <c r="MC68" s="394"/>
      <c r="MD68" s="394"/>
      <c r="ME68" s="394"/>
      <c r="MF68" s="394"/>
      <c r="MG68" s="394"/>
      <c r="MH68" s="394"/>
      <c r="MI68" s="394"/>
      <c r="MJ68" s="394"/>
      <c r="MK68" s="394"/>
      <c r="ML68" s="394"/>
      <c r="MM68" s="394"/>
      <c r="MN68" s="394"/>
      <c r="MO68" s="394"/>
      <c r="MP68" s="394"/>
      <c r="MQ68" s="394"/>
      <c r="MR68" s="394"/>
      <c r="MS68" s="394"/>
      <c r="MT68" s="394"/>
      <c r="MU68" s="394"/>
      <c r="MV68" s="394"/>
      <c r="MW68" s="394"/>
      <c r="MX68" s="394"/>
      <c r="MY68" s="394"/>
      <c r="MZ68" s="394"/>
      <c r="NA68" s="394"/>
      <c r="NB68" s="394"/>
      <c r="NC68" s="394"/>
      <c r="ND68" s="394"/>
      <c r="NE68" s="394"/>
      <c r="NF68" s="394"/>
      <c r="NG68" s="394"/>
      <c r="NH68" s="394"/>
      <c r="NI68" s="394"/>
      <c r="NJ68" s="394"/>
      <c r="NK68" s="394"/>
      <c r="NL68" s="394"/>
      <c r="NM68" s="394"/>
      <c r="NN68" s="394"/>
      <c r="NO68" s="394"/>
      <c r="NP68" s="394"/>
      <c r="NQ68" s="394"/>
      <c r="NR68" s="394"/>
      <c r="NS68" s="394"/>
      <c r="NT68" s="394"/>
      <c r="NU68" s="394"/>
      <c r="NV68" s="394"/>
      <c r="NW68" s="394"/>
      <c r="NX68" s="394"/>
      <c r="NY68" s="394"/>
      <c r="NZ68" s="394"/>
      <c r="OA68" s="394"/>
      <c r="OB68" s="394"/>
      <c r="OC68" s="394"/>
      <c r="OD68" s="394"/>
      <c r="OE68" s="394"/>
      <c r="OF68" s="394"/>
      <c r="OG68" s="394"/>
      <c r="OH68" s="394"/>
      <c r="OI68" s="394"/>
      <c r="OJ68" s="394"/>
      <c r="OK68" s="394"/>
      <c r="OL68" s="394"/>
      <c r="OM68" s="394"/>
      <c r="ON68" s="394"/>
      <c r="OO68" s="394"/>
      <c r="OP68" s="394"/>
      <c r="OQ68" s="394"/>
      <c r="OR68" s="394"/>
      <c r="OS68" s="394"/>
      <c r="OT68" s="394"/>
      <c r="OU68" s="394"/>
      <c r="OV68" s="394"/>
      <c r="OW68" s="394"/>
      <c r="OX68" s="394"/>
      <c r="OY68" s="394"/>
      <c r="OZ68" s="394"/>
      <c r="PA68" s="394"/>
      <c r="PB68" s="394"/>
      <c r="PC68" s="394"/>
      <c r="PD68" s="394"/>
      <c r="PE68" s="394"/>
      <c r="PF68" s="394"/>
      <c r="PG68" s="394"/>
      <c r="PH68" s="394"/>
      <c r="PI68" s="394"/>
      <c r="PJ68" s="394"/>
      <c r="PK68" s="394"/>
      <c r="PL68" s="394"/>
      <c r="PM68" s="394"/>
      <c r="PN68" s="394"/>
      <c r="PO68" s="394"/>
      <c r="PP68" s="394"/>
      <c r="PQ68" s="394"/>
      <c r="PR68" s="394"/>
      <c r="PS68" s="394"/>
      <c r="PT68" s="394"/>
      <c r="PU68" s="394"/>
      <c r="PV68" s="394"/>
      <c r="PW68" s="394"/>
      <c r="PX68" s="394"/>
      <c r="PY68" s="394"/>
      <c r="PZ68" s="394"/>
      <c r="QA68" s="394"/>
      <c r="QB68" s="394"/>
      <c r="QC68" s="394"/>
      <c r="QD68" s="394"/>
      <c r="QE68" s="394"/>
      <c r="QF68" s="394"/>
      <c r="QG68" s="394"/>
      <c r="QH68" s="394"/>
      <c r="QI68" s="394"/>
      <c r="QJ68" s="394"/>
      <c r="QK68" s="394"/>
      <c r="QL68" s="394"/>
      <c r="QM68" s="394"/>
      <c r="QN68" s="394"/>
      <c r="QO68" s="394"/>
      <c r="QP68" s="394"/>
      <c r="QQ68" s="394"/>
      <c r="QR68" s="394"/>
      <c r="QS68" s="394"/>
      <c r="QT68" s="394"/>
      <c r="QU68" s="394"/>
      <c r="QV68" s="394"/>
      <c r="QW68" s="394"/>
      <c r="QX68" s="394"/>
      <c r="QY68" s="394"/>
      <c r="QZ68" s="394"/>
      <c r="RA68" s="394"/>
      <c r="RB68" s="394"/>
      <c r="RC68" s="394"/>
      <c r="RD68" s="394"/>
      <c r="RE68" s="394"/>
      <c r="RF68" s="394"/>
      <c r="RG68" s="394"/>
      <c r="RH68" s="394"/>
      <c r="RI68" s="394"/>
      <c r="RJ68" s="394"/>
      <c r="RK68" s="394"/>
      <c r="RL68" s="394"/>
      <c r="RM68" s="394"/>
      <c r="RN68" s="394"/>
      <c r="RO68" s="394"/>
      <c r="RP68" s="394"/>
      <c r="RQ68" s="394"/>
      <c r="RR68" s="394"/>
      <c r="RS68" s="394"/>
      <c r="RT68" s="394"/>
      <c r="RU68" s="394"/>
      <c r="RV68" s="394"/>
      <c r="RW68" s="394"/>
      <c r="RX68" s="394"/>
      <c r="RY68" s="394"/>
      <c r="RZ68" s="394"/>
      <c r="SA68" s="394"/>
      <c r="SB68" s="394"/>
      <c r="SC68" s="394"/>
      <c r="SD68" s="394"/>
      <c r="SE68" s="394"/>
      <c r="SF68" s="394"/>
      <c r="SG68" s="394"/>
      <c r="SH68" s="394"/>
      <c r="SI68" s="394"/>
      <c r="SJ68" s="394"/>
      <c r="SK68" s="394"/>
      <c r="SL68" s="394"/>
      <c r="SM68" s="394"/>
      <c r="SN68" s="394"/>
      <c r="SO68" s="394"/>
      <c r="SP68" s="394"/>
      <c r="SQ68" s="394"/>
      <c r="SR68" s="394"/>
      <c r="SS68" s="394"/>
      <c r="ST68" s="394"/>
      <c r="SU68" s="394"/>
      <c r="SV68" s="394"/>
      <c r="SW68" s="394"/>
      <c r="SX68" s="394"/>
      <c r="SY68" s="394"/>
      <c r="SZ68" s="394"/>
      <c r="TA68" s="394"/>
      <c r="TB68" s="394"/>
      <c r="TC68" s="394"/>
      <c r="TD68" s="394"/>
      <c r="TE68" s="394"/>
      <c r="TF68" s="394"/>
      <c r="TG68" s="394"/>
      <c r="TH68" s="394"/>
      <c r="TI68" s="394"/>
      <c r="TJ68" s="394"/>
      <c r="TK68" s="394"/>
      <c r="TL68" s="394"/>
      <c r="TM68" s="394"/>
      <c r="TN68" s="394"/>
      <c r="TO68" s="394"/>
      <c r="TP68" s="394"/>
      <c r="TQ68" s="394"/>
      <c r="TR68" s="394"/>
      <c r="TS68" s="394"/>
      <c r="TT68" s="394"/>
      <c r="TU68" s="394"/>
      <c r="TV68" s="394"/>
      <c r="TW68" s="394"/>
      <c r="TX68" s="394"/>
      <c r="TY68" s="394"/>
      <c r="TZ68" s="394"/>
      <c r="UA68" s="394"/>
      <c r="UB68" s="394"/>
      <c r="UC68" s="394"/>
      <c r="UD68" s="394"/>
      <c r="UE68" s="394"/>
      <c r="UF68" s="394"/>
      <c r="UG68" s="394"/>
      <c r="UH68" s="394"/>
      <c r="UI68" s="394"/>
      <c r="UJ68" s="394"/>
      <c r="UK68" s="394"/>
      <c r="UL68" s="394"/>
      <c r="UM68" s="394"/>
      <c r="UN68" s="394"/>
      <c r="UO68" s="394"/>
      <c r="UP68" s="394"/>
      <c r="UQ68" s="394"/>
      <c r="UR68" s="394"/>
      <c r="US68" s="394"/>
      <c r="UT68" s="394"/>
      <c r="UU68" s="394"/>
      <c r="UV68" s="394"/>
      <c r="UW68" s="394"/>
      <c r="UX68" s="394"/>
      <c r="UY68" s="394"/>
      <c r="UZ68" s="394"/>
      <c r="VA68" s="394"/>
      <c r="VB68" s="394"/>
      <c r="VC68" s="394"/>
      <c r="VD68" s="394"/>
      <c r="VE68" s="394"/>
      <c r="VF68" s="394"/>
      <c r="VG68" s="394"/>
      <c r="VH68" s="394"/>
      <c r="VI68" s="394"/>
      <c r="VJ68" s="394"/>
      <c r="VK68" s="394"/>
      <c r="VL68" s="394"/>
      <c r="VM68" s="394"/>
      <c r="VN68" s="394"/>
      <c r="VO68" s="394"/>
      <c r="VP68" s="394"/>
      <c r="VQ68" s="394"/>
      <c r="VR68" s="394"/>
      <c r="VS68" s="394"/>
      <c r="VT68" s="394"/>
      <c r="VU68" s="394"/>
      <c r="VV68" s="394"/>
      <c r="VW68" s="394"/>
      <c r="VX68" s="394"/>
      <c r="VY68" s="394"/>
      <c r="VZ68" s="394"/>
      <c r="WA68" s="394"/>
      <c r="WB68" s="394"/>
      <c r="WC68" s="394"/>
      <c r="WD68" s="394"/>
      <c r="WE68" s="394"/>
      <c r="WF68" s="394"/>
      <c r="WG68" s="394"/>
      <c r="WH68" s="394"/>
      <c r="WI68" s="394"/>
      <c r="WJ68" s="394"/>
      <c r="WK68" s="394"/>
      <c r="WL68" s="394"/>
      <c r="WM68" s="394"/>
      <c r="WN68" s="394"/>
      <c r="WO68" s="394"/>
      <c r="WP68" s="394"/>
      <c r="WQ68" s="394"/>
      <c r="WR68" s="394"/>
      <c r="WS68" s="394"/>
      <c r="WT68" s="394"/>
      <c r="WU68" s="394"/>
      <c r="WV68" s="394"/>
      <c r="WW68" s="394"/>
      <c r="WX68" s="394"/>
      <c r="WY68" s="394"/>
      <c r="WZ68" s="394"/>
      <c r="XA68" s="394"/>
      <c r="XB68" s="394"/>
      <c r="XC68" s="394"/>
      <c r="XD68" s="394"/>
      <c r="XE68" s="394"/>
      <c r="XF68" s="394"/>
      <c r="XG68" s="394"/>
      <c r="XH68" s="394"/>
      <c r="XI68" s="394"/>
      <c r="XJ68" s="394"/>
      <c r="XK68" s="394"/>
      <c r="XL68" s="394"/>
      <c r="XM68" s="394"/>
      <c r="XN68" s="394"/>
      <c r="XO68" s="394"/>
      <c r="XP68" s="394"/>
      <c r="XQ68" s="394"/>
      <c r="XR68" s="394"/>
      <c r="XS68" s="394"/>
      <c r="XT68" s="394"/>
      <c r="XU68" s="394"/>
      <c r="XV68" s="394"/>
      <c r="XW68" s="394"/>
      <c r="XX68" s="394"/>
      <c r="XY68" s="394"/>
      <c r="XZ68" s="394"/>
      <c r="YA68" s="394"/>
      <c r="YB68" s="394"/>
      <c r="YC68" s="394"/>
      <c r="YD68" s="394"/>
      <c r="YE68" s="394"/>
      <c r="YF68" s="394"/>
      <c r="YG68" s="394"/>
      <c r="YH68" s="394"/>
      <c r="YI68" s="394"/>
      <c r="YJ68" s="394"/>
      <c r="YK68" s="394"/>
      <c r="YL68" s="394"/>
      <c r="YM68" s="394"/>
      <c r="YN68" s="394"/>
      <c r="YO68" s="394"/>
      <c r="YP68" s="394"/>
      <c r="YQ68" s="394"/>
      <c r="YR68" s="394"/>
      <c r="YS68" s="394"/>
      <c r="YT68" s="394"/>
      <c r="YU68" s="394"/>
      <c r="YV68" s="394"/>
      <c r="YW68" s="394"/>
      <c r="YX68" s="394"/>
      <c r="YY68" s="394"/>
      <c r="YZ68" s="394"/>
      <c r="ZA68" s="394"/>
      <c r="ZB68" s="394"/>
      <c r="ZC68" s="394"/>
      <c r="ZD68" s="394"/>
      <c r="ZE68" s="394"/>
      <c r="ZF68" s="394"/>
      <c r="ZG68" s="394"/>
      <c r="ZH68" s="394"/>
      <c r="ZI68" s="394"/>
      <c r="ZJ68" s="394"/>
      <c r="ZK68" s="394"/>
      <c r="ZL68" s="394"/>
      <c r="ZM68" s="394"/>
      <c r="ZN68" s="394"/>
      <c r="ZO68" s="394"/>
      <c r="ZP68" s="394"/>
      <c r="ZQ68" s="394"/>
      <c r="ZR68" s="394"/>
      <c r="ZS68" s="394"/>
      <c r="ZT68" s="394"/>
      <c r="ZU68" s="394"/>
      <c r="ZV68" s="394"/>
      <c r="ZW68" s="394"/>
      <c r="ZX68" s="394"/>
      <c r="ZY68" s="394"/>
      <c r="ZZ68" s="394"/>
      <c r="AAA68" s="394"/>
      <c r="AAB68" s="394"/>
      <c r="AAC68" s="394"/>
      <c r="AAD68" s="394"/>
      <c r="AAE68" s="394"/>
      <c r="AAF68" s="394"/>
      <c r="AAG68" s="394"/>
      <c r="AAH68" s="394"/>
      <c r="AAI68" s="394"/>
      <c r="AAJ68" s="394"/>
      <c r="AAK68" s="394"/>
      <c r="AAL68" s="394"/>
      <c r="AAM68" s="394"/>
      <c r="AAN68" s="394"/>
      <c r="AAO68" s="394"/>
      <c r="AAP68" s="394"/>
      <c r="AAQ68" s="394"/>
      <c r="AAR68" s="394"/>
      <c r="AAS68" s="394"/>
      <c r="AAT68" s="394"/>
      <c r="AAU68" s="394"/>
      <c r="AAV68" s="394"/>
      <c r="AAW68" s="394"/>
      <c r="AAX68" s="394"/>
      <c r="AAY68" s="394"/>
      <c r="AAZ68" s="394"/>
      <c r="ABA68" s="394"/>
      <c r="ABB68" s="394"/>
      <c r="ABC68" s="394"/>
      <c r="ABD68" s="394"/>
      <c r="ABE68" s="394"/>
      <c r="ABF68" s="394"/>
      <c r="ABG68" s="394"/>
      <c r="ABH68" s="394"/>
      <c r="ABI68" s="394"/>
      <c r="ABJ68" s="394"/>
      <c r="ABK68" s="394"/>
      <c r="ABL68" s="394"/>
      <c r="ABM68" s="394"/>
      <c r="ABN68" s="394"/>
      <c r="ABO68" s="394"/>
      <c r="ABP68" s="394"/>
      <c r="ABQ68" s="394"/>
      <c r="ABR68" s="394"/>
      <c r="ABS68" s="394"/>
      <c r="ABT68" s="394"/>
      <c r="ABU68" s="394"/>
      <c r="ABV68" s="394"/>
      <c r="ABW68" s="394"/>
      <c r="ABX68" s="394"/>
      <c r="ABY68" s="394"/>
      <c r="ABZ68" s="394"/>
      <c r="ACA68" s="394"/>
      <c r="ACB68" s="394"/>
      <c r="ACC68" s="394"/>
      <c r="ACD68" s="394"/>
      <c r="ACE68" s="394"/>
      <c r="ACF68" s="394"/>
      <c r="ACG68" s="394"/>
      <c r="ACH68" s="394"/>
      <c r="ACI68" s="394"/>
      <c r="ACJ68" s="394"/>
      <c r="ACK68" s="394"/>
      <c r="ACL68" s="394"/>
      <c r="ACM68" s="394"/>
      <c r="ACN68" s="394"/>
      <c r="ACO68" s="394"/>
      <c r="ACP68" s="394"/>
      <c r="ACQ68" s="394"/>
      <c r="ACR68" s="394"/>
      <c r="ACS68" s="394"/>
      <c r="ACT68" s="394"/>
      <c r="ACU68" s="394"/>
      <c r="ACV68" s="394"/>
      <c r="ACW68" s="394"/>
      <c r="ACX68" s="394"/>
      <c r="ACY68" s="394"/>
      <c r="ACZ68" s="394"/>
      <c r="ADA68" s="394"/>
      <c r="ADB68" s="394"/>
      <c r="ADC68" s="394"/>
      <c r="ADD68" s="394"/>
      <c r="ADE68" s="394"/>
      <c r="ADF68" s="394"/>
      <c r="ADG68" s="394"/>
      <c r="ADH68" s="394"/>
      <c r="ADI68" s="394"/>
      <c r="ADJ68" s="394"/>
      <c r="ADK68" s="394"/>
      <c r="ADL68" s="394"/>
      <c r="ADM68" s="394"/>
      <c r="ADN68" s="394"/>
      <c r="ADO68" s="394"/>
      <c r="ADP68" s="394"/>
      <c r="ADQ68" s="394"/>
      <c r="ADR68" s="394"/>
      <c r="ADS68" s="394"/>
      <c r="ADT68" s="394"/>
      <c r="ADU68" s="394"/>
      <c r="ADV68" s="394"/>
      <c r="ADW68" s="394"/>
      <c r="ADX68" s="394"/>
      <c r="ADY68" s="394"/>
      <c r="ADZ68" s="394"/>
      <c r="AEA68" s="394"/>
      <c r="AEB68" s="394"/>
      <c r="AEC68" s="394"/>
      <c r="AED68" s="394"/>
      <c r="AEE68" s="394"/>
      <c r="AEF68" s="394"/>
      <c r="AEG68" s="394"/>
      <c r="AEH68" s="394"/>
      <c r="AEI68" s="394"/>
      <c r="AEJ68" s="394"/>
      <c r="AEK68" s="394"/>
      <c r="AEL68" s="394"/>
      <c r="AEM68" s="394"/>
      <c r="AEN68" s="394"/>
      <c r="AEO68" s="394"/>
      <c r="AEP68" s="394"/>
      <c r="AEQ68" s="394"/>
      <c r="AER68" s="394"/>
      <c r="AES68" s="394"/>
      <c r="AET68" s="394"/>
      <c r="AEU68" s="394"/>
      <c r="AEV68" s="394"/>
      <c r="AEW68" s="394"/>
      <c r="AEX68" s="394"/>
      <c r="AEY68" s="394"/>
      <c r="AEZ68" s="394"/>
      <c r="AFA68" s="394"/>
      <c r="AFB68" s="394"/>
      <c r="AFC68" s="394"/>
      <c r="AFD68" s="394"/>
      <c r="AFE68" s="394"/>
      <c r="AFF68" s="394"/>
      <c r="AFG68" s="394"/>
      <c r="AFH68" s="394"/>
      <c r="AFI68" s="394"/>
      <c r="AFJ68" s="394"/>
      <c r="AFK68" s="394"/>
      <c r="AFL68" s="394"/>
      <c r="AFM68" s="394"/>
      <c r="AFN68" s="394"/>
      <c r="AFO68" s="394"/>
      <c r="AFP68" s="394"/>
      <c r="AFQ68" s="394"/>
      <c r="AFR68" s="394"/>
      <c r="AFS68" s="394"/>
      <c r="AFT68" s="394"/>
      <c r="AFU68" s="394"/>
      <c r="AFV68" s="394"/>
      <c r="AFW68" s="394"/>
      <c r="AFX68" s="394"/>
      <c r="AFY68" s="394"/>
      <c r="AFZ68" s="394"/>
      <c r="AGA68" s="394"/>
      <c r="AGB68" s="394"/>
      <c r="AGC68" s="394"/>
      <c r="AGD68" s="394"/>
      <c r="AGE68" s="394"/>
      <c r="AGF68" s="394"/>
      <c r="AGG68" s="394"/>
      <c r="AGH68" s="394"/>
      <c r="AGI68" s="394"/>
      <c r="AGJ68" s="394"/>
      <c r="AGK68" s="394"/>
      <c r="AGL68" s="394"/>
      <c r="AGM68" s="394"/>
      <c r="AGN68" s="394"/>
      <c r="AGO68" s="394"/>
      <c r="AGP68" s="394"/>
      <c r="AGQ68" s="394"/>
      <c r="AGR68" s="394"/>
      <c r="AGS68" s="394"/>
      <c r="AGT68" s="394"/>
      <c r="AGU68" s="394"/>
      <c r="AGV68" s="394"/>
      <c r="AGW68" s="394"/>
      <c r="AGX68" s="394"/>
      <c r="AGY68" s="394"/>
      <c r="AGZ68" s="394"/>
      <c r="AHA68" s="394"/>
      <c r="AHB68" s="394"/>
      <c r="AHC68" s="394"/>
      <c r="AHD68" s="394"/>
      <c r="AHE68" s="394"/>
      <c r="AHF68" s="394"/>
      <c r="AHG68" s="394"/>
      <c r="AHH68" s="394"/>
      <c r="AHI68" s="394"/>
      <c r="AHJ68" s="394"/>
      <c r="AHK68" s="394"/>
      <c r="AHL68" s="394"/>
      <c r="AHM68" s="394"/>
      <c r="AHN68" s="394"/>
      <c r="AHO68" s="394"/>
      <c r="AHP68" s="394"/>
      <c r="AHQ68" s="394"/>
      <c r="AHR68" s="394"/>
      <c r="AHS68" s="394"/>
      <c r="AHT68" s="394"/>
      <c r="AHU68" s="394"/>
      <c r="AHV68" s="394"/>
      <c r="AHW68" s="394"/>
      <c r="AHX68" s="394"/>
      <c r="AHY68" s="394"/>
      <c r="AHZ68" s="394"/>
      <c r="AIA68" s="394"/>
      <c r="AIB68" s="394"/>
      <c r="AIC68" s="394"/>
      <c r="AID68" s="394"/>
      <c r="AIE68" s="394"/>
      <c r="AIF68" s="394"/>
      <c r="AIG68" s="394"/>
      <c r="AIH68" s="394"/>
      <c r="AII68" s="394"/>
      <c r="AIJ68" s="394"/>
      <c r="AIK68" s="394"/>
      <c r="AIL68" s="394"/>
      <c r="AIM68" s="394"/>
      <c r="AIN68" s="394"/>
      <c r="AIO68" s="394"/>
      <c r="AIP68" s="394"/>
      <c r="AIQ68" s="394"/>
      <c r="AIR68" s="394"/>
      <c r="AIS68" s="394"/>
      <c r="AIT68" s="394"/>
      <c r="AIU68" s="394"/>
      <c r="AIV68" s="394"/>
      <c r="AIW68" s="394"/>
      <c r="AIX68" s="394"/>
      <c r="AIY68" s="394"/>
      <c r="AIZ68" s="394"/>
      <c r="AJA68" s="394"/>
      <c r="AJB68" s="394"/>
      <c r="AJC68" s="394"/>
      <c r="AJD68" s="394"/>
      <c r="AJE68" s="394"/>
      <c r="AJF68" s="394"/>
      <c r="AJG68" s="394"/>
      <c r="AJH68" s="394"/>
      <c r="AJI68" s="394"/>
      <c r="AJJ68" s="394"/>
      <c r="AJK68" s="394"/>
      <c r="AJL68" s="394"/>
      <c r="AJM68" s="394"/>
      <c r="AJN68" s="394"/>
      <c r="AJO68" s="394"/>
      <c r="AJP68" s="394"/>
      <c r="AJQ68" s="394"/>
      <c r="AJR68" s="394"/>
      <c r="AJS68" s="394"/>
      <c r="AJT68" s="394"/>
      <c r="AJU68" s="394"/>
      <c r="AJV68" s="394"/>
      <c r="AJW68" s="394"/>
      <c r="AJX68" s="394"/>
      <c r="AJY68" s="394"/>
      <c r="AJZ68" s="394"/>
      <c r="AKA68" s="394"/>
      <c r="AKB68" s="394"/>
      <c r="AKC68" s="394"/>
      <c r="AKD68" s="394"/>
      <c r="AKE68" s="394"/>
      <c r="AKF68" s="394"/>
      <c r="AKG68" s="394"/>
      <c r="AKH68" s="394"/>
      <c r="AKI68" s="394"/>
      <c r="AKJ68" s="394"/>
      <c r="AKK68" s="394"/>
      <c r="AKL68" s="394"/>
      <c r="AKM68" s="394"/>
      <c r="AKN68" s="394"/>
      <c r="AKO68" s="394"/>
      <c r="AKP68" s="394"/>
      <c r="AKQ68" s="394"/>
      <c r="AKR68" s="394"/>
      <c r="AKS68" s="394"/>
      <c r="AKT68" s="394"/>
      <c r="AKU68" s="394"/>
      <c r="AKV68" s="394"/>
      <c r="AKW68" s="394"/>
      <c r="AKX68" s="394"/>
      <c r="AKY68" s="394"/>
      <c r="AKZ68" s="394"/>
      <c r="ALA68" s="394"/>
      <c r="ALB68" s="394"/>
      <c r="ALC68" s="394"/>
      <c r="ALD68" s="394"/>
      <c r="ALE68" s="394"/>
      <c r="ALF68" s="394"/>
      <c r="ALG68" s="394"/>
      <c r="ALH68" s="394"/>
      <c r="ALI68" s="394"/>
      <c r="ALJ68" s="394"/>
      <c r="ALK68" s="394"/>
      <c r="ALL68" s="394"/>
      <c r="ALM68" s="394"/>
      <c r="ALN68" s="394"/>
      <c r="ALO68" s="394"/>
      <c r="ALP68" s="394"/>
      <c r="ALQ68" s="394"/>
      <c r="ALR68" s="394"/>
      <c r="ALS68" s="394"/>
      <c r="ALT68" s="394"/>
      <c r="ALU68" s="394"/>
      <c r="ALV68" s="394"/>
      <c r="ALW68" s="394"/>
      <c r="ALX68" s="394"/>
      <c r="ALY68" s="394"/>
      <c r="ALZ68" s="394"/>
      <c r="AMA68" s="394"/>
      <c r="AMB68" s="394"/>
      <c r="AMC68" s="394"/>
      <c r="AMD68" s="394"/>
      <c r="AME68" s="394"/>
      <c r="AMF68" s="394"/>
      <c r="AMG68" s="394"/>
      <c r="AMH68" s="394"/>
      <c r="AMI68" s="394"/>
      <c r="AMJ68" s="394"/>
      <c r="AMK68" s="394"/>
      <c r="AML68" s="394"/>
      <c r="AMM68" s="394"/>
      <c r="AMN68" s="394"/>
      <c r="AMO68" s="394"/>
      <c r="AMP68" s="394"/>
      <c r="AMQ68" s="394"/>
      <c r="AMR68" s="394"/>
      <c r="AMS68" s="394"/>
      <c r="AMT68" s="394"/>
      <c r="AMU68" s="394"/>
      <c r="AMV68" s="394"/>
      <c r="AMW68" s="394"/>
      <c r="AMX68" s="394"/>
      <c r="AMY68" s="394"/>
      <c r="AMZ68" s="394"/>
      <c r="ANA68" s="394"/>
      <c r="ANB68" s="394"/>
      <c r="ANC68" s="394"/>
      <c r="AND68" s="394"/>
      <c r="ANE68" s="394"/>
      <c r="ANF68" s="394"/>
      <c r="ANG68" s="394"/>
      <c r="ANH68" s="394"/>
      <c r="ANI68" s="394"/>
      <c r="ANJ68" s="394"/>
      <c r="ANK68" s="394"/>
      <c r="ANL68" s="394"/>
      <c r="ANM68" s="394"/>
      <c r="ANN68" s="394"/>
      <c r="ANO68" s="394"/>
      <c r="ANP68" s="394"/>
      <c r="ANQ68" s="394"/>
      <c r="ANR68" s="394"/>
      <c r="ANS68" s="394"/>
      <c r="ANT68" s="394"/>
      <c r="ANU68" s="394"/>
      <c r="ANV68" s="394"/>
      <c r="ANW68" s="394"/>
      <c r="ANX68" s="394"/>
      <c r="ANY68" s="394"/>
      <c r="ANZ68" s="394"/>
      <c r="AOA68" s="394"/>
      <c r="AOB68" s="394"/>
      <c r="AOC68" s="394"/>
      <c r="AOD68" s="394"/>
      <c r="AOE68" s="394"/>
      <c r="AOF68" s="394"/>
      <c r="AOG68" s="394"/>
      <c r="AOH68" s="394"/>
      <c r="AOI68" s="394"/>
      <c r="AOJ68" s="394"/>
      <c r="AOK68" s="394"/>
      <c r="AOL68" s="394"/>
      <c r="AOM68" s="394"/>
      <c r="AON68" s="394"/>
      <c r="AOO68" s="394"/>
      <c r="AOP68" s="394"/>
      <c r="AOQ68" s="394"/>
      <c r="AOR68" s="394"/>
      <c r="AOS68" s="394"/>
      <c r="AOT68" s="394"/>
      <c r="AOU68" s="394"/>
      <c r="AOV68" s="394"/>
      <c r="AOW68" s="394"/>
      <c r="AOX68" s="394"/>
      <c r="AOY68" s="394"/>
      <c r="AOZ68" s="394"/>
      <c r="APA68" s="394"/>
      <c r="APB68" s="394"/>
      <c r="APC68" s="394"/>
      <c r="APD68" s="394"/>
      <c r="APE68" s="394"/>
      <c r="APF68" s="394"/>
      <c r="APG68" s="394"/>
      <c r="APH68" s="394"/>
      <c r="API68" s="394"/>
      <c r="APJ68" s="394"/>
      <c r="APK68" s="394"/>
      <c r="APL68" s="394"/>
      <c r="APM68" s="394"/>
      <c r="APN68" s="394"/>
      <c r="APO68" s="394"/>
      <c r="APP68" s="394"/>
      <c r="APQ68" s="394"/>
      <c r="APR68" s="394"/>
      <c r="APS68" s="394"/>
      <c r="APT68" s="394"/>
      <c r="APU68" s="394"/>
      <c r="APV68" s="394"/>
      <c r="APW68" s="394"/>
      <c r="APX68" s="394"/>
      <c r="APY68" s="394"/>
      <c r="APZ68" s="394"/>
      <c r="AQA68" s="394"/>
      <c r="AQB68" s="394"/>
      <c r="AQC68" s="394"/>
      <c r="AQD68" s="394"/>
      <c r="AQE68" s="394"/>
      <c r="AQF68" s="394"/>
      <c r="AQG68" s="394"/>
      <c r="AQH68" s="394"/>
      <c r="AQI68" s="394"/>
      <c r="AQJ68" s="394"/>
      <c r="AQK68" s="394"/>
      <c r="AQL68" s="394"/>
      <c r="AQM68" s="394"/>
      <c r="AQN68" s="394"/>
      <c r="AQO68" s="394"/>
      <c r="AQP68" s="394"/>
      <c r="AQQ68" s="394"/>
      <c r="AQR68" s="394"/>
      <c r="AQS68" s="394"/>
      <c r="AQT68" s="394"/>
      <c r="AQU68" s="394"/>
      <c r="AQV68" s="394"/>
      <c r="AQW68" s="394"/>
      <c r="AQX68" s="394"/>
      <c r="AQY68" s="394"/>
      <c r="AQZ68" s="394"/>
      <c r="ARA68" s="394"/>
      <c r="ARB68" s="394"/>
      <c r="ARC68" s="394"/>
      <c r="ARD68" s="394"/>
      <c r="ARE68" s="394"/>
      <c r="ARF68" s="394"/>
      <c r="ARG68" s="394"/>
      <c r="ARH68" s="394"/>
      <c r="ARI68" s="394"/>
      <c r="ARJ68" s="394"/>
      <c r="ARK68" s="394"/>
      <c r="ARL68" s="394"/>
      <c r="ARM68" s="394"/>
      <c r="ARN68" s="394"/>
      <c r="ARO68" s="394"/>
      <c r="ARP68" s="394"/>
      <c r="ARQ68" s="394"/>
      <c r="ARR68" s="394"/>
      <c r="ARS68" s="394"/>
      <c r="ART68" s="394"/>
      <c r="ARU68" s="394"/>
      <c r="ARV68" s="394"/>
      <c r="ARW68" s="394"/>
      <c r="ARX68" s="394"/>
      <c r="ARY68" s="394"/>
      <c r="ARZ68" s="394"/>
      <c r="ASA68" s="394"/>
      <c r="ASB68" s="394"/>
      <c r="ASC68" s="394"/>
      <c r="ASD68" s="394"/>
      <c r="ASE68" s="394"/>
      <c r="ASF68" s="394"/>
      <c r="ASG68" s="394"/>
      <c r="ASH68" s="394"/>
      <c r="ASI68" s="394"/>
      <c r="ASJ68" s="394"/>
      <c r="ASK68" s="394"/>
      <c r="ASL68" s="394"/>
      <c r="ASM68" s="394"/>
      <c r="ASN68" s="394"/>
      <c r="ASO68" s="394"/>
      <c r="ASP68" s="394"/>
      <c r="ASQ68" s="394"/>
      <c r="ASR68" s="394"/>
      <c r="ASS68" s="394"/>
      <c r="AST68" s="394"/>
      <c r="ASU68" s="394"/>
      <c r="ASV68" s="394"/>
      <c r="ASW68" s="394"/>
      <c r="ASX68" s="394"/>
      <c r="ASY68" s="394"/>
      <c r="ASZ68" s="394"/>
      <c r="ATA68" s="394"/>
      <c r="ATB68" s="394"/>
      <c r="ATC68" s="394"/>
      <c r="ATD68" s="394"/>
      <c r="ATE68" s="394"/>
      <c r="ATF68" s="394"/>
      <c r="ATG68" s="394"/>
      <c r="ATH68" s="394"/>
      <c r="ATI68" s="394"/>
      <c r="ATJ68" s="394"/>
      <c r="ATK68" s="394"/>
      <c r="ATL68" s="394"/>
      <c r="ATM68" s="394"/>
      <c r="ATN68" s="394"/>
      <c r="ATO68" s="394"/>
      <c r="ATP68" s="394"/>
      <c r="ATQ68" s="394"/>
      <c r="ATR68" s="394"/>
      <c r="ATS68" s="394"/>
      <c r="ATT68" s="394"/>
      <c r="ATU68" s="394"/>
      <c r="ATV68" s="394"/>
      <c r="ATW68" s="394"/>
      <c r="ATX68" s="394"/>
      <c r="ATY68" s="394"/>
      <c r="ATZ68" s="394"/>
      <c r="AUA68" s="394"/>
      <c r="AUB68" s="394"/>
      <c r="AUC68" s="394"/>
      <c r="AUD68" s="394"/>
      <c r="AUE68" s="394"/>
      <c r="AUF68" s="394"/>
      <c r="AUG68" s="394"/>
      <c r="AUH68" s="394"/>
      <c r="AUI68" s="394"/>
      <c r="AUJ68" s="394"/>
      <c r="AUK68" s="394"/>
      <c r="AUL68" s="394"/>
      <c r="AUM68" s="394"/>
      <c r="AUN68" s="394"/>
      <c r="AUO68" s="394"/>
      <c r="AUP68" s="394"/>
      <c r="AUQ68" s="394"/>
      <c r="AUR68" s="394"/>
      <c r="AUS68" s="394"/>
      <c r="AUT68" s="394"/>
      <c r="AUU68" s="394"/>
      <c r="AUV68" s="394"/>
      <c r="AUW68" s="394"/>
      <c r="AUX68" s="394"/>
      <c r="AUY68" s="394"/>
      <c r="AUZ68" s="394"/>
      <c r="AVA68" s="394"/>
      <c r="AVB68" s="394"/>
      <c r="AVC68" s="394"/>
      <c r="AVD68" s="394"/>
      <c r="AVE68" s="394"/>
      <c r="AVF68" s="394"/>
      <c r="AVG68" s="394"/>
      <c r="AVH68" s="394"/>
      <c r="AVI68" s="394"/>
      <c r="AVJ68" s="394"/>
      <c r="AVK68" s="394"/>
      <c r="AVL68" s="394"/>
      <c r="AVM68" s="394"/>
      <c r="AVN68" s="394"/>
      <c r="AVO68" s="394"/>
      <c r="AVP68" s="394"/>
      <c r="AVQ68" s="394"/>
      <c r="AVR68" s="394"/>
      <c r="AVS68" s="394"/>
      <c r="AVT68" s="394"/>
      <c r="AVU68" s="394"/>
      <c r="AVV68" s="394"/>
      <c r="AVW68" s="394"/>
      <c r="AVX68" s="394"/>
      <c r="AVY68" s="394"/>
      <c r="AVZ68" s="394"/>
      <c r="AWA68" s="394"/>
      <c r="AWB68" s="394"/>
      <c r="AWC68" s="394"/>
      <c r="AWD68" s="394"/>
      <c r="AWE68" s="394"/>
      <c r="AWF68" s="394"/>
      <c r="AWG68" s="394"/>
      <c r="AWH68" s="394"/>
      <c r="AWI68" s="394"/>
      <c r="AWJ68" s="394"/>
      <c r="AWK68" s="394"/>
      <c r="AWL68" s="394"/>
      <c r="AWM68" s="394"/>
      <c r="AWN68" s="394"/>
      <c r="AWO68" s="394"/>
      <c r="AWP68" s="394"/>
      <c r="AWQ68" s="394"/>
      <c r="AWR68" s="394"/>
      <c r="AWS68" s="394"/>
      <c r="AWT68" s="394"/>
      <c r="AWU68" s="394"/>
      <c r="AWV68" s="394"/>
      <c r="AWW68" s="394"/>
      <c r="AWX68" s="394"/>
      <c r="AWY68" s="394"/>
      <c r="AWZ68" s="394"/>
      <c r="AXA68" s="394"/>
      <c r="AXB68" s="394"/>
      <c r="AXC68" s="394"/>
      <c r="AXD68" s="394"/>
      <c r="AXE68" s="394"/>
      <c r="AXF68" s="394"/>
      <c r="AXG68" s="394"/>
      <c r="AXH68" s="394"/>
      <c r="AXI68" s="394"/>
      <c r="AXJ68" s="394"/>
      <c r="AXK68" s="394"/>
      <c r="AXL68" s="394"/>
      <c r="AXM68" s="394"/>
      <c r="AXN68" s="394"/>
      <c r="AXO68" s="394"/>
      <c r="AXP68" s="394"/>
      <c r="AXQ68" s="394"/>
      <c r="AXR68" s="394"/>
      <c r="AXS68" s="394"/>
      <c r="AXT68" s="394"/>
      <c r="AXU68" s="394"/>
      <c r="AXV68" s="394"/>
      <c r="AXW68" s="394"/>
      <c r="AXX68" s="394"/>
      <c r="AXY68" s="394"/>
      <c r="AXZ68" s="394"/>
      <c r="AYA68" s="394"/>
      <c r="AYB68" s="394"/>
      <c r="AYC68" s="394"/>
      <c r="AYD68" s="394"/>
      <c r="AYE68" s="394"/>
      <c r="AYF68" s="394"/>
      <c r="AYG68" s="394"/>
      <c r="AYH68" s="394"/>
      <c r="AYI68" s="394"/>
      <c r="AYJ68" s="394"/>
      <c r="AYK68" s="394"/>
      <c r="AYL68" s="394"/>
      <c r="AYM68" s="394"/>
      <c r="AYN68" s="394"/>
      <c r="AYO68" s="394"/>
      <c r="AYP68" s="394"/>
      <c r="AYQ68" s="394"/>
      <c r="AYR68" s="394"/>
      <c r="AYS68" s="394"/>
      <c r="AYT68" s="394"/>
      <c r="AYU68" s="394"/>
      <c r="AYV68" s="394"/>
      <c r="AYW68" s="394"/>
      <c r="AYX68" s="394"/>
      <c r="AYY68" s="394"/>
      <c r="AYZ68" s="394"/>
      <c r="AZA68" s="394"/>
      <c r="AZB68" s="394"/>
      <c r="AZC68" s="394"/>
      <c r="AZD68" s="394"/>
      <c r="AZE68" s="394"/>
      <c r="AZF68" s="394"/>
      <c r="AZG68" s="394"/>
      <c r="AZH68" s="394"/>
      <c r="AZI68" s="394"/>
      <c r="AZJ68" s="394"/>
      <c r="AZK68" s="394"/>
      <c r="AZL68" s="394"/>
      <c r="AZM68" s="394"/>
      <c r="AZN68" s="394"/>
      <c r="AZO68" s="394"/>
      <c r="AZP68" s="394"/>
      <c r="AZQ68" s="394"/>
      <c r="AZR68" s="394"/>
      <c r="AZS68" s="394"/>
      <c r="AZT68" s="394"/>
      <c r="AZU68" s="394"/>
      <c r="AZV68" s="394"/>
      <c r="AZW68" s="394"/>
      <c r="AZX68" s="394"/>
      <c r="AZY68" s="394"/>
      <c r="AZZ68" s="394"/>
      <c r="BAA68" s="394"/>
      <c r="BAB68" s="394"/>
      <c r="BAC68" s="394"/>
      <c r="BAD68" s="394"/>
      <c r="BAE68" s="394"/>
      <c r="BAF68" s="394"/>
      <c r="BAG68" s="394"/>
      <c r="BAH68" s="394"/>
      <c r="BAI68" s="394"/>
      <c r="BAJ68" s="394"/>
      <c r="BAK68" s="394"/>
      <c r="BAL68" s="394"/>
      <c r="BAM68" s="394"/>
      <c r="BAN68" s="394"/>
      <c r="BAO68" s="394"/>
      <c r="BAP68" s="394"/>
      <c r="BAQ68" s="394"/>
      <c r="BAR68" s="394"/>
      <c r="BAS68" s="394"/>
      <c r="BAT68" s="394"/>
      <c r="BAU68" s="394"/>
      <c r="BAV68" s="394"/>
      <c r="BAW68" s="394"/>
      <c r="BAX68" s="394"/>
      <c r="BAY68" s="394"/>
      <c r="BAZ68" s="394"/>
      <c r="BBA68" s="394"/>
      <c r="BBB68" s="394"/>
      <c r="BBC68" s="394"/>
      <c r="BBD68" s="394"/>
      <c r="BBE68" s="394"/>
      <c r="BBF68" s="394"/>
      <c r="BBG68" s="394"/>
      <c r="BBH68" s="394"/>
      <c r="BBI68" s="394"/>
      <c r="BBJ68" s="394"/>
      <c r="BBK68" s="394"/>
      <c r="BBL68" s="394"/>
      <c r="BBM68" s="394"/>
      <c r="BBN68" s="394"/>
      <c r="BBO68" s="394"/>
      <c r="BBP68" s="394"/>
      <c r="BBQ68" s="394"/>
      <c r="BBR68" s="394"/>
      <c r="BBS68" s="394"/>
      <c r="BBT68" s="394"/>
      <c r="BBU68" s="394"/>
      <c r="BBV68" s="394"/>
      <c r="BBW68" s="394"/>
      <c r="BBX68" s="394"/>
      <c r="BBY68" s="394"/>
      <c r="BBZ68" s="394"/>
      <c r="BCA68" s="394"/>
      <c r="BCB68" s="394"/>
      <c r="BCC68" s="394"/>
      <c r="BCD68" s="394"/>
      <c r="BCE68" s="394"/>
      <c r="BCF68" s="394"/>
      <c r="BCG68" s="394"/>
      <c r="BCH68" s="394"/>
      <c r="BCI68" s="394"/>
      <c r="BCJ68" s="394"/>
      <c r="BCK68" s="394"/>
      <c r="BCL68" s="394"/>
      <c r="BCM68" s="394"/>
      <c r="BCN68" s="394"/>
      <c r="BCO68" s="394"/>
      <c r="BCP68" s="394"/>
      <c r="BCQ68" s="394"/>
      <c r="BCR68" s="394"/>
      <c r="BCS68" s="394"/>
      <c r="BCT68" s="394"/>
      <c r="BCU68" s="394"/>
      <c r="BCV68" s="394"/>
      <c r="BCW68" s="394"/>
      <c r="BCX68" s="394"/>
      <c r="BCY68" s="394"/>
      <c r="BCZ68" s="394"/>
      <c r="BDA68" s="394"/>
      <c r="BDB68" s="394"/>
      <c r="BDC68" s="394"/>
      <c r="BDD68" s="394"/>
      <c r="BDE68" s="394"/>
      <c r="BDF68" s="394"/>
      <c r="BDG68" s="394"/>
      <c r="BDH68" s="394"/>
      <c r="BDI68" s="394"/>
      <c r="BDJ68" s="394"/>
      <c r="BDK68" s="394"/>
      <c r="BDL68" s="394"/>
      <c r="BDM68" s="394"/>
      <c r="BDN68" s="394"/>
      <c r="BDO68" s="394"/>
      <c r="BDP68" s="394"/>
      <c r="BDQ68" s="394"/>
      <c r="BDR68" s="394"/>
      <c r="BDS68" s="394"/>
      <c r="BDT68" s="394"/>
      <c r="BDU68" s="394"/>
      <c r="BDV68" s="394"/>
      <c r="BDW68" s="394"/>
      <c r="BDX68" s="394"/>
      <c r="BDY68" s="394"/>
      <c r="BDZ68" s="394"/>
      <c r="BEA68" s="394"/>
      <c r="BEB68" s="394"/>
      <c r="BEC68" s="394"/>
      <c r="BED68" s="394"/>
      <c r="BEE68" s="394"/>
      <c r="BEF68" s="394"/>
      <c r="BEG68" s="394"/>
      <c r="BEH68" s="394"/>
      <c r="BEI68" s="394"/>
      <c r="BEJ68" s="394"/>
      <c r="BEK68" s="394"/>
      <c r="BEL68" s="394"/>
      <c r="BEM68" s="394"/>
      <c r="BEN68" s="394"/>
      <c r="BEO68" s="394"/>
      <c r="BEP68" s="394"/>
      <c r="BEQ68" s="394"/>
      <c r="BER68" s="394"/>
      <c r="BES68" s="394"/>
      <c r="BET68" s="394"/>
      <c r="BEU68" s="394"/>
      <c r="BEV68" s="394"/>
      <c r="BEW68" s="394"/>
      <c r="BEX68" s="394"/>
      <c r="BEY68" s="394"/>
      <c r="BEZ68" s="394"/>
      <c r="BFA68" s="394"/>
      <c r="BFB68" s="394"/>
      <c r="BFC68" s="394"/>
      <c r="BFD68" s="394"/>
      <c r="BFE68" s="394"/>
      <c r="BFF68" s="394"/>
      <c r="BFG68" s="394"/>
      <c r="BFH68" s="394"/>
      <c r="BFI68" s="394"/>
      <c r="BFJ68" s="394"/>
      <c r="BFK68" s="394"/>
      <c r="BFL68" s="394"/>
      <c r="BFM68" s="394"/>
      <c r="BFN68" s="394"/>
      <c r="BFO68" s="394"/>
      <c r="BFP68" s="394"/>
      <c r="BFQ68" s="394"/>
      <c r="BFR68" s="394"/>
      <c r="BFS68" s="394"/>
      <c r="BFT68" s="394"/>
      <c r="BFU68" s="394"/>
      <c r="BFV68" s="394"/>
      <c r="BFW68" s="394"/>
      <c r="BFX68" s="394"/>
      <c r="BFY68" s="394"/>
      <c r="BFZ68" s="394"/>
      <c r="BGA68" s="394"/>
      <c r="BGB68" s="394"/>
      <c r="BGC68" s="394"/>
      <c r="BGD68" s="394"/>
      <c r="BGE68" s="394"/>
      <c r="BGF68" s="394"/>
      <c r="BGG68" s="394"/>
      <c r="BGH68" s="394"/>
      <c r="BGI68" s="394"/>
      <c r="BGJ68" s="394"/>
      <c r="BGK68" s="394"/>
      <c r="BGL68" s="394"/>
      <c r="BGM68" s="394"/>
      <c r="BGN68" s="394"/>
      <c r="BGO68" s="394"/>
      <c r="BGP68" s="394"/>
      <c r="BGQ68" s="394"/>
      <c r="BGR68" s="394"/>
      <c r="BGS68" s="394"/>
      <c r="BGT68" s="394"/>
      <c r="BGU68" s="394"/>
      <c r="BGV68" s="394"/>
      <c r="BGW68" s="394"/>
      <c r="BGX68" s="394"/>
      <c r="BGY68" s="394"/>
      <c r="BGZ68" s="394"/>
      <c r="BHA68" s="394"/>
      <c r="BHB68" s="394"/>
      <c r="BHC68" s="394"/>
      <c r="BHD68" s="394"/>
      <c r="BHE68" s="394"/>
      <c r="BHF68" s="394"/>
      <c r="BHG68" s="394"/>
      <c r="BHH68" s="394"/>
      <c r="BHI68" s="394"/>
      <c r="BHJ68" s="394"/>
      <c r="BHK68" s="394"/>
      <c r="BHL68" s="394"/>
      <c r="BHM68" s="394"/>
      <c r="BHN68" s="394"/>
      <c r="BHO68" s="394"/>
      <c r="BHP68" s="394"/>
      <c r="BHQ68" s="394"/>
      <c r="BHR68" s="394"/>
      <c r="BHS68" s="394"/>
      <c r="BHT68" s="394"/>
      <c r="BHU68" s="394"/>
      <c r="BHV68" s="394"/>
      <c r="BHW68" s="394"/>
      <c r="BHX68" s="394"/>
      <c r="BHY68" s="394"/>
      <c r="BHZ68" s="394"/>
      <c r="BIA68" s="394"/>
      <c r="BIB68" s="394"/>
      <c r="BIC68" s="394"/>
      <c r="BID68" s="394"/>
      <c r="BIE68" s="394"/>
      <c r="BIF68" s="394"/>
      <c r="BIG68" s="394"/>
      <c r="BIH68" s="394"/>
      <c r="BII68" s="394"/>
      <c r="BIJ68" s="394"/>
      <c r="BIK68" s="394"/>
      <c r="BIL68" s="394"/>
      <c r="BIM68" s="394"/>
      <c r="BIN68" s="394"/>
      <c r="BIO68" s="394"/>
      <c r="BIP68" s="394"/>
      <c r="BIQ68" s="394"/>
      <c r="BIR68" s="394"/>
      <c r="BIS68" s="394"/>
      <c r="BIT68" s="394"/>
      <c r="BIU68" s="394"/>
      <c r="BIV68" s="394"/>
      <c r="BIW68" s="394"/>
      <c r="BIX68" s="394"/>
      <c r="BIY68" s="394"/>
      <c r="BIZ68" s="394"/>
      <c r="BJA68" s="394"/>
      <c r="BJB68" s="394"/>
      <c r="BJC68" s="394"/>
      <c r="BJD68" s="394"/>
      <c r="BJE68" s="394"/>
      <c r="BJF68" s="394"/>
      <c r="BJG68" s="394"/>
      <c r="BJH68" s="394"/>
      <c r="BJI68" s="394"/>
      <c r="BJJ68" s="394"/>
      <c r="BJK68" s="394"/>
      <c r="BJL68" s="394"/>
      <c r="BJM68" s="394"/>
      <c r="BJN68" s="394"/>
      <c r="BJO68" s="394"/>
      <c r="BJP68" s="394"/>
      <c r="BJQ68" s="394"/>
      <c r="BJR68" s="394"/>
      <c r="BJS68" s="394"/>
      <c r="BJT68" s="394"/>
      <c r="BJU68" s="394"/>
      <c r="BJV68" s="394"/>
      <c r="BJW68" s="394"/>
      <c r="BJX68" s="394"/>
      <c r="BJY68" s="394"/>
      <c r="BJZ68" s="394"/>
      <c r="BKA68" s="394"/>
      <c r="BKB68" s="394"/>
      <c r="BKC68" s="394"/>
      <c r="BKD68" s="394"/>
      <c r="BKE68" s="394"/>
      <c r="BKF68" s="394"/>
      <c r="BKG68" s="394"/>
      <c r="BKH68" s="394"/>
      <c r="BKI68" s="394"/>
      <c r="BKJ68" s="394"/>
      <c r="BKK68" s="394"/>
      <c r="BKL68" s="394"/>
      <c r="BKM68" s="394"/>
      <c r="BKN68" s="394"/>
      <c r="BKO68" s="394"/>
      <c r="BKP68" s="394"/>
      <c r="BKQ68" s="394"/>
      <c r="BKR68" s="394"/>
      <c r="BKS68" s="394"/>
      <c r="BKT68" s="394"/>
      <c r="BKU68" s="394"/>
      <c r="BKV68" s="394"/>
      <c r="BKW68" s="394"/>
      <c r="BKX68" s="394"/>
      <c r="BKY68" s="394"/>
      <c r="BKZ68" s="394"/>
      <c r="BLA68" s="394"/>
      <c r="BLB68" s="394"/>
      <c r="BLC68" s="394"/>
      <c r="BLD68" s="394"/>
      <c r="BLE68" s="394"/>
      <c r="BLF68" s="394"/>
      <c r="BLG68" s="394"/>
      <c r="BLH68" s="394"/>
      <c r="BLI68" s="394"/>
      <c r="BLJ68" s="394"/>
      <c r="BLK68" s="394"/>
      <c r="BLL68" s="394"/>
      <c r="BLM68" s="394"/>
      <c r="BLN68" s="394"/>
      <c r="BLO68" s="394"/>
      <c r="BLP68" s="394"/>
      <c r="BLQ68" s="394"/>
      <c r="BLR68" s="394"/>
      <c r="BLS68" s="394"/>
      <c r="BLT68" s="394"/>
      <c r="BLU68" s="394"/>
      <c r="BLV68" s="394"/>
      <c r="BLW68" s="394"/>
      <c r="BLX68" s="394"/>
      <c r="BLY68" s="394"/>
      <c r="BLZ68" s="394"/>
      <c r="BMA68" s="394"/>
      <c r="BMB68" s="394"/>
      <c r="BMC68" s="394"/>
      <c r="BMD68" s="394"/>
      <c r="BME68" s="394"/>
      <c r="BMF68" s="394"/>
      <c r="BMG68" s="394"/>
      <c r="BMH68" s="394"/>
      <c r="BMI68" s="394"/>
      <c r="BMJ68" s="394"/>
      <c r="BMK68" s="394"/>
      <c r="BML68" s="394"/>
      <c r="BMM68" s="394"/>
      <c r="BMN68" s="394"/>
      <c r="BMO68" s="394"/>
      <c r="BMP68" s="394"/>
      <c r="BMQ68" s="394"/>
      <c r="BMR68" s="394"/>
      <c r="BMS68" s="394"/>
      <c r="BMT68" s="394"/>
      <c r="BMU68" s="394"/>
      <c r="BMV68" s="394"/>
      <c r="BMW68" s="394"/>
      <c r="BMX68" s="394"/>
      <c r="BMY68" s="394"/>
      <c r="BMZ68" s="394"/>
      <c r="BNA68" s="394"/>
      <c r="BNB68" s="394"/>
      <c r="BNC68" s="394"/>
      <c r="BND68" s="394"/>
      <c r="BNE68" s="394"/>
      <c r="BNF68" s="394"/>
      <c r="BNG68" s="394"/>
      <c r="BNH68" s="394"/>
      <c r="BNI68" s="394"/>
      <c r="BNJ68" s="394"/>
      <c r="BNK68" s="394"/>
      <c r="BNL68" s="394"/>
      <c r="BNM68" s="394"/>
      <c r="BNN68" s="394"/>
      <c r="BNO68" s="394"/>
      <c r="BNP68" s="394"/>
      <c r="BNQ68" s="394"/>
      <c r="BNR68" s="394"/>
      <c r="BNS68" s="394"/>
      <c r="BNT68" s="394"/>
      <c r="BNU68" s="394"/>
      <c r="BNV68" s="394"/>
      <c r="BNW68" s="394"/>
      <c r="BNX68" s="394"/>
      <c r="BNY68" s="394"/>
      <c r="BNZ68" s="394"/>
      <c r="BOA68" s="394"/>
      <c r="BOB68" s="394"/>
      <c r="BOC68" s="394"/>
      <c r="BOD68" s="394"/>
      <c r="BOE68" s="394"/>
      <c r="BOF68" s="394"/>
      <c r="BOG68" s="394"/>
      <c r="BOH68" s="394"/>
      <c r="BOI68" s="394"/>
      <c r="BOJ68" s="394"/>
      <c r="BOK68" s="394"/>
      <c r="BOL68" s="394"/>
      <c r="BOM68" s="394"/>
      <c r="BON68" s="394"/>
      <c r="BOO68" s="394"/>
      <c r="BOP68" s="394"/>
      <c r="BOQ68" s="394"/>
      <c r="BOR68" s="394"/>
      <c r="BOS68" s="394"/>
      <c r="BOT68" s="394"/>
      <c r="BOU68" s="394"/>
      <c r="BOV68" s="394"/>
      <c r="BOW68" s="394"/>
      <c r="BOX68" s="394"/>
      <c r="BOY68" s="394"/>
      <c r="BOZ68" s="394"/>
      <c r="BPA68" s="394"/>
      <c r="BPB68" s="394"/>
      <c r="BPC68" s="394"/>
      <c r="BPD68" s="394"/>
      <c r="BPE68" s="394"/>
      <c r="BPF68" s="394"/>
      <c r="BPG68" s="394"/>
      <c r="BPH68" s="394"/>
      <c r="BPI68" s="394"/>
      <c r="BPJ68" s="394"/>
      <c r="BPK68" s="394"/>
      <c r="BPL68" s="394"/>
      <c r="BPM68" s="394"/>
      <c r="BPN68" s="394"/>
      <c r="BPO68" s="394"/>
      <c r="BPP68" s="394"/>
      <c r="BPQ68" s="394"/>
      <c r="BPR68" s="394"/>
      <c r="BPS68" s="394"/>
      <c r="BPT68" s="394"/>
      <c r="BPU68" s="394"/>
      <c r="BPV68" s="394"/>
      <c r="BPW68" s="394"/>
      <c r="BPX68" s="394"/>
      <c r="BPY68" s="394"/>
      <c r="BPZ68" s="394"/>
      <c r="BQA68" s="394"/>
      <c r="BQB68" s="394"/>
      <c r="BQC68" s="394"/>
      <c r="BQD68" s="394"/>
      <c r="BQE68" s="394"/>
      <c r="BQF68" s="394"/>
      <c r="BQG68" s="394"/>
      <c r="BQH68" s="394"/>
      <c r="BQI68" s="394"/>
      <c r="BQJ68" s="394"/>
      <c r="BQK68" s="394"/>
      <c r="BQL68" s="394"/>
      <c r="BQM68" s="394"/>
      <c r="BQN68" s="394"/>
      <c r="BQO68" s="394"/>
      <c r="BQP68" s="394"/>
      <c r="BQQ68" s="394"/>
      <c r="BQR68" s="394"/>
      <c r="BQS68" s="394"/>
      <c r="BQT68" s="394"/>
      <c r="BQU68" s="394"/>
      <c r="BQV68" s="394"/>
      <c r="BQW68" s="394"/>
      <c r="BQX68" s="394"/>
      <c r="BQY68" s="394"/>
      <c r="BQZ68" s="394"/>
      <c r="BRA68" s="394"/>
      <c r="BRB68" s="394"/>
      <c r="BRC68" s="394"/>
      <c r="BRD68" s="394"/>
      <c r="BRE68" s="394"/>
      <c r="BRF68" s="394"/>
      <c r="BRG68" s="394"/>
      <c r="BRH68" s="394"/>
      <c r="BRI68" s="394"/>
      <c r="BRJ68" s="394"/>
      <c r="BRK68" s="394"/>
      <c r="BRL68" s="394"/>
      <c r="BRM68" s="394"/>
      <c r="BRN68" s="394"/>
      <c r="BRO68" s="394"/>
      <c r="BRP68" s="394"/>
      <c r="BRQ68" s="394"/>
      <c r="BRR68" s="394"/>
      <c r="BRS68" s="394"/>
      <c r="BRT68" s="394"/>
      <c r="BRU68" s="394"/>
      <c r="BRV68" s="394"/>
      <c r="BRW68" s="394"/>
      <c r="BRX68" s="394"/>
      <c r="BRY68" s="394"/>
      <c r="BRZ68" s="394"/>
      <c r="BSA68" s="394"/>
      <c r="BSB68" s="394"/>
      <c r="BSC68" s="394"/>
      <c r="BSD68" s="394"/>
      <c r="BSE68" s="394"/>
      <c r="BSF68" s="394"/>
      <c r="BSG68" s="394"/>
      <c r="BSH68" s="394"/>
      <c r="BSI68" s="394"/>
      <c r="BSJ68" s="394"/>
      <c r="BSK68" s="394"/>
      <c r="BSL68" s="394"/>
      <c r="BSM68" s="394"/>
      <c r="BSN68" s="394"/>
      <c r="BSO68" s="394"/>
      <c r="BSP68" s="394"/>
      <c r="BSQ68" s="394"/>
      <c r="BSR68" s="394"/>
      <c r="BSS68" s="394"/>
      <c r="BST68" s="394"/>
      <c r="BSU68" s="394"/>
      <c r="BSV68" s="394"/>
      <c r="BSW68" s="394"/>
      <c r="BSX68" s="394"/>
      <c r="BSY68" s="394"/>
      <c r="BSZ68" s="394"/>
      <c r="BTA68" s="394"/>
      <c r="BTB68" s="394"/>
      <c r="BTC68" s="394"/>
      <c r="BTD68" s="394"/>
      <c r="BTE68" s="394"/>
      <c r="BTF68" s="394"/>
      <c r="BTG68" s="394"/>
      <c r="BTH68" s="394"/>
      <c r="BTI68" s="394"/>
    </row>
    <row r="69" spans="1:1881" ht="75.75" customHeight="1" x14ac:dyDescent="0.25">
      <c r="A69" s="188">
        <v>22</v>
      </c>
      <c r="B69" s="64" t="s">
        <v>67</v>
      </c>
      <c r="C69" s="159" t="s">
        <v>165</v>
      </c>
      <c r="D69" s="175" t="s">
        <v>621</v>
      </c>
      <c r="E69" s="32" t="e">
        <f>HLOOKUP($D$2,'2019 Data(H)'!$C$1:$CP$300,17,FALSE)</f>
        <v>#N/A</v>
      </c>
      <c r="F69" s="624"/>
      <c r="G69" s="316"/>
      <c r="H69" s="13"/>
      <c r="I69" s="31"/>
      <c r="J69" s="365"/>
      <c r="L69" s="833" t="s">
        <v>1162</v>
      </c>
      <c r="M69" s="610"/>
      <c r="N69" s="635"/>
    </row>
    <row r="70" spans="1:1881" ht="65.25" customHeight="1" x14ac:dyDescent="0.25">
      <c r="A70" s="188">
        <v>23</v>
      </c>
      <c r="B70" s="64" t="s">
        <v>67</v>
      </c>
      <c r="C70" s="159" t="s">
        <v>165</v>
      </c>
      <c r="D70" s="165" t="s">
        <v>163</v>
      </c>
      <c r="E70" s="32" t="e">
        <f>HLOOKUP($D$2,'2019 Data(H)'!$C$1:$CP$300,18,FALSE)</f>
        <v>#N/A</v>
      </c>
      <c r="F70" s="624"/>
      <c r="G70" s="395">
        <f>IF(H70=0,,"Error: Total revenues less total expenditures do not equal total change in fund balance.  Account numbers 16-532+17-20+533+22+508-509-23=0  The amount of the formula is located in the cell to the right")</f>
        <v>0</v>
      </c>
      <c r="H70" s="192">
        <f>+F61-F63+F64-F65+F66+F69+F67-F68-F70</f>
        <v>0</v>
      </c>
      <c r="I70" s="31"/>
      <c r="J70" s="365"/>
      <c r="L70" s="833" t="s">
        <v>1163</v>
      </c>
      <c r="M70" s="610"/>
      <c r="N70" s="635"/>
    </row>
    <row r="71" spans="1:1881" s="225" customFormat="1" ht="140.25" customHeight="1" x14ac:dyDescent="0.5">
      <c r="A71" s="188">
        <v>590</v>
      </c>
      <c r="B71" s="64" t="s">
        <v>699</v>
      </c>
      <c r="C71" s="159"/>
      <c r="D71" s="165" t="s">
        <v>1203</v>
      </c>
      <c r="E71" s="311"/>
      <c r="F71" s="624"/>
      <c r="G71" s="312"/>
      <c r="H71" s="192"/>
      <c r="I71" s="31"/>
      <c r="J71" s="394"/>
      <c r="K71" s="435"/>
      <c r="L71" s="833" t="s">
        <v>917</v>
      </c>
      <c r="M71" s="610"/>
      <c r="N71" s="635"/>
      <c r="O71" s="394"/>
      <c r="P71" s="394"/>
      <c r="Q71" s="394"/>
      <c r="R71" s="394"/>
      <c r="S71" s="394"/>
      <c r="T71" s="394"/>
      <c r="U71" s="394"/>
      <c r="V71" s="394"/>
      <c r="W71" s="394"/>
      <c r="X71" s="394"/>
      <c r="Y71" s="394"/>
      <c r="Z71" s="394"/>
      <c r="AA71" s="394"/>
      <c r="AB71" s="394"/>
      <c r="AC71" s="394"/>
      <c r="AD71" s="394"/>
      <c r="AE71" s="394"/>
      <c r="AF71" s="394"/>
      <c r="AG71" s="394"/>
      <c r="AH71" s="394"/>
      <c r="AI71" s="394"/>
      <c r="AJ71" s="394"/>
      <c r="AK71" s="394"/>
      <c r="AL71" s="394"/>
      <c r="AM71" s="394"/>
      <c r="AN71" s="394"/>
      <c r="AO71" s="394"/>
      <c r="AP71" s="394"/>
      <c r="AQ71" s="394"/>
      <c r="AR71" s="394"/>
      <c r="AS71" s="394"/>
      <c r="AT71" s="394"/>
      <c r="AU71" s="394"/>
      <c r="AV71" s="394"/>
      <c r="AW71" s="394"/>
      <c r="AX71" s="394"/>
      <c r="AY71" s="394"/>
      <c r="AZ71" s="394"/>
      <c r="BA71" s="394"/>
      <c r="BB71" s="394"/>
      <c r="BC71" s="394"/>
      <c r="BD71" s="394"/>
      <c r="BE71" s="394"/>
      <c r="BF71" s="394"/>
      <c r="BG71" s="394"/>
      <c r="BH71" s="394"/>
      <c r="BI71" s="394"/>
      <c r="BJ71" s="394"/>
      <c r="BK71" s="394"/>
      <c r="BL71" s="394"/>
      <c r="BM71" s="394"/>
      <c r="BN71" s="394"/>
      <c r="BO71" s="394"/>
      <c r="BP71" s="394"/>
      <c r="BQ71" s="394"/>
      <c r="BR71" s="394"/>
      <c r="BS71" s="394"/>
      <c r="BT71" s="394"/>
      <c r="BU71" s="394"/>
      <c r="BV71" s="394"/>
      <c r="BW71" s="394"/>
      <c r="BX71" s="394"/>
      <c r="BY71" s="394"/>
      <c r="BZ71" s="394"/>
      <c r="CA71" s="394"/>
      <c r="CB71" s="394"/>
      <c r="CC71" s="394"/>
      <c r="CD71" s="394"/>
      <c r="CE71" s="394"/>
      <c r="CF71" s="394"/>
      <c r="CG71" s="394"/>
      <c r="CH71" s="394"/>
      <c r="CI71" s="394"/>
      <c r="CJ71" s="394"/>
      <c r="CK71" s="394"/>
      <c r="CL71" s="394"/>
      <c r="CM71" s="394"/>
      <c r="CN71" s="394"/>
      <c r="CO71" s="394"/>
      <c r="CP71" s="394"/>
      <c r="CQ71" s="394"/>
      <c r="CR71" s="394"/>
      <c r="CS71" s="394"/>
      <c r="CT71" s="394"/>
      <c r="CU71" s="394"/>
      <c r="CV71" s="394"/>
      <c r="CW71" s="394"/>
      <c r="CX71" s="394"/>
      <c r="CY71" s="394"/>
      <c r="CZ71" s="394"/>
      <c r="DA71" s="394"/>
      <c r="DB71" s="394"/>
      <c r="DC71" s="394"/>
      <c r="DD71" s="394"/>
      <c r="DE71" s="394"/>
      <c r="DF71" s="394"/>
      <c r="DG71" s="394"/>
      <c r="DH71" s="394"/>
      <c r="DI71" s="394"/>
      <c r="DJ71" s="394"/>
      <c r="DK71" s="394"/>
      <c r="DL71" s="394"/>
      <c r="DM71" s="394"/>
      <c r="DN71" s="394"/>
      <c r="DO71" s="394"/>
      <c r="DP71" s="394"/>
      <c r="DQ71" s="394"/>
      <c r="DR71" s="394"/>
      <c r="DS71" s="394"/>
      <c r="DT71" s="394"/>
      <c r="DU71" s="394"/>
      <c r="DV71" s="394"/>
      <c r="DW71" s="394"/>
      <c r="DX71" s="394"/>
      <c r="DY71" s="394"/>
      <c r="DZ71" s="394"/>
      <c r="EA71" s="394"/>
      <c r="EB71" s="394"/>
      <c r="EC71" s="394"/>
      <c r="ED71" s="394"/>
      <c r="EE71" s="394"/>
      <c r="EF71" s="394"/>
      <c r="EG71" s="394"/>
      <c r="EH71" s="394"/>
      <c r="EI71" s="394"/>
      <c r="EJ71" s="394"/>
      <c r="EK71" s="394"/>
      <c r="EL71" s="394"/>
      <c r="EM71" s="394"/>
      <c r="EN71" s="394"/>
      <c r="EO71" s="394"/>
      <c r="EP71" s="394"/>
      <c r="EQ71" s="394"/>
      <c r="ER71" s="394"/>
      <c r="ES71" s="394"/>
      <c r="ET71" s="394"/>
      <c r="EU71" s="394"/>
      <c r="EV71" s="394"/>
      <c r="EW71" s="394"/>
      <c r="EX71" s="394"/>
      <c r="EY71" s="394"/>
      <c r="EZ71" s="394"/>
      <c r="FA71" s="394"/>
      <c r="FB71" s="394"/>
      <c r="FC71" s="394"/>
      <c r="FD71" s="394"/>
      <c r="FE71" s="394"/>
      <c r="FF71" s="394"/>
      <c r="FG71" s="394"/>
      <c r="FH71" s="394"/>
      <c r="FI71" s="394"/>
      <c r="FJ71" s="394"/>
      <c r="FK71" s="394"/>
      <c r="FL71" s="394"/>
      <c r="FM71" s="394"/>
      <c r="FN71" s="394"/>
      <c r="FO71" s="394"/>
      <c r="FP71" s="394"/>
      <c r="FQ71" s="394"/>
      <c r="FR71" s="394"/>
      <c r="FS71" s="394"/>
      <c r="FT71" s="394"/>
      <c r="FU71" s="394"/>
      <c r="FV71" s="394"/>
      <c r="FW71" s="394"/>
      <c r="FX71" s="394"/>
      <c r="FY71" s="394"/>
      <c r="FZ71" s="394"/>
      <c r="GA71" s="394"/>
      <c r="GB71" s="394"/>
      <c r="GC71" s="394"/>
      <c r="GD71" s="394"/>
      <c r="GE71" s="394"/>
      <c r="GF71" s="394"/>
      <c r="GG71" s="394"/>
      <c r="GH71" s="394"/>
      <c r="GI71" s="394"/>
      <c r="GJ71" s="394"/>
      <c r="GK71" s="394"/>
      <c r="GL71" s="394"/>
      <c r="GM71" s="394"/>
      <c r="GN71" s="394"/>
      <c r="GO71" s="394"/>
      <c r="GP71" s="394"/>
      <c r="GQ71" s="394"/>
      <c r="GR71" s="394"/>
      <c r="GS71" s="394"/>
      <c r="GT71" s="394"/>
      <c r="GU71" s="394"/>
      <c r="GV71" s="394"/>
      <c r="GW71" s="394"/>
      <c r="GX71" s="394"/>
      <c r="GY71" s="394"/>
      <c r="GZ71" s="394"/>
      <c r="HA71" s="394"/>
      <c r="HB71" s="394"/>
      <c r="HC71" s="394"/>
      <c r="HD71" s="394"/>
      <c r="HE71" s="394"/>
      <c r="HF71" s="394"/>
      <c r="HG71" s="394"/>
      <c r="HH71" s="394"/>
      <c r="HI71" s="394"/>
      <c r="HJ71" s="394"/>
      <c r="HK71" s="394"/>
      <c r="HL71" s="394"/>
      <c r="HM71" s="394"/>
      <c r="HN71" s="394"/>
      <c r="HO71" s="394"/>
      <c r="HP71" s="394"/>
      <c r="HQ71" s="394"/>
      <c r="HR71" s="394"/>
      <c r="HS71" s="394"/>
      <c r="HT71" s="394"/>
      <c r="HU71" s="394"/>
      <c r="HV71" s="394"/>
      <c r="HW71" s="394"/>
      <c r="HX71" s="394"/>
      <c r="HY71" s="394"/>
      <c r="HZ71" s="394"/>
      <c r="IA71" s="394"/>
      <c r="IB71" s="394"/>
      <c r="IC71" s="394"/>
      <c r="ID71" s="394"/>
      <c r="IE71" s="394"/>
      <c r="IF71" s="394"/>
      <c r="IG71" s="394"/>
      <c r="IH71" s="394"/>
      <c r="II71" s="394"/>
      <c r="IJ71" s="394"/>
      <c r="IK71" s="394"/>
      <c r="IL71" s="394"/>
      <c r="IM71" s="394"/>
      <c r="IN71" s="394"/>
      <c r="IO71" s="394"/>
      <c r="IP71" s="394"/>
      <c r="IQ71" s="394"/>
      <c r="IR71" s="394"/>
      <c r="IS71" s="394"/>
      <c r="IT71" s="394"/>
      <c r="IU71" s="394"/>
      <c r="IV71" s="394"/>
      <c r="IW71" s="394"/>
      <c r="IX71" s="394"/>
      <c r="IY71" s="394"/>
      <c r="IZ71" s="394"/>
      <c r="JA71" s="394"/>
      <c r="JB71" s="394"/>
      <c r="JC71" s="394"/>
      <c r="JD71" s="394"/>
      <c r="JE71" s="394"/>
      <c r="JF71" s="394"/>
      <c r="JG71" s="394"/>
      <c r="JH71" s="394"/>
      <c r="JI71" s="394"/>
      <c r="JJ71" s="394"/>
      <c r="JK71" s="394"/>
      <c r="JL71" s="394"/>
      <c r="JM71" s="394"/>
      <c r="JN71" s="394"/>
      <c r="JO71" s="394"/>
      <c r="JP71" s="394"/>
      <c r="JQ71" s="394"/>
      <c r="JR71" s="394"/>
      <c r="JS71" s="394"/>
      <c r="JT71" s="394"/>
      <c r="JU71" s="394"/>
      <c r="JV71" s="394"/>
      <c r="JW71" s="394"/>
      <c r="JX71" s="394"/>
      <c r="JY71" s="394"/>
      <c r="JZ71" s="394"/>
      <c r="KA71" s="394"/>
      <c r="KB71" s="394"/>
      <c r="KC71" s="394"/>
      <c r="KD71" s="394"/>
      <c r="KE71" s="394"/>
      <c r="KF71" s="394"/>
      <c r="KG71" s="394"/>
      <c r="KH71" s="394"/>
      <c r="KI71" s="394"/>
      <c r="KJ71" s="394"/>
      <c r="KK71" s="394"/>
      <c r="KL71" s="394"/>
      <c r="KM71" s="394"/>
      <c r="KN71" s="394"/>
      <c r="KO71" s="394"/>
      <c r="KP71" s="394"/>
      <c r="KQ71" s="394"/>
      <c r="KR71" s="394"/>
      <c r="KS71" s="394"/>
      <c r="KT71" s="394"/>
      <c r="KU71" s="394"/>
      <c r="KV71" s="394"/>
      <c r="KW71" s="394"/>
      <c r="KX71" s="394"/>
      <c r="KY71" s="394"/>
      <c r="KZ71" s="394"/>
      <c r="LA71" s="394"/>
      <c r="LB71" s="394"/>
      <c r="LC71" s="394"/>
      <c r="LD71" s="394"/>
      <c r="LE71" s="394"/>
      <c r="LF71" s="394"/>
      <c r="LG71" s="394"/>
      <c r="LH71" s="394"/>
      <c r="LI71" s="394"/>
      <c r="LJ71" s="394"/>
      <c r="LK71" s="394"/>
      <c r="LL71" s="394"/>
      <c r="LM71" s="394"/>
      <c r="LN71" s="394"/>
      <c r="LO71" s="394"/>
      <c r="LP71" s="394"/>
      <c r="LQ71" s="394"/>
      <c r="LR71" s="394"/>
      <c r="LS71" s="394"/>
      <c r="LT71" s="394"/>
      <c r="LU71" s="394"/>
      <c r="LV71" s="394"/>
      <c r="LW71" s="394"/>
      <c r="LX71" s="394"/>
      <c r="LY71" s="394"/>
      <c r="LZ71" s="394"/>
      <c r="MA71" s="394"/>
      <c r="MB71" s="394"/>
      <c r="MC71" s="394"/>
      <c r="MD71" s="394"/>
      <c r="ME71" s="394"/>
      <c r="MF71" s="394"/>
      <c r="MG71" s="394"/>
      <c r="MH71" s="394"/>
      <c r="MI71" s="394"/>
      <c r="MJ71" s="394"/>
      <c r="MK71" s="394"/>
      <c r="ML71" s="394"/>
      <c r="MM71" s="394"/>
      <c r="MN71" s="394"/>
      <c r="MO71" s="394"/>
      <c r="MP71" s="394"/>
      <c r="MQ71" s="394"/>
      <c r="MR71" s="394"/>
      <c r="MS71" s="394"/>
      <c r="MT71" s="394"/>
      <c r="MU71" s="394"/>
      <c r="MV71" s="394"/>
      <c r="MW71" s="394"/>
      <c r="MX71" s="394"/>
      <c r="MY71" s="394"/>
      <c r="MZ71" s="394"/>
      <c r="NA71" s="394"/>
      <c r="NB71" s="394"/>
      <c r="NC71" s="394"/>
      <c r="ND71" s="394"/>
      <c r="NE71" s="394"/>
      <c r="NF71" s="394"/>
      <c r="NG71" s="394"/>
      <c r="NH71" s="394"/>
      <c r="NI71" s="394"/>
      <c r="NJ71" s="394"/>
      <c r="NK71" s="394"/>
      <c r="NL71" s="394"/>
      <c r="NM71" s="394"/>
      <c r="NN71" s="394"/>
      <c r="NO71" s="394"/>
      <c r="NP71" s="394"/>
      <c r="NQ71" s="394"/>
      <c r="NR71" s="394"/>
      <c r="NS71" s="394"/>
      <c r="NT71" s="394"/>
      <c r="NU71" s="394"/>
      <c r="NV71" s="394"/>
      <c r="NW71" s="394"/>
      <c r="NX71" s="394"/>
      <c r="NY71" s="394"/>
      <c r="NZ71" s="394"/>
      <c r="OA71" s="394"/>
      <c r="OB71" s="394"/>
      <c r="OC71" s="394"/>
      <c r="OD71" s="394"/>
      <c r="OE71" s="394"/>
      <c r="OF71" s="394"/>
      <c r="OG71" s="394"/>
      <c r="OH71" s="394"/>
      <c r="OI71" s="394"/>
      <c r="OJ71" s="394"/>
      <c r="OK71" s="394"/>
      <c r="OL71" s="394"/>
      <c r="OM71" s="394"/>
      <c r="ON71" s="394"/>
      <c r="OO71" s="394"/>
      <c r="OP71" s="394"/>
      <c r="OQ71" s="394"/>
      <c r="OR71" s="394"/>
      <c r="OS71" s="394"/>
      <c r="OT71" s="394"/>
      <c r="OU71" s="394"/>
      <c r="OV71" s="394"/>
      <c r="OW71" s="394"/>
      <c r="OX71" s="394"/>
      <c r="OY71" s="394"/>
      <c r="OZ71" s="394"/>
      <c r="PA71" s="394"/>
      <c r="PB71" s="394"/>
      <c r="PC71" s="394"/>
      <c r="PD71" s="394"/>
      <c r="PE71" s="394"/>
      <c r="PF71" s="394"/>
      <c r="PG71" s="394"/>
      <c r="PH71" s="394"/>
      <c r="PI71" s="394"/>
      <c r="PJ71" s="394"/>
      <c r="PK71" s="394"/>
      <c r="PL71" s="394"/>
      <c r="PM71" s="394"/>
      <c r="PN71" s="394"/>
      <c r="PO71" s="394"/>
      <c r="PP71" s="394"/>
      <c r="PQ71" s="394"/>
      <c r="PR71" s="394"/>
      <c r="PS71" s="394"/>
      <c r="PT71" s="394"/>
      <c r="PU71" s="394"/>
      <c r="PV71" s="394"/>
      <c r="PW71" s="394"/>
      <c r="PX71" s="394"/>
      <c r="PY71" s="394"/>
      <c r="PZ71" s="394"/>
      <c r="QA71" s="394"/>
      <c r="QB71" s="394"/>
      <c r="QC71" s="394"/>
      <c r="QD71" s="394"/>
      <c r="QE71" s="394"/>
      <c r="QF71" s="394"/>
      <c r="QG71" s="394"/>
      <c r="QH71" s="394"/>
      <c r="QI71" s="394"/>
      <c r="QJ71" s="394"/>
      <c r="QK71" s="394"/>
      <c r="QL71" s="394"/>
      <c r="QM71" s="394"/>
      <c r="QN71" s="394"/>
      <c r="QO71" s="394"/>
      <c r="QP71" s="394"/>
      <c r="QQ71" s="394"/>
      <c r="QR71" s="394"/>
      <c r="QS71" s="394"/>
      <c r="QT71" s="394"/>
      <c r="QU71" s="394"/>
      <c r="QV71" s="394"/>
      <c r="QW71" s="394"/>
      <c r="QX71" s="394"/>
      <c r="QY71" s="394"/>
      <c r="QZ71" s="394"/>
      <c r="RA71" s="394"/>
      <c r="RB71" s="394"/>
      <c r="RC71" s="394"/>
      <c r="RD71" s="394"/>
      <c r="RE71" s="394"/>
      <c r="RF71" s="394"/>
      <c r="RG71" s="394"/>
      <c r="RH71" s="394"/>
      <c r="RI71" s="394"/>
      <c r="RJ71" s="394"/>
      <c r="RK71" s="394"/>
      <c r="RL71" s="394"/>
      <c r="RM71" s="394"/>
      <c r="RN71" s="394"/>
      <c r="RO71" s="394"/>
      <c r="RP71" s="394"/>
      <c r="RQ71" s="394"/>
      <c r="RR71" s="394"/>
      <c r="RS71" s="394"/>
      <c r="RT71" s="394"/>
      <c r="RU71" s="394"/>
      <c r="RV71" s="394"/>
      <c r="RW71" s="394"/>
      <c r="RX71" s="394"/>
      <c r="RY71" s="394"/>
      <c r="RZ71" s="394"/>
      <c r="SA71" s="394"/>
      <c r="SB71" s="394"/>
      <c r="SC71" s="394"/>
      <c r="SD71" s="394"/>
      <c r="SE71" s="394"/>
      <c r="SF71" s="394"/>
      <c r="SG71" s="394"/>
      <c r="SH71" s="394"/>
      <c r="SI71" s="394"/>
      <c r="SJ71" s="394"/>
      <c r="SK71" s="394"/>
      <c r="SL71" s="394"/>
      <c r="SM71" s="394"/>
      <c r="SN71" s="394"/>
      <c r="SO71" s="394"/>
      <c r="SP71" s="394"/>
      <c r="SQ71" s="394"/>
      <c r="SR71" s="394"/>
      <c r="SS71" s="394"/>
      <c r="ST71" s="394"/>
      <c r="SU71" s="394"/>
      <c r="SV71" s="394"/>
      <c r="SW71" s="394"/>
      <c r="SX71" s="394"/>
      <c r="SY71" s="394"/>
      <c r="SZ71" s="394"/>
      <c r="TA71" s="394"/>
      <c r="TB71" s="394"/>
      <c r="TC71" s="394"/>
      <c r="TD71" s="394"/>
      <c r="TE71" s="394"/>
      <c r="TF71" s="394"/>
      <c r="TG71" s="394"/>
      <c r="TH71" s="394"/>
      <c r="TI71" s="394"/>
      <c r="TJ71" s="394"/>
      <c r="TK71" s="394"/>
      <c r="TL71" s="394"/>
      <c r="TM71" s="394"/>
      <c r="TN71" s="394"/>
      <c r="TO71" s="394"/>
      <c r="TP71" s="394"/>
      <c r="TQ71" s="394"/>
      <c r="TR71" s="394"/>
      <c r="TS71" s="394"/>
      <c r="TT71" s="394"/>
      <c r="TU71" s="394"/>
      <c r="TV71" s="394"/>
      <c r="TW71" s="394"/>
      <c r="TX71" s="394"/>
      <c r="TY71" s="394"/>
      <c r="TZ71" s="394"/>
      <c r="UA71" s="394"/>
      <c r="UB71" s="394"/>
      <c r="UC71" s="394"/>
      <c r="UD71" s="394"/>
      <c r="UE71" s="394"/>
      <c r="UF71" s="394"/>
      <c r="UG71" s="394"/>
      <c r="UH71" s="394"/>
      <c r="UI71" s="394"/>
      <c r="UJ71" s="394"/>
      <c r="UK71" s="394"/>
      <c r="UL71" s="394"/>
      <c r="UM71" s="394"/>
      <c r="UN71" s="394"/>
      <c r="UO71" s="394"/>
      <c r="UP71" s="394"/>
      <c r="UQ71" s="394"/>
      <c r="UR71" s="394"/>
      <c r="US71" s="394"/>
      <c r="UT71" s="394"/>
      <c r="UU71" s="394"/>
      <c r="UV71" s="394"/>
      <c r="UW71" s="394"/>
      <c r="UX71" s="394"/>
      <c r="UY71" s="394"/>
      <c r="UZ71" s="394"/>
      <c r="VA71" s="394"/>
      <c r="VB71" s="394"/>
      <c r="VC71" s="394"/>
      <c r="VD71" s="394"/>
      <c r="VE71" s="394"/>
      <c r="VF71" s="394"/>
      <c r="VG71" s="394"/>
      <c r="VH71" s="394"/>
      <c r="VI71" s="394"/>
      <c r="VJ71" s="394"/>
      <c r="VK71" s="394"/>
      <c r="VL71" s="394"/>
      <c r="VM71" s="394"/>
      <c r="VN71" s="394"/>
      <c r="VO71" s="394"/>
      <c r="VP71" s="394"/>
      <c r="VQ71" s="394"/>
      <c r="VR71" s="394"/>
      <c r="VS71" s="394"/>
      <c r="VT71" s="394"/>
      <c r="VU71" s="394"/>
      <c r="VV71" s="394"/>
      <c r="VW71" s="394"/>
      <c r="VX71" s="394"/>
      <c r="VY71" s="394"/>
      <c r="VZ71" s="394"/>
      <c r="WA71" s="394"/>
      <c r="WB71" s="394"/>
      <c r="WC71" s="394"/>
      <c r="WD71" s="394"/>
      <c r="WE71" s="394"/>
      <c r="WF71" s="394"/>
      <c r="WG71" s="394"/>
      <c r="WH71" s="394"/>
      <c r="WI71" s="394"/>
      <c r="WJ71" s="394"/>
      <c r="WK71" s="394"/>
      <c r="WL71" s="394"/>
      <c r="WM71" s="394"/>
      <c r="WN71" s="394"/>
      <c r="WO71" s="394"/>
      <c r="WP71" s="394"/>
      <c r="WQ71" s="394"/>
      <c r="WR71" s="394"/>
      <c r="WS71" s="394"/>
      <c r="WT71" s="394"/>
      <c r="WU71" s="394"/>
      <c r="WV71" s="394"/>
      <c r="WW71" s="394"/>
      <c r="WX71" s="394"/>
      <c r="WY71" s="394"/>
      <c r="WZ71" s="394"/>
      <c r="XA71" s="394"/>
      <c r="XB71" s="394"/>
      <c r="XC71" s="394"/>
      <c r="XD71" s="394"/>
      <c r="XE71" s="394"/>
      <c r="XF71" s="394"/>
      <c r="XG71" s="394"/>
      <c r="XH71" s="394"/>
      <c r="XI71" s="394"/>
      <c r="XJ71" s="394"/>
      <c r="XK71" s="394"/>
      <c r="XL71" s="394"/>
      <c r="XM71" s="394"/>
      <c r="XN71" s="394"/>
      <c r="XO71" s="394"/>
      <c r="XP71" s="394"/>
      <c r="XQ71" s="394"/>
      <c r="XR71" s="394"/>
      <c r="XS71" s="394"/>
      <c r="XT71" s="394"/>
      <c r="XU71" s="394"/>
      <c r="XV71" s="394"/>
      <c r="XW71" s="394"/>
      <c r="XX71" s="394"/>
      <c r="XY71" s="394"/>
      <c r="XZ71" s="394"/>
      <c r="YA71" s="394"/>
      <c r="YB71" s="394"/>
      <c r="YC71" s="394"/>
      <c r="YD71" s="394"/>
      <c r="YE71" s="394"/>
      <c r="YF71" s="394"/>
      <c r="YG71" s="394"/>
      <c r="YH71" s="394"/>
      <c r="YI71" s="394"/>
      <c r="YJ71" s="394"/>
      <c r="YK71" s="394"/>
      <c r="YL71" s="394"/>
      <c r="YM71" s="394"/>
      <c r="YN71" s="394"/>
      <c r="YO71" s="394"/>
      <c r="YP71" s="394"/>
      <c r="YQ71" s="394"/>
      <c r="YR71" s="394"/>
      <c r="YS71" s="394"/>
      <c r="YT71" s="394"/>
      <c r="YU71" s="394"/>
      <c r="YV71" s="394"/>
      <c r="YW71" s="394"/>
      <c r="YX71" s="394"/>
      <c r="YY71" s="394"/>
      <c r="YZ71" s="394"/>
      <c r="ZA71" s="394"/>
      <c r="ZB71" s="394"/>
      <c r="ZC71" s="394"/>
      <c r="ZD71" s="394"/>
      <c r="ZE71" s="394"/>
      <c r="ZF71" s="394"/>
      <c r="ZG71" s="394"/>
      <c r="ZH71" s="394"/>
      <c r="ZI71" s="394"/>
      <c r="ZJ71" s="394"/>
      <c r="ZK71" s="394"/>
      <c r="ZL71" s="394"/>
      <c r="ZM71" s="394"/>
      <c r="ZN71" s="394"/>
      <c r="ZO71" s="394"/>
      <c r="ZP71" s="394"/>
      <c r="ZQ71" s="394"/>
      <c r="ZR71" s="394"/>
      <c r="ZS71" s="394"/>
      <c r="ZT71" s="394"/>
      <c r="ZU71" s="394"/>
      <c r="ZV71" s="394"/>
      <c r="ZW71" s="394"/>
      <c r="ZX71" s="394"/>
      <c r="ZY71" s="394"/>
      <c r="ZZ71" s="394"/>
      <c r="AAA71" s="394"/>
      <c r="AAB71" s="394"/>
      <c r="AAC71" s="394"/>
      <c r="AAD71" s="394"/>
      <c r="AAE71" s="394"/>
      <c r="AAF71" s="394"/>
      <c r="AAG71" s="394"/>
      <c r="AAH71" s="394"/>
      <c r="AAI71" s="394"/>
      <c r="AAJ71" s="394"/>
      <c r="AAK71" s="394"/>
      <c r="AAL71" s="394"/>
      <c r="AAM71" s="394"/>
      <c r="AAN71" s="394"/>
      <c r="AAO71" s="394"/>
      <c r="AAP71" s="394"/>
      <c r="AAQ71" s="394"/>
      <c r="AAR71" s="394"/>
      <c r="AAS71" s="394"/>
      <c r="AAT71" s="394"/>
      <c r="AAU71" s="394"/>
      <c r="AAV71" s="394"/>
      <c r="AAW71" s="394"/>
      <c r="AAX71" s="394"/>
      <c r="AAY71" s="394"/>
      <c r="AAZ71" s="394"/>
      <c r="ABA71" s="394"/>
      <c r="ABB71" s="394"/>
      <c r="ABC71" s="394"/>
      <c r="ABD71" s="394"/>
      <c r="ABE71" s="394"/>
      <c r="ABF71" s="394"/>
      <c r="ABG71" s="394"/>
      <c r="ABH71" s="394"/>
      <c r="ABI71" s="394"/>
      <c r="ABJ71" s="394"/>
      <c r="ABK71" s="394"/>
      <c r="ABL71" s="394"/>
      <c r="ABM71" s="394"/>
      <c r="ABN71" s="394"/>
      <c r="ABO71" s="394"/>
      <c r="ABP71" s="394"/>
      <c r="ABQ71" s="394"/>
      <c r="ABR71" s="394"/>
      <c r="ABS71" s="394"/>
      <c r="ABT71" s="394"/>
      <c r="ABU71" s="394"/>
      <c r="ABV71" s="394"/>
      <c r="ABW71" s="394"/>
      <c r="ABX71" s="394"/>
      <c r="ABY71" s="394"/>
      <c r="ABZ71" s="394"/>
      <c r="ACA71" s="394"/>
      <c r="ACB71" s="394"/>
      <c r="ACC71" s="394"/>
      <c r="ACD71" s="394"/>
      <c r="ACE71" s="394"/>
      <c r="ACF71" s="394"/>
      <c r="ACG71" s="394"/>
      <c r="ACH71" s="394"/>
      <c r="ACI71" s="394"/>
      <c r="ACJ71" s="394"/>
      <c r="ACK71" s="394"/>
      <c r="ACL71" s="394"/>
      <c r="ACM71" s="394"/>
      <c r="ACN71" s="394"/>
      <c r="ACO71" s="394"/>
      <c r="ACP71" s="394"/>
      <c r="ACQ71" s="394"/>
      <c r="ACR71" s="394"/>
      <c r="ACS71" s="394"/>
      <c r="ACT71" s="394"/>
      <c r="ACU71" s="394"/>
      <c r="ACV71" s="394"/>
      <c r="ACW71" s="394"/>
      <c r="ACX71" s="394"/>
      <c r="ACY71" s="394"/>
      <c r="ACZ71" s="394"/>
      <c r="ADA71" s="394"/>
      <c r="ADB71" s="394"/>
      <c r="ADC71" s="394"/>
      <c r="ADD71" s="394"/>
      <c r="ADE71" s="394"/>
      <c r="ADF71" s="394"/>
      <c r="ADG71" s="394"/>
      <c r="ADH71" s="394"/>
      <c r="ADI71" s="394"/>
      <c r="ADJ71" s="394"/>
      <c r="ADK71" s="394"/>
      <c r="ADL71" s="394"/>
      <c r="ADM71" s="394"/>
      <c r="ADN71" s="394"/>
      <c r="ADO71" s="394"/>
      <c r="ADP71" s="394"/>
      <c r="ADQ71" s="394"/>
      <c r="ADR71" s="394"/>
      <c r="ADS71" s="394"/>
      <c r="ADT71" s="394"/>
      <c r="ADU71" s="394"/>
      <c r="ADV71" s="394"/>
      <c r="ADW71" s="394"/>
      <c r="ADX71" s="394"/>
      <c r="ADY71" s="394"/>
      <c r="ADZ71" s="394"/>
      <c r="AEA71" s="394"/>
      <c r="AEB71" s="394"/>
      <c r="AEC71" s="394"/>
      <c r="AED71" s="394"/>
      <c r="AEE71" s="394"/>
      <c r="AEF71" s="394"/>
      <c r="AEG71" s="394"/>
      <c r="AEH71" s="394"/>
      <c r="AEI71" s="394"/>
      <c r="AEJ71" s="394"/>
      <c r="AEK71" s="394"/>
      <c r="AEL71" s="394"/>
      <c r="AEM71" s="394"/>
      <c r="AEN71" s="394"/>
      <c r="AEO71" s="394"/>
      <c r="AEP71" s="394"/>
      <c r="AEQ71" s="394"/>
      <c r="AER71" s="394"/>
      <c r="AES71" s="394"/>
      <c r="AET71" s="394"/>
      <c r="AEU71" s="394"/>
      <c r="AEV71" s="394"/>
      <c r="AEW71" s="394"/>
      <c r="AEX71" s="394"/>
      <c r="AEY71" s="394"/>
      <c r="AEZ71" s="394"/>
      <c r="AFA71" s="394"/>
      <c r="AFB71" s="394"/>
      <c r="AFC71" s="394"/>
      <c r="AFD71" s="394"/>
      <c r="AFE71" s="394"/>
      <c r="AFF71" s="394"/>
      <c r="AFG71" s="394"/>
      <c r="AFH71" s="394"/>
      <c r="AFI71" s="394"/>
      <c r="AFJ71" s="394"/>
      <c r="AFK71" s="394"/>
      <c r="AFL71" s="394"/>
      <c r="AFM71" s="394"/>
      <c r="AFN71" s="394"/>
      <c r="AFO71" s="394"/>
      <c r="AFP71" s="394"/>
      <c r="AFQ71" s="394"/>
      <c r="AFR71" s="394"/>
      <c r="AFS71" s="394"/>
      <c r="AFT71" s="394"/>
      <c r="AFU71" s="394"/>
      <c r="AFV71" s="394"/>
      <c r="AFW71" s="394"/>
      <c r="AFX71" s="394"/>
      <c r="AFY71" s="394"/>
      <c r="AFZ71" s="394"/>
      <c r="AGA71" s="394"/>
      <c r="AGB71" s="394"/>
      <c r="AGC71" s="394"/>
      <c r="AGD71" s="394"/>
      <c r="AGE71" s="394"/>
      <c r="AGF71" s="394"/>
      <c r="AGG71" s="394"/>
      <c r="AGH71" s="394"/>
      <c r="AGI71" s="394"/>
      <c r="AGJ71" s="394"/>
      <c r="AGK71" s="394"/>
      <c r="AGL71" s="394"/>
      <c r="AGM71" s="394"/>
      <c r="AGN71" s="394"/>
      <c r="AGO71" s="394"/>
      <c r="AGP71" s="394"/>
      <c r="AGQ71" s="394"/>
      <c r="AGR71" s="394"/>
      <c r="AGS71" s="394"/>
      <c r="AGT71" s="394"/>
      <c r="AGU71" s="394"/>
      <c r="AGV71" s="394"/>
      <c r="AGW71" s="394"/>
      <c r="AGX71" s="394"/>
      <c r="AGY71" s="394"/>
      <c r="AGZ71" s="394"/>
      <c r="AHA71" s="394"/>
      <c r="AHB71" s="394"/>
      <c r="AHC71" s="394"/>
      <c r="AHD71" s="394"/>
      <c r="AHE71" s="394"/>
      <c r="AHF71" s="394"/>
      <c r="AHG71" s="394"/>
      <c r="AHH71" s="394"/>
      <c r="AHI71" s="394"/>
      <c r="AHJ71" s="394"/>
      <c r="AHK71" s="394"/>
      <c r="AHL71" s="394"/>
      <c r="AHM71" s="394"/>
      <c r="AHN71" s="394"/>
      <c r="AHO71" s="394"/>
      <c r="AHP71" s="394"/>
      <c r="AHQ71" s="394"/>
      <c r="AHR71" s="394"/>
      <c r="AHS71" s="394"/>
      <c r="AHT71" s="394"/>
      <c r="AHU71" s="394"/>
      <c r="AHV71" s="394"/>
      <c r="AHW71" s="394"/>
      <c r="AHX71" s="394"/>
      <c r="AHY71" s="394"/>
      <c r="AHZ71" s="394"/>
      <c r="AIA71" s="394"/>
      <c r="AIB71" s="394"/>
      <c r="AIC71" s="394"/>
      <c r="AID71" s="394"/>
      <c r="AIE71" s="394"/>
      <c r="AIF71" s="394"/>
      <c r="AIG71" s="394"/>
      <c r="AIH71" s="394"/>
      <c r="AII71" s="394"/>
      <c r="AIJ71" s="394"/>
      <c r="AIK71" s="394"/>
      <c r="AIL71" s="394"/>
      <c r="AIM71" s="394"/>
      <c r="AIN71" s="394"/>
      <c r="AIO71" s="394"/>
      <c r="AIP71" s="394"/>
      <c r="AIQ71" s="394"/>
      <c r="AIR71" s="394"/>
      <c r="AIS71" s="394"/>
      <c r="AIT71" s="394"/>
      <c r="AIU71" s="394"/>
      <c r="AIV71" s="394"/>
      <c r="AIW71" s="394"/>
      <c r="AIX71" s="394"/>
      <c r="AIY71" s="394"/>
      <c r="AIZ71" s="394"/>
      <c r="AJA71" s="394"/>
      <c r="AJB71" s="394"/>
      <c r="AJC71" s="394"/>
      <c r="AJD71" s="394"/>
      <c r="AJE71" s="394"/>
      <c r="AJF71" s="394"/>
      <c r="AJG71" s="394"/>
      <c r="AJH71" s="394"/>
      <c r="AJI71" s="394"/>
      <c r="AJJ71" s="394"/>
      <c r="AJK71" s="394"/>
      <c r="AJL71" s="394"/>
      <c r="AJM71" s="394"/>
      <c r="AJN71" s="394"/>
      <c r="AJO71" s="394"/>
      <c r="AJP71" s="394"/>
      <c r="AJQ71" s="394"/>
      <c r="AJR71" s="394"/>
      <c r="AJS71" s="394"/>
      <c r="AJT71" s="394"/>
      <c r="AJU71" s="394"/>
      <c r="AJV71" s="394"/>
      <c r="AJW71" s="394"/>
      <c r="AJX71" s="394"/>
      <c r="AJY71" s="394"/>
      <c r="AJZ71" s="394"/>
      <c r="AKA71" s="394"/>
      <c r="AKB71" s="394"/>
      <c r="AKC71" s="394"/>
      <c r="AKD71" s="394"/>
      <c r="AKE71" s="394"/>
      <c r="AKF71" s="394"/>
      <c r="AKG71" s="394"/>
      <c r="AKH71" s="394"/>
      <c r="AKI71" s="394"/>
      <c r="AKJ71" s="394"/>
      <c r="AKK71" s="394"/>
      <c r="AKL71" s="394"/>
      <c r="AKM71" s="394"/>
      <c r="AKN71" s="394"/>
      <c r="AKO71" s="394"/>
      <c r="AKP71" s="394"/>
      <c r="AKQ71" s="394"/>
      <c r="AKR71" s="394"/>
      <c r="AKS71" s="394"/>
      <c r="AKT71" s="394"/>
      <c r="AKU71" s="394"/>
      <c r="AKV71" s="394"/>
      <c r="AKW71" s="394"/>
      <c r="AKX71" s="394"/>
      <c r="AKY71" s="394"/>
      <c r="AKZ71" s="394"/>
      <c r="ALA71" s="394"/>
      <c r="ALB71" s="394"/>
      <c r="ALC71" s="394"/>
      <c r="ALD71" s="394"/>
      <c r="ALE71" s="394"/>
      <c r="ALF71" s="394"/>
      <c r="ALG71" s="394"/>
      <c r="ALH71" s="394"/>
      <c r="ALI71" s="394"/>
      <c r="ALJ71" s="394"/>
      <c r="ALK71" s="394"/>
      <c r="ALL71" s="394"/>
      <c r="ALM71" s="394"/>
      <c r="ALN71" s="394"/>
      <c r="ALO71" s="394"/>
      <c r="ALP71" s="394"/>
      <c r="ALQ71" s="394"/>
      <c r="ALR71" s="394"/>
      <c r="ALS71" s="394"/>
      <c r="ALT71" s="394"/>
      <c r="ALU71" s="394"/>
      <c r="ALV71" s="394"/>
      <c r="ALW71" s="394"/>
      <c r="ALX71" s="394"/>
      <c r="ALY71" s="394"/>
      <c r="ALZ71" s="394"/>
      <c r="AMA71" s="394"/>
      <c r="AMB71" s="394"/>
      <c r="AMC71" s="394"/>
      <c r="AMD71" s="394"/>
      <c r="AME71" s="394"/>
      <c r="AMF71" s="394"/>
      <c r="AMG71" s="394"/>
      <c r="AMH71" s="394"/>
      <c r="AMI71" s="394"/>
      <c r="AMJ71" s="394"/>
      <c r="AMK71" s="394"/>
      <c r="AML71" s="394"/>
      <c r="AMM71" s="394"/>
      <c r="AMN71" s="394"/>
      <c r="AMO71" s="394"/>
      <c r="AMP71" s="394"/>
      <c r="AMQ71" s="394"/>
      <c r="AMR71" s="394"/>
      <c r="AMS71" s="394"/>
      <c r="AMT71" s="394"/>
      <c r="AMU71" s="394"/>
      <c r="AMV71" s="394"/>
      <c r="AMW71" s="394"/>
      <c r="AMX71" s="394"/>
      <c r="AMY71" s="394"/>
      <c r="AMZ71" s="394"/>
      <c r="ANA71" s="394"/>
      <c r="ANB71" s="394"/>
      <c r="ANC71" s="394"/>
      <c r="AND71" s="394"/>
      <c r="ANE71" s="394"/>
      <c r="ANF71" s="394"/>
      <c r="ANG71" s="394"/>
      <c r="ANH71" s="394"/>
      <c r="ANI71" s="394"/>
      <c r="ANJ71" s="394"/>
      <c r="ANK71" s="394"/>
      <c r="ANL71" s="394"/>
      <c r="ANM71" s="394"/>
      <c r="ANN71" s="394"/>
      <c r="ANO71" s="394"/>
      <c r="ANP71" s="394"/>
      <c r="ANQ71" s="394"/>
      <c r="ANR71" s="394"/>
      <c r="ANS71" s="394"/>
      <c r="ANT71" s="394"/>
      <c r="ANU71" s="394"/>
      <c r="ANV71" s="394"/>
      <c r="ANW71" s="394"/>
      <c r="ANX71" s="394"/>
      <c r="ANY71" s="394"/>
      <c r="ANZ71" s="394"/>
      <c r="AOA71" s="394"/>
      <c r="AOB71" s="394"/>
      <c r="AOC71" s="394"/>
      <c r="AOD71" s="394"/>
      <c r="AOE71" s="394"/>
      <c r="AOF71" s="394"/>
      <c r="AOG71" s="394"/>
      <c r="AOH71" s="394"/>
      <c r="AOI71" s="394"/>
      <c r="AOJ71" s="394"/>
      <c r="AOK71" s="394"/>
      <c r="AOL71" s="394"/>
      <c r="AOM71" s="394"/>
      <c r="AON71" s="394"/>
      <c r="AOO71" s="394"/>
      <c r="AOP71" s="394"/>
      <c r="AOQ71" s="394"/>
      <c r="AOR71" s="394"/>
      <c r="AOS71" s="394"/>
      <c r="AOT71" s="394"/>
      <c r="AOU71" s="394"/>
      <c r="AOV71" s="394"/>
      <c r="AOW71" s="394"/>
      <c r="AOX71" s="394"/>
      <c r="AOY71" s="394"/>
      <c r="AOZ71" s="394"/>
      <c r="APA71" s="394"/>
      <c r="APB71" s="394"/>
      <c r="APC71" s="394"/>
      <c r="APD71" s="394"/>
      <c r="APE71" s="394"/>
      <c r="APF71" s="394"/>
      <c r="APG71" s="394"/>
      <c r="APH71" s="394"/>
      <c r="API71" s="394"/>
      <c r="APJ71" s="394"/>
      <c r="APK71" s="394"/>
      <c r="APL71" s="394"/>
      <c r="APM71" s="394"/>
      <c r="APN71" s="394"/>
      <c r="APO71" s="394"/>
      <c r="APP71" s="394"/>
      <c r="APQ71" s="394"/>
      <c r="APR71" s="394"/>
      <c r="APS71" s="394"/>
      <c r="APT71" s="394"/>
      <c r="APU71" s="394"/>
      <c r="APV71" s="394"/>
      <c r="APW71" s="394"/>
      <c r="APX71" s="394"/>
      <c r="APY71" s="394"/>
      <c r="APZ71" s="394"/>
      <c r="AQA71" s="394"/>
      <c r="AQB71" s="394"/>
      <c r="AQC71" s="394"/>
      <c r="AQD71" s="394"/>
      <c r="AQE71" s="394"/>
      <c r="AQF71" s="394"/>
      <c r="AQG71" s="394"/>
      <c r="AQH71" s="394"/>
      <c r="AQI71" s="394"/>
      <c r="AQJ71" s="394"/>
      <c r="AQK71" s="394"/>
      <c r="AQL71" s="394"/>
      <c r="AQM71" s="394"/>
      <c r="AQN71" s="394"/>
      <c r="AQO71" s="394"/>
      <c r="AQP71" s="394"/>
      <c r="AQQ71" s="394"/>
      <c r="AQR71" s="394"/>
      <c r="AQS71" s="394"/>
      <c r="AQT71" s="394"/>
      <c r="AQU71" s="394"/>
      <c r="AQV71" s="394"/>
      <c r="AQW71" s="394"/>
      <c r="AQX71" s="394"/>
      <c r="AQY71" s="394"/>
      <c r="AQZ71" s="394"/>
      <c r="ARA71" s="394"/>
      <c r="ARB71" s="394"/>
      <c r="ARC71" s="394"/>
      <c r="ARD71" s="394"/>
      <c r="ARE71" s="394"/>
      <c r="ARF71" s="394"/>
      <c r="ARG71" s="394"/>
      <c r="ARH71" s="394"/>
      <c r="ARI71" s="394"/>
      <c r="ARJ71" s="394"/>
      <c r="ARK71" s="394"/>
      <c r="ARL71" s="394"/>
      <c r="ARM71" s="394"/>
      <c r="ARN71" s="394"/>
      <c r="ARO71" s="394"/>
      <c r="ARP71" s="394"/>
      <c r="ARQ71" s="394"/>
      <c r="ARR71" s="394"/>
      <c r="ARS71" s="394"/>
      <c r="ART71" s="394"/>
      <c r="ARU71" s="394"/>
      <c r="ARV71" s="394"/>
      <c r="ARW71" s="394"/>
      <c r="ARX71" s="394"/>
      <c r="ARY71" s="394"/>
      <c r="ARZ71" s="394"/>
      <c r="ASA71" s="394"/>
      <c r="ASB71" s="394"/>
      <c r="ASC71" s="394"/>
      <c r="ASD71" s="394"/>
      <c r="ASE71" s="394"/>
      <c r="ASF71" s="394"/>
      <c r="ASG71" s="394"/>
      <c r="ASH71" s="394"/>
      <c r="ASI71" s="394"/>
      <c r="ASJ71" s="394"/>
      <c r="ASK71" s="394"/>
      <c r="ASL71" s="394"/>
      <c r="ASM71" s="394"/>
      <c r="ASN71" s="394"/>
      <c r="ASO71" s="394"/>
      <c r="ASP71" s="394"/>
      <c r="ASQ71" s="394"/>
      <c r="ASR71" s="394"/>
      <c r="ASS71" s="394"/>
      <c r="AST71" s="394"/>
      <c r="ASU71" s="394"/>
      <c r="ASV71" s="394"/>
      <c r="ASW71" s="394"/>
      <c r="ASX71" s="394"/>
      <c r="ASY71" s="394"/>
      <c r="ASZ71" s="394"/>
      <c r="ATA71" s="394"/>
      <c r="ATB71" s="394"/>
      <c r="ATC71" s="394"/>
      <c r="ATD71" s="394"/>
      <c r="ATE71" s="394"/>
      <c r="ATF71" s="394"/>
      <c r="ATG71" s="394"/>
      <c r="ATH71" s="394"/>
      <c r="ATI71" s="394"/>
      <c r="ATJ71" s="394"/>
      <c r="ATK71" s="394"/>
      <c r="ATL71" s="394"/>
      <c r="ATM71" s="394"/>
      <c r="ATN71" s="394"/>
      <c r="ATO71" s="394"/>
      <c r="ATP71" s="394"/>
      <c r="ATQ71" s="394"/>
      <c r="ATR71" s="394"/>
      <c r="ATS71" s="394"/>
      <c r="ATT71" s="394"/>
      <c r="ATU71" s="394"/>
      <c r="ATV71" s="394"/>
      <c r="ATW71" s="394"/>
      <c r="ATX71" s="394"/>
      <c r="ATY71" s="394"/>
      <c r="ATZ71" s="394"/>
      <c r="AUA71" s="394"/>
      <c r="AUB71" s="394"/>
      <c r="AUC71" s="394"/>
      <c r="AUD71" s="394"/>
      <c r="AUE71" s="394"/>
      <c r="AUF71" s="394"/>
      <c r="AUG71" s="394"/>
      <c r="AUH71" s="394"/>
      <c r="AUI71" s="394"/>
      <c r="AUJ71" s="394"/>
      <c r="AUK71" s="394"/>
      <c r="AUL71" s="394"/>
      <c r="AUM71" s="394"/>
      <c r="AUN71" s="394"/>
      <c r="AUO71" s="394"/>
      <c r="AUP71" s="394"/>
      <c r="AUQ71" s="394"/>
      <c r="AUR71" s="394"/>
      <c r="AUS71" s="394"/>
      <c r="AUT71" s="394"/>
      <c r="AUU71" s="394"/>
      <c r="AUV71" s="394"/>
      <c r="AUW71" s="394"/>
      <c r="AUX71" s="394"/>
      <c r="AUY71" s="394"/>
      <c r="AUZ71" s="394"/>
      <c r="AVA71" s="394"/>
      <c r="AVB71" s="394"/>
      <c r="AVC71" s="394"/>
      <c r="AVD71" s="394"/>
      <c r="AVE71" s="394"/>
      <c r="AVF71" s="394"/>
      <c r="AVG71" s="394"/>
      <c r="AVH71" s="394"/>
      <c r="AVI71" s="394"/>
      <c r="AVJ71" s="394"/>
      <c r="AVK71" s="394"/>
      <c r="AVL71" s="394"/>
      <c r="AVM71" s="394"/>
      <c r="AVN71" s="394"/>
      <c r="AVO71" s="394"/>
      <c r="AVP71" s="394"/>
      <c r="AVQ71" s="394"/>
      <c r="AVR71" s="394"/>
      <c r="AVS71" s="394"/>
      <c r="AVT71" s="394"/>
      <c r="AVU71" s="394"/>
      <c r="AVV71" s="394"/>
      <c r="AVW71" s="394"/>
      <c r="AVX71" s="394"/>
      <c r="AVY71" s="394"/>
      <c r="AVZ71" s="394"/>
      <c r="AWA71" s="394"/>
      <c r="AWB71" s="394"/>
      <c r="AWC71" s="394"/>
      <c r="AWD71" s="394"/>
      <c r="AWE71" s="394"/>
      <c r="AWF71" s="394"/>
      <c r="AWG71" s="394"/>
      <c r="AWH71" s="394"/>
      <c r="AWI71" s="394"/>
      <c r="AWJ71" s="394"/>
      <c r="AWK71" s="394"/>
      <c r="AWL71" s="394"/>
      <c r="AWM71" s="394"/>
      <c r="AWN71" s="394"/>
      <c r="AWO71" s="394"/>
      <c r="AWP71" s="394"/>
      <c r="AWQ71" s="394"/>
      <c r="AWR71" s="394"/>
      <c r="AWS71" s="394"/>
      <c r="AWT71" s="394"/>
      <c r="AWU71" s="394"/>
      <c r="AWV71" s="394"/>
      <c r="AWW71" s="394"/>
      <c r="AWX71" s="394"/>
      <c r="AWY71" s="394"/>
      <c r="AWZ71" s="394"/>
      <c r="AXA71" s="394"/>
      <c r="AXB71" s="394"/>
      <c r="AXC71" s="394"/>
      <c r="AXD71" s="394"/>
      <c r="AXE71" s="394"/>
      <c r="AXF71" s="394"/>
      <c r="AXG71" s="394"/>
      <c r="AXH71" s="394"/>
      <c r="AXI71" s="394"/>
      <c r="AXJ71" s="394"/>
      <c r="AXK71" s="394"/>
      <c r="AXL71" s="394"/>
      <c r="AXM71" s="394"/>
      <c r="AXN71" s="394"/>
      <c r="AXO71" s="394"/>
      <c r="AXP71" s="394"/>
      <c r="AXQ71" s="394"/>
      <c r="AXR71" s="394"/>
      <c r="AXS71" s="394"/>
      <c r="AXT71" s="394"/>
      <c r="AXU71" s="394"/>
      <c r="AXV71" s="394"/>
      <c r="AXW71" s="394"/>
      <c r="AXX71" s="394"/>
      <c r="AXY71" s="394"/>
      <c r="AXZ71" s="394"/>
      <c r="AYA71" s="394"/>
      <c r="AYB71" s="394"/>
      <c r="AYC71" s="394"/>
      <c r="AYD71" s="394"/>
      <c r="AYE71" s="394"/>
      <c r="AYF71" s="394"/>
      <c r="AYG71" s="394"/>
      <c r="AYH71" s="394"/>
      <c r="AYI71" s="394"/>
      <c r="AYJ71" s="394"/>
      <c r="AYK71" s="394"/>
      <c r="AYL71" s="394"/>
      <c r="AYM71" s="394"/>
      <c r="AYN71" s="394"/>
      <c r="AYO71" s="394"/>
      <c r="AYP71" s="394"/>
      <c r="AYQ71" s="394"/>
      <c r="AYR71" s="394"/>
      <c r="AYS71" s="394"/>
      <c r="AYT71" s="394"/>
      <c r="AYU71" s="394"/>
      <c r="AYV71" s="394"/>
      <c r="AYW71" s="394"/>
      <c r="AYX71" s="394"/>
      <c r="AYY71" s="394"/>
      <c r="AYZ71" s="394"/>
      <c r="AZA71" s="394"/>
      <c r="AZB71" s="394"/>
      <c r="AZC71" s="394"/>
      <c r="AZD71" s="394"/>
      <c r="AZE71" s="394"/>
      <c r="AZF71" s="394"/>
      <c r="AZG71" s="394"/>
      <c r="AZH71" s="394"/>
      <c r="AZI71" s="394"/>
      <c r="AZJ71" s="394"/>
      <c r="AZK71" s="394"/>
      <c r="AZL71" s="394"/>
      <c r="AZM71" s="394"/>
      <c r="AZN71" s="394"/>
      <c r="AZO71" s="394"/>
      <c r="AZP71" s="394"/>
      <c r="AZQ71" s="394"/>
      <c r="AZR71" s="394"/>
      <c r="AZS71" s="394"/>
      <c r="AZT71" s="394"/>
      <c r="AZU71" s="394"/>
      <c r="AZV71" s="394"/>
      <c r="AZW71" s="394"/>
      <c r="AZX71" s="394"/>
      <c r="AZY71" s="394"/>
      <c r="AZZ71" s="394"/>
      <c r="BAA71" s="394"/>
      <c r="BAB71" s="394"/>
      <c r="BAC71" s="394"/>
      <c r="BAD71" s="394"/>
      <c r="BAE71" s="394"/>
      <c r="BAF71" s="394"/>
      <c r="BAG71" s="394"/>
      <c r="BAH71" s="394"/>
      <c r="BAI71" s="394"/>
      <c r="BAJ71" s="394"/>
      <c r="BAK71" s="394"/>
      <c r="BAL71" s="394"/>
      <c r="BAM71" s="394"/>
      <c r="BAN71" s="394"/>
      <c r="BAO71" s="394"/>
      <c r="BAP71" s="394"/>
      <c r="BAQ71" s="394"/>
      <c r="BAR71" s="394"/>
      <c r="BAS71" s="394"/>
      <c r="BAT71" s="394"/>
      <c r="BAU71" s="394"/>
      <c r="BAV71" s="394"/>
      <c r="BAW71" s="394"/>
      <c r="BAX71" s="394"/>
      <c r="BAY71" s="394"/>
      <c r="BAZ71" s="394"/>
      <c r="BBA71" s="394"/>
      <c r="BBB71" s="394"/>
      <c r="BBC71" s="394"/>
      <c r="BBD71" s="394"/>
      <c r="BBE71" s="394"/>
      <c r="BBF71" s="394"/>
      <c r="BBG71" s="394"/>
      <c r="BBH71" s="394"/>
      <c r="BBI71" s="394"/>
      <c r="BBJ71" s="394"/>
      <c r="BBK71" s="394"/>
      <c r="BBL71" s="394"/>
      <c r="BBM71" s="394"/>
      <c r="BBN71" s="394"/>
      <c r="BBO71" s="394"/>
      <c r="BBP71" s="394"/>
      <c r="BBQ71" s="394"/>
      <c r="BBR71" s="394"/>
      <c r="BBS71" s="394"/>
      <c r="BBT71" s="394"/>
      <c r="BBU71" s="394"/>
      <c r="BBV71" s="394"/>
      <c r="BBW71" s="394"/>
      <c r="BBX71" s="394"/>
      <c r="BBY71" s="394"/>
      <c r="BBZ71" s="394"/>
      <c r="BCA71" s="394"/>
      <c r="BCB71" s="394"/>
      <c r="BCC71" s="394"/>
      <c r="BCD71" s="394"/>
      <c r="BCE71" s="394"/>
      <c r="BCF71" s="394"/>
      <c r="BCG71" s="394"/>
      <c r="BCH71" s="394"/>
      <c r="BCI71" s="394"/>
      <c r="BCJ71" s="394"/>
      <c r="BCK71" s="394"/>
      <c r="BCL71" s="394"/>
      <c r="BCM71" s="394"/>
      <c r="BCN71" s="394"/>
      <c r="BCO71" s="394"/>
      <c r="BCP71" s="394"/>
      <c r="BCQ71" s="394"/>
      <c r="BCR71" s="394"/>
      <c r="BCS71" s="394"/>
      <c r="BCT71" s="394"/>
      <c r="BCU71" s="394"/>
      <c r="BCV71" s="394"/>
      <c r="BCW71" s="394"/>
      <c r="BCX71" s="394"/>
      <c r="BCY71" s="394"/>
      <c r="BCZ71" s="394"/>
      <c r="BDA71" s="394"/>
      <c r="BDB71" s="394"/>
      <c r="BDC71" s="394"/>
      <c r="BDD71" s="394"/>
      <c r="BDE71" s="394"/>
      <c r="BDF71" s="394"/>
      <c r="BDG71" s="394"/>
      <c r="BDH71" s="394"/>
      <c r="BDI71" s="394"/>
      <c r="BDJ71" s="394"/>
      <c r="BDK71" s="394"/>
      <c r="BDL71" s="394"/>
      <c r="BDM71" s="394"/>
      <c r="BDN71" s="394"/>
      <c r="BDO71" s="394"/>
      <c r="BDP71" s="394"/>
      <c r="BDQ71" s="394"/>
      <c r="BDR71" s="394"/>
      <c r="BDS71" s="394"/>
      <c r="BDT71" s="394"/>
      <c r="BDU71" s="394"/>
      <c r="BDV71" s="394"/>
      <c r="BDW71" s="394"/>
      <c r="BDX71" s="394"/>
      <c r="BDY71" s="394"/>
      <c r="BDZ71" s="394"/>
      <c r="BEA71" s="394"/>
      <c r="BEB71" s="394"/>
      <c r="BEC71" s="394"/>
      <c r="BED71" s="394"/>
      <c r="BEE71" s="394"/>
      <c r="BEF71" s="394"/>
      <c r="BEG71" s="394"/>
      <c r="BEH71" s="394"/>
      <c r="BEI71" s="394"/>
      <c r="BEJ71" s="394"/>
      <c r="BEK71" s="394"/>
      <c r="BEL71" s="394"/>
      <c r="BEM71" s="394"/>
      <c r="BEN71" s="394"/>
      <c r="BEO71" s="394"/>
      <c r="BEP71" s="394"/>
      <c r="BEQ71" s="394"/>
      <c r="BER71" s="394"/>
      <c r="BES71" s="394"/>
      <c r="BET71" s="394"/>
      <c r="BEU71" s="394"/>
      <c r="BEV71" s="394"/>
      <c r="BEW71" s="394"/>
      <c r="BEX71" s="394"/>
      <c r="BEY71" s="394"/>
      <c r="BEZ71" s="394"/>
      <c r="BFA71" s="394"/>
      <c r="BFB71" s="394"/>
      <c r="BFC71" s="394"/>
      <c r="BFD71" s="394"/>
      <c r="BFE71" s="394"/>
      <c r="BFF71" s="394"/>
      <c r="BFG71" s="394"/>
      <c r="BFH71" s="394"/>
      <c r="BFI71" s="394"/>
      <c r="BFJ71" s="394"/>
      <c r="BFK71" s="394"/>
      <c r="BFL71" s="394"/>
      <c r="BFM71" s="394"/>
      <c r="BFN71" s="394"/>
      <c r="BFO71" s="394"/>
      <c r="BFP71" s="394"/>
      <c r="BFQ71" s="394"/>
      <c r="BFR71" s="394"/>
      <c r="BFS71" s="394"/>
      <c r="BFT71" s="394"/>
      <c r="BFU71" s="394"/>
      <c r="BFV71" s="394"/>
      <c r="BFW71" s="394"/>
      <c r="BFX71" s="394"/>
      <c r="BFY71" s="394"/>
      <c r="BFZ71" s="394"/>
      <c r="BGA71" s="394"/>
      <c r="BGB71" s="394"/>
      <c r="BGC71" s="394"/>
      <c r="BGD71" s="394"/>
      <c r="BGE71" s="394"/>
      <c r="BGF71" s="394"/>
      <c r="BGG71" s="394"/>
      <c r="BGH71" s="394"/>
      <c r="BGI71" s="394"/>
      <c r="BGJ71" s="394"/>
      <c r="BGK71" s="394"/>
      <c r="BGL71" s="394"/>
      <c r="BGM71" s="394"/>
      <c r="BGN71" s="394"/>
      <c r="BGO71" s="394"/>
      <c r="BGP71" s="394"/>
      <c r="BGQ71" s="394"/>
      <c r="BGR71" s="394"/>
      <c r="BGS71" s="394"/>
      <c r="BGT71" s="394"/>
      <c r="BGU71" s="394"/>
      <c r="BGV71" s="394"/>
      <c r="BGW71" s="394"/>
      <c r="BGX71" s="394"/>
      <c r="BGY71" s="394"/>
      <c r="BGZ71" s="394"/>
      <c r="BHA71" s="394"/>
      <c r="BHB71" s="394"/>
      <c r="BHC71" s="394"/>
      <c r="BHD71" s="394"/>
      <c r="BHE71" s="394"/>
      <c r="BHF71" s="394"/>
      <c r="BHG71" s="394"/>
      <c r="BHH71" s="394"/>
      <c r="BHI71" s="394"/>
      <c r="BHJ71" s="394"/>
      <c r="BHK71" s="394"/>
      <c r="BHL71" s="394"/>
      <c r="BHM71" s="394"/>
      <c r="BHN71" s="394"/>
      <c r="BHO71" s="394"/>
      <c r="BHP71" s="394"/>
      <c r="BHQ71" s="394"/>
      <c r="BHR71" s="394"/>
      <c r="BHS71" s="394"/>
      <c r="BHT71" s="394"/>
      <c r="BHU71" s="394"/>
      <c r="BHV71" s="394"/>
      <c r="BHW71" s="394"/>
      <c r="BHX71" s="394"/>
      <c r="BHY71" s="394"/>
      <c r="BHZ71" s="394"/>
      <c r="BIA71" s="394"/>
      <c r="BIB71" s="394"/>
      <c r="BIC71" s="394"/>
      <c r="BID71" s="394"/>
      <c r="BIE71" s="394"/>
      <c r="BIF71" s="394"/>
      <c r="BIG71" s="394"/>
      <c r="BIH71" s="394"/>
      <c r="BII71" s="394"/>
      <c r="BIJ71" s="394"/>
      <c r="BIK71" s="394"/>
      <c r="BIL71" s="394"/>
      <c r="BIM71" s="394"/>
      <c r="BIN71" s="394"/>
      <c r="BIO71" s="394"/>
      <c r="BIP71" s="394"/>
      <c r="BIQ71" s="394"/>
      <c r="BIR71" s="394"/>
      <c r="BIS71" s="394"/>
      <c r="BIT71" s="394"/>
      <c r="BIU71" s="394"/>
      <c r="BIV71" s="394"/>
      <c r="BIW71" s="394"/>
      <c r="BIX71" s="394"/>
      <c r="BIY71" s="394"/>
      <c r="BIZ71" s="394"/>
      <c r="BJA71" s="394"/>
      <c r="BJB71" s="394"/>
      <c r="BJC71" s="394"/>
      <c r="BJD71" s="394"/>
      <c r="BJE71" s="394"/>
      <c r="BJF71" s="394"/>
      <c r="BJG71" s="394"/>
      <c r="BJH71" s="394"/>
      <c r="BJI71" s="394"/>
      <c r="BJJ71" s="394"/>
      <c r="BJK71" s="394"/>
      <c r="BJL71" s="394"/>
      <c r="BJM71" s="394"/>
      <c r="BJN71" s="394"/>
      <c r="BJO71" s="394"/>
      <c r="BJP71" s="394"/>
      <c r="BJQ71" s="394"/>
      <c r="BJR71" s="394"/>
      <c r="BJS71" s="394"/>
      <c r="BJT71" s="394"/>
      <c r="BJU71" s="394"/>
      <c r="BJV71" s="394"/>
      <c r="BJW71" s="394"/>
      <c r="BJX71" s="394"/>
      <c r="BJY71" s="394"/>
      <c r="BJZ71" s="394"/>
      <c r="BKA71" s="394"/>
      <c r="BKB71" s="394"/>
      <c r="BKC71" s="394"/>
      <c r="BKD71" s="394"/>
      <c r="BKE71" s="394"/>
      <c r="BKF71" s="394"/>
      <c r="BKG71" s="394"/>
      <c r="BKH71" s="394"/>
      <c r="BKI71" s="394"/>
      <c r="BKJ71" s="394"/>
      <c r="BKK71" s="394"/>
      <c r="BKL71" s="394"/>
      <c r="BKM71" s="394"/>
      <c r="BKN71" s="394"/>
      <c r="BKO71" s="394"/>
      <c r="BKP71" s="394"/>
      <c r="BKQ71" s="394"/>
      <c r="BKR71" s="394"/>
      <c r="BKS71" s="394"/>
      <c r="BKT71" s="394"/>
      <c r="BKU71" s="394"/>
      <c r="BKV71" s="394"/>
      <c r="BKW71" s="394"/>
      <c r="BKX71" s="394"/>
      <c r="BKY71" s="394"/>
      <c r="BKZ71" s="394"/>
      <c r="BLA71" s="394"/>
      <c r="BLB71" s="394"/>
      <c r="BLC71" s="394"/>
      <c r="BLD71" s="394"/>
      <c r="BLE71" s="394"/>
      <c r="BLF71" s="394"/>
      <c r="BLG71" s="394"/>
      <c r="BLH71" s="394"/>
      <c r="BLI71" s="394"/>
      <c r="BLJ71" s="394"/>
      <c r="BLK71" s="394"/>
      <c r="BLL71" s="394"/>
      <c r="BLM71" s="394"/>
      <c r="BLN71" s="394"/>
      <c r="BLO71" s="394"/>
      <c r="BLP71" s="394"/>
      <c r="BLQ71" s="394"/>
      <c r="BLR71" s="394"/>
      <c r="BLS71" s="394"/>
      <c r="BLT71" s="394"/>
      <c r="BLU71" s="394"/>
      <c r="BLV71" s="394"/>
      <c r="BLW71" s="394"/>
      <c r="BLX71" s="394"/>
      <c r="BLY71" s="394"/>
      <c r="BLZ71" s="394"/>
      <c r="BMA71" s="394"/>
      <c r="BMB71" s="394"/>
      <c r="BMC71" s="394"/>
      <c r="BMD71" s="394"/>
      <c r="BME71" s="394"/>
      <c r="BMF71" s="394"/>
      <c r="BMG71" s="394"/>
      <c r="BMH71" s="394"/>
      <c r="BMI71" s="394"/>
      <c r="BMJ71" s="394"/>
      <c r="BMK71" s="394"/>
      <c r="BML71" s="394"/>
      <c r="BMM71" s="394"/>
      <c r="BMN71" s="394"/>
      <c r="BMO71" s="394"/>
      <c r="BMP71" s="394"/>
      <c r="BMQ71" s="394"/>
      <c r="BMR71" s="394"/>
      <c r="BMS71" s="394"/>
      <c r="BMT71" s="394"/>
      <c r="BMU71" s="394"/>
      <c r="BMV71" s="394"/>
      <c r="BMW71" s="394"/>
      <c r="BMX71" s="394"/>
      <c r="BMY71" s="394"/>
      <c r="BMZ71" s="394"/>
      <c r="BNA71" s="394"/>
      <c r="BNB71" s="394"/>
      <c r="BNC71" s="394"/>
      <c r="BND71" s="394"/>
      <c r="BNE71" s="394"/>
      <c r="BNF71" s="394"/>
      <c r="BNG71" s="394"/>
      <c r="BNH71" s="394"/>
      <c r="BNI71" s="394"/>
      <c r="BNJ71" s="394"/>
      <c r="BNK71" s="394"/>
      <c r="BNL71" s="394"/>
      <c r="BNM71" s="394"/>
      <c r="BNN71" s="394"/>
      <c r="BNO71" s="394"/>
      <c r="BNP71" s="394"/>
      <c r="BNQ71" s="394"/>
      <c r="BNR71" s="394"/>
      <c r="BNS71" s="394"/>
      <c r="BNT71" s="394"/>
      <c r="BNU71" s="394"/>
      <c r="BNV71" s="394"/>
      <c r="BNW71" s="394"/>
      <c r="BNX71" s="394"/>
      <c r="BNY71" s="394"/>
      <c r="BNZ71" s="394"/>
      <c r="BOA71" s="394"/>
      <c r="BOB71" s="394"/>
      <c r="BOC71" s="394"/>
      <c r="BOD71" s="394"/>
      <c r="BOE71" s="394"/>
      <c r="BOF71" s="394"/>
      <c r="BOG71" s="394"/>
      <c r="BOH71" s="394"/>
      <c r="BOI71" s="394"/>
      <c r="BOJ71" s="394"/>
      <c r="BOK71" s="394"/>
      <c r="BOL71" s="394"/>
      <c r="BOM71" s="394"/>
      <c r="BON71" s="394"/>
      <c r="BOO71" s="394"/>
      <c r="BOP71" s="394"/>
      <c r="BOQ71" s="394"/>
      <c r="BOR71" s="394"/>
      <c r="BOS71" s="394"/>
      <c r="BOT71" s="394"/>
      <c r="BOU71" s="394"/>
      <c r="BOV71" s="394"/>
      <c r="BOW71" s="394"/>
      <c r="BOX71" s="394"/>
      <c r="BOY71" s="394"/>
      <c r="BOZ71" s="394"/>
      <c r="BPA71" s="394"/>
      <c r="BPB71" s="394"/>
      <c r="BPC71" s="394"/>
      <c r="BPD71" s="394"/>
      <c r="BPE71" s="394"/>
      <c r="BPF71" s="394"/>
      <c r="BPG71" s="394"/>
      <c r="BPH71" s="394"/>
      <c r="BPI71" s="394"/>
      <c r="BPJ71" s="394"/>
      <c r="BPK71" s="394"/>
      <c r="BPL71" s="394"/>
      <c r="BPM71" s="394"/>
      <c r="BPN71" s="394"/>
      <c r="BPO71" s="394"/>
      <c r="BPP71" s="394"/>
      <c r="BPQ71" s="394"/>
      <c r="BPR71" s="394"/>
      <c r="BPS71" s="394"/>
      <c r="BPT71" s="394"/>
      <c r="BPU71" s="394"/>
      <c r="BPV71" s="394"/>
      <c r="BPW71" s="394"/>
      <c r="BPX71" s="394"/>
      <c r="BPY71" s="394"/>
      <c r="BPZ71" s="394"/>
      <c r="BQA71" s="394"/>
      <c r="BQB71" s="394"/>
      <c r="BQC71" s="394"/>
      <c r="BQD71" s="394"/>
      <c r="BQE71" s="394"/>
      <c r="BQF71" s="394"/>
      <c r="BQG71" s="394"/>
      <c r="BQH71" s="394"/>
      <c r="BQI71" s="394"/>
      <c r="BQJ71" s="394"/>
      <c r="BQK71" s="394"/>
      <c r="BQL71" s="394"/>
      <c r="BQM71" s="394"/>
      <c r="BQN71" s="394"/>
      <c r="BQO71" s="394"/>
      <c r="BQP71" s="394"/>
      <c r="BQQ71" s="394"/>
      <c r="BQR71" s="394"/>
      <c r="BQS71" s="394"/>
      <c r="BQT71" s="394"/>
      <c r="BQU71" s="394"/>
      <c r="BQV71" s="394"/>
      <c r="BQW71" s="394"/>
      <c r="BQX71" s="394"/>
      <c r="BQY71" s="394"/>
      <c r="BQZ71" s="394"/>
      <c r="BRA71" s="394"/>
      <c r="BRB71" s="394"/>
      <c r="BRC71" s="394"/>
      <c r="BRD71" s="394"/>
      <c r="BRE71" s="394"/>
      <c r="BRF71" s="394"/>
      <c r="BRG71" s="394"/>
      <c r="BRH71" s="394"/>
      <c r="BRI71" s="394"/>
      <c r="BRJ71" s="394"/>
      <c r="BRK71" s="394"/>
      <c r="BRL71" s="394"/>
      <c r="BRM71" s="394"/>
      <c r="BRN71" s="394"/>
      <c r="BRO71" s="394"/>
      <c r="BRP71" s="394"/>
      <c r="BRQ71" s="394"/>
      <c r="BRR71" s="394"/>
      <c r="BRS71" s="394"/>
      <c r="BRT71" s="394"/>
      <c r="BRU71" s="394"/>
      <c r="BRV71" s="394"/>
      <c r="BRW71" s="394"/>
      <c r="BRX71" s="394"/>
      <c r="BRY71" s="394"/>
      <c r="BRZ71" s="394"/>
      <c r="BSA71" s="394"/>
      <c r="BSB71" s="394"/>
      <c r="BSC71" s="394"/>
      <c r="BSD71" s="394"/>
      <c r="BSE71" s="394"/>
      <c r="BSF71" s="394"/>
      <c r="BSG71" s="394"/>
      <c r="BSH71" s="394"/>
      <c r="BSI71" s="394"/>
      <c r="BSJ71" s="394"/>
      <c r="BSK71" s="394"/>
      <c r="BSL71" s="394"/>
      <c r="BSM71" s="394"/>
      <c r="BSN71" s="394"/>
      <c r="BSO71" s="394"/>
      <c r="BSP71" s="394"/>
      <c r="BSQ71" s="394"/>
      <c r="BSR71" s="394"/>
      <c r="BSS71" s="394"/>
      <c r="BST71" s="394"/>
      <c r="BSU71" s="394"/>
      <c r="BSV71" s="394"/>
      <c r="BSW71" s="394"/>
      <c r="BSX71" s="394"/>
      <c r="BSY71" s="394"/>
      <c r="BSZ71" s="394"/>
      <c r="BTA71" s="394"/>
      <c r="BTB71" s="394"/>
      <c r="BTC71" s="394"/>
      <c r="BTD71" s="394"/>
      <c r="BTE71" s="394"/>
      <c r="BTF71" s="394"/>
      <c r="BTG71" s="394"/>
      <c r="BTH71" s="394"/>
      <c r="BTI71" s="394"/>
    </row>
    <row r="72" spans="1:1881" ht="101.25" customHeight="1" x14ac:dyDescent="0.25">
      <c r="A72" s="188">
        <v>507</v>
      </c>
      <c r="B72" s="64" t="s">
        <v>67</v>
      </c>
      <c r="C72" s="159" t="s">
        <v>165</v>
      </c>
      <c r="D72" s="335" t="s">
        <v>779</v>
      </c>
      <c r="E72" s="32" t="e">
        <f>HLOOKUP($D$2,'2019 Data(H)'!$C$1:$CP$300,157,FALSE)</f>
        <v>#N/A</v>
      </c>
      <c r="F72" s="624"/>
      <c r="G72" s="395" t="e">
        <f>IF(F57-F70-F72=E57,,"Error: Beginning Balance does not agree with our records.  Cell F57-F70-F72=E57  The amount of the formula is in the cell to the right")</f>
        <v>#N/A</v>
      </c>
      <c r="H72" s="192" t="e">
        <f>+F57-F70-F72-E57</f>
        <v>#N/A</v>
      </c>
      <c r="I72" s="31"/>
      <c r="L72" s="833" t="s">
        <v>1164</v>
      </c>
      <c r="M72" s="610"/>
      <c r="N72" s="635"/>
    </row>
    <row r="73" spans="1:1881" s="378" customFormat="1" ht="79.5" customHeight="1" x14ac:dyDescent="0.25">
      <c r="A73" s="455">
        <v>647</v>
      </c>
      <c r="B73" s="456" t="s">
        <v>830</v>
      </c>
      <c r="C73" s="452" t="s">
        <v>833</v>
      </c>
      <c r="D73" s="459" t="s">
        <v>834</v>
      </c>
      <c r="E73" s="454" t="s">
        <v>832</v>
      </c>
      <c r="F73" s="624"/>
      <c r="G73" s="395">
        <f>IF(F73&lt;0,"Error: Enter as positive.",)</f>
        <v>0</v>
      </c>
      <c r="H73" s="460"/>
      <c r="I73" s="319"/>
      <c r="J73" s="394"/>
      <c r="K73" s="394"/>
      <c r="L73" s="833" t="s">
        <v>1165</v>
      </c>
      <c r="M73" s="610"/>
      <c r="N73" s="635"/>
      <c r="O73" s="394"/>
      <c r="P73" s="394"/>
      <c r="Q73" s="394"/>
      <c r="R73" s="394"/>
      <c r="S73" s="394"/>
      <c r="T73" s="394"/>
      <c r="U73" s="394"/>
      <c r="V73" s="394"/>
      <c r="W73" s="394"/>
      <c r="X73" s="394"/>
      <c r="Y73" s="394"/>
      <c r="Z73" s="394"/>
      <c r="AA73" s="394"/>
      <c r="AB73" s="394"/>
      <c r="AC73" s="394"/>
      <c r="AD73" s="394"/>
      <c r="AE73" s="394"/>
      <c r="AF73" s="394"/>
      <c r="AG73" s="394"/>
      <c r="AH73" s="394"/>
      <c r="AI73" s="394"/>
      <c r="AJ73" s="394"/>
      <c r="AK73" s="394"/>
      <c r="AL73" s="394"/>
      <c r="AM73" s="394"/>
      <c r="AN73" s="394"/>
      <c r="AO73" s="394"/>
      <c r="AP73" s="394"/>
      <c r="AQ73" s="394"/>
      <c r="AR73" s="394"/>
      <c r="AS73" s="394"/>
      <c r="AT73" s="394"/>
      <c r="AU73" s="394"/>
      <c r="AV73" s="394"/>
      <c r="AW73" s="394"/>
      <c r="AX73" s="394"/>
      <c r="AY73" s="394"/>
      <c r="AZ73" s="394"/>
      <c r="BA73" s="394"/>
      <c r="BB73" s="394"/>
      <c r="BC73" s="394"/>
      <c r="BD73" s="394"/>
      <c r="BE73" s="394"/>
      <c r="BF73" s="394"/>
      <c r="BG73" s="394"/>
      <c r="BH73" s="394"/>
      <c r="BI73" s="394"/>
      <c r="BJ73" s="394"/>
      <c r="BK73" s="394"/>
      <c r="BL73" s="394"/>
      <c r="BM73" s="394"/>
      <c r="BN73" s="394"/>
      <c r="BO73" s="394"/>
      <c r="BP73" s="394"/>
      <c r="BQ73" s="394"/>
      <c r="BR73" s="394"/>
      <c r="BS73" s="394"/>
      <c r="BT73" s="394"/>
      <c r="BU73" s="394"/>
      <c r="BV73" s="394"/>
      <c r="BW73" s="394"/>
      <c r="BX73" s="394"/>
      <c r="BY73" s="394"/>
      <c r="BZ73" s="394"/>
      <c r="CA73" s="394"/>
      <c r="CB73" s="394"/>
      <c r="CC73" s="394"/>
      <c r="CD73" s="394"/>
      <c r="CE73" s="394"/>
      <c r="CF73" s="394"/>
      <c r="CG73" s="394"/>
      <c r="CH73" s="394"/>
      <c r="CI73" s="394"/>
      <c r="CJ73" s="394"/>
      <c r="CK73" s="394"/>
      <c r="CL73" s="394"/>
      <c r="CM73" s="394"/>
      <c r="CN73" s="394"/>
      <c r="CO73" s="394"/>
      <c r="CP73" s="394"/>
      <c r="CQ73" s="394"/>
      <c r="CR73" s="394"/>
      <c r="CS73" s="394"/>
      <c r="CT73" s="394"/>
      <c r="CU73" s="394"/>
      <c r="CV73" s="394"/>
      <c r="CW73" s="394"/>
      <c r="CX73" s="394"/>
      <c r="CY73" s="394"/>
      <c r="CZ73" s="394"/>
      <c r="DA73" s="394"/>
      <c r="DB73" s="394"/>
      <c r="DC73" s="394"/>
      <c r="DD73" s="394"/>
      <c r="DE73" s="394"/>
      <c r="DF73" s="394"/>
      <c r="DG73" s="394"/>
      <c r="DH73" s="394"/>
      <c r="DI73" s="394"/>
      <c r="DJ73" s="394"/>
      <c r="DK73" s="394"/>
      <c r="DL73" s="394"/>
      <c r="DM73" s="394"/>
      <c r="DN73" s="394"/>
      <c r="DO73" s="394"/>
      <c r="DP73" s="394"/>
      <c r="DQ73" s="394"/>
      <c r="DR73" s="394"/>
      <c r="DS73" s="394"/>
      <c r="DT73" s="394"/>
      <c r="DU73" s="394"/>
      <c r="DV73" s="394"/>
      <c r="DW73" s="394"/>
      <c r="DX73" s="394"/>
      <c r="DY73" s="394"/>
      <c r="DZ73" s="394"/>
      <c r="EA73" s="394"/>
      <c r="EB73" s="394"/>
      <c r="EC73" s="394"/>
      <c r="ED73" s="394"/>
      <c r="EE73" s="394"/>
      <c r="EF73" s="394"/>
      <c r="EG73" s="394"/>
      <c r="EH73" s="394"/>
      <c r="EI73" s="394"/>
      <c r="EJ73" s="394"/>
      <c r="EK73" s="394"/>
      <c r="EL73" s="394"/>
      <c r="EM73" s="394"/>
      <c r="EN73" s="394"/>
      <c r="EO73" s="394"/>
      <c r="EP73" s="394"/>
      <c r="EQ73" s="394"/>
      <c r="ER73" s="394"/>
      <c r="ES73" s="394"/>
      <c r="ET73" s="394"/>
      <c r="EU73" s="394"/>
      <c r="EV73" s="394"/>
      <c r="EW73" s="394"/>
      <c r="EX73" s="394"/>
      <c r="EY73" s="394"/>
      <c r="EZ73" s="394"/>
      <c r="FA73" s="394"/>
      <c r="FB73" s="394"/>
      <c r="FC73" s="394"/>
      <c r="FD73" s="394"/>
      <c r="FE73" s="394"/>
      <c r="FF73" s="394"/>
      <c r="FG73" s="394"/>
      <c r="FH73" s="394"/>
      <c r="FI73" s="394"/>
      <c r="FJ73" s="394"/>
      <c r="FK73" s="394"/>
      <c r="FL73" s="394"/>
      <c r="FM73" s="394"/>
      <c r="FN73" s="394"/>
      <c r="FO73" s="394"/>
      <c r="FP73" s="394"/>
      <c r="FQ73" s="394"/>
      <c r="FR73" s="394"/>
      <c r="FS73" s="394"/>
      <c r="FT73" s="394"/>
      <c r="FU73" s="394"/>
      <c r="FV73" s="394"/>
      <c r="FW73" s="394"/>
      <c r="FX73" s="394"/>
      <c r="FY73" s="394"/>
      <c r="FZ73" s="394"/>
      <c r="GA73" s="394"/>
      <c r="GB73" s="394"/>
      <c r="GC73" s="394"/>
      <c r="GD73" s="394"/>
      <c r="GE73" s="394"/>
      <c r="GF73" s="394"/>
      <c r="GG73" s="394"/>
      <c r="GH73" s="394"/>
      <c r="GI73" s="394"/>
      <c r="GJ73" s="394"/>
      <c r="GK73" s="394"/>
      <c r="GL73" s="394"/>
      <c r="GM73" s="394"/>
      <c r="GN73" s="394"/>
      <c r="GO73" s="394"/>
      <c r="GP73" s="394"/>
      <c r="GQ73" s="394"/>
      <c r="GR73" s="394"/>
      <c r="GS73" s="394"/>
      <c r="GT73" s="394"/>
      <c r="GU73" s="394"/>
      <c r="GV73" s="394"/>
      <c r="GW73" s="394"/>
      <c r="GX73" s="394"/>
      <c r="GY73" s="394"/>
      <c r="GZ73" s="394"/>
      <c r="HA73" s="394"/>
      <c r="HB73" s="394"/>
      <c r="HC73" s="394"/>
      <c r="HD73" s="394"/>
      <c r="HE73" s="394"/>
      <c r="HF73" s="394"/>
      <c r="HG73" s="394"/>
      <c r="HH73" s="394"/>
      <c r="HI73" s="394"/>
      <c r="HJ73" s="394"/>
      <c r="HK73" s="394"/>
      <c r="HL73" s="394"/>
      <c r="HM73" s="394"/>
      <c r="HN73" s="394"/>
      <c r="HO73" s="394"/>
      <c r="HP73" s="394"/>
      <c r="HQ73" s="394"/>
      <c r="HR73" s="394"/>
      <c r="HS73" s="394"/>
      <c r="HT73" s="394"/>
      <c r="HU73" s="394"/>
      <c r="HV73" s="394"/>
      <c r="HW73" s="394"/>
      <c r="HX73" s="394"/>
      <c r="HY73" s="394"/>
      <c r="HZ73" s="394"/>
      <c r="IA73" s="394"/>
      <c r="IB73" s="394"/>
      <c r="IC73" s="394"/>
      <c r="ID73" s="394"/>
      <c r="IE73" s="394"/>
      <c r="IF73" s="394"/>
      <c r="IG73" s="394"/>
      <c r="IH73" s="394"/>
      <c r="II73" s="394"/>
      <c r="IJ73" s="394"/>
      <c r="IK73" s="394"/>
      <c r="IL73" s="394"/>
      <c r="IM73" s="394"/>
      <c r="IN73" s="394"/>
      <c r="IO73" s="394"/>
      <c r="IP73" s="394"/>
      <c r="IQ73" s="394"/>
      <c r="IR73" s="394"/>
      <c r="IS73" s="394"/>
      <c r="IT73" s="394"/>
      <c r="IU73" s="394"/>
      <c r="IV73" s="394"/>
      <c r="IW73" s="394"/>
      <c r="IX73" s="394"/>
      <c r="IY73" s="394"/>
      <c r="IZ73" s="394"/>
      <c r="JA73" s="394"/>
      <c r="JB73" s="394"/>
      <c r="JC73" s="394"/>
      <c r="JD73" s="394"/>
      <c r="JE73" s="394"/>
      <c r="JF73" s="394"/>
      <c r="JG73" s="394"/>
      <c r="JH73" s="394"/>
      <c r="JI73" s="394"/>
      <c r="JJ73" s="394"/>
      <c r="JK73" s="394"/>
      <c r="JL73" s="394"/>
      <c r="JM73" s="394"/>
      <c r="JN73" s="394"/>
      <c r="JO73" s="394"/>
      <c r="JP73" s="394"/>
      <c r="JQ73" s="394"/>
      <c r="JR73" s="394"/>
      <c r="JS73" s="394"/>
      <c r="JT73" s="394"/>
      <c r="JU73" s="394"/>
      <c r="JV73" s="394"/>
      <c r="JW73" s="394"/>
      <c r="JX73" s="394"/>
      <c r="JY73" s="394"/>
      <c r="JZ73" s="394"/>
      <c r="KA73" s="394"/>
      <c r="KB73" s="394"/>
      <c r="KC73" s="394"/>
      <c r="KD73" s="394"/>
      <c r="KE73" s="394"/>
      <c r="KF73" s="394"/>
      <c r="KG73" s="394"/>
      <c r="KH73" s="394"/>
      <c r="KI73" s="394"/>
      <c r="KJ73" s="394"/>
      <c r="KK73" s="394"/>
      <c r="KL73" s="394"/>
      <c r="KM73" s="394"/>
      <c r="KN73" s="394"/>
      <c r="KO73" s="394"/>
      <c r="KP73" s="394"/>
      <c r="KQ73" s="394"/>
      <c r="KR73" s="394"/>
      <c r="KS73" s="394"/>
      <c r="KT73" s="394"/>
      <c r="KU73" s="394"/>
      <c r="KV73" s="394"/>
      <c r="KW73" s="394"/>
      <c r="KX73" s="394"/>
      <c r="KY73" s="394"/>
      <c r="KZ73" s="394"/>
      <c r="LA73" s="394"/>
      <c r="LB73" s="394"/>
      <c r="LC73" s="394"/>
      <c r="LD73" s="394"/>
      <c r="LE73" s="394"/>
      <c r="LF73" s="394"/>
      <c r="LG73" s="394"/>
      <c r="LH73" s="394"/>
      <c r="LI73" s="394"/>
      <c r="LJ73" s="394"/>
      <c r="LK73" s="394"/>
      <c r="LL73" s="394"/>
      <c r="LM73" s="394"/>
      <c r="LN73" s="394"/>
      <c r="LO73" s="394"/>
      <c r="LP73" s="394"/>
      <c r="LQ73" s="394"/>
      <c r="LR73" s="394"/>
      <c r="LS73" s="394"/>
      <c r="LT73" s="394"/>
      <c r="LU73" s="394"/>
      <c r="LV73" s="394"/>
      <c r="LW73" s="394"/>
      <c r="LX73" s="394"/>
      <c r="LY73" s="394"/>
      <c r="LZ73" s="394"/>
      <c r="MA73" s="394"/>
      <c r="MB73" s="394"/>
      <c r="MC73" s="394"/>
      <c r="MD73" s="394"/>
      <c r="ME73" s="394"/>
      <c r="MF73" s="394"/>
      <c r="MG73" s="394"/>
      <c r="MH73" s="394"/>
      <c r="MI73" s="394"/>
      <c r="MJ73" s="394"/>
      <c r="MK73" s="394"/>
      <c r="ML73" s="394"/>
      <c r="MM73" s="394"/>
      <c r="MN73" s="394"/>
      <c r="MO73" s="394"/>
      <c r="MP73" s="394"/>
      <c r="MQ73" s="394"/>
      <c r="MR73" s="394"/>
      <c r="MS73" s="394"/>
      <c r="MT73" s="394"/>
      <c r="MU73" s="394"/>
      <c r="MV73" s="394"/>
      <c r="MW73" s="394"/>
      <c r="MX73" s="394"/>
      <c r="MY73" s="394"/>
      <c r="MZ73" s="394"/>
      <c r="NA73" s="394"/>
      <c r="NB73" s="394"/>
      <c r="NC73" s="394"/>
      <c r="ND73" s="394"/>
      <c r="NE73" s="394"/>
      <c r="NF73" s="394"/>
      <c r="NG73" s="394"/>
      <c r="NH73" s="394"/>
      <c r="NI73" s="394"/>
      <c r="NJ73" s="394"/>
      <c r="NK73" s="394"/>
      <c r="NL73" s="394"/>
      <c r="NM73" s="394"/>
      <c r="NN73" s="394"/>
      <c r="NO73" s="394"/>
      <c r="NP73" s="394"/>
      <c r="NQ73" s="394"/>
      <c r="NR73" s="394"/>
      <c r="NS73" s="394"/>
      <c r="NT73" s="394"/>
      <c r="NU73" s="394"/>
      <c r="NV73" s="394"/>
      <c r="NW73" s="394"/>
      <c r="NX73" s="394"/>
      <c r="NY73" s="394"/>
      <c r="NZ73" s="394"/>
      <c r="OA73" s="394"/>
      <c r="OB73" s="394"/>
      <c r="OC73" s="394"/>
      <c r="OD73" s="394"/>
      <c r="OE73" s="394"/>
      <c r="OF73" s="394"/>
      <c r="OG73" s="394"/>
      <c r="OH73" s="394"/>
      <c r="OI73" s="394"/>
      <c r="OJ73" s="394"/>
      <c r="OK73" s="394"/>
      <c r="OL73" s="394"/>
      <c r="OM73" s="394"/>
      <c r="ON73" s="394"/>
      <c r="OO73" s="394"/>
      <c r="OP73" s="394"/>
      <c r="OQ73" s="394"/>
      <c r="OR73" s="394"/>
      <c r="OS73" s="394"/>
      <c r="OT73" s="394"/>
      <c r="OU73" s="394"/>
      <c r="OV73" s="394"/>
      <c r="OW73" s="394"/>
      <c r="OX73" s="394"/>
      <c r="OY73" s="394"/>
      <c r="OZ73" s="394"/>
      <c r="PA73" s="394"/>
      <c r="PB73" s="394"/>
      <c r="PC73" s="394"/>
      <c r="PD73" s="394"/>
      <c r="PE73" s="394"/>
      <c r="PF73" s="394"/>
      <c r="PG73" s="394"/>
      <c r="PH73" s="394"/>
      <c r="PI73" s="394"/>
      <c r="PJ73" s="394"/>
      <c r="PK73" s="394"/>
      <c r="PL73" s="394"/>
      <c r="PM73" s="394"/>
      <c r="PN73" s="394"/>
      <c r="PO73" s="394"/>
      <c r="PP73" s="394"/>
      <c r="PQ73" s="394"/>
      <c r="PR73" s="394"/>
      <c r="PS73" s="394"/>
      <c r="PT73" s="394"/>
      <c r="PU73" s="394"/>
      <c r="PV73" s="394"/>
      <c r="PW73" s="394"/>
      <c r="PX73" s="394"/>
      <c r="PY73" s="394"/>
      <c r="PZ73" s="394"/>
      <c r="QA73" s="394"/>
      <c r="QB73" s="394"/>
      <c r="QC73" s="394"/>
      <c r="QD73" s="394"/>
      <c r="QE73" s="394"/>
      <c r="QF73" s="394"/>
      <c r="QG73" s="394"/>
      <c r="QH73" s="394"/>
      <c r="QI73" s="394"/>
      <c r="QJ73" s="394"/>
      <c r="QK73" s="394"/>
      <c r="QL73" s="394"/>
      <c r="QM73" s="394"/>
      <c r="QN73" s="394"/>
      <c r="QO73" s="394"/>
      <c r="QP73" s="394"/>
      <c r="QQ73" s="394"/>
      <c r="QR73" s="394"/>
      <c r="QS73" s="394"/>
      <c r="QT73" s="394"/>
      <c r="QU73" s="394"/>
      <c r="QV73" s="394"/>
      <c r="QW73" s="394"/>
      <c r="QX73" s="394"/>
      <c r="QY73" s="394"/>
      <c r="QZ73" s="394"/>
      <c r="RA73" s="394"/>
      <c r="RB73" s="394"/>
      <c r="RC73" s="394"/>
      <c r="RD73" s="394"/>
      <c r="RE73" s="394"/>
      <c r="RF73" s="394"/>
      <c r="RG73" s="394"/>
      <c r="RH73" s="394"/>
      <c r="RI73" s="394"/>
      <c r="RJ73" s="394"/>
      <c r="RK73" s="394"/>
      <c r="RL73" s="394"/>
      <c r="RM73" s="394"/>
      <c r="RN73" s="394"/>
      <c r="RO73" s="394"/>
      <c r="RP73" s="394"/>
      <c r="RQ73" s="394"/>
      <c r="RR73" s="394"/>
      <c r="RS73" s="394"/>
      <c r="RT73" s="394"/>
      <c r="RU73" s="394"/>
      <c r="RV73" s="394"/>
      <c r="RW73" s="394"/>
      <c r="RX73" s="394"/>
      <c r="RY73" s="394"/>
      <c r="RZ73" s="394"/>
      <c r="SA73" s="394"/>
      <c r="SB73" s="394"/>
      <c r="SC73" s="394"/>
      <c r="SD73" s="394"/>
      <c r="SE73" s="394"/>
      <c r="SF73" s="394"/>
      <c r="SG73" s="394"/>
      <c r="SH73" s="394"/>
      <c r="SI73" s="394"/>
      <c r="SJ73" s="394"/>
      <c r="SK73" s="394"/>
      <c r="SL73" s="394"/>
      <c r="SM73" s="394"/>
      <c r="SN73" s="394"/>
      <c r="SO73" s="394"/>
      <c r="SP73" s="394"/>
      <c r="SQ73" s="394"/>
      <c r="SR73" s="394"/>
      <c r="SS73" s="394"/>
      <c r="ST73" s="394"/>
      <c r="SU73" s="394"/>
      <c r="SV73" s="394"/>
      <c r="SW73" s="394"/>
      <c r="SX73" s="394"/>
      <c r="SY73" s="394"/>
      <c r="SZ73" s="394"/>
      <c r="TA73" s="394"/>
      <c r="TB73" s="394"/>
      <c r="TC73" s="394"/>
      <c r="TD73" s="394"/>
      <c r="TE73" s="394"/>
      <c r="TF73" s="394"/>
      <c r="TG73" s="394"/>
      <c r="TH73" s="394"/>
      <c r="TI73" s="394"/>
      <c r="TJ73" s="394"/>
      <c r="TK73" s="394"/>
      <c r="TL73" s="394"/>
      <c r="TM73" s="394"/>
      <c r="TN73" s="394"/>
      <c r="TO73" s="394"/>
      <c r="TP73" s="394"/>
      <c r="TQ73" s="394"/>
      <c r="TR73" s="394"/>
      <c r="TS73" s="394"/>
      <c r="TT73" s="394"/>
      <c r="TU73" s="394"/>
      <c r="TV73" s="394"/>
      <c r="TW73" s="394"/>
      <c r="TX73" s="394"/>
      <c r="TY73" s="394"/>
      <c r="TZ73" s="394"/>
      <c r="UA73" s="394"/>
      <c r="UB73" s="394"/>
      <c r="UC73" s="394"/>
      <c r="UD73" s="394"/>
      <c r="UE73" s="394"/>
      <c r="UF73" s="394"/>
      <c r="UG73" s="394"/>
      <c r="UH73" s="394"/>
      <c r="UI73" s="394"/>
      <c r="UJ73" s="394"/>
      <c r="UK73" s="394"/>
      <c r="UL73" s="394"/>
      <c r="UM73" s="394"/>
      <c r="UN73" s="394"/>
      <c r="UO73" s="394"/>
      <c r="UP73" s="394"/>
      <c r="UQ73" s="394"/>
      <c r="UR73" s="394"/>
      <c r="US73" s="394"/>
      <c r="UT73" s="394"/>
      <c r="UU73" s="394"/>
      <c r="UV73" s="394"/>
      <c r="UW73" s="394"/>
      <c r="UX73" s="394"/>
      <c r="UY73" s="394"/>
      <c r="UZ73" s="394"/>
      <c r="VA73" s="394"/>
      <c r="VB73" s="394"/>
      <c r="VC73" s="394"/>
      <c r="VD73" s="394"/>
      <c r="VE73" s="394"/>
      <c r="VF73" s="394"/>
      <c r="VG73" s="394"/>
      <c r="VH73" s="394"/>
      <c r="VI73" s="394"/>
      <c r="VJ73" s="394"/>
      <c r="VK73" s="394"/>
      <c r="VL73" s="394"/>
      <c r="VM73" s="394"/>
      <c r="VN73" s="394"/>
      <c r="VO73" s="394"/>
      <c r="VP73" s="394"/>
      <c r="VQ73" s="394"/>
      <c r="VR73" s="394"/>
      <c r="VS73" s="394"/>
      <c r="VT73" s="394"/>
      <c r="VU73" s="394"/>
      <c r="VV73" s="394"/>
      <c r="VW73" s="394"/>
      <c r="VX73" s="394"/>
      <c r="VY73" s="394"/>
      <c r="VZ73" s="394"/>
      <c r="WA73" s="394"/>
      <c r="WB73" s="394"/>
      <c r="WC73" s="394"/>
      <c r="WD73" s="394"/>
      <c r="WE73" s="394"/>
      <c r="WF73" s="394"/>
      <c r="WG73" s="394"/>
      <c r="WH73" s="394"/>
      <c r="WI73" s="394"/>
      <c r="WJ73" s="394"/>
      <c r="WK73" s="394"/>
      <c r="WL73" s="394"/>
      <c r="WM73" s="394"/>
      <c r="WN73" s="394"/>
      <c r="WO73" s="394"/>
      <c r="WP73" s="394"/>
      <c r="WQ73" s="394"/>
      <c r="WR73" s="394"/>
      <c r="WS73" s="394"/>
      <c r="WT73" s="394"/>
      <c r="WU73" s="394"/>
      <c r="WV73" s="394"/>
      <c r="WW73" s="394"/>
      <c r="WX73" s="394"/>
      <c r="WY73" s="394"/>
      <c r="WZ73" s="394"/>
      <c r="XA73" s="394"/>
      <c r="XB73" s="394"/>
      <c r="XC73" s="394"/>
      <c r="XD73" s="394"/>
      <c r="XE73" s="394"/>
      <c r="XF73" s="394"/>
      <c r="XG73" s="394"/>
      <c r="XH73" s="394"/>
      <c r="XI73" s="394"/>
      <c r="XJ73" s="394"/>
      <c r="XK73" s="394"/>
      <c r="XL73" s="394"/>
      <c r="XM73" s="394"/>
      <c r="XN73" s="394"/>
      <c r="XO73" s="394"/>
      <c r="XP73" s="394"/>
      <c r="XQ73" s="394"/>
      <c r="XR73" s="394"/>
      <c r="XS73" s="394"/>
      <c r="XT73" s="394"/>
      <c r="XU73" s="394"/>
      <c r="XV73" s="394"/>
      <c r="XW73" s="394"/>
      <c r="XX73" s="394"/>
      <c r="XY73" s="394"/>
      <c r="XZ73" s="394"/>
      <c r="YA73" s="394"/>
      <c r="YB73" s="394"/>
      <c r="YC73" s="394"/>
      <c r="YD73" s="394"/>
      <c r="YE73" s="394"/>
      <c r="YF73" s="394"/>
      <c r="YG73" s="394"/>
      <c r="YH73" s="394"/>
      <c r="YI73" s="394"/>
      <c r="YJ73" s="394"/>
      <c r="YK73" s="394"/>
      <c r="YL73" s="394"/>
      <c r="YM73" s="394"/>
      <c r="YN73" s="394"/>
      <c r="YO73" s="394"/>
      <c r="YP73" s="394"/>
      <c r="YQ73" s="394"/>
      <c r="YR73" s="394"/>
      <c r="YS73" s="394"/>
      <c r="YT73" s="394"/>
      <c r="YU73" s="394"/>
      <c r="YV73" s="394"/>
      <c r="YW73" s="394"/>
      <c r="YX73" s="394"/>
      <c r="YY73" s="394"/>
      <c r="YZ73" s="394"/>
      <c r="ZA73" s="394"/>
      <c r="ZB73" s="394"/>
      <c r="ZC73" s="394"/>
      <c r="ZD73" s="394"/>
      <c r="ZE73" s="394"/>
      <c r="ZF73" s="394"/>
      <c r="ZG73" s="394"/>
      <c r="ZH73" s="394"/>
      <c r="ZI73" s="394"/>
      <c r="ZJ73" s="394"/>
      <c r="ZK73" s="394"/>
      <c r="ZL73" s="394"/>
      <c r="ZM73" s="394"/>
      <c r="ZN73" s="394"/>
      <c r="ZO73" s="394"/>
      <c r="ZP73" s="394"/>
      <c r="ZQ73" s="394"/>
      <c r="ZR73" s="394"/>
      <c r="ZS73" s="394"/>
      <c r="ZT73" s="394"/>
      <c r="ZU73" s="394"/>
      <c r="ZV73" s="394"/>
      <c r="ZW73" s="394"/>
      <c r="ZX73" s="394"/>
      <c r="ZY73" s="394"/>
      <c r="ZZ73" s="394"/>
      <c r="AAA73" s="394"/>
      <c r="AAB73" s="394"/>
      <c r="AAC73" s="394"/>
      <c r="AAD73" s="394"/>
      <c r="AAE73" s="394"/>
      <c r="AAF73" s="394"/>
      <c r="AAG73" s="394"/>
      <c r="AAH73" s="394"/>
      <c r="AAI73" s="394"/>
      <c r="AAJ73" s="394"/>
      <c r="AAK73" s="394"/>
      <c r="AAL73" s="394"/>
      <c r="AAM73" s="394"/>
      <c r="AAN73" s="394"/>
      <c r="AAO73" s="394"/>
      <c r="AAP73" s="394"/>
      <c r="AAQ73" s="394"/>
      <c r="AAR73" s="394"/>
      <c r="AAS73" s="394"/>
      <c r="AAT73" s="394"/>
      <c r="AAU73" s="394"/>
      <c r="AAV73" s="394"/>
      <c r="AAW73" s="394"/>
      <c r="AAX73" s="394"/>
      <c r="AAY73" s="394"/>
      <c r="AAZ73" s="394"/>
      <c r="ABA73" s="394"/>
      <c r="ABB73" s="394"/>
      <c r="ABC73" s="394"/>
      <c r="ABD73" s="394"/>
      <c r="ABE73" s="394"/>
      <c r="ABF73" s="394"/>
      <c r="ABG73" s="394"/>
      <c r="ABH73" s="394"/>
      <c r="ABI73" s="394"/>
      <c r="ABJ73" s="394"/>
      <c r="ABK73" s="394"/>
      <c r="ABL73" s="394"/>
      <c r="ABM73" s="394"/>
      <c r="ABN73" s="394"/>
      <c r="ABO73" s="394"/>
      <c r="ABP73" s="394"/>
      <c r="ABQ73" s="394"/>
      <c r="ABR73" s="394"/>
      <c r="ABS73" s="394"/>
      <c r="ABT73" s="394"/>
      <c r="ABU73" s="394"/>
      <c r="ABV73" s="394"/>
      <c r="ABW73" s="394"/>
      <c r="ABX73" s="394"/>
      <c r="ABY73" s="394"/>
      <c r="ABZ73" s="394"/>
      <c r="ACA73" s="394"/>
      <c r="ACB73" s="394"/>
      <c r="ACC73" s="394"/>
      <c r="ACD73" s="394"/>
      <c r="ACE73" s="394"/>
      <c r="ACF73" s="394"/>
      <c r="ACG73" s="394"/>
      <c r="ACH73" s="394"/>
      <c r="ACI73" s="394"/>
      <c r="ACJ73" s="394"/>
      <c r="ACK73" s="394"/>
      <c r="ACL73" s="394"/>
      <c r="ACM73" s="394"/>
      <c r="ACN73" s="394"/>
      <c r="ACO73" s="394"/>
      <c r="ACP73" s="394"/>
      <c r="ACQ73" s="394"/>
      <c r="ACR73" s="394"/>
      <c r="ACS73" s="394"/>
      <c r="ACT73" s="394"/>
      <c r="ACU73" s="394"/>
      <c r="ACV73" s="394"/>
      <c r="ACW73" s="394"/>
      <c r="ACX73" s="394"/>
      <c r="ACY73" s="394"/>
      <c r="ACZ73" s="394"/>
      <c r="ADA73" s="394"/>
      <c r="ADB73" s="394"/>
      <c r="ADC73" s="394"/>
      <c r="ADD73" s="394"/>
      <c r="ADE73" s="394"/>
      <c r="ADF73" s="394"/>
      <c r="ADG73" s="394"/>
      <c r="ADH73" s="394"/>
      <c r="ADI73" s="394"/>
      <c r="ADJ73" s="394"/>
      <c r="ADK73" s="394"/>
      <c r="ADL73" s="394"/>
      <c r="ADM73" s="394"/>
      <c r="ADN73" s="394"/>
      <c r="ADO73" s="394"/>
      <c r="ADP73" s="394"/>
      <c r="ADQ73" s="394"/>
      <c r="ADR73" s="394"/>
      <c r="ADS73" s="394"/>
      <c r="ADT73" s="394"/>
      <c r="ADU73" s="394"/>
      <c r="ADV73" s="394"/>
      <c r="ADW73" s="394"/>
      <c r="ADX73" s="394"/>
      <c r="ADY73" s="394"/>
      <c r="ADZ73" s="394"/>
      <c r="AEA73" s="394"/>
      <c r="AEB73" s="394"/>
      <c r="AEC73" s="394"/>
      <c r="AED73" s="394"/>
      <c r="AEE73" s="394"/>
      <c r="AEF73" s="394"/>
      <c r="AEG73" s="394"/>
      <c r="AEH73" s="394"/>
      <c r="AEI73" s="394"/>
      <c r="AEJ73" s="394"/>
      <c r="AEK73" s="394"/>
      <c r="AEL73" s="394"/>
      <c r="AEM73" s="394"/>
      <c r="AEN73" s="394"/>
      <c r="AEO73" s="394"/>
      <c r="AEP73" s="394"/>
      <c r="AEQ73" s="394"/>
      <c r="AER73" s="394"/>
      <c r="AES73" s="394"/>
      <c r="AET73" s="394"/>
      <c r="AEU73" s="394"/>
      <c r="AEV73" s="394"/>
      <c r="AEW73" s="394"/>
      <c r="AEX73" s="394"/>
      <c r="AEY73" s="394"/>
      <c r="AEZ73" s="394"/>
      <c r="AFA73" s="394"/>
      <c r="AFB73" s="394"/>
      <c r="AFC73" s="394"/>
      <c r="AFD73" s="394"/>
      <c r="AFE73" s="394"/>
      <c r="AFF73" s="394"/>
      <c r="AFG73" s="394"/>
      <c r="AFH73" s="394"/>
      <c r="AFI73" s="394"/>
      <c r="AFJ73" s="394"/>
      <c r="AFK73" s="394"/>
      <c r="AFL73" s="394"/>
      <c r="AFM73" s="394"/>
      <c r="AFN73" s="394"/>
      <c r="AFO73" s="394"/>
      <c r="AFP73" s="394"/>
      <c r="AFQ73" s="394"/>
      <c r="AFR73" s="394"/>
      <c r="AFS73" s="394"/>
      <c r="AFT73" s="394"/>
      <c r="AFU73" s="394"/>
      <c r="AFV73" s="394"/>
      <c r="AFW73" s="394"/>
      <c r="AFX73" s="394"/>
      <c r="AFY73" s="394"/>
      <c r="AFZ73" s="394"/>
      <c r="AGA73" s="394"/>
      <c r="AGB73" s="394"/>
      <c r="AGC73" s="394"/>
      <c r="AGD73" s="394"/>
      <c r="AGE73" s="394"/>
      <c r="AGF73" s="394"/>
      <c r="AGG73" s="394"/>
      <c r="AGH73" s="394"/>
      <c r="AGI73" s="394"/>
      <c r="AGJ73" s="394"/>
      <c r="AGK73" s="394"/>
      <c r="AGL73" s="394"/>
      <c r="AGM73" s="394"/>
      <c r="AGN73" s="394"/>
      <c r="AGO73" s="394"/>
      <c r="AGP73" s="394"/>
      <c r="AGQ73" s="394"/>
      <c r="AGR73" s="394"/>
      <c r="AGS73" s="394"/>
      <c r="AGT73" s="394"/>
      <c r="AGU73" s="394"/>
      <c r="AGV73" s="394"/>
      <c r="AGW73" s="394"/>
      <c r="AGX73" s="394"/>
      <c r="AGY73" s="394"/>
      <c r="AGZ73" s="394"/>
      <c r="AHA73" s="394"/>
      <c r="AHB73" s="394"/>
      <c r="AHC73" s="394"/>
      <c r="AHD73" s="394"/>
      <c r="AHE73" s="394"/>
      <c r="AHF73" s="394"/>
      <c r="AHG73" s="394"/>
      <c r="AHH73" s="394"/>
      <c r="AHI73" s="394"/>
      <c r="AHJ73" s="394"/>
      <c r="AHK73" s="394"/>
      <c r="AHL73" s="394"/>
      <c r="AHM73" s="394"/>
      <c r="AHN73" s="394"/>
      <c r="AHO73" s="394"/>
      <c r="AHP73" s="394"/>
      <c r="AHQ73" s="394"/>
      <c r="AHR73" s="394"/>
      <c r="AHS73" s="394"/>
      <c r="AHT73" s="394"/>
      <c r="AHU73" s="394"/>
      <c r="AHV73" s="394"/>
      <c r="AHW73" s="394"/>
      <c r="AHX73" s="394"/>
      <c r="AHY73" s="394"/>
      <c r="AHZ73" s="394"/>
      <c r="AIA73" s="394"/>
      <c r="AIB73" s="394"/>
      <c r="AIC73" s="394"/>
      <c r="AID73" s="394"/>
      <c r="AIE73" s="394"/>
      <c r="AIF73" s="394"/>
      <c r="AIG73" s="394"/>
      <c r="AIH73" s="394"/>
      <c r="AII73" s="394"/>
      <c r="AIJ73" s="394"/>
      <c r="AIK73" s="394"/>
      <c r="AIL73" s="394"/>
      <c r="AIM73" s="394"/>
      <c r="AIN73" s="394"/>
      <c r="AIO73" s="394"/>
      <c r="AIP73" s="394"/>
      <c r="AIQ73" s="394"/>
      <c r="AIR73" s="394"/>
      <c r="AIS73" s="394"/>
      <c r="AIT73" s="394"/>
      <c r="AIU73" s="394"/>
      <c r="AIV73" s="394"/>
      <c r="AIW73" s="394"/>
      <c r="AIX73" s="394"/>
      <c r="AIY73" s="394"/>
      <c r="AIZ73" s="394"/>
      <c r="AJA73" s="394"/>
      <c r="AJB73" s="394"/>
      <c r="AJC73" s="394"/>
      <c r="AJD73" s="394"/>
      <c r="AJE73" s="394"/>
      <c r="AJF73" s="394"/>
      <c r="AJG73" s="394"/>
      <c r="AJH73" s="394"/>
      <c r="AJI73" s="394"/>
      <c r="AJJ73" s="394"/>
      <c r="AJK73" s="394"/>
      <c r="AJL73" s="394"/>
      <c r="AJM73" s="394"/>
      <c r="AJN73" s="394"/>
      <c r="AJO73" s="394"/>
      <c r="AJP73" s="394"/>
      <c r="AJQ73" s="394"/>
      <c r="AJR73" s="394"/>
      <c r="AJS73" s="394"/>
      <c r="AJT73" s="394"/>
      <c r="AJU73" s="394"/>
      <c r="AJV73" s="394"/>
      <c r="AJW73" s="394"/>
      <c r="AJX73" s="394"/>
      <c r="AJY73" s="394"/>
      <c r="AJZ73" s="394"/>
      <c r="AKA73" s="394"/>
      <c r="AKB73" s="394"/>
      <c r="AKC73" s="394"/>
      <c r="AKD73" s="394"/>
      <c r="AKE73" s="394"/>
      <c r="AKF73" s="394"/>
      <c r="AKG73" s="394"/>
      <c r="AKH73" s="394"/>
      <c r="AKI73" s="394"/>
      <c r="AKJ73" s="394"/>
      <c r="AKK73" s="394"/>
      <c r="AKL73" s="394"/>
      <c r="AKM73" s="394"/>
      <c r="AKN73" s="394"/>
      <c r="AKO73" s="394"/>
      <c r="AKP73" s="394"/>
      <c r="AKQ73" s="394"/>
      <c r="AKR73" s="394"/>
      <c r="AKS73" s="394"/>
      <c r="AKT73" s="394"/>
      <c r="AKU73" s="394"/>
      <c r="AKV73" s="394"/>
      <c r="AKW73" s="394"/>
      <c r="AKX73" s="394"/>
      <c r="AKY73" s="394"/>
      <c r="AKZ73" s="394"/>
      <c r="ALA73" s="394"/>
      <c r="ALB73" s="394"/>
      <c r="ALC73" s="394"/>
      <c r="ALD73" s="394"/>
      <c r="ALE73" s="394"/>
      <c r="ALF73" s="394"/>
      <c r="ALG73" s="394"/>
      <c r="ALH73" s="394"/>
      <c r="ALI73" s="394"/>
      <c r="ALJ73" s="394"/>
      <c r="ALK73" s="394"/>
      <c r="ALL73" s="394"/>
      <c r="ALM73" s="394"/>
      <c r="ALN73" s="394"/>
      <c r="ALO73" s="394"/>
      <c r="ALP73" s="394"/>
      <c r="ALQ73" s="394"/>
      <c r="ALR73" s="394"/>
      <c r="ALS73" s="394"/>
      <c r="ALT73" s="394"/>
      <c r="ALU73" s="394"/>
      <c r="ALV73" s="394"/>
      <c r="ALW73" s="394"/>
      <c r="ALX73" s="394"/>
      <c r="ALY73" s="394"/>
      <c r="ALZ73" s="394"/>
      <c r="AMA73" s="394"/>
      <c r="AMB73" s="394"/>
      <c r="AMC73" s="394"/>
      <c r="AMD73" s="394"/>
      <c r="AME73" s="394"/>
      <c r="AMF73" s="394"/>
      <c r="AMG73" s="394"/>
      <c r="AMH73" s="394"/>
      <c r="AMI73" s="394"/>
      <c r="AMJ73" s="394"/>
      <c r="AMK73" s="394"/>
      <c r="AML73" s="394"/>
      <c r="AMM73" s="394"/>
      <c r="AMN73" s="394"/>
      <c r="AMO73" s="394"/>
      <c r="AMP73" s="394"/>
      <c r="AMQ73" s="394"/>
      <c r="AMR73" s="394"/>
      <c r="AMS73" s="394"/>
      <c r="AMT73" s="394"/>
      <c r="AMU73" s="394"/>
      <c r="AMV73" s="394"/>
      <c r="AMW73" s="394"/>
      <c r="AMX73" s="394"/>
      <c r="AMY73" s="394"/>
      <c r="AMZ73" s="394"/>
      <c r="ANA73" s="394"/>
      <c r="ANB73" s="394"/>
      <c r="ANC73" s="394"/>
      <c r="AND73" s="394"/>
      <c r="ANE73" s="394"/>
      <c r="ANF73" s="394"/>
      <c r="ANG73" s="394"/>
      <c r="ANH73" s="394"/>
      <c r="ANI73" s="394"/>
      <c r="ANJ73" s="394"/>
      <c r="ANK73" s="394"/>
      <c r="ANL73" s="394"/>
      <c r="ANM73" s="394"/>
      <c r="ANN73" s="394"/>
      <c r="ANO73" s="394"/>
      <c r="ANP73" s="394"/>
      <c r="ANQ73" s="394"/>
      <c r="ANR73" s="394"/>
      <c r="ANS73" s="394"/>
      <c r="ANT73" s="394"/>
      <c r="ANU73" s="394"/>
      <c r="ANV73" s="394"/>
      <c r="ANW73" s="394"/>
      <c r="ANX73" s="394"/>
      <c r="ANY73" s="394"/>
      <c r="ANZ73" s="394"/>
      <c r="AOA73" s="394"/>
      <c r="AOB73" s="394"/>
      <c r="AOC73" s="394"/>
      <c r="AOD73" s="394"/>
      <c r="AOE73" s="394"/>
      <c r="AOF73" s="394"/>
      <c r="AOG73" s="394"/>
      <c r="AOH73" s="394"/>
      <c r="AOI73" s="394"/>
      <c r="AOJ73" s="394"/>
      <c r="AOK73" s="394"/>
      <c r="AOL73" s="394"/>
      <c r="AOM73" s="394"/>
      <c r="AON73" s="394"/>
      <c r="AOO73" s="394"/>
      <c r="AOP73" s="394"/>
      <c r="AOQ73" s="394"/>
      <c r="AOR73" s="394"/>
      <c r="AOS73" s="394"/>
      <c r="AOT73" s="394"/>
      <c r="AOU73" s="394"/>
      <c r="AOV73" s="394"/>
      <c r="AOW73" s="394"/>
      <c r="AOX73" s="394"/>
      <c r="AOY73" s="394"/>
      <c r="AOZ73" s="394"/>
      <c r="APA73" s="394"/>
      <c r="APB73" s="394"/>
      <c r="APC73" s="394"/>
      <c r="APD73" s="394"/>
      <c r="APE73" s="394"/>
      <c r="APF73" s="394"/>
      <c r="APG73" s="394"/>
      <c r="APH73" s="394"/>
      <c r="API73" s="394"/>
      <c r="APJ73" s="394"/>
      <c r="APK73" s="394"/>
      <c r="APL73" s="394"/>
      <c r="APM73" s="394"/>
      <c r="APN73" s="394"/>
      <c r="APO73" s="394"/>
      <c r="APP73" s="394"/>
      <c r="APQ73" s="394"/>
      <c r="APR73" s="394"/>
      <c r="APS73" s="394"/>
      <c r="APT73" s="394"/>
      <c r="APU73" s="394"/>
      <c r="APV73" s="394"/>
      <c r="APW73" s="394"/>
      <c r="APX73" s="394"/>
      <c r="APY73" s="394"/>
      <c r="APZ73" s="394"/>
      <c r="AQA73" s="394"/>
      <c r="AQB73" s="394"/>
      <c r="AQC73" s="394"/>
      <c r="AQD73" s="394"/>
      <c r="AQE73" s="394"/>
      <c r="AQF73" s="394"/>
      <c r="AQG73" s="394"/>
      <c r="AQH73" s="394"/>
      <c r="AQI73" s="394"/>
      <c r="AQJ73" s="394"/>
      <c r="AQK73" s="394"/>
      <c r="AQL73" s="394"/>
      <c r="AQM73" s="394"/>
      <c r="AQN73" s="394"/>
      <c r="AQO73" s="394"/>
      <c r="AQP73" s="394"/>
      <c r="AQQ73" s="394"/>
      <c r="AQR73" s="394"/>
      <c r="AQS73" s="394"/>
      <c r="AQT73" s="394"/>
      <c r="AQU73" s="394"/>
      <c r="AQV73" s="394"/>
      <c r="AQW73" s="394"/>
      <c r="AQX73" s="394"/>
      <c r="AQY73" s="394"/>
      <c r="AQZ73" s="394"/>
      <c r="ARA73" s="394"/>
      <c r="ARB73" s="394"/>
      <c r="ARC73" s="394"/>
      <c r="ARD73" s="394"/>
      <c r="ARE73" s="394"/>
      <c r="ARF73" s="394"/>
      <c r="ARG73" s="394"/>
      <c r="ARH73" s="394"/>
      <c r="ARI73" s="394"/>
      <c r="ARJ73" s="394"/>
      <c r="ARK73" s="394"/>
      <c r="ARL73" s="394"/>
      <c r="ARM73" s="394"/>
      <c r="ARN73" s="394"/>
      <c r="ARO73" s="394"/>
      <c r="ARP73" s="394"/>
      <c r="ARQ73" s="394"/>
      <c r="ARR73" s="394"/>
      <c r="ARS73" s="394"/>
      <c r="ART73" s="394"/>
      <c r="ARU73" s="394"/>
      <c r="ARV73" s="394"/>
      <c r="ARW73" s="394"/>
      <c r="ARX73" s="394"/>
      <c r="ARY73" s="394"/>
      <c r="ARZ73" s="394"/>
      <c r="ASA73" s="394"/>
      <c r="ASB73" s="394"/>
      <c r="ASC73" s="394"/>
      <c r="ASD73" s="394"/>
      <c r="ASE73" s="394"/>
      <c r="ASF73" s="394"/>
      <c r="ASG73" s="394"/>
      <c r="ASH73" s="394"/>
      <c r="ASI73" s="394"/>
      <c r="ASJ73" s="394"/>
      <c r="ASK73" s="394"/>
      <c r="ASL73" s="394"/>
      <c r="ASM73" s="394"/>
      <c r="ASN73" s="394"/>
      <c r="ASO73" s="394"/>
      <c r="ASP73" s="394"/>
      <c r="ASQ73" s="394"/>
      <c r="ASR73" s="394"/>
      <c r="ASS73" s="394"/>
      <c r="AST73" s="394"/>
      <c r="ASU73" s="394"/>
      <c r="ASV73" s="394"/>
      <c r="ASW73" s="394"/>
      <c r="ASX73" s="394"/>
      <c r="ASY73" s="394"/>
      <c r="ASZ73" s="394"/>
      <c r="ATA73" s="394"/>
      <c r="ATB73" s="394"/>
      <c r="ATC73" s="394"/>
      <c r="ATD73" s="394"/>
      <c r="ATE73" s="394"/>
      <c r="ATF73" s="394"/>
      <c r="ATG73" s="394"/>
      <c r="ATH73" s="394"/>
      <c r="ATI73" s="394"/>
      <c r="ATJ73" s="394"/>
      <c r="ATK73" s="394"/>
      <c r="ATL73" s="394"/>
      <c r="ATM73" s="394"/>
      <c r="ATN73" s="394"/>
      <c r="ATO73" s="394"/>
      <c r="ATP73" s="394"/>
      <c r="ATQ73" s="394"/>
      <c r="ATR73" s="394"/>
      <c r="ATS73" s="394"/>
      <c r="ATT73" s="394"/>
      <c r="ATU73" s="394"/>
      <c r="ATV73" s="394"/>
      <c r="ATW73" s="394"/>
      <c r="ATX73" s="394"/>
      <c r="ATY73" s="394"/>
      <c r="ATZ73" s="394"/>
      <c r="AUA73" s="394"/>
      <c r="AUB73" s="394"/>
      <c r="AUC73" s="394"/>
      <c r="AUD73" s="394"/>
      <c r="AUE73" s="394"/>
      <c r="AUF73" s="394"/>
      <c r="AUG73" s="394"/>
      <c r="AUH73" s="394"/>
      <c r="AUI73" s="394"/>
      <c r="AUJ73" s="394"/>
      <c r="AUK73" s="394"/>
      <c r="AUL73" s="394"/>
      <c r="AUM73" s="394"/>
      <c r="AUN73" s="394"/>
      <c r="AUO73" s="394"/>
      <c r="AUP73" s="394"/>
      <c r="AUQ73" s="394"/>
      <c r="AUR73" s="394"/>
      <c r="AUS73" s="394"/>
      <c r="AUT73" s="394"/>
      <c r="AUU73" s="394"/>
      <c r="AUV73" s="394"/>
      <c r="AUW73" s="394"/>
      <c r="AUX73" s="394"/>
      <c r="AUY73" s="394"/>
      <c r="AUZ73" s="394"/>
      <c r="AVA73" s="394"/>
      <c r="AVB73" s="394"/>
      <c r="AVC73" s="394"/>
      <c r="AVD73" s="394"/>
      <c r="AVE73" s="394"/>
      <c r="AVF73" s="394"/>
      <c r="AVG73" s="394"/>
      <c r="AVH73" s="394"/>
      <c r="AVI73" s="394"/>
      <c r="AVJ73" s="394"/>
      <c r="AVK73" s="394"/>
      <c r="AVL73" s="394"/>
      <c r="AVM73" s="394"/>
      <c r="AVN73" s="394"/>
      <c r="AVO73" s="394"/>
      <c r="AVP73" s="394"/>
      <c r="AVQ73" s="394"/>
      <c r="AVR73" s="394"/>
      <c r="AVS73" s="394"/>
      <c r="AVT73" s="394"/>
      <c r="AVU73" s="394"/>
      <c r="AVV73" s="394"/>
      <c r="AVW73" s="394"/>
      <c r="AVX73" s="394"/>
      <c r="AVY73" s="394"/>
      <c r="AVZ73" s="394"/>
      <c r="AWA73" s="394"/>
      <c r="AWB73" s="394"/>
      <c r="AWC73" s="394"/>
      <c r="AWD73" s="394"/>
      <c r="AWE73" s="394"/>
      <c r="AWF73" s="394"/>
      <c r="AWG73" s="394"/>
      <c r="AWH73" s="394"/>
      <c r="AWI73" s="394"/>
      <c r="AWJ73" s="394"/>
      <c r="AWK73" s="394"/>
      <c r="AWL73" s="394"/>
      <c r="AWM73" s="394"/>
      <c r="AWN73" s="394"/>
      <c r="AWO73" s="394"/>
      <c r="AWP73" s="394"/>
      <c r="AWQ73" s="394"/>
      <c r="AWR73" s="394"/>
      <c r="AWS73" s="394"/>
      <c r="AWT73" s="394"/>
      <c r="AWU73" s="394"/>
      <c r="AWV73" s="394"/>
      <c r="AWW73" s="394"/>
      <c r="AWX73" s="394"/>
      <c r="AWY73" s="394"/>
      <c r="AWZ73" s="394"/>
      <c r="AXA73" s="394"/>
      <c r="AXB73" s="394"/>
      <c r="AXC73" s="394"/>
      <c r="AXD73" s="394"/>
      <c r="AXE73" s="394"/>
      <c r="AXF73" s="394"/>
      <c r="AXG73" s="394"/>
      <c r="AXH73" s="394"/>
      <c r="AXI73" s="394"/>
      <c r="AXJ73" s="394"/>
      <c r="AXK73" s="394"/>
      <c r="AXL73" s="394"/>
      <c r="AXM73" s="394"/>
      <c r="AXN73" s="394"/>
      <c r="AXO73" s="394"/>
      <c r="AXP73" s="394"/>
      <c r="AXQ73" s="394"/>
      <c r="AXR73" s="394"/>
      <c r="AXS73" s="394"/>
      <c r="AXT73" s="394"/>
      <c r="AXU73" s="394"/>
      <c r="AXV73" s="394"/>
      <c r="AXW73" s="394"/>
      <c r="AXX73" s="394"/>
      <c r="AXY73" s="394"/>
      <c r="AXZ73" s="394"/>
      <c r="AYA73" s="394"/>
      <c r="AYB73" s="394"/>
      <c r="AYC73" s="394"/>
      <c r="AYD73" s="394"/>
      <c r="AYE73" s="394"/>
      <c r="AYF73" s="394"/>
      <c r="AYG73" s="394"/>
      <c r="AYH73" s="394"/>
      <c r="AYI73" s="394"/>
      <c r="AYJ73" s="394"/>
      <c r="AYK73" s="394"/>
      <c r="AYL73" s="394"/>
      <c r="AYM73" s="394"/>
      <c r="AYN73" s="394"/>
      <c r="AYO73" s="394"/>
      <c r="AYP73" s="394"/>
      <c r="AYQ73" s="394"/>
      <c r="AYR73" s="394"/>
      <c r="AYS73" s="394"/>
      <c r="AYT73" s="394"/>
      <c r="AYU73" s="394"/>
      <c r="AYV73" s="394"/>
      <c r="AYW73" s="394"/>
      <c r="AYX73" s="394"/>
      <c r="AYY73" s="394"/>
      <c r="AYZ73" s="394"/>
      <c r="AZA73" s="394"/>
      <c r="AZB73" s="394"/>
      <c r="AZC73" s="394"/>
      <c r="AZD73" s="394"/>
      <c r="AZE73" s="394"/>
      <c r="AZF73" s="394"/>
      <c r="AZG73" s="394"/>
      <c r="AZH73" s="394"/>
      <c r="AZI73" s="394"/>
      <c r="AZJ73" s="394"/>
      <c r="AZK73" s="394"/>
      <c r="AZL73" s="394"/>
      <c r="AZM73" s="394"/>
      <c r="AZN73" s="394"/>
      <c r="AZO73" s="394"/>
      <c r="AZP73" s="394"/>
      <c r="AZQ73" s="394"/>
      <c r="AZR73" s="394"/>
      <c r="AZS73" s="394"/>
      <c r="AZT73" s="394"/>
      <c r="AZU73" s="394"/>
      <c r="AZV73" s="394"/>
      <c r="AZW73" s="394"/>
      <c r="AZX73" s="394"/>
      <c r="AZY73" s="394"/>
      <c r="AZZ73" s="394"/>
      <c r="BAA73" s="394"/>
      <c r="BAB73" s="394"/>
      <c r="BAC73" s="394"/>
      <c r="BAD73" s="394"/>
      <c r="BAE73" s="394"/>
      <c r="BAF73" s="394"/>
      <c r="BAG73" s="394"/>
      <c r="BAH73" s="394"/>
      <c r="BAI73" s="394"/>
      <c r="BAJ73" s="394"/>
      <c r="BAK73" s="394"/>
      <c r="BAL73" s="394"/>
      <c r="BAM73" s="394"/>
      <c r="BAN73" s="394"/>
      <c r="BAO73" s="394"/>
      <c r="BAP73" s="394"/>
      <c r="BAQ73" s="394"/>
      <c r="BAR73" s="394"/>
      <c r="BAS73" s="394"/>
      <c r="BAT73" s="394"/>
      <c r="BAU73" s="394"/>
      <c r="BAV73" s="394"/>
      <c r="BAW73" s="394"/>
      <c r="BAX73" s="394"/>
      <c r="BAY73" s="394"/>
      <c r="BAZ73" s="394"/>
      <c r="BBA73" s="394"/>
      <c r="BBB73" s="394"/>
      <c r="BBC73" s="394"/>
      <c r="BBD73" s="394"/>
      <c r="BBE73" s="394"/>
      <c r="BBF73" s="394"/>
      <c r="BBG73" s="394"/>
      <c r="BBH73" s="394"/>
      <c r="BBI73" s="394"/>
      <c r="BBJ73" s="394"/>
      <c r="BBK73" s="394"/>
      <c r="BBL73" s="394"/>
      <c r="BBM73" s="394"/>
      <c r="BBN73" s="394"/>
      <c r="BBO73" s="394"/>
      <c r="BBP73" s="394"/>
      <c r="BBQ73" s="394"/>
      <c r="BBR73" s="394"/>
      <c r="BBS73" s="394"/>
      <c r="BBT73" s="394"/>
      <c r="BBU73" s="394"/>
      <c r="BBV73" s="394"/>
      <c r="BBW73" s="394"/>
      <c r="BBX73" s="394"/>
      <c r="BBY73" s="394"/>
      <c r="BBZ73" s="394"/>
      <c r="BCA73" s="394"/>
      <c r="BCB73" s="394"/>
      <c r="BCC73" s="394"/>
      <c r="BCD73" s="394"/>
      <c r="BCE73" s="394"/>
      <c r="BCF73" s="394"/>
      <c r="BCG73" s="394"/>
      <c r="BCH73" s="394"/>
      <c r="BCI73" s="394"/>
      <c r="BCJ73" s="394"/>
      <c r="BCK73" s="394"/>
      <c r="BCL73" s="394"/>
      <c r="BCM73" s="394"/>
      <c r="BCN73" s="394"/>
      <c r="BCO73" s="394"/>
      <c r="BCP73" s="394"/>
      <c r="BCQ73" s="394"/>
      <c r="BCR73" s="394"/>
      <c r="BCS73" s="394"/>
      <c r="BCT73" s="394"/>
      <c r="BCU73" s="394"/>
      <c r="BCV73" s="394"/>
      <c r="BCW73" s="394"/>
      <c r="BCX73" s="394"/>
      <c r="BCY73" s="394"/>
      <c r="BCZ73" s="394"/>
      <c r="BDA73" s="394"/>
      <c r="BDB73" s="394"/>
      <c r="BDC73" s="394"/>
      <c r="BDD73" s="394"/>
      <c r="BDE73" s="394"/>
      <c r="BDF73" s="394"/>
      <c r="BDG73" s="394"/>
      <c r="BDH73" s="394"/>
      <c r="BDI73" s="394"/>
      <c r="BDJ73" s="394"/>
      <c r="BDK73" s="394"/>
      <c r="BDL73" s="394"/>
      <c r="BDM73" s="394"/>
      <c r="BDN73" s="394"/>
      <c r="BDO73" s="394"/>
      <c r="BDP73" s="394"/>
      <c r="BDQ73" s="394"/>
      <c r="BDR73" s="394"/>
      <c r="BDS73" s="394"/>
      <c r="BDT73" s="394"/>
      <c r="BDU73" s="394"/>
      <c r="BDV73" s="394"/>
      <c r="BDW73" s="394"/>
      <c r="BDX73" s="394"/>
      <c r="BDY73" s="394"/>
      <c r="BDZ73" s="394"/>
      <c r="BEA73" s="394"/>
      <c r="BEB73" s="394"/>
      <c r="BEC73" s="394"/>
      <c r="BED73" s="394"/>
      <c r="BEE73" s="394"/>
      <c r="BEF73" s="394"/>
      <c r="BEG73" s="394"/>
      <c r="BEH73" s="394"/>
      <c r="BEI73" s="394"/>
      <c r="BEJ73" s="394"/>
      <c r="BEK73" s="394"/>
      <c r="BEL73" s="394"/>
      <c r="BEM73" s="394"/>
      <c r="BEN73" s="394"/>
      <c r="BEO73" s="394"/>
      <c r="BEP73" s="394"/>
      <c r="BEQ73" s="394"/>
      <c r="BER73" s="394"/>
      <c r="BES73" s="394"/>
      <c r="BET73" s="394"/>
      <c r="BEU73" s="394"/>
      <c r="BEV73" s="394"/>
      <c r="BEW73" s="394"/>
      <c r="BEX73" s="394"/>
      <c r="BEY73" s="394"/>
      <c r="BEZ73" s="394"/>
      <c r="BFA73" s="394"/>
      <c r="BFB73" s="394"/>
      <c r="BFC73" s="394"/>
      <c r="BFD73" s="394"/>
      <c r="BFE73" s="394"/>
      <c r="BFF73" s="394"/>
      <c r="BFG73" s="394"/>
      <c r="BFH73" s="394"/>
      <c r="BFI73" s="394"/>
      <c r="BFJ73" s="394"/>
      <c r="BFK73" s="394"/>
      <c r="BFL73" s="394"/>
      <c r="BFM73" s="394"/>
      <c r="BFN73" s="394"/>
      <c r="BFO73" s="394"/>
      <c r="BFP73" s="394"/>
      <c r="BFQ73" s="394"/>
      <c r="BFR73" s="394"/>
      <c r="BFS73" s="394"/>
      <c r="BFT73" s="394"/>
      <c r="BFU73" s="394"/>
      <c r="BFV73" s="394"/>
      <c r="BFW73" s="394"/>
      <c r="BFX73" s="394"/>
      <c r="BFY73" s="394"/>
      <c r="BFZ73" s="394"/>
      <c r="BGA73" s="394"/>
      <c r="BGB73" s="394"/>
      <c r="BGC73" s="394"/>
      <c r="BGD73" s="394"/>
      <c r="BGE73" s="394"/>
      <c r="BGF73" s="394"/>
      <c r="BGG73" s="394"/>
      <c r="BGH73" s="394"/>
      <c r="BGI73" s="394"/>
      <c r="BGJ73" s="394"/>
      <c r="BGK73" s="394"/>
      <c r="BGL73" s="394"/>
      <c r="BGM73" s="394"/>
      <c r="BGN73" s="394"/>
      <c r="BGO73" s="394"/>
      <c r="BGP73" s="394"/>
      <c r="BGQ73" s="394"/>
      <c r="BGR73" s="394"/>
      <c r="BGS73" s="394"/>
      <c r="BGT73" s="394"/>
      <c r="BGU73" s="394"/>
      <c r="BGV73" s="394"/>
      <c r="BGW73" s="394"/>
      <c r="BGX73" s="394"/>
      <c r="BGY73" s="394"/>
      <c r="BGZ73" s="394"/>
      <c r="BHA73" s="394"/>
      <c r="BHB73" s="394"/>
      <c r="BHC73" s="394"/>
      <c r="BHD73" s="394"/>
      <c r="BHE73" s="394"/>
      <c r="BHF73" s="394"/>
      <c r="BHG73" s="394"/>
      <c r="BHH73" s="394"/>
      <c r="BHI73" s="394"/>
      <c r="BHJ73" s="394"/>
      <c r="BHK73" s="394"/>
      <c r="BHL73" s="394"/>
      <c r="BHM73" s="394"/>
      <c r="BHN73" s="394"/>
      <c r="BHO73" s="394"/>
      <c r="BHP73" s="394"/>
      <c r="BHQ73" s="394"/>
      <c r="BHR73" s="394"/>
      <c r="BHS73" s="394"/>
      <c r="BHT73" s="394"/>
      <c r="BHU73" s="394"/>
      <c r="BHV73" s="394"/>
      <c r="BHW73" s="394"/>
      <c r="BHX73" s="394"/>
      <c r="BHY73" s="394"/>
      <c r="BHZ73" s="394"/>
      <c r="BIA73" s="394"/>
      <c r="BIB73" s="394"/>
      <c r="BIC73" s="394"/>
      <c r="BID73" s="394"/>
      <c r="BIE73" s="394"/>
      <c r="BIF73" s="394"/>
      <c r="BIG73" s="394"/>
      <c r="BIH73" s="394"/>
      <c r="BII73" s="394"/>
      <c r="BIJ73" s="394"/>
      <c r="BIK73" s="394"/>
      <c r="BIL73" s="394"/>
      <c r="BIM73" s="394"/>
      <c r="BIN73" s="394"/>
      <c r="BIO73" s="394"/>
      <c r="BIP73" s="394"/>
      <c r="BIQ73" s="394"/>
      <c r="BIR73" s="394"/>
      <c r="BIS73" s="394"/>
      <c r="BIT73" s="394"/>
      <c r="BIU73" s="394"/>
      <c r="BIV73" s="394"/>
      <c r="BIW73" s="394"/>
      <c r="BIX73" s="394"/>
      <c r="BIY73" s="394"/>
      <c r="BIZ73" s="394"/>
      <c r="BJA73" s="394"/>
      <c r="BJB73" s="394"/>
      <c r="BJC73" s="394"/>
      <c r="BJD73" s="394"/>
      <c r="BJE73" s="394"/>
      <c r="BJF73" s="394"/>
      <c r="BJG73" s="394"/>
      <c r="BJH73" s="394"/>
      <c r="BJI73" s="394"/>
      <c r="BJJ73" s="394"/>
      <c r="BJK73" s="394"/>
      <c r="BJL73" s="394"/>
      <c r="BJM73" s="394"/>
      <c r="BJN73" s="394"/>
      <c r="BJO73" s="394"/>
      <c r="BJP73" s="394"/>
      <c r="BJQ73" s="394"/>
      <c r="BJR73" s="394"/>
      <c r="BJS73" s="394"/>
      <c r="BJT73" s="394"/>
      <c r="BJU73" s="394"/>
      <c r="BJV73" s="394"/>
      <c r="BJW73" s="394"/>
      <c r="BJX73" s="394"/>
      <c r="BJY73" s="394"/>
      <c r="BJZ73" s="394"/>
      <c r="BKA73" s="394"/>
      <c r="BKB73" s="394"/>
      <c r="BKC73" s="394"/>
      <c r="BKD73" s="394"/>
      <c r="BKE73" s="394"/>
      <c r="BKF73" s="394"/>
      <c r="BKG73" s="394"/>
      <c r="BKH73" s="394"/>
      <c r="BKI73" s="394"/>
      <c r="BKJ73" s="394"/>
      <c r="BKK73" s="394"/>
      <c r="BKL73" s="394"/>
      <c r="BKM73" s="394"/>
      <c r="BKN73" s="394"/>
      <c r="BKO73" s="394"/>
      <c r="BKP73" s="394"/>
      <c r="BKQ73" s="394"/>
      <c r="BKR73" s="394"/>
      <c r="BKS73" s="394"/>
      <c r="BKT73" s="394"/>
      <c r="BKU73" s="394"/>
      <c r="BKV73" s="394"/>
      <c r="BKW73" s="394"/>
      <c r="BKX73" s="394"/>
      <c r="BKY73" s="394"/>
      <c r="BKZ73" s="394"/>
      <c r="BLA73" s="394"/>
      <c r="BLB73" s="394"/>
      <c r="BLC73" s="394"/>
      <c r="BLD73" s="394"/>
      <c r="BLE73" s="394"/>
      <c r="BLF73" s="394"/>
      <c r="BLG73" s="394"/>
      <c r="BLH73" s="394"/>
      <c r="BLI73" s="394"/>
      <c r="BLJ73" s="394"/>
      <c r="BLK73" s="394"/>
      <c r="BLL73" s="394"/>
      <c r="BLM73" s="394"/>
      <c r="BLN73" s="394"/>
      <c r="BLO73" s="394"/>
      <c r="BLP73" s="394"/>
      <c r="BLQ73" s="394"/>
      <c r="BLR73" s="394"/>
      <c r="BLS73" s="394"/>
      <c r="BLT73" s="394"/>
      <c r="BLU73" s="394"/>
      <c r="BLV73" s="394"/>
      <c r="BLW73" s="394"/>
      <c r="BLX73" s="394"/>
      <c r="BLY73" s="394"/>
      <c r="BLZ73" s="394"/>
      <c r="BMA73" s="394"/>
      <c r="BMB73" s="394"/>
      <c r="BMC73" s="394"/>
      <c r="BMD73" s="394"/>
      <c r="BME73" s="394"/>
      <c r="BMF73" s="394"/>
      <c r="BMG73" s="394"/>
      <c r="BMH73" s="394"/>
      <c r="BMI73" s="394"/>
      <c r="BMJ73" s="394"/>
      <c r="BMK73" s="394"/>
      <c r="BML73" s="394"/>
      <c r="BMM73" s="394"/>
      <c r="BMN73" s="394"/>
      <c r="BMO73" s="394"/>
      <c r="BMP73" s="394"/>
      <c r="BMQ73" s="394"/>
      <c r="BMR73" s="394"/>
      <c r="BMS73" s="394"/>
      <c r="BMT73" s="394"/>
      <c r="BMU73" s="394"/>
      <c r="BMV73" s="394"/>
      <c r="BMW73" s="394"/>
      <c r="BMX73" s="394"/>
      <c r="BMY73" s="394"/>
      <c r="BMZ73" s="394"/>
      <c r="BNA73" s="394"/>
      <c r="BNB73" s="394"/>
      <c r="BNC73" s="394"/>
      <c r="BND73" s="394"/>
      <c r="BNE73" s="394"/>
      <c r="BNF73" s="394"/>
      <c r="BNG73" s="394"/>
      <c r="BNH73" s="394"/>
      <c r="BNI73" s="394"/>
      <c r="BNJ73" s="394"/>
      <c r="BNK73" s="394"/>
      <c r="BNL73" s="394"/>
      <c r="BNM73" s="394"/>
      <c r="BNN73" s="394"/>
      <c r="BNO73" s="394"/>
      <c r="BNP73" s="394"/>
      <c r="BNQ73" s="394"/>
      <c r="BNR73" s="394"/>
      <c r="BNS73" s="394"/>
      <c r="BNT73" s="394"/>
      <c r="BNU73" s="394"/>
      <c r="BNV73" s="394"/>
      <c r="BNW73" s="394"/>
      <c r="BNX73" s="394"/>
      <c r="BNY73" s="394"/>
      <c r="BNZ73" s="394"/>
      <c r="BOA73" s="394"/>
      <c r="BOB73" s="394"/>
      <c r="BOC73" s="394"/>
      <c r="BOD73" s="394"/>
      <c r="BOE73" s="394"/>
      <c r="BOF73" s="394"/>
      <c r="BOG73" s="394"/>
      <c r="BOH73" s="394"/>
      <c r="BOI73" s="394"/>
      <c r="BOJ73" s="394"/>
      <c r="BOK73" s="394"/>
      <c r="BOL73" s="394"/>
      <c r="BOM73" s="394"/>
      <c r="BON73" s="394"/>
      <c r="BOO73" s="394"/>
      <c r="BOP73" s="394"/>
      <c r="BOQ73" s="394"/>
      <c r="BOR73" s="394"/>
      <c r="BOS73" s="394"/>
      <c r="BOT73" s="394"/>
      <c r="BOU73" s="394"/>
      <c r="BOV73" s="394"/>
      <c r="BOW73" s="394"/>
      <c r="BOX73" s="394"/>
      <c r="BOY73" s="394"/>
      <c r="BOZ73" s="394"/>
      <c r="BPA73" s="394"/>
      <c r="BPB73" s="394"/>
      <c r="BPC73" s="394"/>
      <c r="BPD73" s="394"/>
      <c r="BPE73" s="394"/>
      <c r="BPF73" s="394"/>
      <c r="BPG73" s="394"/>
      <c r="BPH73" s="394"/>
      <c r="BPI73" s="394"/>
      <c r="BPJ73" s="394"/>
      <c r="BPK73" s="394"/>
      <c r="BPL73" s="394"/>
      <c r="BPM73" s="394"/>
      <c r="BPN73" s="394"/>
      <c r="BPO73" s="394"/>
      <c r="BPP73" s="394"/>
      <c r="BPQ73" s="394"/>
      <c r="BPR73" s="394"/>
      <c r="BPS73" s="394"/>
      <c r="BPT73" s="394"/>
      <c r="BPU73" s="394"/>
      <c r="BPV73" s="394"/>
      <c r="BPW73" s="394"/>
      <c r="BPX73" s="394"/>
      <c r="BPY73" s="394"/>
      <c r="BPZ73" s="394"/>
      <c r="BQA73" s="394"/>
      <c r="BQB73" s="394"/>
      <c r="BQC73" s="394"/>
      <c r="BQD73" s="394"/>
      <c r="BQE73" s="394"/>
      <c r="BQF73" s="394"/>
      <c r="BQG73" s="394"/>
      <c r="BQH73" s="394"/>
      <c r="BQI73" s="394"/>
      <c r="BQJ73" s="394"/>
      <c r="BQK73" s="394"/>
      <c r="BQL73" s="394"/>
      <c r="BQM73" s="394"/>
      <c r="BQN73" s="394"/>
      <c r="BQO73" s="394"/>
      <c r="BQP73" s="394"/>
      <c r="BQQ73" s="394"/>
      <c r="BQR73" s="394"/>
      <c r="BQS73" s="394"/>
      <c r="BQT73" s="394"/>
      <c r="BQU73" s="394"/>
      <c r="BQV73" s="394"/>
      <c r="BQW73" s="394"/>
      <c r="BQX73" s="394"/>
      <c r="BQY73" s="394"/>
      <c r="BQZ73" s="394"/>
      <c r="BRA73" s="394"/>
      <c r="BRB73" s="394"/>
      <c r="BRC73" s="394"/>
      <c r="BRD73" s="394"/>
      <c r="BRE73" s="394"/>
      <c r="BRF73" s="394"/>
      <c r="BRG73" s="394"/>
      <c r="BRH73" s="394"/>
      <c r="BRI73" s="394"/>
      <c r="BRJ73" s="394"/>
      <c r="BRK73" s="394"/>
      <c r="BRL73" s="394"/>
      <c r="BRM73" s="394"/>
      <c r="BRN73" s="394"/>
      <c r="BRO73" s="394"/>
      <c r="BRP73" s="394"/>
      <c r="BRQ73" s="394"/>
      <c r="BRR73" s="394"/>
      <c r="BRS73" s="394"/>
      <c r="BRT73" s="394"/>
      <c r="BRU73" s="394"/>
      <c r="BRV73" s="394"/>
      <c r="BRW73" s="394"/>
      <c r="BRX73" s="394"/>
      <c r="BRY73" s="394"/>
      <c r="BRZ73" s="394"/>
      <c r="BSA73" s="394"/>
      <c r="BSB73" s="394"/>
      <c r="BSC73" s="394"/>
      <c r="BSD73" s="394"/>
      <c r="BSE73" s="394"/>
      <c r="BSF73" s="394"/>
      <c r="BSG73" s="394"/>
      <c r="BSH73" s="394"/>
      <c r="BSI73" s="394"/>
      <c r="BSJ73" s="394"/>
      <c r="BSK73" s="394"/>
      <c r="BSL73" s="394"/>
      <c r="BSM73" s="394"/>
      <c r="BSN73" s="394"/>
      <c r="BSO73" s="394"/>
      <c r="BSP73" s="394"/>
      <c r="BSQ73" s="394"/>
      <c r="BSR73" s="394"/>
      <c r="BSS73" s="394"/>
      <c r="BST73" s="394"/>
      <c r="BSU73" s="394"/>
      <c r="BSV73" s="394"/>
      <c r="BSW73" s="394"/>
      <c r="BSX73" s="394"/>
      <c r="BSY73" s="394"/>
      <c r="BSZ73" s="394"/>
      <c r="BTA73" s="394"/>
      <c r="BTB73" s="394"/>
      <c r="BTC73" s="394"/>
      <c r="BTD73" s="394"/>
      <c r="BTE73" s="394"/>
      <c r="BTF73" s="394"/>
      <c r="BTG73" s="394"/>
      <c r="BTH73" s="394"/>
      <c r="BTI73" s="394"/>
    </row>
    <row r="74" spans="1:1881" ht="25.5" customHeight="1" x14ac:dyDescent="0.3">
      <c r="A74" s="189"/>
      <c r="B74" s="136" t="s">
        <v>13</v>
      </c>
      <c r="C74" s="139"/>
      <c r="D74" s="137"/>
      <c r="E74" s="137"/>
      <c r="F74" s="726"/>
      <c r="G74" s="554"/>
      <c r="H74" s="13"/>
      <c r="I74" s="31"/>
      <c r="L74" s="833" t="s">
        <v>1166</v>
      </c>
      <c r="M74" s="610"/>
      <c r="N74" s="635"/>
    </row>
    <row r="75" spans="1:1881" s="22" customFormat="1" ht="78" customHeight="1" x14ac:dyDescent="0.25">
      <c r="A75" s="188">
        <v>171</v>
      </c>
      <c r="B75" s="64" t="s">
        <v>625</v>
      </c>
      <c r="C75" s="64" t="s">
        <v>624</v>
      </c>
      <c r="D75" s="138" t="s">
        <v>602</v>
      </c>
      <c r="E75" s="32" t="e">
        <f>HLOOKUP($D$2,'2019 Data(H)'!$C$1:$CP$300,71,FALSE)</f>
        <v>#N/A</v>
      </c>
      <c r="F75" s="499"/>
      <c r="G75" s="395">
        <f>IF(F75&lt;0,"Error: Enter as positive.",)</f>
        <v>0</v>
      </c>
      <c r="H75" s="62"/>
      <c r="I75" s="301"/>
      <c r="J75" s="365"/>
      <c r="K75" s="394"/>
      <c r="L75" s="833" t="s">
        <v>1167</v>
      </c>
      <c r="M75" s="63"/>
      <c r="N75" s="635"/>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c r="CA75" s="63"/>
      <c r="CB75" s="63"/>
      <c r="CC75" s="63"/>
      <c r="CD75" s="63"/>
      <c r="CE75" s="63"/>
      <c r="CF75" s="63"/>
      <c r="CG75" s="63"/>
      <c r="CH75" s="63"/>
      <c r="CI75" s="63"/>
      <c r="CJ75" s="63"/>
      <c r="CK75" s="63"/>
      <c r="CL75" s="63"/>
      <c r="CM75" s="63"/>
      <c r="CN75" s="63"/>
      <c r="CO75" s="63"/>
      <c r="CP75" s="63"/>
      <c r="CQ75" s="63"/>
      <c r="CR75" s="63"/>
      <c r="CS75" s="63"/>
      <c r="CT75" s="63"/>
      <c r="CU75" s="63"/>
      <c r="CV75" s="63"/>
      <c r="CW75" s="63"/>
      <c r="CX75" s="63"/>
      <c r="CY75" s="63"/>
      <c r="CZ75" s="63"/>
      <c r="DA75" s="63"/>
      <c r="DB75" s="63"/>
      <c r="DC75" s="63"/>
      <c r="DD75" s="63"/>
      <c r="DE75" s="63"/>
      <c r="DF75" s="63"/>
      <c r="DG75" s="63"/>
      <c r="DH75" s="63"/>
      <c r="DI75" s="63"/>
      <c r="DJ75" s="63"/>
      <c r="DK75" s="63"/>
      <c r="DL75" s="63"/>
      <c r="DM75" s="63"/>
      <c r="DN75" s="63"/>
      <c r="DO75" s="63"/>
      <c r="DP75" s="63"/>
      <c r="DQ75" s="63"/>
      <c r="DR75" s="63"/>
      <c r="DS75" s="63"/>
      <c r="DT75" s="63"/>
      <c r="DU75" s="63"/>
      <c r="DV75" s="63"/>
      <c r="DW75" s="63"/>
      <c r="DX75" s="63"/>
      <c r="DY75" s="63"/>
      <c r="DZ75" s="63"/>
      <c r="EA75" s="63"/>
      <c r="EB75" s="63"/>
      <c r="EC75" s="63"/>
      <c r="ED75" s="63"/>
      <c r="EE75" s="63"/>
      <c r="EF75" s="63"/>
      <c r="EG75" s="63"/>
      <c r="EH75" s="63"/>
      <c r="EI75" s="63"/>
      <c r="EJ75" s="63"/>
      <c r="EK75" s="63"/>
      <c r="EL75" s="63"/>
      <c r="EM75" s="63"/>
      <c r="EN75" s="63"/>
      <c r="EO75" s="63"/>
      <c r="EP75" s="63"/>
      <c r="EQ75" s="63"/>
      <c r="ER75" s="63"/>
      <c r="ES75" s="63"/>
      <c r="ET75" s="63"/>
      <c r="EU75" s="63"/>
      <c r="EV75" s="63"/>
      <c r="EW75" s="63"/>
      <c r="EX75" s="63"/>
      <c r="EY75" s="63"/>
      <c r="EZ75" s="63"/>
      <c r="FA75" s="63"/>
      <c r="FB75" s="63"/>
      <c r="FC75" s="63"/>
      <c r="FD75" s="63"/>
      <c r="FE75" s="63"/>
      <c r="FF75" s="63"/>
      <c r="FG75" s="63"/>
      <c r="FH75" s="63"/>
      <c r="FI75" s="63"/>
      <c r="FJ75" s="63"/>
      <c r="FK75" s="63"/>
      <c r="FL75" s="63"/>
      <c r="FM75" s="63"/>
      <c r="FN75" s="63"/>
      <c r="FO75" s="63"/>
      <c r="FP75" s="63"/>
      <c r="FQ75" s="63"/>
      <c r="FR75" s="63"/>
      <c r="FS75" s="63"/>
      <c r="FT75" s="63"/>
      <c r="FU75" s="63"/>
      <c r="FV75" s="63"/>
      <c r="FW75" s="63"/>
      <c r="FX75" s="63"/>
      <c r="FY75" s="63"/>
      <c r="FZ75" s="63"/>
      <c r="GA75" s="63"/>
      <c r="GB75" s="63"/>
      <c r="GC75" s="63"/>
      <c r="GD75" s="63"/>
      <c r="GE75" s="63"/>
      <c r="GF75" s="63"/>
      <c r="GG75" s="63"/>
      <c r="GH75" s="63"/>
      <c r="GI75" s="63"/>
      <c r="GJ75" s="63"/>
      <c r="GK75" s="63"/>
      <c r="GL75" s="63"/>
      <c r="GM75" s="63"/>
      <c r="GN75" s="63"/>
      <c r="GO75" s="63"/>
      <c r="GP75" s="63"/>
      <c r="GQ75" s="63"/>
      <c r="GR75" s="63"/>
      <c r="GS75" s="63"/>
      <c r="GT75" s="63"/>
      <c r="GU75" s="63"/>
      <c r="GV75" s="63"/>
      <c r="GW75" s="63"/>
      <c r="GX75" s="63"/>
      <c r="GY75" s="63"/>
      <c r="GZ75" s="63"/>
      <c r="HA75" s="63"/>
      <c r="HB75" s="63"/>
      <c r="HC75" s="63"/>
      <c r="HD75" s="63"/>
      <c r="HE75" s="63"/>
      <c r="HF75" s="63"/>
      <c r="HG75" s="63"/>
      <c r="HH75" s="63"/>
      <c r="HI75" s="63"/>
      <c r="HJ75" s="63"/>
      <c r="HK75" s="63"/>
      <c r="HL75" s="63"/>
      <c r="HM75" s="63"/>
      <c r="HN75" s="63"/>
      <c r="HO75" s="63"/>
      <c r="HP75" s="63"/>
      <c r="HQ75" s="63"/>
      <c r="HR75" s="63"/>
      <c r="HS75" s="63"/>
      <c r="HT75" s="63"/>
      <c r="HU75" s="63"/>
      <c r="HV75" s="63"/>
      <c r="HW75" s="63"/>
      <c r="HX75" s="63"/>
      <c r="HY75" s="63"/>
      <c r="HZ75" s="63"/>
      <c r="IA75" s="63"/>
      <c r="IB75" s="63"/>
      <c r="IC75" s="63"/>
      <c r="ID75" s="63"/>
      <c r="IE75" s="63"/>
      <c r="IF75" s="63"/>
      <c r="IG75" s="63"/>
      <c r="IH75" s="63"/>
      <c r="II75" s="63"/>
      <c r="IJ75" s="63"/>
      <c r="IK75" s="63"/>
      <c r="IL75" s="63"/>
      <c r="IM75" s="63"/>
      <c r="IN75" s="63"/>
      <c r="IO75" s="63"/>
      <c r="IP75" s="63"/>
      <c r="IQ75" s="63"/>
      <c r="IR75" s="63"/>
      <c r="IS75" s="63"/>
      <c r="IT75" s="63"/>
      <c r="IU75" s="63"/>
      <c r="IV75" s="63"/>
      <c r="IW75" s="63"/>
      <c r="IX75" s="63"/>
      <c r="IY75" s="63"/>
      <c r="IZ75" s="63"/>
      <c r="JA75" s="63"/>
      <c r="JB75" s="63"/>
      <c r="JC75" s="63"/>
      <c r="JD75" s="63"/>
      <c r="JE75" s="63"/>
      <c r="JF75" s="63"/>
      <c r="JG75" s="63"/>
      <c r="JH75" s="63"/>
      <c r="JI75" s="63"/>
      <c r="JJ75" s="63"/>
      <c r="JK75" s="63"/>
      <c r="JL75" s="63"/>
      <c r="JM75" s="63"/>
      <c r="JN75" s="63"/>
      <c r="JO75" s="63"/>
      <c r="JP75" s="63"/>
      <c r="JQ75" s="63"/>
      <c r="JR75" s="63"/>
      <c r="JS75" s="63"/>
      <c r="JT75" s="63"/>
      <c r="JU75" s="63"/>
      <c r="JV75" s="63"/>
      <c r="JW75" s="63"/>
      <c r="JX75" s="63"/>
      <c r="JY75" s="63"/>
      <c r="JZ75" s="63"/>
      <c r="KA75" s="63"/>
      <c r="KB75" s="63"/>
      <c r="KC75" s="63"/>
      <c r="KD75" s="63"/>
      <c r="KE75" s="63"/>
      <c r="KF75" s="63"/>
      <c r="KG75" s="63"/>
      <c r="KH75" s="63"/>
      <c r="KI75" s="63"/>
      <c r="KJ75" s="63"/>
      <c r="KK75" s="63"/>
      <c r="KL75" s="63"/>
      <c r="KM75" s="63"/>
      <c r="KN75" s="63"/>
      <c r="KO75" s="63"/>
      <c r="KP75" s="63"/>
      <c r="KQ75" s="63"/>
      <c r="KR75" s="63"/>
      <c r="KS75" s="63"/>
      <c r="KT75" s="63"/>
      <c r="KU75" s="63"/>
      <c r="KV75" s="63"/>
      <c r="KW75" s="63"/>
      <c r="KX75" s="63"/>
      <c r="KY75" s="63"/>
      <c r="KZ75" s="63"/>
      <c r="LA75" s="63"/>
      <c r="LB75" s="63"/>
      <c r="LC75" s="63"/>
      <c r="LD75" s="63"/>
      <c r="LE75" s="63"/>
      <c r="LF75" s="63"/>
      <c r="LG75" s="63"/>
      <c r="LH75" s="63"/>
      <c r="LI75" s="63"/>
      <c r="LJ75" s="63"/>
      <c r="LK75" s="63"/>
      <c r="LL75" s="63"/>
      <c r="LM75" s="63"/>
      <c r="LN75" s="63"/>
      <c r="LO75" s="63"/>
      <c r="LP75" s="63"/>
      <c r="LQ75" s="63"/>
      <c r="LR75" s="63"/>
      <c r="LS75" s="63"/>
      <c r="LT75" s="63"/>
      <c r="LU75" s="63"/>
      <c r="LV75" s="63"/>
      <c r="LW75" s="63"/>
      <c r="LX75" s="63"/>
      <c r="LY75" s="63"/>
      <c r="LZ75" s="63"/>
      <c r="MA75" s="63"/>
      <c r="MB75" s="63"/>
      <c r="MC75" s="63"/>
      <c r="MD75" s="63"/>
      <c r="ME75" s="63"/>
      <c r="MF75" s="63"/>
      <c r="MG75" s="63"/>
      <c r="MH75" s="63"/>
      <c r="MI75" s="63"/>
      <c r="MJ75" s="63"/>
      <c r="MK75" s="63"/>
      <c r="ML75" s="63"/>
      <c r="MM75" s="63"/>
      <c r="MN75" s="63"/>
      <c r="MO75" s="63"/>
      <c r="MP75" s="63"/>
      <c r="MQ75" s="63"/>
      <c r="MR75" s="63"/>
      <c r="MS75" s="63"/>
      <c r="MT75" s="63"/>
      <c r="MU75" s="63"/>
      <c r="MV75" s="63"/>
      <c r="MW75" s="63"/>
      <c r="MX75" s="63"/>
      <c r="MY75" s="63"/>
      <c r="MZ75" s="63"/>
      <c r="NA75" s="63"/>
      <c r="NB75" s="63"/>
      <c r="NC75" s="63"/>
      <c r="ND75" s="63"/>
      <c r="NE75" s="63"/>
      <c r="NF75" s="63"/>
      <c r="NG75" s="63"/>
      <c r="NH75" s="63"/>
      <c r="NI75" s="63"/>
      <c r="NJ75" s="63"/>
      <c r="NK75" s="63"/>
      <c r="NL75" s="63"/>
      <c r="NM75" s="63"/>
      <c r="NN75" s="63"/>
      <c r="NO75" s="63"/>
      <c r="NP75" s="63"/>
      <c r="NQ75" s="63"/>
      <c r="NR75" s="63"/>
      <c r="NS75" s="63"/>
      <c r="NT75" s="63"/>
      <c r="NU75" s="63"/>
      <c r="NV75" s="63"/>
      <c r="NW75" s="63"/>
      <c r="NX75" s="63"/>
      <c r="NY75" s="63"/>
      <c r="NZ75" s="63"/>
      <c r="OA75" s="63"/>
      <c r="OB75" s="63"/>
      <c r="OC75" s="63"/>
      <c r="OD75" s="63"/>
      <c r="OE75" s="63"/>
      <c r="OF75" s="63"/>
      <c r="OG75" s="63"/>
      <c r="OH75" s="63"/>
      <c r="OI75" s="63"/>
      <c r="OJ75" s="63"/>
      <c r="OK75" s="63"/>
      <c r="OL75" s="63"/>
      <c r="OM75" s="63"/>
      <c r="ON75" s="63"/>
      <c r="OO75" s="63"/>
      <c r="OP75" s="63"/>
      <c r="OQ75" s="63"/>
      <c r="OR75" s="63"/>
      <c r="OS75" s="63"/>
      <c r="OT75" s="63"/>
      <c r="OU75" s="63"/>
      <c r="OV75" s="63"/>
      <c r="OW75" s="63"/>
      <c r="OX75" s="63"/>
      <c r="OY75" s="63"/>
      <c r="OZ75" s="63"/>
      <c r="PA75" s="63"/>
      <c r="PB75" s="63"/>
      <c r="PC75" s="63"/>
      <c r="PD75" s="63"/>
      <c r="PE75" s="63"/>
      <c r="PF75" s="63"/>
      <c r="PG75" s="63"/>
      <c r="PH75" s="63"/>
      <c r="PI75" s="63"/>
      <c r="PJ75" s="63"/>
      <c r="PK75" s="63"/>
      <c r="PL75" s="63"/>
      <c r="PM75" s="63"/>
      <c r="PN75" s="63"/>
      <c r="PO75" s="63"/>
      <c r="PP75" s="63"/>
      <c r="PQ75" s="63"/>
      <c r="PR75" s="63"/>
      <c r="PS75" s="63"/>
      <c r="PT75" s="63"/>
      <c r="PU75" s="63"/>
      <c r="PV75" s="63"/>
      <c r="PW75" s="63"/>
      <c r="PX75" s="63"/>
      <c r="PY75" s="63"/>
      <c r="PZ75" s="63"/>
      <c r="QA75" s="63"/>
      <c r="QB75" s="63"/>
      <c r="QC75" s="63"/>
      <c r="QD75" s="63"/>
      <c r="QE75" s="63"/>
      <c r="QF75" s="63"/>
      <c r="QG75" s="63"/>
      <c r="QH75" s="63"/>
      <c r="QI75" s="63"/>
      <c r="QJ75" s="63"/>
      <c r="QK75" s="63"/>
      <c r="QL75" s="63"/>
      <c r="QM75" s="63"/>
      <c r="QN75" s="63"/>
      <c r="QO75" s="63"/>
      <c r="QP75" s="63"/>
      <c r="QQ75" s="63"/>
      <c r="QR75" s="63"/>
      <c r="QS75" s="63"/>
      <c r="QT75" s="63"/>
      <c r="QU75" s="63"/>
      <c r="QV75" s="63"/>
      <c r="QW75" s="63"/>
      <c r="QX75" s="63"/>
      <c r="QY75" s="63"/>
      <c r="QZ75" s="63"/>
      <c r="RA75" s="63"/>
      <c r="RB75" s="63"/>
      <c r="RC75" s="63"/>
      <c r="RD75" s="63"/>
      <c r="RE75" s="63"/>
      <c r="RF75" s="63"/>
      <c r="RG75" s="63"/>
      <c r="RH75" s="63"/>
      <c r="RI75" s="63"/>
      <c r="RJ75" s="63"/>
      <c r="RK75" s="63"/>
      <c r="RL75" s="63"/>
      <c r="RM75" s="63"/>
      <c r="RN75" s="63"/>
      <c r="RO75" s="63"/>
      <c r="RP75" s="63"/>
      <c r="RQ75" s="63"/>
      <c r="RR75" s="63"/>
      <c r="RS75" s="63"/>
      <c r="RT75" s="63"/>
      <c r="RU75" s="63"/>
      <c r="RV75" s="63"/>
      <c r="RW75" s="63"/>
      <c r="RX75" s="63"/>
      <c r="RY75" s="63"/>
      <c r="RZ75" s="63"/>
      <c r="SA75" s="63"/>
      <c r="SB75" s="63"/>
      <c r="SC75" s="63"/>
      <c r="SD75" s="63"/>
      <c r="SE75" s="63"/>
      <c r="SF75" s="63"/>
      <c r="SG75" s="63"/>
      <c r="SH75" s="63"/>
      <c r="SI75" s="63"/>
      <c r="SJ75" s="63"/>
      <c r="SK75" s="63"/>
      <c r="SL75" s="63"/>
      <c r="SM75" s="63"/>
      <c r="SN75" s="63"/>
      <c r="SO75" s="63"/>
      <c r="SP75" s="63"/>
      <c r="SQ75" s="63"/>
      <c r="SR75" s="63"/>
      <c r="SS75" s="63"/>
      <c r="ST75" s="63"/>
      <c r="SU75" s="63"/>
      <c r="SV75" s="63"/>
      <c r="SW75" s="63"/>
      <c r="SX75" s="63"/>
      <c r="SY75" s="63"/>
      <c r="SZ75" s="63"/>
      <c r="TA75" s="63"/>
      <c r="TB75" s="63"/>
      <c r="TC75" s="63"/>
      <c r="TD75" s="63"/>
      <c r="TE75" s="63"/>
      <c r="TF75" s="63"/>
      <c r="TG75" s="63"/>
      <c r="TH75" s="63"/>
      <c r="TI75" s="63"/>
      <c r="TJ75" s="63"/>
      <c r="TK75" s="63"/>
      <c r="TL75" s="63"/>
      <c r="TM75" s="63"/>
      <c r="TN75" s="63"/>
      <c r="TO75" s="63"/>
      <c r="TP75" s="63"/>
      <c r="TQ75" s="63"/>
      <c r="TR75" s="63"/>
      <c r="TS75" s="63"/>
      <c r="TT75" s="63"/>
      <c r="TU75" s="63"/>
      <c r="TV75" s="63"/>
      <c r="TW75" s="63"/>
      <c r="TX75" s="63"/>
      <c r="TY75" s="63"/>
      <c r="TZ75" s="63"/>
      <c r="UA75" s="63"/>
      <c r="UB75" s="63"/>
      <c r="UC75" s="63"/>
      <c r="UD75" s="63"/>
      <c r="UE75" s="63"/>
      <c r="UF75" s="63"/>
      <c r="UG75" s="63"/>
      <c r="UH75" s="63"/>
      <c r="UI75" s="63"/>
      <c r="UJ75" s="63"/>
      <c r="UK75" s="63"/>
      <c r="UL75" s="63"/>
      <c r="UM75" s="63"/>
      <c r="UN75" s="63"/>
      <c r="UO75" s="63"/>
      <c r="UP75" s="63"/>
      <c r="UQ75" s="63"/>
      <c r="UR75" s="63"/>
      <c r="US75" s="63"/>
      <c r="UT75" s="63"/>
      <c r="UU75" s="63"/>
      <c r="UV75" s="63"/>
      <c r="UW75" s="63"/>
      <c r="UX75" s="63"/>
      <c r="UY75" s="63"/>
      <c r="UZ75" s="63"/>
      <c r="VA75" s="63"/>
      <c r="VB75" s="63"/>
      <c r="VC75" s="63"/>
      <c r="VD75" s="63"/>
      <c r="VE75" s="63"/>
      <c r="VF75" s="63"/>
      <c r="VG75" s="63"/>
      <c r="VH75" s="63"/>
      <c r="VI75" s="63"/>
      <c r="VJ75" s="63"/>
      <c r="VK75" s="63"/>
      <c r="VL75" s="63"/>
      <c r="VM75" s="63"/>
      <c r="VN75" s="63"/>
      <c r="VO75" s="63"/>
      <c r="VP75" s="63"/>
      <c r="VQ75" s="63"/>
      <c r="VR75" s="63"/>
      <c r="VS75" s="63"/>
      <c r="VT75" s="63"/>
      <c r="VU75" s="63"/>
      <c r="VV75" s="63"/>
      <c r="VW75" s="63"/>
      <c r="VX75" s="63"/>
      <c r="VY75" s="63"/>
      <c r="VZ75" s="63"/>
      <c r="WA75" s="63"/>
      <c r="WB75" s="63"/>
      <c r="WC75" s="63"/>
      <c r="WD75" s="63"/>
      <c r="WE75" s="63"/>
      <c r="WF75" s="63"/>
      <c r="WG75" s="63"/>
      <c r="WH75" s="63"/>
      <c r="WI75" s="63"/>
      <c r="WJ75" s="63"/>
      <c r="WK75" s="63"/>
      <c r="WL75" s="63"/>
      <c r="WM75" s="63"/>
      <c r="WN75" s="63"/>
      <c r="WO75" s="63"/>
      <c r="WP75" s="63"/>
      <c r="WQ75" s="63"/>
      <c r="WR75" s="63"/>
      <c r="WS75" s="63"/>
      <c r="WT75" s="63"/>
      <c r="WU75" s="63"/>
      <c r="WV75" s="63"/>
      <c r="WW75" s="63"/>
      <c r="WX75" s="63"/>
      <c r="WY75" s="63"/>
      <c r="WZ75" s="63"/>
      <c r="XA75" s="63"/>
      <c r="XB75" s="63"/>
      <c r="XC75" s="63"/>
      <c r="XD75" s="63"/>
      <c r="XE75" s="63"/>
      <c r="XF75" s="63"/>
      <c r="XG75" s="63"/>
      <c r="XH75" s="63"/>
      <c r="XI75" s="63"/>
      <c r="XJ75" s="63"/>
      <c r="XK75" s="63"/>
      <c r="XL75" s="63"/>
      <c r="XM75" s="63"/>
      <c r="XN75" s="63"/>
      <c r="XO75" s="63"/>
      <c r="XP75" s="63"/>
      <c r="XQ75" s="63"/>
      <c r="XR75" s="63"/>
      <c r="XS75" s="63"/>
      <c r="XT75" s="63"/>
      <c r="XU75" s="63"/>
      <c r="XV75" s="63"/>
      <c r="XW75" s="63"/>
      <c r="XX75" s="63"/>
      <c r="XY75" s="63"/>
      <c r="XZ75" s="63"/>
      <c r="YA75" s="63"/>
      <c r="YB75" s="63"/>
      <c r="YC75" s="63"/>
      <c r="YD75" s="63"/>
      <c r="YE75" s="63"/>
      <c r="YF75" s="63"/>
      <c r="YG75" s="63"/>
      <c r="YH75" s="63"/>
      <c r="YI75" s="63"/>
      <c r="YJ75" s="63"/>
      <c r="YK75" s="63"/>
      <c r="YL75" s="63"/>
      <c r="YM75" s="63"/>
      <c r="YN75" s="63"/>
      <c r="YO75" s="63"/>
      <c r="YP75" s="63"/>
      <c r="YQ75" s="63"/>
      <c r="YR75" s="63"/>
      <c r="YS75" s="63"/>
      <c r="YT75" s="63"/>
      <c r="YU75" s="63"/>
      <c r="YV75" s="63"/>
      <c r="YW75" s="63"/>
      <c r="YX75" s="63"/>
      <c r="YY75" s="63"/>
      <c r="YZ75" s="63"/>
      <c r="ZA75" s="63"/>
      <c r="ZB75" s="63"/>
      <c r="ZC75" s="63"/>
      <c r="ZD75" s="63"/>
      <c r="ZE75" s="63"/>
      <c r="ZF75" s="63"/>
      <c r="ZG75" s="63"/>
      <c r="ZH75" s="63"/>
      <c r="ZI75" s="63"/>
      <c r="ZJ75" s="63"/>
      <c r="ZK75" s="63"/>
      <c r="ZL75" s="63"/>
      <c r="ZM75" s="63"/>
      <c r="ZN75" s="63"/>
      <c r="ZO75" s="63"/>
      <c r="ZP75" s="63"/>
      <c r="ZQ75" s="63"/>
      <c r="ZR75" s="63"/>
      <c r="ZS75" s="63"/>
      <c r="ZT75" s="63"/>
      <c r="ZU75" s="63"/>
      <c r="ZV75" s="63"/>
      <c r="ZW75" s="63"/>
      <c r="ZX75" s="63"/>
      <c r="ZY75" s="63"/>
      <c r="ZZ75" s="63"/>
      <c r="AAA75" s="63"/>
      <c r="AAB75" s="63"/>
      <c r="AAC75" s="63"/>
      <c r="AAD75" s="63"/>
      <c r="AAE75" s="63"/>
      <c r="AAF75" s="63"/>
      <c r="AAG75" s="63"/>
      <c r="AAH75" s="63"/>
      <c r="AAI75" s="63"/>
      <c r="AAJ75" s="63"/>
      <c r="AAK75" s="63"/>
      <c r="AAL75" s="63"/>
      <c r="AAM75" s="63"/>
      <c r="AAN75" s="63"/>
      <c r="AAO75" s="63"/>
      <c r="AAP75" s="63"/>
      <c r="AAQ75" s="63"/>
      <c r="AAR75" s="63"/>
      <c r="AAS75" s="63"/>
      <c r="AAT75" s="63"/>
      <c r="AAU75" s="63"/>
      <c r="AAV75" s="63"/>
      <c r="AAW75" s="63"/>
      <c r="AAX75" s="63"/>
      <c r="AAY75" s="63"/>
      <c r="AAZ75" s="63"/>
      <c r="ABA75" s="63"/>
      <c r="ABB75" s="63"/>
      <c r="ABC75" s="63"/>
      <c r="ABD75" s="63"/>
      <c r="ABE75" s="63"/>
      <c r="ABF75" s="63"/>
      <c r="ABG75" s="63"/>
      <c r="ABH75" s="63"/>
      <c r="ABI75" s="63"/>
      <c r="ABJ75" s="63"/>
      <c r="ABK75" s="63"/>
      <c r="ABL75" s="63"/>
      <c r="ABM75" s="63"/>
      <c r="ABN75" s="63"/>
      <c r="ABO75" s="63"/>
      <c r="ABP75" s="63"/>
      <c r="ABQ75" s="63"/>
      <c r="ABR75" s="63"/>
      <c r="ABS75" s="63"/>
      <c r="ABT75" s="63"/>
      <c r="ABU75" s="63"/>
      <c r="ABV75" s="63"/>
      <c r="ABW75" s="63"/>
      <c r="ABX75" s="63"/>
      <c r="ABY75" s="63"/>
      <c r="ABZ75" s="63"/>
      <c r="ACA75" s="63"/>
      <c r="ACB75" s="63"/>
      <c r="ACC75" s="63"/>
      <c r="ACD75" s="63"/>
      <c r="ACE75" s="63"/>
      <c r="ACF75" s="63"/>
      <c r="ACG75" s="63"/>
      <c r="ACH75" s="63"/>
      <c r="ACI75" s="63"/>
      <c r="ACJ75" s="63"/>
      <c r="ACK75" s="63"/>
      <c r="ACL75" s="63"/>
      <c r="ACM75" s="63"/>
      <c r="ACN75" s="63"/>
      <c r="ACO75" s="63"/>
      <c r="ACP75" s="63"/>
      <c r="ACQ75" s="63"/>
      <c r="ACR75" s="63"/>
      <c r="ACS75" s="63"/>
      <c r="ACT75" s="63"/>
      <c r="ACU75" s="63"/>
      <c r="ACV75" s="63"/>
      <c r="ACW75" s="63"/>
      <c r="ACX75" s="63"/>
      <c r="ACY75" s="63"/>
      <c r="ACZ75" s="63"/>
      <c r="ADA75" s="63"/>
      <c r="ADB75" s="63"/>
      <c r="ADC75" s="63"/>
      <c r="ADD75" s="63"/>
      <c r="ADE75" s="63"/>
      <c r="ADF75" s="63"/>
      <c r="ADG75" s="63"/>
      <c r="ADH75" s="63"/>
      <c r="ADI75" s="63"/>
      <c r="ADJ75" s="63"/>
      <c r="ADK75" s="63"/>
      <c r="ADL75" s="63"/>
      <c r="ADM75" s="63"/>
      <c r="ADN75" s="63"/>
      <c r="ADO75" s="63"/>
      <c r="ADP75" s="63"/>
      <c r="ADQ75" s="63"/>
      <c r="ADR75" s="63"/>
      <c r="ADS75" s="63"/>
      <c r="ADT75" s="63"/>
      <c r="ADU75" s="63"/>
      <c r="ADV75" s="63"/>
      <c r="ADW75" s="63"/>
      <c r="ADX75" s="63"/>
      <c r="ADY75" s="63"/>
      <c r="ADZ75" s="63"/>
      <c r="AEA75" s="63"/>
      <c r="AEB75" s="63"/>
      <c r="AEC75" s="63"/>
      <c r="AED75" s="63"/>
      <c r="AEE75" s="63"/>
      <c r="AEF75" s="63"/>
      <c r="AEG75" s="63"/>
      <c r="AEH75" s="63"/>
      <c r="AEI75" s="63"/>
      <c r="AEJ75" s="63"/>
      <c r="AEK75" s="63"/>
      <c r="AEL75" s="63"/>
      <c r="AEM75" s="63"/>
      <c r="AEN75" s="63"/>
      <c r="AEO75" s="63"/>
      <c r="AEP75" s="63"/>
      <c r="AEQ75" s="63"/>
      <c r="AER75" s="63"/>
      <c r="AES75" s="63"/>
      <c r="AET75" s="63"/>
      <c r="AEU75" s="63"/>
      <c r="AEV75" s="63"/>
      <c r="AEW75" s="63"/>
      <c r="AEX75" s="63"/>
      <c r="AEY75" s="63"/>
      <c r="AEZ75" s="63"/>
      <c r="AFA75" s="63"/>
      <c r="AFB75" s="63"/>
      <c r="AFC75" s="63"/>
      <c r="AFD75" s="63"/>
      <c r="AFE75" s="63"/>
      <c r="AFF75" s="63"/>
      <c r="AFG75" s="63"/>
      <c r="AFH75" s="63"/>
      <c r="AFI75" s="63"/>
      <c r="AFJ75" s="63"/>
      <c r="AFK75" s="63"/>
      <c r="AFL75" s="63"/>
      <c r="AFM75" s="63"/>
      <c r="AFN75" s="63"/>
      <c r="AFO75" s="63"/>
      <c r="AFP75" s="63"/>
      <c r="AFQ75" s="63"/>
      <c r="AFR75" s="63"/>
      <c r="AFS75" s="63"/>
      <c r="AFT75" s="63"/>
      <c r="AFU75" s="63"/>
      <c r="AFV75" s="63"/>
      <c r="AFW75" s="63"/>
      <c r="AFX75" s="63"/>
      <c r="AFY75" s="63"/>
      <c r="AFZ75" s="63"/>
      <c r="AGA75" s="63"/>
      <c r="AGB75" s="63"/>
      <c r="AGC75" s="63"/>
      <c r="AGD75" s="63"/>
      <c r="AGE75" s="63"/>
      <c r="AGF75" s="63"/>
      <c r="AGG75" s="63"/>
      <c r="AGH75" s="63"/>
      <c r="AGI75" s="63"/>
      <c r="AGJ75" s="63"/>
      <c r="AGK75" s="63"/>
      <c r="AGL75" s="63"/>
      <c r="AGM75" s="63"/>
      <c r="AGN75" s="63"/>
      <c r="AGO75" s="63"/>
      <c r="AGP75" s="63"/>
      <c r="AGQ75" s="63"/>
      <c r="AGR75" s="63"/>
      <c r="AGS75" s="63"/>
      <c r="AGT75" s="63"/>
      <c r="AGU75" s="63"/>
      <c r="AGV75" s="63"/>
      <c r="AGW75" s="63"/>
      <c r="AGX75" s="63"/>
      <c r="AGY75" s="63"/>
      <c r="AGZ75" s="63"/>
      <c r="AHA75" s="63"/>
      <c r="AHB75" s="63"/>
      <c r="AHC75" s="63"/>
      <c r="AHD75" s="63"/>
      <c r="AHE75" s="63"/>
      <c r="AHF75" s="63"/>
      <c r="AHG75" s="63"/>
      <c r="AHH75" s="63"/>
      <c r="AHI75" s="63"/>
      <c r="AHJ75" s="63"/>
      <c r="AHK75" s="63"/>
      <c r="AHL75" s="63"/>
      <c r="AHM75" s="63"/>
      <c r="AHN75" s="63"/>
      <c r="AHO75" s="63"/>
      <c r="AHP75" s="63"/>
      <c r="AHQ75" s="63"/>
      <c r="AHR75" s="63"/>
      <c r="AHS75" s="63"/>
      <c r="AHT75" s="63"/>
      <c r="AHU75" s="63"/>
      <c r="AHV75" s="63"/>
      <c r="AHW75" s="63"/>
      <c r="AHX75" s="63"/>
      <c r="AHY75" s="63"/>
      <c r="AHZ75" s="63"/>
      <c r="AIA75" s="63"/>
      <c r="AIB75" s="63"/>
      <c r="AIC75" s="63"/>
      <c r="AID75" s="63"/>
      <c r="AIE75" s="63"/>
      <c r="AIF75" s="63"/>
      <c r="AIG75" s="63"/>
      <c r="AIH75" s="63"/>
      <c r="AII75" s="63"/>
      <c r="AIJ75" s="63"/>
      <c r="AIK75" s="63"/>
      <c r="AIL75" s="63"/>
      <c r="AIM75" s="63"/>
      <c r="AIN75" s="63"/>
      <c r="AIO75" s="63"/>
      <c r="AIP75" s="63"/>
      <c r="AIQ75" s="63"/>
      <c r="AIR75" s="63"/>
      <c r="AIS75" s="63"/>
      <c r="AIT75" s="63"/>
      <c r="AIU75" s="63"/>
      <c r="AIV75" s="63"/>
      <c r="AIW75" s="63"/>
      <c r="AIX75" s="63"/>
      <c r="AIY75" s="63"/>
      <c r="AIZ75" s="63"/>
      <c r="AJA75" s="63"/>
      <c r="AJB75" s="63"/>
      <c r="AJC75" s="63"/>
      <c r="AJD75" s="63"/>
      <c r="AJE75" s="63"/>
      <c r="AJF75" s="63"/>
      <c r="AJG75" s="63"/>
      <c r="AJH75" s="63"/>
      <c r="AJI75" s="63"/>
      <c r="AJJ75" s="63"/>
      <c r="AJK75" s="63"/>
      <c r="AJL75" s="63"/>
      <c r="AJM75" s="63"/>
      <c r="AJN75" s="63"/>
      <c r="AJO75" s="63"/>
      <c r="AJP75" s="63"/>
      <c r="AJQ75" s="63"/>
      <c r="AJR75" s="63"/>
      <c r="AJS75" s="63"/>
      <c r="AJT75" s="63"/>
      <c r="AJU75" s="63"/>
      <c r="AJV75" s="63"/>
      <c r="AJW75" s="63"/>
      <c r="AJX75" s="63"/>
      <c r="AJY75" s="63"/>
      <c r="AJZ75" s="63"/>
      <c r="AKA75" s="63"/>
      <c r="AKB75" s="63"/>
      <c r="AKC75" s="63"/>
      <c r="AKD75" s="63"/>
      <c r="AKE75" s="63"/>
      <c r="AKF75" s="63"/>
      <c r="AKG75" s="63"/>
      <c r="AKH75" s="63"/>
      <c r="AKI75" s="63"/>
      <c r="AKJ75" s="63"/>
      <c r="AKK75" s="63"/>
      <c r="AKL75" s="63"/>
      <c r="AKM75" s="63"/>
      <c r="AKN75" s="63"/>
      <c r="AKO75" s="63"/>
      <c r="AKP75" s="63"/>
      <c r="AKQ75" s="63"/>
      <c r="AKR75" s="63"/>
      <c r="AKS75" s="63"/>
      <c r="AKT75" s="63"/>
      <c r="AKU75" s="63"/>
      <c r="AKV75" s="63"/>
      <c r="AKW75" s="63"/>
      <c r="AKX75" s="63"/>
      <c r="AKY75" s="63"/>
      <c r="AKZ75" s="63"/>
      <c r="ALA75" s="63"/>
      <c r="ALB75" s="63"/>
      <c r="ALC75" s="63"/>
      <c r="ALD75" s="63"/>
      <c r="ALE75" s="63"/>
      <c r="ALF75" s="63"/>
      <c r="ALG75" s="63"/>
      <c r="ALH75" s="63"/>
      <c r="ALI75" s="63"/>
      <c r="ALJ75" s="63"/>
      <c r="ALK75" s="63"/>
      <c r="ALL75" s="63"/>
      <c r="ALM75" s="63"/>
      <c r="ALN75" s="63"/>
      <c r="ALO75" s="63"/>
      <c r="ALP75" s="63"/>
      <c r="ALQ75" s="63"/>
      <c r="ALR75" s="63"/>
      <c r="ALS75" s="63"/>
      <c r="ALT75" s="63"/>
      <c r="ALU75" s="63"/>
      <c r="ALV75" s="63"/>
      <c r="ALW75" s="63"/>
      <c r="ALX75" s="63"/>
      <c r="ALY75" s="63"/>
      <c r="ALZ75" s="63"/>
      <c r="AMA75" s="63"/>
      <c r="AMB75" s="63"/>
      <c r="AMC75" s="63"/>
      <c r="AMD75" s="63"/>
      <c r="AME75" s="63"/>
      <c r="AMF75" s="63"/>
      <c r="AMG75" s="63"/>
      <c r="AMH75" s="63"/>
      <c r="AMI75" s="63"/>
      <c r="AMJ75" s="63"/>
      <c r="AMK75" s="63"/>
      <c r="AML75" s="63"/>
      <c r="AMM75" s="63"/>
      <c r="AMN75" s="63"/>
      <c r="AMO75" s="63"/>
      <c r="AMP75" s="63"/>
      <c r="AMQ75" s="63"/>
      <c r="AMR75" s="63"/>
      <c r="AMS75" s="63"/>
      <c r="AMT75" s="63"/>
      <c r="AMU75" s="63"/>
      <c r="AMV75" s="63"/>
      <c r="AMW75" s="63"/>
      <c r="AMX75" s="63"/>
      <c r="AMY75" s="63"/>
      <c r="AMZ75" s="63"/>
      <c r="ANA75" s="63"/>
      <c r="ANB75" s="63"/>
      <c r="ANC75" s="63"/>
      <c r="AND75" s="63"/>
      <c r="ANE75" s="63"/>
      <c r="ANF75" s="63"/>
      <c r="ANG75" s="63"/>
      <c r="ANH75" s="63"/>
      <c r="ANI75" s="63"/>
      <c r="ANJ75" s="63"/>
      <c r="ANK75" s="63"/>
      <c r="ANL75" s="63"/>
      <c r="ANM75" s="63"/>
      <c r="ANN75" s="63"/>
      <c r="ANO75" s="63"/>
      <c r="ANP75" s="63"/>
      <c r="ANQ75" s="63"/>
      <c r="ANR75" s="63"/>
      <c r="ANS75" s="63"/>
      <c r="ANT75" s="63"/>
      <c r="ANU75" s="63"/>
      <c r="ANV75" s="63"/>
      <c r="ANW75" s="63"/>
      <c r="ANX75" s="63"/>
      <c r="ANY75" s="63"/>
      <c r="ANZ75" s="63"/>
      <c r="AOA75" s="63"/>
      <c r="AOB75" s="63"/>
      <c r="AOC75" s="63"/>
      <c r="AOD75" s="63"/>
      <c r="AOE75" s="63"/>
      <c r="AOF75" s="63"/>
      <c r="AOG75" s="63"/>
      <c r="AOH75" s="63"/>
      <c r="AOI75" s="63"/>
      <c r="AOJ75" s="63"/>
      <c r="AOK75" s="63"/>
      <c r="AOL75" s="63"/>
      <c r="AOM75" s="63"/>
      <c r="AON75" s="63"/>
      <c r="AOO75" s="63"/>
      <c r="AOP75" s="63"/>
      <c r="AOQ75" s="63"/>
      <c r="AOR75" s="63"/>
      <c r="AOS75" s="63"/>
      <c r="AOT75" s="63"/>
      <c r="AOU75" s="63"/>
      <c r="AOV75" s="63"/>
      <c r="AOW75" s="63"/>
      <c r="AOX75" s="63"/>
      <c r="AOY75" s="63"/>
      <c r="AOZ75" s="63"/>
      <c r="APA75" s="63"/>
      <c r="APB75" s="63"/>
      <c r="APC75" s="63"/>
      <c r="APD75" s="63"/>
      <c r="APE75" s="63"/>
      <c r="APF75" s="63"/>
      <c r="APG75" s="63"/>
      <c r="APH75" s="63"/>
      <c r="API75" s="63"/>
      <c r="APJ75" s="63"/>
      <c r="APK75" s="63"/>
      <c r="APL75" s="63"/>
      <c r="APM75" s="63"/>
      <c r="APN75" s="63"/>
      <c r="APO75" s="63"/>
      <c r="APP75" s="63"/>
      <c r="APQ75" s="63"/>
      <c r="APR75" s="63"/>
      <c r="APS75" s="63"/>
      <c r="APT75" s="63"/>
      <c r="APU75" s="63"/>
      <c r="APV75" s="63"/>
      <c r="APW75" s="63"/>
      <c r="APX75" s="63"/>
      <c r="APY75" s="63"/>
      <c r="APZ75" s="63"/>
      <c r="AQA75" s="63"/>
      <c r="AQB75" s="63"/>
      <c r="AQC75" s="63"/>
      <c r="AQD75" s="63"/>
      <c r="AQE75" s="63"/>
      <c r="AQF75" s="63"/>
      <c r="AQG75" s="63"/>
      <c r="AQH75" s="63"/>
      <c r="AQI75" s="63"/>
      <c r="AQJ75" s="63"/>
      <c r="AQK75" s="63"/>
      <c r="AQL75" s="63"/>
      <c r="AQM75" s="63"/>
      <c r="AQN75" s="63"/>
      <c r="AQO75" s="63"/>
      <c r="AQP75" s="63"/>
      <c r="AQQ75" s="63"/>
      <c r="AQR75" s="63"/>
      <c r="AQS75" s="63"/>
      <c r="AQT75" s="63"/>
      <c r="AQU75" s="63"/>
      <c r="AQV75" s="63"/>
      <c r="AQW75" s="63"/>
      <c r="AQX75" s="63"/>
      <c r="AQY75" s="63"/>
      <c r="AQZ75" s="63"/>
      <c r="ARA75" s="63"/>
      <c r="ARB75" s="63"/>
      <c r="ARC75" s="63"/>
      <c r="ARD75" s="63"/>
      <c r="ARE75" s="63"/>
      <c r="ARF75" s="63"/>
      <c r="ARG75" s="63"/>
      <c r="ARH75" s="63"/>
      <c r="ARI75" s="63"/>
      <c r="ARJ75" s="63"/>
      <c r="ARK75" s="63"/>
      <c r="ARL75" s="63"/>
      <c r="ARM75" s="63"/>
      <c r="ARN75" s="63"/>
      <c r="ARO75" s="63"/>
      <c r="ARP75" s="63"/>
      <c r="ARQ75" s="63"/>
      <c r="ARR75" s="63"/>
      <c r="ARS75" s="63"/>
      <c r="ART75" s="63"/>
      <c r="ARU75" s="63"/>
      <c r="ARV75" s="63"/>
      <c r="ARW75" s="63"/>
      <c r="ARX75" s="63"/>
      <c r="ARY75" s="63"/>
      <c r="ARZ75" s="63"/>
      <c r="ASA75" s="63"/>
      <c r="ASB75" s="63"/>
      <c r="ASC75" s="63"/>
      <c r="ASD75" s="63"/>
      <c r="ASE75" s="63"/>
      <c r="ASF75" s="63"/>
      <c r="ASG75" s="63"/>
      <c r="ASH75" s="63"/>
      <c r="ASI75" s="63"/>
      <c r="ASJ75" s="63"/>
      <c r="ASK75" s="63"/>
      <c r="ASL75" s="63"/>
      <c r="ASM75" s="63"/>
      <c r="ASN75" s="63"/>
      <c r="ASO75" s="63"/>
      <c r="ASP75" s="63"/>
      <c r="ASQ75" s="63"/>
      <c r="ASR75" s="63"/>
      <c r="ASS75" s="63"/>
      <c r="AST75" s="63"/>
      <c r="ASU75" s="63"/>
      <c r="ASV75" s="63"/>
      <c r="ASW75" s="63"/>
      <c r="ASX75" s="63"/>
      <c r="ASY75" s="63"/>
      <c r="ASZ75" s="63"/>
      <c r="ATA75" s="63"/>
      <c r="ATB75" s="63"/>
      <c r="ATC75" s="63"/>
      <c r="ATD75" s="63"/>
      <c r="ATE75" s="63"/>
      <c r="ATF75" s="63"/>
      <c r="ATG75" s="63"/>
      <c r="ATH75" s="63"/>
      <c r="ATI75" s="63"/>
      <c r="ATJ75" s="63"/>
      <c r="ATK75" s="63"/>
      <c r="ATL75" s="63"/>
      <c r="ATM75" s="63"/>
      <c r="ATN75" s="63"/>
      <c r="ATO75" s="63"/>
      <c r="ATP75" s="63"/>
      <c r="ATQ75" s="63"/>
      <c r="ATR75" s="63"/>
      <c r="ATS75" s="63"/>
      <c r="ATT75" s="63"/>
      <c r="ATU75" s="63"/>
      <c r="ATV75" s="63"/>
      <c r="ATW75" s="63"/>
      <c r="ATX75" s="63"/>
      <c r="ATY75" s="63"/>
      <c r="ATZ75" s="63"/>
      <c r="AUA75" s="63"/>
      <c r="AUB75" s="63"/>
      <c r="AUC75" s="63"/>
      <c r="AUD75" s="63"/>
      <c r="AUE75" s="63"/>
      <c r="AUF75" s="63"/>
      <c r="AUG75" s="63"/>
      <c r="AUH75" s="63"/>
      <c r="AUI75" s="63"/>
      <c r="AUJ75" s="63"/>
      <c r="AUK75" s="63"/>
      <c r="AUL75" s="63"/>
      <c r="AUM75" s="63"/>
      <c r="AUN75" s="63"/>
      <c r="AUO75" s="63"/>
      <c r="AUP75" s="63"/>
      <c r="AUQ75" s="63"/>
      <c r="AUR75" s="63"/>
      <c r="AUS75" s="63"/>
      <c r="AUT75" s="63"/>
      <c r="AUU75" s="63"/>
      <c r="AUV75" s="63"/>
      <c r="AUW75" s="63"/>
      <c r="AUX75" s="63"/>
      <c r="AUY75" s="63"/>
      <c r="AUZ75" s="63"/>
      <c r="AVA75" s="63"/>
      <c r="AVB75" s="63"/>
      <c r="AVC75" s="63"/>
      <c r="AVD75" s="63"/>
      <c r="AVE75" s="63"/>
      <c r="AVF75" s="63"/>
      <c r="AVG75" s="63"/>
      <c r="AVH75" s="63"/>
      <c r="AVI75" s="63"/>
      <c r="AVJ75" s="63"/>
      <c r="AVK75" s="63"/>
      <c r="AVL75" s="63"/>
      <c r="AVM75" s="63"/>
      <c r="AVN75" s="63"/>
      <c r="AVO75" s="63"/>
      <c r="AVP75" s="63"/>
      <c r="AVQ75" s="63"/>
      <c r="AVR75" s="63"/>
      <c r="AVS75" s="63"/>
      <c r="AVT75" s="63"/>
      <c r="AVU75" s="63"/>
      <c r="AVV75" s="63"/>
      <c r="AVW75" s="63"/>
      <c r="AVX75" s="63"/>
      <c r="AVY75" s="63"/>
      <c r="AVZ75" s="63"/>
      <c r="AWA75" s="63"/>
      <c r="AWB75" s="63"/>
      <c r="AWC75" s="63"/>
      <c r="AWD75" s="63"/>
      <c r="AWE75" s="63"/>
      <c r="AWF75" s="63"/>
      <c r="AWG75" s="63"/>
      <c r="AWH75" s="63"/>
      <c r="AWI75" s="63"/>
      <c r="AWJ75" s="63"/>
      <c r="AWK75" s="63"/>
      <c r="AWL75" s="63"/>
      <c r="AWM75" s="63"/>
      <c r="AWN75" s="63"/>
      <c r="AWO75" s="63"/>
      <c r="AWP75" s="63"/>
      <c r="AWQ75" s="63"/>
      <c r="AWR75" s="63"/>
      <c r="AWS75" s="63"/>
      <c r="AWT75" s="63"/>
      <c r="AWU75" s="63"/>
      <c r="AWV75" s="63"/>
      <c r="AWW75" s="63"/>
      <c r="AWX75" s="63"/>
      <c r="AWY75" s="63"/>
      <c r="AWZ75" s="63"/>
      <c r="AXA75" s="63"/>
      <c r="AXB75" s="63"/>
      <c r="AXC75" s="63"/>
      <c r="AXD75" s="63"/>
      <c r="AXE75" s="63"/>
      <c r="AXF75" s="63"/>
      <c r="AXG75" s="63"/>
      <c r="AXH75" s="63"/>
      <c r="AXI75" s="63"/>
      <c r="AXJ75" s="63"/>
      <c r="AXK75" s="63"/>
      <c r="AXL75" s="63"/>
      <c r="AXM75" s="63"/>
      <c r="AXN75" s="63"/>
      <c r="AXO75" s="63"/>
      <c r="AXP75" s="63"/>
      <c r="AXQ75" s="63"/>
      <c r="AXR75" s="63"/>
      <c r="AXS75" s="63"/>
      <c r="AXT75" s="63"/>
      <c r="AXU75" s="63"/>
      <c r="AXV75" s="63"/>
      <c r="AXW75" s="63"/>
      <c r="AXX75" s="63"/>
      <c r="AXY75" s="63"/>
      <c r="AXZ75" s="63"/>
      <c r="AYA75" s="63"/>
      <c r="AYB75" s="63"/>
      <c r="AYC75" s="63"/>
      <c r="AYD75" s="63"/>
      <c r="AYE75" s="63"/>
      <c r="AYF75" s="63"/>
      <c r="AYG75" s="63"/>
      <c r="AYH75" s="63"/>
      <c r="AYI75" s="63"/>
      <c r="AYJ75" s="63"/>
      <c r="AYK75" s="63"/>
      <c r="AYL75" s="63"/>
      <c r="AYM75" s="63"/>
      <c r="AYN75" s="63"/>
      <c r="AYO75" s="63"/>
      <c r="AYP75" s="63"/>
      <c r="AYQ75" s="63"/>
      <c r="AYR75" s="63"/>
      <c r="AYS75" s="63"/>
      <c r="AYT75" s="63"/>
      <c r="AYU75" s="63"/>
      <c r="AYV75" s="63"/>
      <c r="AYW75" s="63"/>
      <c r="AYX75" s="63"/>
      <c r="AYY75" s="63"/>
      <c r="AYZ75" s="63"/>
      <c r="AZA75" s="63"/>
      <c r="AZB75" s="63"/>
      <c r="AZC75" s="63"/>
      <c r="AZD75" s="63"/>
      <c r="AZE75" s="63"/>
      <c r="AZF75" s="63"/>
      <c r="AZG75" s="63"/>
      <c r="AZH75" s="63"/>
      <c r="AZI75" s="63"/>
      <c r="AZJ75" s="63"/>
      <c r="AZK75" s="63"/>
      <c r="AZL75" s="63"/>
      <c r="AZM75" s="63"/>
      <c r="AZN75" s="63"/>
      <c r="AZO75" s="63"/>
      <c r="AZP75" s="63"/>
      <c r="AZQ75" s="63"/>
      <c r="AZR75" s="63"/>
      <c r="AZS75" s="63"/>
      <c r="AZT75" s="63"/>
      <c r="AZU75" s="63"/>
      <c r="AZV75" s="63"/>
      <c r="AZW75" s="63"/>
      <c r="AZX75" s="63"/>
      <c r="AZY75" s="63"/>
      <c r="AZZ75" s="63"/>
      <c r="BAA75" s="63"/>
      <c r="BAB75" s="63"/>
      <c r="BAC75" s="63"/>
      <c r="BAD75" s="63"/>
      <c r="BAE75" s="63"/>
      <c r="BAF75" s="63"/>
      <c r="BAG75" s="63"/>
      <c r="BAH75" s="63"/>
      <c r="BAI75" s="63"/>
      <c r="BAJ75" s="63"/>
      <c r="BAK75" s="63"/>
      <c r="BAL75" s="63"/>
      <c r="BAM75" s="63"/>
      <c r="BAN75" s="63"/>
      <c r="BAO75" s="63"/>
      <c r="BAP75" s="63"/>
      <c r="BAQ75" s="63"/>
      <c r="BAR75" s="63"/>
      <c r="BAS75" s="63"/>
      <c r="BAT75" s="63"/>
      <c r="BAU75" s="63"/>
      <c r="BAV75" s="63"/>
      <c r="BAW75" s="63"/>
      <c r="BAX75" s="63"/>
      <c r="BAY75" s="63"/>
      <c r="BAZ75" s="63"/>
      <c r="BBA75" s="63"/>
      <c r="BBB75" s="63"/>
      <c r="BBC75" s="63"/>
      <c r="BBD75" s="63"/>
      <c r="BBE75" s="63"/>
      <c r="BBF75" s="63"/>
      <c r="BBG75" s="63"/>
      <c r="BBH75" s="63"/>
      <c r="BBI75" s="63"/>
      <c r="BBJ75" s="63"/>
      <c r="BBK75" s="63"/>
      <c r="BBL75" s="63"/>
      <c r="BBM75" s="63"/>
      <c r="BBN75" s="63"/>
      <c r="BBO75" s="63"/>
      <c r="BBP75" s="63"/>
      <c r="BBQ75" s="63"/>
      <c r="BBR75" s="63"/>
      <c r="BBS75" s="63"/>
      <c r="BBT75" s="63"/>
      <c r="BBU75" s="63"/>
      <c r="BBV75" s="63"/>
      <c r="BBW75" s="63"/>
      <c r="BBX75" s="63"/>
      <c r="BBY75" s="63"/>
      <c r="BBZ75" s="63"/>
      <c r="BCA75" s="63"/>
      <c r="BCB75" s="63"/>
      <c r="BCC75" s="63"/>
      <c r="BCD75" s="63"/>
      <c r="BCE75" s="63"/>
      <c r="BCF75" s="63"/>
      <c r="BCG75" s="63"/>
      <c r="BCH75" s="63"/>
      <c r="BCI75" s="63"/>
      <c r="BCJ75" s="63"/>
      <c r="BCK75" s="63"/>
      <c r="BCL75" s="63"/>
      <c r="BCM75" s="63"/>
      <c r="BCN75" s="63"/>
      <c r="BCO75" s="63"/>
      <c r="BCP75" s="63"/>
      <c r="BCQ75" s="63"/>
      <c r="BCR75" s="63"/>
      <c r="BCS75" s="63"/>
      <c r="BCT75" s="63"/>
      <c r="BCU75" s="63"/>
      <c r="BCV75" s="63"/>
      <c r="BCW75" s="63"/>
      <c r="BCX75" s="63"/>
      <c r="BCY75" s="63"/>
      <c r="BCZ75" s="63"/>
      <c r="BDA75" s="63"/>
      <c r="BDB75" s="63"/>
      <c r="BDC75" s="63"/>
      <c r="BDD75" s="63"/>
      <c r="BDE75" s="63"/>
      <c r="BDF75" s="63"/>
      <c r="BDG75" s="63"/>
      <c r="BDH75" s="63"/>
      <c r="BDI75" s="63"/>
      <c r="BDJ75" s="63"/>
      <c r="BDK75" s="63"/>
      <c r="BDL75" s="63"/>
      <c r="BDM75" s="63"/>
      <c r="BDN75" s="63"/>
      <c r="BDO75" s="63"/>
      <c r="BDP75" s="63"/>
      <c r="BDQ75" s="63"/>
      <c r="BDR75" s="63"/>
      <c r="BDS75" s="63"/>
      <c r="BDT75" s="63"/>
      <c r="BDU75" s="63"/>
      <c r="BDV75" s="63"/>
      <c r="BDW75" s="63"/>
      <c r="BDX75" s="63"/>
      <c r="BDY75" s="63"/>
      <c r="BDZ75" s="63"/>
      <c r="BEA75" s="63"/>
      <c r="BEB75" s="63"/>
      <c r="BEC75" s="63"/>
      <c r="BED75" s="63"/>
      <c r="BEE75" s="63"/>
      <c r="BEF75" s="63"/>
      <c r="BEG75" s="63"/>
      <c r="BEH75" s="63"/>
      <c r="BEI75" s="63"/>
      <c r="BEJ75" s="63"/>
      <c r="BEK75" s="63"/>
      <c r="BEL75" s="63"/>
      <c r="BEM75" s="63"/>
      <c r="BEN75" s="63"/>
      <c r="BEO75" s="63"/>
      <c r="BEP75" s="63"/>
      <c r="BEQ75" s="63"/>
      <c r="BER75" s="63"/>
      <c r="BES75" s="63"/>
      <c r="BET75" s="63"/>
      <c r="BEU75" s="63"/>
      <c r="BEV75" s="63"/>
      <c r="BEW75" s="63"/>
      <c r="BEX75" s="63"/>
      <c r="BEY75" s="63"/>
      <c r="BEZ75" s="63"/>
      <c r="BFA75" s="63"/>
      <c r="BFB75" s="63"/>
      <c r="BFC75" s="63"/>
      <c r="BFD75" s="63"/>
      <c r="BFE75" s="63"/>
      <c r="BFF75" s="63"/>
      <c r="BFG75" s="63"/>
      <c r="BFH75" s="63"/>
      <c r="BFI75" s="63"/>
      <c r="BFJ75" s="63"/>
      <c r="BFK75" s="63"/>
      <c r="BFL75" s="63"/>
      <c r="BFM75" s="63"/>
      <c r="BFN75" s="63"/>
      <c r="BFO75" s="63"/>
      <c r="BFP75" s="63"/>
      <c r="BFQ75" s="63"/>
      <c r="BFR75" s="63"/>
      <c r="BFS75" s="63"/>
      <c r="BFT75" s="63"/>
      <c r="BFU75" s="63"/>
      <c r="BFV75" s="63"/>
      <c r="BFW75" s="63"/>
      <c r="BFX75" s="63"/>
      <c r="BFY75" s="63"/>
      <c r="BFZ75" s="63"/>
      <c r="BGA75" s="63"/>
      <c r="BGB75" s="63"/>
      <c r="BGC75" s="63"/>
      <c r="BGD75" s="63"/>
      <c r="BGE75" s="63"/>
      <c r="BGF75" s="63"/>
      <c r="BGG75" s="63"/>
      <c r="BGH75" s="63"/>
      <c r="BGI75" s="63"/>
      <c r="BGJ75" s="63"/>
      <c r="BGK75" s="63"/>
      <c r="BGL75" s="63"/>
      <c r="BGM75" s="63"/>
      <c r="BGN75" s="63"/>
      <c r="BGO75" s="63"/>
      <c r="BGP75" s="63"/>
      <c r="BGQ75" s="63"/>
      <c r="BGR75" s="63"/>
      <c r="BGS75" s="63"/>
      <c r="BGT75" s="63"/>
      <c r="BGU75" s="63"/>
      <c r="BGV75" s="63"/>
      <c r="BGW75" s="63"/>
      <c r="BGX75" s="63"/>
      <c r="BGY75" s="63"/>
      <c r="BGZ75" s="63"/>
      <c r="BHA75" s="63"/>
      <c r="BHB75" s="63"/>
      <c r="BHC75" s="63"/>
      <c r="BHD75" s="63"/>
      <c r="BHE75" s="63"/>
      <c r="BHF75" s="63"/>
      <c r="BHG75" s="63"/>
      <c r="BHH75" s="63"/>
      <c r="BHI75" s="63"/>
      <c r="BHJ75" s="63"/>
      <c r="BHK75" s="63"/>
      <c r="BHL75" s="63"/>
      <c r="BHM75" s="63"/>
      <c r="BHN75" s="63"/>
      <c r="BHO75" s="63"/>
      <c r="BHP75" s="63"/>
      <c r="BHQ75" s="63"/>
      <c r="BHR75" s="63"/>
      <c r="BHS75" s="63"/>
      <c r="BHT75" s="63"/>
      <c r="BHU75" s="63"/>
      <c r="BHV75" s="63"/>
      <c r="BHW75" s="63"/>
      <c r="BHX75" s="63"/>
      <c r="BHY75" s="63"/>
      <c r="BHZ75" s="63"/>
      <c r="BIA75" s="63"/>
      <c r="BIB75" s="63"/>
      <c r="BIC75" s="63"/>
      <c r="BID75" s="63"/>
      <c r="BIE75" s="63"/>
      <c r="BIF75" s="63"/>
      <c r="BIG75" s="63"/>
      <c r="BIH75" s="63"/>
      <c r="BII75" s="63"/>
      <c r="BIJ75" s="63"/>
      <c r="BIK75" s="63"/>
      <c r="BIL75" s="63"/>
      <c r="BIM75" s="63"/>
      <c r="BIN75" s="63"/>
      <c r="BIO75" s="63"/>
      <c r="BIP75" s="63"/>
      <c r="BIQ75" s="63"/>
      <c r="BIR75" s="63"/>
      <c r="BIS75" s="63"/>
      <c r="BIT75" s="63"/>
      <c r="BIU75" s="63"/>
      <c r="BIV75" s="63"/>
      <c r="BIW75" s="63"/>
      <c r="BIX75" s="63"/>
      <c r="BIY75" s="63"/>
      <c r="BIZ75" s="63"/>
      <c r="BJA75" s="63"/>
      <c r="BJB75" s="63"/>
      <c r="BJC75" s="63"/>
      <c r="BJD75" s="63"/>
      <c r="BJE75" s="63"/>
      <c r="BJF75" s="63"/>
      <c r="BJG75" s="63"/>
      <c r="BJH75" s="63"/>
      <c r="BJI75" s="63"/>
      <c r="BJJ75" s="63"/>
      <c r="BJK75" s="63"/>
      <c r="BJL75" s="63"/>
      <c r="BJM75" s="63"/>
      <c r="BJN75" s="63"/>
      <c r="BJO75" s="63"/>
      <c r="BJP75" s="63"/>
      <c r="BJQ75" s="63"/>
      <c r="BJR75" s="63"/>
      <c r="BJS75" s="63"/>
      <c r="BJT75" s="63"/>
      <c r="BJU75" s="63"/>
      <c r="BJV75" s="63"/>
      <c r="BJW75" s="63"/>
      <c r="BJX75" s="63"/>
      <c r="BJY75" s="63"/>
      <c r="BJZ75" s="63"/>
      <c r="BKA75" s="63"/>
      <c r="BKB75" s="63"/>
      <c r="BKC75" s="63"/>
      <c r="BKD75" s="63"/>
      <c r="BKE75" s="63"/>
      <c r="BKF75" s="63"/>
      <c r="BKG75" s="63"/>
      <c r="BKH75" s="63"/>
      <c r="BKI75" s="63"/>
      <c r="BKJ75" s="63"/>
      <c r="BKK75" s="63"/>
      <c r="BKL75" s="63"/>
      <c r="BKM75" s="63"/>
      <c r="BKN75" s="63"/>
      <c r="BKO75" s="63"/>
      <c r="BKP75" s="63"/>
      <c r="BKQ75" s="63"/>
      <c r="BKR75" s="63"/>
      <c r="BKS75" s="63"/>
      <c r="BKT75" s="63"/>
      <c r="BKU75" s="63"/>
      <c r="BKV75" s="63"/>
      <c r="BKW75" s="63"/>
      <c r="BKX75" s="63"/>
      <c r="BKY75" s="63"/>
      <c r="BKZ75" s="63"/>
      <c r="BLA75" s="63"/>
      <c r="BLB75" s="63"/>
      <c r="BLC75" s="63"/>
      <c r="BLD75" s="63"/>
      <c r="BLE75" s="63"/>
      <c r="BLF75" s="63"/>
      <c r="BLG75" s="63"/>
      <c r="BLH75" s="63"/>
      <c r="BLI75" s="63"/>
      <c r="BLJ75" s="63"/>
      <c r="BLK75" s="63"/>
      <c r="BLL75" s="63"/>
      <c r="BLM75" s="63"/>
      <c r="BLN75" s="63"/>
      <c r="BLO75" s="63"/>
      <c r="BLP75" s="63"/>
      <c r="BLQ75" s="63"/>
      <c r="BLR75" s="63"/>
      <c r="BLS75" s="63"/>
      <c r="BLT75" s="63"/>
      <c r="BLU75" s="63"/>
      <c r="BLV75" s="63"/>
      <c r="BLW75" s="63"/>
      <c r="BLX75" s="63"/>
      <c r="BLY75" s="63"/>
      <c r="BLZ75" s="63"/>
      <c r="BMA75" s="63"/>
      <c r="BMB75" s="63"/>
      <c r="BMC75" s="63"/>
      <c r="BMD75" s="63"/>
      <c r="BME75" s="63"/>
      <c r="BMF75" s="63"/>
      <c r="BMG75" s="63"/>
      <c r="BMH75" s="63"/>
      <c r="BMI75" s="63"/>
      <c r="BMJ75" s="63"/>
      <c r="BMK75" s="63"/>
      <c r="BML75" s="63"/>
      <c r="BMM75" s="63"/>
      <c r="BMN75" s="63"/>
      <c r="BMO75" s="63"/>
      <c r="BMP75" s="63"/>
      <c r="BMQ75" s="63"/>
      <c r="BMR75" s="63"/>
      <c r="BMS75" s="63"/>
      <c r="BMT75" s="63"/>
      <c r="BMU75" s="63"/>
      <c r="BMV75" s="63"/>
      <c r="BMW75" s="63"/>
      <c r="BMX75" s="63"/>
      <c r="BMY75" s="63"/>
      <c r="BMZ75" s="63"/>
      <c r="BNA75" s="63"/>
      <c r="BNB75" s="63"/>
      <c r="BNC75" s="63"/>
      <c r="BND75" s="63"/>
      <c r="BNE75" s="63"/>
      <c r="BNF75" s="63"/>
      <c r="BNG75" s="63"/>
      <c r="BNH75" s="63"/>
      <c r="BNI75" s="63"/>
      <c r="BNJ75" s="63"/>
      <c r="BNK75" s="63"/>
      <c r="BNL75" s="63"/>
      <c r="BNM75" s="63"/>
      <c r="BNN75" s="63"/>
      <c r="BNO75" s="63"/>
      <c r="BNP75" s="63"/>
      <c r="BNQ75" s="63"/>
      <c r="BNR75" s="63"/>
      <c r="BNS75" s="63"/>
      <c r="BNT75" s="63"/>
      <c r="BNU75" s="63"/>
      <c r="BNV75" s="63"/>
      <c r="BNW75" s="63"/>
      <c r="BNX75" s="63"/>
      <c r="BNY75" s="63"/>
      <c r="BNZ75" s="63"/>
      <c r="BOA75" s="63"/>
      <c r="BOB75" s="63"/>
      <c r="BOC75" s="63"/>
      <c r="BOD75" s="63"/>
      <c r="BOE75" s="63"/>
      <c r="BOF75" s="63"/>
      <c r="BOG75" s="63"/>
      <c r="BOH75" s="63"/>
      <c r="BOI75" s="63"/>
      <c r="BOJ75" s="63"/>
      <c r="BOK75" s="63"/>
      <c r="BOL75" s="63"/>
      <c r="BOM75" s="63"/>
      <c r="BON75" s="63"/>
      <c r="BOO75" s="63"/>
      <c r="BOP75" s="63"/>
      <c r="BOQ75" s="63"/>
      <c r="BOR75" s="63"/>
      <c r="BOS75" s="63"/>
      <c r="BOT75" s="63"/>
      <c r="BOU75" s="63"/>
      <c r="BOV75" s="63"/>
      <c r="BOW75" s="63"/>
      <c r="BOX75" s="63"/>
      <c r="BOY75" s="63"/>
      <c r="BOZ75" s="63"/>
      <c r="BPA75" s="63"/>
      <c r="BPB75" s="63"/>
      <c r="BPC75" s="63"/>
      <c r="BPD75" s="63"/>
      <c r="BPE75" s="63"/>
      <c r="BPF75" s="63"/>
      <c r="BPG75" s="63"/>
      <c r="BPH75" s="63"/>
      <c r="BPI75" s="63"/>
      <c r="BPJ75" s="63"/>
      <c r="BPK75" s="63"/>
      <c r="BPL75" s="63"/>
      <c r="BPM75" s="63"/>
      <c r="BPN75" s="63"/>
      <c r="BPO75" s="63"/>
      <c r="BPP75" s="63"/>
      <c r="BPQ75" s="63"/>
      <c r="BPR75" s="63"/>
      <c r="BPS75" s="63"/>
      <c r="BPT75" s="63"/>
      <c r="BPU75" s="63"/>
      <c r="BPV75" s="63"/>
      <c r="BPW75" s="63"/>
      <c r="BPX75" s="63"/>
      <c r="BPY75" s="63"/>
      <c r="BPZ75" s="63"/>
      <c r="BQA75" s="63"/>
      <c r="BQB75" s="63"/>
      <c r="BQC75" s="63"/>
      <c r="BQD75" s="63"/>
      <c r="BQE75" s="63"/>
      <c r="BQF75" s="63"/>
      <c r="BQG75" s="63"/>
      <c r="BQH75" s="63"/>
      <c r="BQI75" s="63"/>
      <c r="BQJ75" s="63"/>
      <c r="BQK75" s="63"/>
      <c r="BQL75" s="63"/>
      <c r="BQM75" s="63"/>
      <c r="BQN75" s="63"/>
      <c r="BQO75" s="63"/>
      <c r="BQP75" s="63"/>
      <c r="BQQ75" s="63"/>
      <c r="BQR75" s="63"/>
      <c r="BQS75" s="63"/>
      <c r="BQT75" s="63"/>
      <c r="BQU75" s="63"/>
      <c r="BQV75" s="63"/>
      <c r="BQW75" s="63"/>
      <c r="BQX75" s="63"/>
      <c r="BQY75" s="63"/>
      <c r="BQZ75" s="63"/>
      <c r="BRA75" s="63"/>
      <c r="BRB75" s="63"/>
      <c r="BRC75" s="63"/>
      <c r="BRD75" s="63"/>
      <c r="BRE75" s="63"/>
      <c r="BRF75" s="63"/>
      <c r="BRG75" s="63"/>
      <c r="BRH75" s="63"/>
      <c r="BRI75" s="63"/>
      <c r="BRJ75" s="63"/>
      <c r="BRK75" s="63"/>
      <c r="BRL75" s="63"/>
      <c r="BRM75" s="63"/>
      <c r="BRN75" s="63"/>
      <c r="BRO75" s="63"/>
      <c r="BRP75" s="63"/>
      <c r="BRQ75" s="63"/>
      <c r="BRR75" s="63"/>
      <c r="BRS75" s="63"/>
      <c r="BRT75" s="63"/>
      <c r="BRU75" s="63"/>
      <c r="BRV75" s="63"/>
      <c r="BRW75" s="63"/>
      <c r="BRX75" s="63"/>
      <c r="BRY75" s="63"/>
      <c r="BRZ75" s="63"/>
      <c r="BSA75" s="63"/>
      <c r="BSB75" s="63"/>
      <c r="BSC75" s="63"/>
      <c r="BSD75" s="63"/>
      <c r="BSE75" s="63"/>
      <c r="BSF75" s="63"/>
      <c r="BSG75" s="63"/>
      <c r="BSH75" s="63"/>
      <c r="BSI75" s="63"/>
      <c r="BSJ75" s="63"/>
      <c r="BSK75" s="63"/>
      <c r="BSL75" s="63"/>
      <c r="BSM75" s="63"/>
      <c r="BSN75" s="63"/>
      <c r="BSO75" s="63"/>
      <c r="BSP75" s="63"/>
      <c r="BSQ75" s="63"/>
      <c r="BSR75" s="63"/>
      <c r="BSS75" s="63"/>
      <c r="BST75" s="63"/>
      <c r="BSU75" s="63"/>
      <c r="BSV75" s="63"/>
      <c r="BSW75" s="63"/>
      <c r="BSX75" s="63"/>
      <c r="BSY75" s="63"/>
      <c r="BSZ75" s="63"/>
      <c r="BTA75" s="63"/>
      <c r="BTB75" s="63"/>
      <c r="BTC75" s="63"/>
      <c r="BTD75" s="63"/>
      <c r="BTE75" s="63"/>
      <c r="BTF75" s="63"/>
      <c r="BTG75" s="63"/>
      <c r="BTH75" s="63"/>
      <c r="BTI75" s="63"/>
    </row>
    <row r="76" spans="1:1881" ht="18.75" x14ac:dyDescent="0.3">
      <c r="A76" s="189"/>
      <c r="B76" s="139" t="s">
        <v>170</v>
      </c>
      <c r="C76" s="139"/>
      <c r="D76" s="155"/>
      <c r="E76" s="155"/>
      <c r="F76" s="727"/>
      <c r="G76" s="555"/>
      <c r="H76" s="13"/>
      <c r="I76" s="31"/>
      <c r="J76" s="63"/>
      <c r="L76" s="833" t="s">
        <v>1168</v>
      </c>
    </row>
    <row r="77" spans="1:1881" ht="18.75" x14ac:dyDescent="0.3">
      <c r="A77" s="189"/>
      <c r="B77" s="139" t="s">
        <v>26</v>
      </c>
      <c r="C77" s="139"/>
      <c r="D77" s="144"/>
      <c r="E77" s="145"/>
      <c r="F77" s="728"/>
      <c r="G77" s="556"/>
      <c r="H77" s="13"/>
      <c r="I77" s="31"/>
      <c r="L77" s="833" t="s">
        <v>1169</v>
      </c>
    </row>
    <row r="78" spans="1:1881" ht="18.75" x14ac:dyDescent="0.3">
      <c r="A78" s="189"/>
      <c r="B78" s="139" t="s">
        <v>24</v>
      </c>
      <c r="C78" s="139"/>
      <c r="D78" s="144"/>
      <c r="E78" s="145"/>
      <c r="F78" s="728"/>
      <c r="G78" s="556"/>
      <c r="H78" s="51"/>
      <c r="I78" s="31"/>
      <c r="L78" s="833" t="s">
        <v>1170</v>
      </c>
    </row>
    <row r="79" spans="1:1881" s="225" customFormat="1" ht="78" customHeight="1" x14ac:dyDescent="0.3">
      <c r="A79" s="188">
        <v>596</v>
      </c>
      <c r="B79" s="150" t="s">
        <v>64</v>
      </c>
      <c r="C79" s="338"/>
      <c r="D79" s="323" t="s">
        <v>709</v>
      </c>
      <c r="E79" s="32" t="e">
        <f>HLOOKUP($D$2,'2019 Data(H)'!$C$1:$CP$300,255,FALSE)</f>
        <v>#N/A</v>
      </c>
      <c r="F79" s="624"/>
      <c r="G79" s="557"/>
      <c r="H79" s="51"/>
      <c r="I79" s="31"/>
      <c r="J79" s="394"/>
      <c r="K79" s="394"/>
      <c r="L79" s="833" t="s">
        <v>1171</v>
      </c>
      <c r="M79" s="394"/>
      <c r="N79"/>
      <c r="O79" s="394"/>
      <c r="P79" s="394"/>
      <c r="Q79" s="394"/>
      <c r="R79" s="394"/>
      <c r="S79" s="394"/>
      <c r="T79" s="394"/>
      <c r="U79" s="394"/>
      <c r="V79" s="394"/>
      <c r="W79" s="394"/>
      <c r="X79" s="394"/>
      <c r="Y79" s="394"/>
      <c r="Z79" s="394"/>
      <c r="AA79" s="394"/>
      <c r="AB79" s="394"/>
      <c r="AC79" s="394"/>
      <c r="AD79" s="394"/>
      <c r="AE79" s="394"/>
      <c r="AF79" s="394"/>
      <c r="AG79" s="394"/>
      <c r="AH79" s="394"/>
      <c r="AI79" s="394"/>
      <c r="AJ79" s="394"/>
      <c r="AK79" s="394"/>
      <c r="AL79" s="394"/>
      <c r="AM79" s="394"/>
      <c r="AN79" s="394"/>
      <c r="AO79" s="394"/>
      <c r="AP79" s="394"/>
      <c r="AQ79" s="394"/>
      <c r="AR79" s="394"/>
      <c r="AS79" s="394"/>
      <c r="AT79" s="394"/>
      <c r="AU79" s="394"/>
      <c r="AV79" s="394"/>
      <c r="AW79" s="394"/>
      <c r="AX79" s="394"/>
      <c r="AY79" s="394"/>
      <c r="AZ79" s="394"/>
      <c r="BA79" s="394"/>
      <c r="BB79" s="394"/>
      <c r="BC79" s="394"/>
      <c r="BD79" s="394"/>
      <c r="BE79" s="394"/>
      <c r="BF79" s="394"/>
      <c r="BG79" s="394"/>
      <c r="BH79" s="394"/>
      <c r="BI79" s="394"/>
      <c r="BJ79" s="394"/>
      <c r="BK79" s="394"/>
      <c r="BL79" s="394"/>
      <c r="BM79" s="394"/>
      <c r="BN79" s="394"/>
      <c r="BO79" s="394"/>
      <c r="BP79" s="394"/>
      <c r="BQ79" s="394"/>
      <c r="BR79" s="394"/>
      <c r="BS79" s="394"/>
      <c r="BT79" s="394"/>
      <c r="BU79" s="394"/>
      <c r="BV79" s="394"/>
      <c r="BW79" s="394"/>
      <c r="BX79" s="394"/>
      <c r="BY79" s="394"/>
      <c r="BZ79" s="394"/>
      <c r="CA79" s="394"/>
      <c r="CB79" s="394"/>
      <c r="CC79" s="394"/>
      <c r="CD79" s="394"/>
      <c r="CE79" s="394"/>
      <c r="CF79" s="394"/>
      <c r="CG79" s="394"/>
      <c r="CH79" s="394"/>
      <c r="CI79" s="394"/>
      <c r="CJ79" s="394"/>
      <c r="CK79" s="394"/>
      <c r="CL79" s="394"/>
      <c r="CM79" s="394"/>
      <c r="CN79" s="394"/>
      <c r="CO79" s="394"/>
      <c r="CP79" s="394"/>
      <c r="CQ79" s="394"/>
      <c r="CR79" s="394"/>
      <c r="CS79" s="394"/>
      <c r="CT79" s="394"/>
      <c r="CU79" s="394"/>
      <c r="CV79" s="394"/>
      <c r="CW79" s="394"/>
      <c r="CX79" s="394"/>
      <c r="CY79" s="394"/>
      <c r="CZ79" s="394"/>
      <c r="DA79" s="394"/>
      <c r="DB79" s="394"/>
      <c r="DC79" s="394"/>
      <c r="DD79" s="394"/>
      <c r="DE79" s="394"/>
      <c r="DF79" s="394"/>
      <c r="DG79" s="394"/>
      <c r="DH79" s="394"/>
      <c r="DI79" s="394"/>
      <c r="DJ79" s="394"/>
      <c r="DK79" s="394"/>
      <c r="DL79" s="394"/>
      <c r="DM79" s="394"/>
      <c r="DN79" s="394"/>
      <c r="DO79" s="394"/>
      <c r="DP79" s="394"/>
      <c r="DQ79" s="394"/>
      <c r="DR79" s="394"/>
      <c r="DS79" s="394"/>
      <c r="DT79" s="394"/>
      <c r="DU79" s="394"/>
      <c r="DV79" s="394"/>
      <c r="DW79" s="394"/>
      <c r="DX79" s="394"/>
      <c r="DY79" s="394"/>
      <c r="DZ79" s="394"/>
      <c r="EA79" s="394"/>
      <c r="EB79" s="394"/>
      <c r="EC79" s="394"/>
      <c r="ED79" s="394"/>
      <c r="EE79" s="394"/>
      <c r="EF79" s="394"/>
      <c r="EG79" s="394"/>
      <c r="EH79" s="394"/>
      <c r="EI79" s="394"/>
      <c r="EJ79" s="394"/>
      <c r="EK79" s="394"/>
      <c r="EL79" s="394"/>
      <c r="EM79" s="394"/>
      <c r="EN79" s="394"/>
      <c r="EO79" s="394"/>
      <c r="EP79" s="394"/>
      <c r="EQ79" s="394"/>
      <c r="ER79" s="394"/>
      <c r="ES79" s="394"/>
      <c r="ET79" s="394"/>
      <c r="EU79" s="394"/>
      <c r="EV79" s="394"/>
      <c r="EW79" s="394"/>
      <c r="EX79" s="394"/>
      <c r="EY79" s="394"/>
      <c r="EZ79" s="394"/>
      <c r="FA79" s="394"/>
      <c r="FB79" s="394"/>
      <c r="FC79" s="394"/>
      <c r="FD79" s="394"/>
      <c r="FE79" s="394"/>
      <c r="FF79" s="394"/>
      <c r="FG79" s="394"/>
      <c r="FH79" s="394"/>
      <c r="FI79" s="394"/>
      <c r="FJ79" s="394"/>
      <c r="FK79" s="394"/>
      <c r="FL79" s="394"/>
      <c r="FM79" s="394"/>
      <c r="FN79" s="394"/>
      <c r="FO79" s="394"/>
      <c r="FP79" s="394"/>
      <c r="FQ79" s="394"/>
      <c r="FR79" s="394"/>
      <c r="FS79" s="394"/>
      <c r="FT79" s="394"/>
      <c r="FU79" s="394"/>
      <c r="FV79" s="394"/>
      <c r="FW79" s="394"/>
      <c r="FX79" s="394"/>
      <c r="FY79" s="394"/>
      <c r="FZ79" s="394"/>
      <c r="GA79" s="394"/>
      <c r="GB79" s="394"/>
      <c r="GC79" s="394"/>
      <c r="GD79" s="394"/>
      <c r="GE79" s="394"/>
      <c r="GF79" s="394"/>
      <c r="GG79" s="394"/>
      <c r="GH79" s="394"/>
      <c r="GI79" s="394"/>
      <c r="GJ79" s="394"/>
      <c r="GK79" s="394"/>
      <c r="GL79" s="394"/>
      <c r="GM79" s="394"/>
      <c r="GN79" s="394"/>
      <c r="GO79" s="394"/>
      <c r="GP79" s="394"/>
      <c r="GQ79" s="394"/>
      <c r="GR79" s="394"/>
      <c r="GS79" s="394"/>
      <c r="GT79" s="394"/>
      <c r="GU79" s="394"/>
      <c r="GV79" s="394"/>
      <c r="GW79" s="394"/>
      <c r="GX79" s="394"/>
      <c r="GY79" s="394"/>
      <c r="GZ79" s="394"/>
      <c r="HA79" s="394"/>
      <c r="HB79" s="394"/>
      <c r="HC79" s="394"/>
      <c r="HD79" s="394"/>
      <c r="HE79" s="394"/>
      <c r="HF79" s="394"/>
      <c r="HG79" s="394"/>
      <c r="HH79" s="394"/>
      <c r="HI79" s="394"/>
      <c r="HJ79" s="394"/>
      <c r="HK79" s="394"/>
      <c r="HL79" s="394"/>
      <c r="HM79" s="394"/>
      <c r="HN79" s="394"/>
      <c r="HO79" s="394"/>
      <c r="HP79" s="394"/>
      <c r="HQ79" s="394"/>
      <c r="HR79" s="394"/>
      <c r="HS79" s="394"/>
      <c r="HT79" s="394"/>
      <c r="HU79" s="394"/>
      <c r="HV79" s="394"/>
      <c r="HW79" s="394"/>
      <c r="HX79" s="394"/>
      <c r="HY79" s="394"/>
      <c r="HZ79" s="394"/>
      <c r="IA79" s="394"/>
      <c r="IB79" s="394"/>
      <c r="IC79" s="394"/>
      <c r="ID79" s="394"/>
      <c r="IE79" s="394"/>
      <c r="IF79" s="394"/>
      <c r="IG79" s="394"/>
      <c r="IH79" s="394"/>
      <c r="II79" s="394"/>
      <c r="IJ79" s="394"/>
      <c r="IK79" s="394"/>
      <c r="IL79" s="394"/>
      <c r="IM79" s="394"/>
      <c r="IN79" s="394"/>
      <c r="IO79" s="394"/>
      <c r="IP79" s="394"/>
      <c r="IQ79" s="394"/>
      <c r="IR79" s="394"/>
      <c r="IS79" s="394"/>
      <c r="IT79" s="394"/>
      <c r="IU79" s="394"/>
      <c r="IV79" s="394"/>
      <c r="IW79" s="394"/>
      <c r="IX79" s="394"/>
      <c r="IY79" s="394"/>
      <c r="IZ79" s="394"/>
      <c r="JA79" s="394"/>
      <c r="JB79" s="394"/>
      <c r="JC79" s="394"/>
      <c r="JD79" s="394"/>
      <c r="JE79" s="394"/>
      <c r="JF79" s="394"/>
      <c r="JG79" s="394"/>
      <c r="JH79" s="394"/>
      <c r="JI79" s="394"/>
      <c r="JJ79" s="394"/>
      <c r="JK79" s="394"/>
      <c r="JL79" s="394"/>
      <c r="JM79" s="394"/>
      <c r="JN79" s="394"/>
      <c r="JO79" s="394"/>
      <c r="JP79" s="394"/>
      <c r="JQ79" s="394"/>
      <c r="JR79" s="394"/>
      <c r="JS79" s="394"/>
      <c r="JT79" s="394"/>
      <c r="JU79" s="394"/>
      <c r="JV79" s="394"/>
      <c r="JW79" s="394"/>
      <c r="JX79" s="394"/>
      <c r="JY79" s="394"/>
      <c r="JZ79" s="394"/>
      <c r="KA79" s="394"/>
      <c r="KB79" s="394"/>
      <c r="KC79" s="394"/>
      <c r="KD79" s="394"/>
      <c r="KE79" s="394"/>
      <c r="KF79" s="394"/>
      <c r="KG79" s="394"/>
      <c r="KH79" s="394"/>
      <c r="KI79" s="394"/>
      <c r="KJ79" s="394"/>
      <c r="KK79" s="394"/>
      <c r="KL79" s="394"/>
      <c r="KM79" s="394"/>
      <c r="KN79" s="394"/>
      <c r="KO79" s="394"/>
      <c r="KP79" s="394"/>
      <c r="KQ79" s="394"/>
      <c r="KR79" s="394"/>
      <c r="KS79" s="394"/>
      <c r="KT79" s="394"/>
      <c r="KU79" s="394"/>
      <c r="KV79" s="394"/>
      <c r="KW79" s="394"/>
      <c r="KX79" s="394"/>
      <c r="KY79" s="394"/>
      <c r="KZ79" s="394"/>
      <c r="LA79" s="394"/>
      <c r="LB79" s="394"/>
      <c r="LC79" s="394"/>
      <c r="LD79" s="394"/>
      <c r="LE79" s="394"/>
      <c r="LF79" s="394"/>
      <c r="LG79" s="394"/>
      <c r="LH79" s="394"/>
      <c r="LI79" s="394"/>
      <c r="LJ79" s="394"/>
      <c r="LK79" s="394"/>
      <c r="LL79" s="394"/>
      <c r="LM79" s="394"/>
      <c r="LN79" s="394"/>
      <c r="LO79" s="394"/>
      <c r="LP79" s="394"/>
      <c r="LQ79" s="394"/>
      <c r="LR79" s="394"/>
      <c r="LS79" s="394"/>
      <c r="LT79" s="394"/>
      <c r="LU79" s="394"/>
      <c r="LV79" s="394"/>
      <c r="LW79" s="394"/>
      <c r="LX79" s="394"/>
      <c r="LY79" s="394"/>
      <c r="LZ79" s="394"/>
      <c r="MA79" s="394"/>
      <c r="MB79" s="394"/>
      <c r="MC79" s="394"/>
      <c r="MD79" s="394"/>
      <c r="ME79" s="394"/>
      <c r="MF79" s="394"/>
      <c r="MG79" s="394"/>
      <c r="MH79" s="394"/>
      <c r="MI79" s="394"/>
      <c r="MJ79" s="394"/>
      <c r="MK79" s="394"/>
      <c r="ML79" s="394"/>
      <c r="MM79" s="394"/>
      <c r="MN79" s="394"/>
      <c r="MO79" s="394"/>
      <c r="MP79" s="394"/>
      <c r="MQ79" s="394"/>
      <c r="MR79" s="394"/>
      <c r="MS79" s="394"/>
      <c r="MT79" s="394"/>
      <c r="MU79" s="394"/>
      <c r="MV79" s="394"/>
      <c r="MW79" s="394"/>
      <c r="MX79" s="394"/>
      <c r="MY79" s="394"/>
      <c r="MZ79" s="394"/>
      <c r="NA79" s="394"/>
      <c r="NB79" s="394"/>
      <c r="NC79" s="394"/>
      <c r="ND79" s="394"/>
      <c r="NE79" s="394"/>
      <c r="NF79" s="394"/>
      <c r="NG79" s="394"/>
      <c r="NH79" s="394"/>
      <c r="NI79" s="394"/>
      <c r="NJ79" s="394"/>
      <c r="NK79" s="394"/>
      <c r="NL79" s="394"/>
      <c r="NM79" s="394"/>
      <c r="NN79" s="394"/>
      <c r="NO79" s="394"/>
      <c r="NP79" s="394"/>
      <c r="NQ79" s="394"/>
      <c r="NR79" s="394"/>
      <c r="NS79" s="394"/>
      <c r="NT79" s="394"/>
      <c r="NU79" s="394"/>
      <c r="NV79" s="394"/>
      <c r="NW79" s="394"/>
      <c r="NX79" s="394"/>
      <c r="NY79" s="394"/>
      <c r="NZ79" s="394"/>
      <c r="OA79" s="394"/>
      <c r="OB79" s="394"/>
      <c r="OC79" s="394"/>
      <c r="OD79" s="394"/>
      <c r="OE79" s="394"/>
      <c r="OF79" s="394"/>
      <c r="OG79" s="394"/>
      <c r="OH79" s="394"/>
      <c r="OI79" s="394"/>
      <c r="OJ79" s="394"/>
      <c r="OK79" s="394"/>
      <c r="OL79" s="394"/>
      <c r="OM79" s="394"/>
      <c r="ON79" s="394"/>
      <c r="OO79" s="394"/>
      <c r="OP79" s="394"/>
      <c r="OQ79" s="394"/>
      <c r="OR79" s="394"/>
      <c r="OS79" s="394"/>
      <c r="OT79" s="394"/>
      <c r="OU79" s="394"/>
      <c r="OV79" s="394"/>
      <c r="OW79" s="394"/>
      <c r="OX79" s="394"/>
      <c r="OY79" s="394"/>
      <c r="OZ79" s="394"/>
      <c r="PA79" s="394"/>
      <c r="PB79" s="394"/>
      <c r="PC79" s="394"/>
      <c r="PD79" s="394"/>
      <c r="PE79" s="394"/>
      <c r="PF79" s="394"/>
      <c r="PG79" s="394"/>
      <c r="PH79" s="394"/>
      <c r="PI79" s="394"/>
      <c r="PJ79" s="394"/>
      <c r="PK79" s="394"/>
      <c r="PL79" s="394"/>
      <c r="PM79" s="394"/>
      <c r="PN79" s="394"/>
      <c r="PO79" s="394"/>
      <c r="PP79" s="394"/>
      <c r="PQ79" s="394"/>
      <c r="PR79" s="394"/>
      <c r="PS79" s="394"/>
      <c r="PT79" s="394"/>
      <c r="PU79" s="394"/>
      <c r="PV79" s="394"/>
      <c r="PW79" s="394"/>
      <c r="PX79" s="394"/>
      <c r="PY79" s="394"/>
      <c r="PZ79" s="394"/>
      <c r="QA79" s="394"/>
      <c r="QB79" s="394"/>
      <c r="QC79" s="394"/>
      <c r="QD79" s="394"/>
      <c r="QE79" s="394"/>
      <c r="QF79" s="394"/>
      <c r="QG79" s="394"/>
      <c r="QH79" s="394"/>
      <c r="QI79" s="394"/>
      <c r="QJ79" s="394"/>
      <c r="QK79" s="394"/>
      <c r="QL79" s="394"/>
      <c r="QM79" s="394"/>
      <c r="QN79" s="394"/>
      <c r="QO79" s="394"/>
      <c r="QP79" s="394"/>
      <c r="QQ79" s="394"/>
      <c r="QR79" s="394"/>
      <c r="QS79" s="394"/>
      <c r="QT79" s="394"/>
      <c r="QU79" s="394"/>
      <c r="QV79" s="394"/>
      <c r="QW79" s="394"/>
      <c r="QX79" s="394"/>
      <c r="QY79" s="394"/>
      <c r="QZ79" s="394"/>
      <c r="RA79" s="394"/>
      <c r="RB79" s="394"/>
      <c r="RC79" s="394"/>
      <c r="RD79" s="394"/>
      <c r="RE79" s="394"/>
      <c r="RF79" s="394"/>
      <c r="RG79" s="394"/>
      <c r="RH79" s="394"/>
      <c r="RI79" s="394"/>
      <c r="RJ79" s="394"/>
      <c r="RK79" s="394"/>
      <c r="RL79" s="394"/>
      <c r="RM79" s="394"/>
      <c r="RN79" s="394"/>
      <c r="RO79" s="394"/>
      <c r="RP79" s="394"/>
      <c r="RQ79" s="394"/>
      <c r="RR79" s="394"/>
      <c r="RS79" s="394"/>
      <c r="RT79" s="394"/>
      <c r="RU79" s="394"/>
      <c r="RV79" s="394"/>
      <c r="RW79" s="394"/>
      <c r="RX79" s="394"/>
      <c r="RY79" s="394"/>
      <c r="RZ79" s="394"/>
      <c r="SA79" s="394"/>
      <c r="SB79" s="394"/>
      <c r="SC79" s="394"/>
      <c r="SD79" s="394"/>
      <c r="SE79" s="394"/>
      <c r="SF79" s="394"/>
      <c r="SG79" s="394"/>
      <c r="SH79" s="394"/>
      <c r="SI79" s="394"/>
      <c r="SJ79" s="394"/>
      <c r="SK79" s="394"/>
      <c r="SL79" s="394"/>
      <c r="SM79" s="394"/>
      <c r="SN79" s="394"/>
      <c r="SO79" s="394"/>
      <c r="SP79" s="394"/>
      <c r="SQ79" s="394"/>
      <c r="SR79" s="394"/>
      <c r="SS79" s="394"/>
      <c r="ST79" s="394"/>
      <c r="SU79" s="394"/>
      <c r="SV79" s="394"/>
      <c r="SW79" s="394"/>
      <c r="SX79" s="394"/>
      <c r="SY79" s="394"/>
      <c r="SZ79" s="394"/>
      <c r="TA79" s="394"/>
      <c r="TB79" s="394"/>
      <c r="TC79" s="394"/>
      <c r="TD79" s="394"/>
      <c r="TE79" s="394"/>
      <c r="TF79" s="394"/>
      <c r="TG79" s="394"/>
      <c r="TH79" s="394"/>
      <c r="TI79" s="394"/>
      <c r="TJ79" s="394"/>
      <c r="TK79" s="394"/>
      <c r="TL79" s="394"/>
      <c r="TM79" s="394"/>
      <c r="TN79" s="394"/>
      <c r="TO79" s="394"/>
      <c r="TP79" s="394"/>
      <c r="TQ79" s="394"/>
      <c r="TR79" s="394"/>
      <c r="TS79" s="394"/>
      <c r="TT79" s="394"/>
      <c r="TU79" s="394"/>
      <c r="TV79" s="394"/>
      <c r="TW79" s="394"/>
      <c r="TX79" s="394"/>
      <c r="TY79" s="394"/>
      <c r="TZ79" s="394"/>
      <c r="UA79" s="394"/>
      <c r="UB79" s="394"/>
      <c r="UC79" s="394"/>
      <c r="UD79" s="394"/>
      <c r="UE79" s="394"/>
      <c r="UF79" s="394"/>
      <c r="UG79" s="394"/>
      <c r="UH79" s="394"/>
      <c r="UI79" s="394"/>
      <c r="UJ79" s="394"/>
      <c r="UK79" s="394"/>
      <c r="UL79" s="394"/>
      <c r="UM79" s="394"/>
      <c r="UN79" s="394"/>
      <c r="UO79" s="394"/>
      <c r="UP79" s="394"/>
      <c r="UQ79" s="394"/>
      <c r="UR79" s="394"/>
      <c r="US79" s="394"/>
      <c r="UT79" s="394"/>
      <c r="UU79" s="394"/>
      <c r="UV79" s="394"/>
      <c r="UW79" s="394"/>
      <c r="UX79" s="394"/>
      <c r="UY79" s="394"/>
      <c r="UZ79" s="394"/>
      <c r="VA79" s="394"/>
      <c r="VB79" s="394"/>
      <c r="VC79" s="394"/>
      <c r="VD79" s="394"/>
      <c r="VE79" s="394"/>
      <c r="VF79" s="394"/>
      <c r="VG79" s="394"/>
      <c r="VH79" s="394"/>
      <c r="VI79" s="394"/>
      <c r="VJ79" s="394"/>
      <c r="VK79" s="394"/>
      <c r="VL79" s="394"/>
      <c r="VM79" s="394"/>
      <c r="VN79" s="394"/>
      <c r="VO79" s="394"/>
      <c r="VP79" s="394"/>
      <c r="VQ79" s="394"/>
      <c r="VR79" s="394"/>
      <c r="VS79" s="394"/>
      <c r="VT79" s="394"/>
      <c r="VU79" s="394"/>
      <c r="VV79" s="394"/>
      <c r="VW79" s="394"/>
      <c r="VX79" s="394"/>
      <c r="VY79" s="394"/>
      <c r="VZ79" s="394"/>
      <c r="WA79" s="394"/>
      <c r="WB79" s="394"/>
      <c r="WC79" s="394"/>
      <c r="WD79" s="394"/>
      <c r="WE79" s="394"/>
      <c r="WF79" s="394"/>
      <c r="WG79" s="394"/>
      <c r="WH79" s="394"/>
      <c r="WI79" s="394"/>
      <c r="WJ79" s="394"/>
      <c r="WK79" s="394"/>
      <c r="WL79" s="394"/>
      <c r="WM79" s="394"/>
      <c r="WN79" s="394"/>
      <c r="WO79" s="394"/>
      <c r="WP79" s="394"/>
      <c r="WQ79" s="394"/>
      <c r="WR79" s="394"/>
      <c r="WS79" s="394"/>
      <c r="WT79" s="394"/>
      <c r="WU79" s="394"/>
      <c r="WV79" s="394"/>
      <c r="WW79" s="394"/>
      <c r="WX79" s="394"/>
      <c r="WY79" s="394"/>
      <c r="WZ79" s="394"/>
      <c r="XA79" s="394"/>
      <c r="XB79" s="394"/>
      <c r="XC79" s="394"/>
      <c r="XD79" s="394"/>
      <c r="XE79" s="394"/>
      <c r="XF79" s="394"/>
      <c r="XG79" s="394"/>
      <c r="XH79" s="394"/>
      <c r="XI79" s="394"/>
      <c r="XJ79" s="394"/>
      <c r="XK79" s="394"/>
      <c r="XL79" s="394"/>
      <c r="XM79" s="394"/>
      <c r="XN79" s="394"/>
      <c r="XO79" s="394"/>
      <c r="XP79" s="394"/>
      <c r="XQ79" s="394"/>
      <c r="XR79" s="394"/>
      <c r="XS79" s="394"/>
      <c r="XT79" s="394"/>
      <c r="XU79" s="394"/>
      <c r="XV79" s="394"/>
      <c r="XW79" s="394"/>
      <c r="XX79" s="394"/>
      <c r="XY79" s="394"/>
      <c r="XZ79" s="394"/>
      <c r="YA79" s="394"/>
      <c r="YB79" s="394"/>
      <c r="YC79" s="394"/>
      <c r="YD79" s="394"/>
      <c r="YE79" s="394"/>
      <c r="YF79" s="394"/>
      <c r="YG79" s="394"/>
      <c r="YH79" s="394"/>
      <c r="YI79" s="394"/>
      <c r="YJ79" s="394"/>
      <c r="YK79" s="394"/>
      <c r="YL79" s="394"/>
      <c r="YM79" s="394"/>
      <c r="YN79" s="394"/>
      <c r="YO79" s="394"/>
      <c r="YP79" s="394"/>
      <c r="YQ79" s="394"/>
      <c r="YR79" s="394"/>
      <c r="YS79" s="394"/>
      <c r="YT79" s="394"/>
      <c r="YU79" s="394"/>
      <c r="YV79" s="394"/>
      <c r="YW79" s="394"/>
      <c r="YX79" s="394"/>
      <c r="YY79" s="394"/>
      <c r="YZ79" s="394"/>
      <c r="ZA79" s="394"/>
      <c r="ZB79" s="394"/>
      <c r="ZC79" s="394"/>
      <c r="ZD79" s="394"/>
      <c r="ZE79" s="394"/>
      <c r="ZF79" s="394"/>
      <c r="ZG79" s="394"/>
      <c r="ZH79" s="394"/>
      <c r="ZI79" s="394"/>
      <c r="ZJ79" s="394"/>
      <c r="ZK79" s="394"/>
      <c r="ZL79" s="394"/>
      <c r="ZM79" s="394"/>
      <c r="ZN79" s="394"/>
      <c r="ZO79" s="394"/>
      <c r="ZP79" s="394"/>
      <c r="ZQ79" s="394"/>
      <c r="ZR79" s="394"/>
      <c r="ZS79" s="394"/>
      <c r="ZT79" s="394"/>
      <c r="ZU79" s="394"/>
      <c r="ZV79" s="394"/>
      <c r="ZW79" s="394"/>
      <c r="ZX79" s="394"/>
      <c r="ZY79" s="394"/>
      <c r="ZZ79" s="394"/>
      <c r="AAA79" s="394"/>
      <c r="AAB79" s="394"/>
      <c r="AAC79" s="394"/>
      <c r="AAD79" s="394"/>
      <c r="AAE79" s="394"/>
      <c r="AAF79" s="394"/>
      <c r="AAG79" s="394"/>
      <c r="AAH79" s="394"/>
      <c r="AAI79" s="394"/>
      <c r="AAJ79" s="394"/>
      <c r="AAK79" s="394"/>
      <c r="AAL79" s="394"/>
      <c r="AAM79" s="394"/>
      <c r="AAN79" s="394"/>
      <c r="AAO79" s="394"/>
      <c r="AAP79" s="394"/>
      <c r="AAQ79" s="394"/>
      <c r="AAR79" s="394"/>
      <c r="AAS79" s="394"/>
      <c r="AAT79" s="394"/>
      <c r="AAU79" s="394"/>
      <c r="AAV79" s="394"/>
      <c r="AAW79" s="394"/>
      <c r="AAX79" s="394"/>
      <c r="AAY79" s="394"/>
      <c r="AAZ79" s="394"/>
      <c r="ABA79" s="394"/>
      <c r="ABB79" s="394"/>
      <c r="ABC79" s="394"/>
      <c r="ABD79" s="394"/>
      <c r="ABE79" s="394"/>
      <c r="ABF79" s="394"/>
      <c r="ABG79" s="394"/>
      <c r="ABH79" s="394"/>
      <c r="ABI79" s="394"/>
      <c r="ABJ79" s="394"/>
      <c r="ABK79" s="394"/>
      <c r="ABL79" s="394"/>
      <c r="ABM79" s="394"/>
      <c r="ABN79" s="394"/>
      <c r="ABO79" s="394"/>
      <c r="ABP79" s="394"/>
      <c r="ABQ79" s="394"/>
      <c r="ABR79" s="394"/>
      <c r="ABS79" s="394"/>
      <c r="ABT79" s="394"/>
      <c r="ABU79" s="394"/>
      <c r="ABV79" s="394"/>
      <c r="ABW79" s="394"/>
      <c r="ABX79" s="394"/>
      <c r="ABY79" s="394"/>
      <c r="ABZ79" s="394"/>
      <c r="ACA79" s="394"/>
      <c r="ACB79" s="394"/>
      <c r="ACC79" s="394"/>
      <c r="ACD79" s="394"/>
      <c r="ACE79" s="394"/>
      <c r="ACF79" s="394"/>
      <c r="ACG79" s="394"/>
      <c r="ACH79" s="394"/>
      <c r="ACI79" s="394"/>
      <c r="ACJ79" s="394"/>
      <c r="ACK79" s="394"/>
      <c r="ACL79" s="394"/>
      <c r="ACM79" s="394"/>
      <c r="ACN79" s="394"/>
      <c r="ACO79" s="394"/>
      <c r="ACP79" s="394"/>
      <c r="ACQ79" s="394"/>
      <c r="ACR79" s="394"/>
      <c r="ACS79" s="394"/>
      <c r="ACT79" s="394"/>
      <c r="ACU79" s="394"/>
      <c r="ACV79" s="394"/>
      <c r="ACW79" s="394"/>
      <c r="ACX79" s="394"/>
      <c r="ACY79" s="394"/>
      <c r="ACZ79" s="394"/>
      <c r="ADA79" s="394"/>
      <c r="ADB79" s="394"/>
      <c r="ADC79" s="394"/>
      <c r="ADD79" s="394"/>
      <c r="ADE79" s="394"/>
      <c r="ADF79" s="394"/>
      <c r="ADG79" s="394"/>
      <c r="ADH79" s="394"/>
      <c r="ADI79" s="394"/>
      <c r="ADJ79" s="394"/>
      <c r="ADK79" s="394"/>
      <c r="ADL79" s="394"/>
      <c r="ADM79" s="394"/>
      <c r="ADN79" s="394"/>
      <c r="ADO79" s="394"/>
      <c r="ADP79" s="394"/>
      <c r="ADQ79" s="394"/>
      <c r="ADR79" s="394"/>
      <c r="ADS79" s="394"/>
      <c r="ADT79" s="394"/>
      <c r="ADU79" s="394"/>
      <c r="ADV79" s="394"/>
      <c r="ADW79" s="394"/>
      <c r="ADX79" s="394"/>
      <c r="ADY79" s="394"/>
      <c r="ADZ79" s="394"/>
      <c r="AEA79" s="394"/>
      <c r="AEB79" s="394"/>
      <c r="AEC79" s="394"/>
      <c r="AED79" s="394"/>
      <c r="AEE79" s="394"/>
      <c r="AEF79" s="394"/>
      <c r="AEG79" s="394"/>
      <c r="AEH79" s="394"/>
      <c r="AEI79" s="394"/>
      <c r="AEJ79" s="394"/>
      <c r="AEK79" s="394"/>
      <c r="AEL79" s="394"/>
      <c r="AEM79" s="394"/>
      <c r="AEN79" s="394"/>
      <c r="AEO79" s="394"/>
      <c r="AEP79" s="394"/>
      <c r="AEQ79" s="394"/>
      <c r="AER79" s="394"/>
      <c r="AES79" s="394"/>
      <c r="AET79" s="394"/>
      <c r="AEU79" s="394"/>
      <c r="AEV79" s="394"/>
      <c r="AEW79" s="394"/>
      <c r="AEX79" s="394"/>
      <c r="AEY79" s="394"/>
      <c r="AEZ79" s="394"/>
      <c r="AFA79" s="394"/>
      <c r="AFB79" s="394"/>
      <c r="AFC79" s="394"/>
      <c r="AFD79" s="394"/>
      <c r="AFE79" s="394"/>
      <c r="AFF79" s="394"/>
      <c r="AFG79" s="394"/>
      <c r="AFH79" s="394"/>
      <c r="AFI79" s="394"/>
      <c r="AFJ79" s="394"/>
      <c r="AFK79" s="394"/>
      <c r="AFL79" s="394"/>
      <c r="AFM79" s="394"/>
      <c r="AFN79" s="394"/>
      <c r="AFO79" s="394"/>
      <c r="AFP79" s="394"/>
      <c r="AFQ79" s="394"/>
      <c r="AFR79" s="394"/>
      <c r="AFS79" s="394"/>
      <c r="AFT79" s="394"/>
      <c r="AFU79" s="394"/>
      <c r="AFV79" s="394"/>
      <c r="AFW79" s="394"/>
      <c r="AFX79" s="394"/>
      <c r="AFY79" s="394"/>
      <c r="AFZ79" s="394"/>
      <c r="AGA79" s="394"/>
      <c r="AGB79" s="394"/>
      <c r="AGC79" s="394"/>
      <c r="AGD79" s="394"/>
      <c r="AGE79" s="394"/>
      <c r="AGF79" s="394"/>
      <c r="AGG79" s="394"/>
      <c r="AGH79" s="394"/>
      <c r="AGI79" s="394"/>
      <c r="AGJ79" s="394"/>
      <c r="AGK79" s="394"/>
      <c r="AGL79" s="394"/>
      <c r="AGM79" s="394"/>
      <c r="AGN79" s="394"/>
      <c r="AGO79" s="394"/>
      <c r="AGP79" s="394"/>
      <c r="AGQ79" s="394"/>
      <c r="AGR79" s="394"/>
      <c r="AGS79" s="394"/>
      <c r="AGT79" s="394"/>
      <c r="AGU79" s="394"/>
      <c r="AGV79" s="394"/>
      <c r="AGW79" s="394"/>
      <c r="AGX79" s="394"/>
      <c r="AGY79" s="394"/>
      <c r="AGZ79" s="394"/>
      <c r="AHA79" s="394"/>
      <c r="AHB79" s="394"/>
      <c r="AHC79" s="394"/>
      <c r="AHD79" s="394"/>
      <c r="AHE79" s="394"/>
      <c r="AHF79" s="394"/>
      <c r="AHG79" s="394"/>
      <c r="AHH79" s="394"/>
      <c r="AHI79" s="394"/>
      <c r="AHJ79" s="394"/>
      <c r="AHK79" s="394"/>
      <c r="AHL79" s="394"/>
      <c r="AHM79" s="394"/>
      <c r="AHN79" s="394"/>
      <c r="AHO79" s="394"/>
      <c r="AHP79" s="394"/>
      <c r="AHQ79" s="394"/>
      <c r="AHR79" s="394"/>
      <c r="AHS79" s="394"/>
      <c r="AHT79" s="394"/>
      <c r="AHU79" s="394"/>
      <c r="AHV79" s="394"/>
      <c r="AHW79" s="394"/>
      <c r="AHX79" s="394"/>
      <c r="AHY79" s="394"/>
      <c r="AHZ79" s="394"/>
      <c r="AIA79" s="394"/>
      <c r="AIB79" s="394"/>
      <c r="AIC79" s="394"/>
      <c r="AID79" s="394"/>
      <c r="AIE79" s="394"/>
      <c r="AIF79" s="394"/>
      <c r="AIG79" s="394"/>
      <c r="AIH79" s="394"/>
      <c r="AII79" s="394"/>
      <c r="AIJ79" s="394"/>
      <c r="AIK79" s="394"/>
      <c r="AIL79" s="394"/>
      <c r="AIM79" s="394"/>
      <c r="AIN79" s="394"/>
      <c r="AIO79" s="394"/>
      <c r="AIP79" s="394"/>
      <c r="AIQ79" s="394"/>
      <c r="AIR79" s="394"/>
      <c r="AIS79" s="394"/>
      <c r="AIT79" s="394"/>
      <c r="AIU79" s="394"/>
      <c r="AIV79" s="394"/>
      <c r="AIW79" s="394"/>
      <c r="AIX79" s="394"/>
      <c r="AIY79" s="394"/>
      <c r="AIZ79" s="394"/>
      <c r="AJA79" s="394"/>
      <c r="AJB79" s="394"/>
      <c r="AJC79" s="394"/>
      <c r="AJD79" s="394"/>
      <c r="AJE79" s="394"/>
      <c r="AJF79" s="394"/>
      <c r="AJG79" s="394"/>
      <c r="AJH79" s="394"/>
      <c r="AJI79" s="394"/>
      <c r="AJJ79" s="394"/>
      <c r="AJK79" s="394"/>
      <c r="AJL79" s="394"/>
      <c r="AJM79" s="394"/>
      <c r="AJN79" s="394"/>
      <c r="AJO79" s="394"/>
      <c r="AJP79" s="394"/>
      <c r="AJQ79" s="394"/>
      <c r="AJR79" s="394"/>
      <c r="AJS79" s="394"/>
      <c r="AJT79" s="394"/>
      <c r="AJU79" s="394"/>
      <c r="AJV79" s="394"/>
      <c r="AJW79" s="394"/>
      <c r="AJX79" s="394"/>
      <c r="AJY79" s="394"/>
      <c r="AJZ79" s="394"/>
      <c r="AKA79" s="394"/>
      <c r="AKB79" s="394"/>
      <c r="AKC79" s="394"/>
      <c r="AKD79" s="394"/>
      <c r="AKE79" s="394"/>
      <c r="AKF79" s="394"/>
      <c r="AKG79" s="394"/>
      <c r="AKH79" s="394"/>
      <c r="AKI79" s="394"/>
      <c r="AKJ79" s="394"/>
      <c r="AKK79" s="394"/>
      <c r="AKL79" s="394"/>
      <c r="AKM79" s="394"/>
      <c r="AKN79" s="394"/>
      <c r="AKO79" s="394"/>
      <c r="AKP79" s="394"/>
      <c r="AKQ79" s="394"/>
      <c r="AKR79" s="394"/>
      <c r="AKS79" s="394"/>
      <c r="AKT79" s="394"/>
      <c r="AKU79" s="394"/>
      <c r="AKV79" s="394"/>
      <c r="AKW79" s="394"/>
      <c r="AKX79" s="394"/>
      <c r="AKY79" s="394"/>
      <c r="AKZ79" s="394"/>
      <c r="ALA79" s="394"/>
      <c r="ALB79" s="394"/>
      <c r="ALC79" s="394"/>
      <c r="ALD79" s="394"/>
      <c r="ALE79" s="394"/>
      <c r="ALF79" s="394"/>
      <c r="ALG79" s="394"/>
      <c r="ALH79" s="394"/>
      <c r="ALI79" s="394"/>
      <c r="ALJ79" s="394"/>
      <c r="ALK79" s="394"/>
      <c r="ALL79" s="394"/>
      <c r="ALM79" s="394"/>
      <c r="ALN79" s="394"/>
      <c r="ALO79" s="394"/>
      <c r="ALP79" s="394"/>
      <c r="ALQ79" s="394"/>
      <c r="ALR79" s="394"/>
      <c r="ALS79" s="394"/>
      <c r="ALT79" s="394"/>
      <c r="ALU79" s="394"/>
      <c r="ALV79" s="394"/>
      <c r="ALW79" s="394"/>
      <c r="ALX79" s="394"/>
      <c r="ALY79" s="394"/>
      <c r="ALZ79" s="394"/>
      <c r="AMA79" s="394"/>
      <c r="AMB79" s="394"/>
      <c r="AMC79" s="394"/>
      <c r="AMD79" s="394"/>
      <c r="AME79" s="394"/>
      <c r="AMF79" s="394"/>
      <c r="AMG79" s="394"/>
      <c r="AMH79" s="394"/>
      <c r="AMI79" s="394"/>
      <c r="AMJ79" s="394"/>
      <c r="AMK79" s="394"/>
      <c r="AML79" s="394"/>
      <c r="AMM79" s="394"/>
      <c r="AMN79" s="394"/>
      <c r="AMO79" s="394"/>
      <c r="AMP79" s="394"/>
      <c r="AMQ79" s="394"/>
      <c r="AMR79" s="394"/>
      <c r="AMS79" s="394"/>
      <c r="AMT79" s="394"/>
      <c r="AMU79" s="394"/>
      <c r="AMV79" s="394"/>
      <c r="AMW79" s="394"/>
      <c r="AMX79" s="394"/>
      <c r="AMY79" s="394"/>
      <c r="AMZ79" s="394"/>
      <c r="ANA79" s="394"/>
      <c r="ANB79" s="394"/>
      <c r="ANC79" s="394"/>
      <c r="AND79" s="394"/>
      <c r="ANE79" s="394"/>
      <c r="ANF79" s="394"/>
      <c r="ANG79" s="394"/>
      <c r="ANH79" s="394"/>
      <c r="ANI79" s="394"/>
      <c r="ANJ79" s="394"/>
      <c r="ANK79" s="394"/>
      <c r="ANL79" s="394"/>
      <c r="ANM79" s="394"/>
      <c r="ANN79" s="394"/>
      <c r="ANO79" s="394"/>
      <c r="ANP79" s="394"/>
      <c r="ANQ79" s="394"/>
      <c r="ANR79" s="394"/>
      <c r="ANS79" s="394"/>
      <c r="ANT79" s="394"/>
      <c r="ANU79" s="394"/>
      <c r="ANV79" s="394"/>
      <c r="ANW79" s="394"/>
      <c r="ANX79" s="394"/>
      <c r="ANY79" s="394"/>
      <c r="ANZ79" s="394"/>
      <c r="AOA79" s="394"/>
      <c r="AOB79" s="394"/>
      <c r="AOC79" s="394"/>
      <c r="AOD79" s="394"/>
      <c r="AOE79" s="394"/>
      <c r="AOF79" s="394"/>
      <c r="AOG79" s="394"/>
      <c r="AOH79" s="394"/>
      <c r="AOI79" s="394"/>
      <c r="AOJ79" s="394"/>
      <c r="AOK79" s="394"/>
      <c r="AOL79" s="394"/>
      <c r="AOM79" s="394"/>
      <c r="AON79" s="394"/>
      <c r="AOO79" s="394"/>
      <c r="AOP79" s="394"/>
      <c r="AOQ79" s="394"/>
      <c r="AOR79" s="394"/>
      <c r="AOS79" s="394"/>
      <c r="AOT79" s="394"/>
      <c r="AOU79" s="394"/>
      <c r="AOV79" s="394"/>
      <c r="AOW79" s="394"/>
      <c r="AOX79" s="394"/>
      <c r="AOY79" s="394"/>
      <c r="AOZ79" s="394"/>
      <c r="APA79" s="394"/>
      <c r="APB79" s="394"/>
      <c r="APC79" s="394"/>
      <c r="APD79" s="394"/>
      <c r="APE79" s="394"/>
      <c r="APF79" s="394"/>
      <c r="APG79" s="394"/>
      <c r="APH79" s="394"/>
      <c r="API79" s="394"/>
      <c r="APJ79" s="394"/>
      <c r="APK79" s="394"/>
      <c r="APL79" s="394"/>
      <c r="APM79" s="394"/>
      <c r="APN79" s="394"/>
      <c r="APO79" s="394"/>
      <c r="APP79" s="394"/>
      <c r="APQ79" s="394"/>
      <c r="APR79" s="394"/>
      <c r="APS79" s="394"/>
      <c r="APT79" s="394"/>
      <c r="APU79" s="394"/>
      <c r="APV79" s="394"/>
      <c r="APW79" s="394"/>
      <c r="APX79" s="394"/>
      <c r="APY79" s="394"/>
      <c r="APZ79" s="394"/>
      <c r="AQA79" s="394"/>
      <c r="AQB79" s="394"/>
      <c r="AQC79" s="394"/>
      <c r="AQD79" s="394"/>
      <c r="AQE79" s="394"/>
      <c r="AQF79" s="394"/>
      <c r="AQG79" s="394"/>
      <c r="AQH79" s="394"/>
      <c r="AQI79" s="394"/>
      <c r="AQJ79" s="394"/>
      <c r="AQK79" s="394"/>
      <c r="AQL79" s="394"/>
      <c r="AQM79" s="394"/>
      <c r="AQN79" s="394"/>
      <c r="AQO79" s="394"/>
      <c r="AQP79" s="394"/>
      <c r="AQQ79" s="394"/>
      <c r="AQR79" s="394"/>
      <c r="AQS79" s="394"/>
      <c r="AQT79" s="394"/>
      <c r="AQU79" s="394"/>
      <c r="AQV79" s="394"/>
      <c r="AQW79" s="394"/>
      <c r="AQX79" s="394"/>
      <c r="AQY79" s="394"/>
      <c r="AQZ79" s="394"/>
      <c r="ARA79" s="394"/>
      <c r="ARB79" s="394"/>
      <c r="ARC79" s="394"/>
      <c r="ARD79" s="394"/>
      <c r="ARE79" s="394"/>
      <c r="ARF79" s="394"/>
      <c r="ARG79" s="394"/>
      <c r="ARH79" s="394"/>
      <c r="ARI79" s="394"/>
      <c r="ARJ79" s="394"/>
      <c r="ARK79" s="394"/>
      <c r="ARL79" s="394"/>
      <c r="ARM79" s="394"/>
      <c r="ARN79" s="394"/>
      <c r="ARO79" s="394"/>
      <c r="ARP79" s="394"/>
      <c r="ARQ79" s="394"/>
      <c r="ARR79" s="394"/>
      <c r="ARS79" s="394"/>
      <c r="ART79" s="394"/>
      <c r="ARU79" s="394"/>
      <c r="ARV79" s="394"/>
      <c r="ARW79" s="394"/>
      <c r="ARX79" s="394"/>
      <c r="ARY79" s="394"/>
      <c r="ARZ79" s="394"/>
      <c r="ASA79" s="394"/>
      <c r="ASB79" s="394"/>
      <c r="ASC79" s="394"/>
      <c r="ASD79" s="394"/>
      <c r="ASE79" s="394"/>
      <c r="ASF79" s="394"/>
      <c r="ASG79" s="394"/>
      <c r="ASH79" s="394"/>
      <c r="ASI79" s="394"/>
      <c r="ASJ79" s="394"/>
      <c r="ASK79" s="394"/>
      <c r="ASL79" s="394"/>
      <c r="ASM79" s="394"/>
      <c r="ASN79" s="394"/>
      <c r="ASO79" s="394"/>
      <c r="ASP79" s="394"/>
      <c r="ASQ79" s="394"/>
      <c r="ASR79" s="394"/>
      <c r="ASS79" s="394"/>
      <c r="AST79" s="394"/>
      <c r="ASU79" s="394"/>
      <c r="ASV79" s="394"/>
      <c r="ASW79" s="394"/>
      <c r="ASX79" s="394"/>
      <c r="ASY79" s="394"/>
      <c r="ASZ79" s="394"/>
      <c r="ATA79" s="394"/>
      <c r="ATB79" s="394"/>
      <c r="ATC79" s="394"/>
      <c r="ATD79" s="394"/>
      <c r="ATE79" s="394"/>
      <c r="ATF79" s="394"/>
      <c r="ATG79" s="394"/>
      <c r="ATH79" s="394"/>
      <c r="ATI79" s="394"/>
      <c r="ATJ79" s="394"/>
      <c r="ATK79" s="394"/>
      <c r="ATL79" s="394"/>
      <c r="ATM79" s="394"/>
      <c r="ATN79" s="394"/>
      <c r="ATO79" s="394"/>
      <c r="ATP79" s="394"/>
      <c r="ATQ79" s="394"/>
      <c r="ATR79" s="394"/>
      <c r="ATS79" s="394"/>
      <c r="ATT79" s="394"/>
      <c r="ATU79" s="394"/>
      <c r="ATV79" s="394"/>
      <c r="ATW79" s="394"/>
      <c r="ATX79" s="394"/>
      <c r="ATY79" s="394"/>
      <c r="ATZ79" s="394"/>
      <c r="AUA79" s="394"/>
      <c r="AUB79" s="394"/>
      <c r="AUC79" s="394"/>
      <c r="AUD79" s="394"/>
      <c r="AUE79" s="394"/>
      <c r="AUF79" s="394"/>
      <c r="AUG79" s="394"/>
      <c r="AUH79" s="394"/>
      <c r="AUI79" s="394"/>
      <c r="AUJ79" s="394"/>
      <c r="AUK79" s="394"/>
      <c r="AUL79" s="394"/>
      <c r="AUM79" s="394"/>
      <c r="AUN79" s="394"/>
      <c r="AUO79" s="394"/>
      <c r="AUP79" s="394"/>
      <c r="AUQ79" s="394"/>
      <c r="AUR79" s="394"/>
      <c r="AUS79" s="394"/>
      <c r="AUT79" s="394"/>
      <c r="AUU79" s="394"/>
      <c r="AUV79" s="394"/>
      <c r="AUW79" s="394"/>
      <c r="AUX79" s="394"/>
      <c r="AUY79" s="394"/>
      <c r="AUZ79" s="394"/>
      <c r="AVA79" s="394"/>
      <c r="AVB79" s="394"/>
      <c r="AVC79" s="394"/>
      <c r="AVD79" s="394"/>
      <c r="AVE79" s="394"/>
      <c r="AVF79" s="394"/>
      <c r="AVG79" s="394"/>
      <c r="AVH79" s="394"/>
      <c r="AVI79" s="394"/>
      <c r="AVJ79" s="394"/>
      <c r="AVK79" s="394"/>
      <c r="AVL79" s="394"/>
      <c r="AVM79" s="394"/>
      <c r="AVN79" s="394"/>
      <c r="AVO79" s="394"/>
      <c r="AVP79" s="394"/>
      <c r="AVQ79" s="394"/>
      <c r="AVR79" s="394"/>
      <c r="AVS79" s="394"/>
      <c r="AVT79" s="394"/>
      <c r="AVU79" s="394"/>
      <c r="AVV79" s="394"/>
      <c r="AVW79" s="394"/>
      <c r="AVX79" s="394"/>
      <c r="AVY79" s="394"/>
      <c r="AVZ79" s="394"/>
      <c r="AWA79" s="394"/>
      <c r="AWB79" s="394"/>
      <c r="AWC79" s="394"/>
      <c r="AWD79" s="394"/>
      <c r="AWE79" s="394"/>
      <c r="AWF79" s="394"/>
      <c r="AWG79" s="394"/>
      <c r="AWH79" s="394"/>
      <c r="AWI79" s="394"/>
      <c r="AWJ79" s="394"/>
      <c r="AWK79" s="394"/>
      <c r="AWL79" s="394"/>
      <c r="AWM79" s="394"/>
      <c r="AWN79" s="394"/>
      <c r="AWO79" s="394"/>
      <c r="AWP79" s="394"/>
      <c r="AWQ79" s="394"/>
      <c r="AWR79" s="394"/>
      <c r="AWS79" s="394"/>
      <c r="AWT79" s="394"/>
      <c r="AWU79" s="394"/>
      <c r="AWV79" s="394"/>
      <c r="AWW79" s="394"/>
      <c r="AWX79" s="394"/>
      <c r="AWY79" s="394"/>
      <c r="AWZ79" s="394"/>
      <c r="AXA79" s="394"/>
      <c r="AXB79" s="394"/>
      <c r="AXC79" s="394"/>
      <c r="AXD79" s="394"/>
      <c r="AXE79" s="394"/>
      <c r="AXF79" s="394"/>
      <c r="AXG79" s="394"/>
      <c r="AXH79" s="394"/>
      <c r="AXI79" s="394"/>
      <c r="AXJ79" s="394"/>
      <c r="AXK79" s="394"/>
      <c r="AXL79" s="394"/>
      <c r="AXM79" s="394"/>
      <c r="AXN79" s="394"/>
      <c r="AXO79" s="394"/>
      <c r="AXP79" s="394"/>
      <c r="AXQ79" s="394"/>
      <c r="AXR79" s="394"/>
      <c r="AXS79" s="394"/>
      <c r="AXT79" s="394"/>
      <c r="AXU79" s="394"/>
      <c r="AXV79" s="394"/>
      <c r="AXW79" s="394"/>
      <c r="AXX79" s="394"/>
      <c r="AXY79" s="394"/>
      <c r="AXZ79" s="394"/>
      <c r="AYA79" s="394"/>
      <c r="AYB79" s="394"/>
      <c r="AYC79" s="394"/>
      <c r="AYD79" s="394"/>
      <c r="AYE79" s="394"/>
      <c r="AYF79" s="394"/>
      <c r="AYG79" s="394"/>
      <c r="AYH79" s="394"/>
      <c r="AYI79" s="394"/>
      <c r="AYJ79" s="394"/>
      <c r="AYK79" s="394"/>
      <c r="AYL79" s="394"/>
      <c r="AYM79" s="394"/>
      <c r="AYN79" s="394"/>
      <c r="AYO79" s="394"/>
      <c r="AYP79" s="394"/>
      <c r="AYQ79" s="394"/>
      <c r="AYR79" s="394"/>
      <c r="AYS79" s="394"/>
      <c r="AYT79" s="394"/>
      <c r="AYU79" s="394"/>
      <c r="AYV79" s="394"/>
      <c r="AYW79" s="394"/>
      <c r="AYX79" s="394"/>
      <c r="AYY79" s="394"/>
      <c r="AYZ79" s="394"/>
      <c r="AZA79" s="394"/>
      <c r="AZB79" s="394"/>
      <c r="AZC79" s="394"/>
      <c r="AZD79" s="394"/>
      <c r="AZE79" s="394"/>
      <c r="AZF79" s="394"/>
      <c r="AZG79" s="394"/>
      <c r="AZH79" s="394"/>
      <c r="AZI79" s="394"/>
      <c r="AZJ79" s="394"/>
      <c r="AZK79" s="394"/>
      <c r="AZL79" s="394"/>
      <c r="AZM79" s="394"/>
      <c r="AZN79" s="394"/>
      <c r="AZO79" s="394"/>
      <c r="AZP79" s="394"/>
      <c r="AZQ79" s="394"/>
      <c r="AZR79" s="394"/>
      <c r="AZS79" s="394"/>
      <c r="AZT79" s="394"/>
      <c r="AZU79" s="394"/>
      <c r="AZV79" s="394"/>
      <c r="AZW79" s="394"/>
      <c r="AZX79" s="394"/>
      <c r="AZY79" s="394"/>
      <c r="AZZ79" s="394"/>
      <c r="BAA79" s="394"/>
      <c r="BAB79" s="394"/>
      <c r="BAC79" s="394"/>
      <c r="BAD79" s="394"/>
      <c r="BAE79" s="394"/>
      <c r="BAF79" s="394"/>
      <c r="BAG79" s="394"/>
      <c r="BAH79" s="394"/>
      <c r="BAI79" s="394"/>
      <c r="BAJ79" s="394"/>
      <c r="BAK79" s="394"/>
      <c r="BAL79" s="394"/>
      <c r="BAM79" s="394"/>
      <c r="BAN79" s="394"/>
      <c r="BAO79" s="394"/>
      <c r="BAP79" s="394"/>
      <c r="BAQ79" s="394"/>
      <c r="BAR79" s="394"/>
      <c r="BAS79" s="394"/>
      <c r="BAT79" s="394"/>
      <c r="BAU79" s="394"/>
      <c r="BAV79" s="394"/>
      <c r="BAW79" s="394"/>
      <c r="BAX79" s="394"/>
      <c r="BAY79" s="394"/>
      <c r="BAZ79" s="394"/>
      <c r="BBA79" s="394"/>
      <c r="BBB79" s="394"/>
      <c r="BBC79" s="394"/>
      <c r="BBD79" s="394"/>
      <c r="BBE79" s="394"/>
      <c r="BBF79" s="394"/>
      <c r="BBG79" s="394"/>
      <c r="BBH79" s="394"/>
      <c r="BBI79" s="394"/>
      <c r="BBJ79" s="394"/>
      <c r="BBK79" s="394"/>
      <c r="BBL79" s="394"/>
      <c r="BBM79" s="394"/>
      <c r="BBN79" s="394"/>
      <c r="BBO79" s="394"/>
      <c r="BBP79" s="394"/>
      <c r="BBQ79" s="394"/>
      <c r="BBR79" s="394"/>
      <c r="BBS79" s="394"/>
      <c r="BBT79" s="394"/>
      <c r="BBU79" s="394"/>
      <c r="BBV79" s="394"/>
      <c r="BBW79" s="394"/>
      <c r="BBX79" s="394"/>
      <c r="BBY79" s="394"/>
      <c r="BBZ79" s="394"/>
      <c r="BCA79" s="394"/>
      <c r="BCB79" s="394"/>
      <c r="BCC79" s="394"/>
      <c r="BCD79" s="394"/>
      <c r="BCE79" s="394"/>
      <c r="BCF79" s="394"/>
      <c r="BCG79" s="394"/>
      <c r="BCH79" s="394"/>
      <c r="BCI79" s="394"/>
      <c r="BCJ79" s="394"/>
      <c r="BCK79" s="394"/>
      <c r="BCL79" s="394"/>
      <c r="BCM79" s="394"/>
      <c r="BCN79" s="394"/>
      <c r="BCO79" s="394"/>
      <c r="BCP79" s="394"/>
      <c r="BCQ79" s="394"/>
      <c r="BCR79" s="394"/>
      <c r="BCS79" s="394"/>
      <c r="BCT79" s="394"/>
      <c r="BCU79" s="394"/>
      <c r="BCV79" s="394"/>
      <c r="BCW79" s="394"/>
      <c r="BCX79" s="394"/>
      <c r="BCY79" s="394"/>
      <c r="BCZ79" s="394"/>
      <c r="BDA79" s="394"/>
      <c r="BDB79" s="394"/>
      <c r="BDC79" s="394"/>
      <c r="BDD79" s="394"/>
      <c r="BDE79" s="394"/>
      <c r="BDF79" s="394"/>
      <c r="BDG79" s="394"/>
      <c r="BDH79" s="394"/>
      <c r="BDI79" s="394"/>
      <c r="BDJ79" s="394"/>
      <c r="BDK79" s="394"/>
      <c r="BDL79" s="394"/>
      <c r="BDM79" s="394"/>
      <c r="BDN79" s="394"/>
      <c r="BDO79" s="394"/>
      <c r="BDP79" s="394"/>
      <c r="BDQ79" s="394"/>
      <c r="BDR79" s="394"/>
      <c r="BDS79" s="394"/>
      <c r="BDT79" s="394"/>
      <c r="BDU79" s="394"/>
      <c r="BDV79" s="394"/>
      <c r="BDW79" s="394"/>
      <c r="BDX79" s="394"/>
      <c r="BDY79" s="394"/>
      <c r="BDZ79" s="394"/>
      <c r="BEA79" s="394"/>
      <c r="BEB79" s="394"/>
      <c r="BEC79" s="394"/>
      <c r="BED79" s="394"/>
      <c r="BEE79" s="394"/>
      <c r="BEF79" s="394"/>
      <c r="BEG79" s="394"/>
      <c r="BEH79" s="394"/>
      <c r="BEI79" s="394"/>
      <c r="BEJ79" s="394"/>
      <c r="BEK79" s="394"/>
      <c r="BEL79" s="394"/>
      <c r="BEM79" s="394"/>
      <c r="BEN79" s="394"/>
      <c r="BEO79" s="394"/>
      <c r="BEP79" s="394"/>
      <c r="BEQ79" s="394"/>
      <c r="BER79" s="394"/>
      <c r="BES79" s="394"/>
      <c r="BET79" s="394"/>
      <c r="BEU79" s="394"/>
      <c r="BEV79" s="394"/>
      <c r="BEW79" s="394"/>
      <c r="BEX79" s="394"/>
      <c r="BEY79" s="394"/>
      <c r="BEZ79" s="394"/>
      <c r="BFA79" s="394"/>
      <c r="BFB79" s="394"/>
      <c r="BFC79" s="394"/>
      <c r="BFD79" s="394"/>
      <c r="BFE79" s="394"/>
      <c r="BFF79" s="394"/>
      <c r="BFG79" s="394"/>
      <c r="BFH79" s="394"/>
      <c r="BFI79" s="394"/>
      <c r="BFJ79" s="394"/>
      <c r="BFK79" s="394"/>
      <c r="BFL79" s="394"/>
      <c r="BFM79" s="394"/>
      <c r="BFN79" s="394"/>
      <c r="BFO79" s="394"/>
      <c r="BFP79" s="394"/>
      <c r="BFQ79" s="394"/>
      <c r="BFR79" s="394"/>
      <c r="BFS79" s="394"/>
      <c r="BFT79" s="394"/>
      <c r="BFU79" s="394"/>
      <c r="BFV79" s="394"/>
      <c r="BFW79" s="394"/>
      <c r="BFX79" s="394"/>
      <c r="BFY79" s="394"/>
      <c r="BFZ79" s="394"/>
      <c r="BGA79" s="394"/>
      <c r="BGB79" s="394"/>
      <c r="BGC79" s="394"/>
      <c r="BGD79" s="394"/>
      <c r="BGE79" s="394"/>
      <c r="BGF79" s="394"/>
      <c r="BGG79" s="394"/>
      <c r="BGH79" s="394"/>
      <c r="BGI79" s="394"/>
      <c r="BGJ79" s="394"/>
      <c r="BGK79" s="394"/>
      <c r="BGL79" s="394"/>
      <c r="BGM79" s="394"/>
      <c r="BGN79" s="394"/>
      <c r="BGO79" s="394"/>
      <c r="BGP79" s="394"/>
      <c r="BGQ79" s="394"/>
      <c r="BGR79" s="394"/>
      <c r="BGS79" s="394"/>
      <c r="BGT79" s="394"/>
      <c r="BGU79" s="394"/>
      <c r="BGV79" s="394"/>
      <c r="BGW79" s="394"/>
      <c r="BGX79" s="394"/>
      <c r="BGY79" s="394"/>
      <c r="BGZ79" s="394"/>
      <c r="BHA79" s="394"/>
      <c r="BHB79" s="394"/>
      <c r="BHC79" s="394"/>
      <c r="BHD79" s="394"/>
      <c r="BHE79" s="394"/>
      <c r="BHF79" s="394"/>
      <c r="BHG79" s="394"/>
      <c r="BHH79" s="394"/>
      <c r="BHI79" s="394"/>
      <c r="BHJ79" s="394"/>
      <c r="BHK79" s="394"/>
      <c r="BHL79" s="394"/>
      <c r="BHM79" s="394"/>
      <c r="BHN79" s="394"/>
      <c r="BHO79" s="394"/>
      <c r="BHP79" s="394"/>
      <c r="BHQ79" s="394"/>
      <c r="BHR79" s="394"/>
      <c r="BHS79" s="394"/>
      <c r="BHT79" s="394"/>
      <c r="BHU79" s="394"/>
      <c r="BHV79" s="394"/>
      <c r="BHW79" s="394"/>
      <c r="BHX79" s="394"/>
      <c r="BHY79" s="394"/>
      <c r="BHZ79" s="394"/>
      <c r="BIA79" s="394"/>
      <c r="BIB79" s="394"/>
      <c r="BIC79" s="394"/>
      <c r="BID79" s="394"/>
      <c r="BIE79" s="394"/>
      <c r="BIF79" s="394"/>
      <c r="BIG79" s="394"/>
      <c r="BIH79" s="394"/>
      <c r="BII79" s="394"/>
      <c r="BIJ79" s="394"/>
      <c r="BIK79" s="394"/>
      <c r="BIL79" s="394"/>
      <c r="BIM79" s="394"/>
      <c r="BIN79" s="394"/>
      <c r="BIO79" s="394"/>
      <c r="BIP79" s="394"/>
      <c r="BIQ79" s="394"/>
      <c r="BIR79" s="394"/>
      <c r="BIS79" s="394"/>
      <c r="BIT79" s="394"/>
      <c r="BIU79" s="394"/>
      <c r="BIV79" s="394"/>
      <c r="BIW79" s="394"/>
      <c r="BIX79" s="394"/>
      <c r="BIY79" s="394"/>
      <c r="BIZ79" s="394"/>
      <c r="BJA79" s="394"/>
      <c r="BJB79" s="394"/>
      <c r="BJC79" s="394"/>
      <c r="BJD79" s="394"/>
      <c r="BJE79" s="394"/>
      <c r="BJF79" s="394"/>
      <c r="BJG79" s="394"/>
      <c r="BJH79" s="394"/>
      <c r="BJI79" s="394"/>
      <c r="BJJ79" s="394"/>
      <c r="BJK79" s="394"/>
      <c r="BJL79" s="394"/>
      <c r="BJM79" s="394"/>
      <c r="BJN79" s="394"/>
      <c r="BJO79" s="394"/>
      <c r="BJP79" s="394"/>
      <c r="BJQ79" s="394"/>
      <c r="BJR79" s="394"/>
      <c r="BJS79" s="394"/>
      <c r="BJT79" s="394"/>
      <c r="BJU79" s="394"/>
      <c r="BJV79" s="394"/>
      <c r="BJW79" s="394"/>
      <c r="BJX79" s="394"/>
      <c r="BJY79" s="394"/>
      <c r="BJZ79" s="394"/>
      <c r="BKA79" s="394"/>
      <c r="BKB79" s="394"/>
      <c r="BKC79" s="394"/>
      <c r="BKD79" s="394"/>
      <c r="BKE79" s="394"/>
      <c r="BKF79" s="394"/>
      <c r="BKG79" s="394"/>
      <c r="BKH79" s="394"/>
      <c r="BKI79" s="394"/>
      <c r="BKJ79" s="394"/>
      <c r="BKK79" s="394"/>
      <c r="BKL79" s="394"/>
      <c r="BKM79" s="394"/>
      <c r="BKN79" s="394"/>
      <c r="BKO79" s="394"/>
      <c r="BKP79" s="394"/>
      <c r="BKQ79" s="394"/>
      <c r="BKR79" s="394"/>
      <c r="BKS79" s="394"/>
      <c r="BKT79" s="394"/>
      <c r="BKU79" s="394"/>
      <c r="BKV79" s="394"/>
      <c r="BKW79" s="394"/>
      <c r="BKX79" s="394"/>
      <c r="BKY79" s="394"/>
      <c r="BKZ79" s="394"/>
      <c r="BLA79" s="394"/>
      <c r="BLB79" s="394"/>
      <c r="BLC79" s="394"/>
      <c r="BLD79" s="394"/>
      <c r="BLE79" s="394"/>
      <c r="BLF79" s="394"/>
      <c r="BLG79" s="394"/>
      <c r="BLH79" s="394"/>
      <c r="BLI79" s="394"/>
      <c r="BLJ79" s="394"/>
      <c r="BLK79" s="394"/>
      <c r="BLL79" s="394"/>
      <c r="BLM79" s="394"/>
      <c r="BLN79" s="394"/>
      <c r="BLO79" s="394"/>
      <c r="BLP79" s="394"/>
      <c r="BLQ79" s="394"/>
      <c r="BLR79" s="394"/>
      <c r="BLS79" s="394"/>
      <c r="BLT79" s="394"/>
      <c r="BLU79" s="394"/>
      <c r="BLV79" s="394"/>
      <c r="BLW79" s="394"/>
      <c r="BLX79" s="394"/>
      <c r="BLY79" s="394"/>
      <c r="BLZ79" s="394"/>
      <c r="BMA79" s="394"/>
      <c r="BMB79" s="394"/>
      <c r="BMC79" s="394"/>
      <c r="BMD79" s="394"/>
      <c r="BME79" s="394"/>
      <c r="BMF79" s="394"/>
      <c r="BMG79" s="394"/>
      <c r="BMH79" s="394"/>
      <c r="BMI79" s="394"/>
      <c r="BMJ79" s="394"/>
      <c r="BMK79" s="394"/>
      <c r="BML79" s="394"/>
      <c r="BMM79" s="394"/>
      <c r="BMN79" s="394"/>
      <c r="BMO79" s="394"/>
      <c r="BMP79" s="394"/>
      <c r="BMQ79" s="394"/>
      <c r="BMR79" s="394"/>
      <c r="BMS79" s="394"/>
      <c r="BMT79" s="394"/>
      <c r="BMU79" s="394"/>
      <c r="BMV79" s="394"/>
      <c r="BMW79" s="394"/>
      <c r="BMX79" s="394"/>
      <c r="BMY79" s="394"/>
      <c r="BMZ79" s="394"/>
      <c r="BNA79" s="394"/>
      <c r="BNB79" s="394"/>
      <c r="BNC79" s="394"/>
      <c r="BND79" s="394"/>
      <c r="BNE79" s="394"/>
      <c r="BNF79" s="394"/>
      <c r="BNG79" s="394"/>
      <c r="BNH79" s="394"/>
      <c r="BNI79" s="394"/>
      <c r="BNJ79" s="394"/>
      <c r="BNK79" s="394"/>
      <c r="BNL79" s="394"/>
      <c r="BNM79" s="394"/>
      <c r="BNN79" s="394"/>
      <c r="BNO79" s="394"/>
      <c r="BNP79" s="394"/>
      <c r="BNQ79" s="394"/>
      <c r="BNR79" s="394"/>
      <c r="BNS79" s="394"/>
      <c r="BNT79" s="394"/>
      <c r="BNU79" s="394"/>
      <c r="BNV79" s="394"/>
      <c r="BNW79" s="394"/>
      <c r="BNX79" s="394"/>
      <c r="BNY79" s="394"/>
      <c r="BNZ79" s="394"/>
      <c r="BOA79" s="394"/>
      <c r="BOB79" s="394"/>
      <c r="BOC79" s="394"/>
      <c r="BOD79" s="394"/>
      <c r="BOE79" s="394"/>
      <c r="BOF79" s="394"/>
      <c r="BOG79" s="394"/>
      <c r="BOH79" s="394"/>
      <c r="BOI79" s="394"/>
      <c r="BOJ79" s="394"/>
      <c r="BOK79" s="394"/>
      <c r="BOL79" s="394"/>
      <c r="BOM79" s="394"/>
      <c r="BON79" s="394"/>
      <c r="BOO79" s="394"/>
      <c r="BOP79" s="394"/>
      <c r="BOQ79" s="394"/>
      <c r="BOR79" s="394"/>
      <c r="BOS79" s="394"/>
      <c r="BOT79" s="394"/>
      <c r="BOU79" s="394"/>
      <c r="BOV79" s="394"/>
      <c r="BOW79" s="394"/>
      <c r="BOX79" s="394"/>
      <c r="BOY79" s="394"/>
      <c r="BOZ79" s="394"/>
      <c r="BPA79" s="394"/>
      <c r="BPB79" s="394"/>
      <c r="BPC79" s="394"/>
      <c r="BPD79" s="394"/>
      <c r="BPE79" s="394"/>
      <c r="BPF79" s="394"/>
      <c r="BPG79" s="394"/>
      <c r="BPH79" s="394"/>
      <c r="BPI79" s="394"/>
      <c r="BPJ79" s="394"/>
      <c r="BPK79" s="394"/>
      <c r="BPL79" s="394"/>
      <c r="BPM79" s="394"/>
      <c r="BPN79" s="394"/>
      <c r="BPO79" s="394"/>
      <c r="BPP79" s="394"/>
      <c r="BPQ79" s="394"/>
      <c r="BPR79" s="394"/>
      <c r="BPS79" s="394"/>
      <c r="BPT79" s="394"/>
      <c r="BPU79" s="394"/>
      <c r="BPV79" s="394"/>
      <c r="BPW79" s="394"/>
      <c r="BPX79" s="394"/>
      <c r="BPY79" s="394"/>
      <c r="BPZ79" s="394"/>
      <c r="BQA79" s="394"/>
      <c r="BQB79" s="394"/>
      <c r="BQC79" s="394"/>
      <c r="BQD79" s="394"/>
      <c r="BQE79" s="394"/>
      <c r="BQF79" s="394"/>
      <c r="BQG79" s="394"/>
      <c r="BQH79" s="394"/>
      <c r="BQI79" s="394"/>
      <c r="BQJ79" s="394"/>
      <c r="BQK79" s="394"/>
      <c r="BQL79" s="394"/>
      <c r="BQM79" s="394"/>
      <c r="BQN79" s="394"/>
      <c r="BQO79" s="394"/>
      <c r="BQP79" s="394"/>
      <c r="BQQ79" s="394"/>
      <c r="BQR79" s="394"/>
      <c r="BQS79" s="394"/>
      <c r="BQT79" s="394"/>
      <c r="BQU79" s="394"/>
      <c r="BQV79" s="394"/>
      <c r="BQW79" s="394"/>
      <c r="BQX79" s="394"/>
      <c r="BQY79" s="394"/>
      <c r="BQZ79" s="394"/>
      <c r="BRA79" s="394"/>
      <c r="BRB79" s="394"/>
      <c r="BRC79" s="394"/>
      <c r="BRD79" s="394"/>
      <c r="BRE79" s="394"/>
      <c r="BRF79" s="394"/>
      <c r="BRG79" s="394"/>
      <c r="BRH79" s="394"/>
      <c r="BRI79" s="394"/>
      <c r="BRJ79" s="394"/>
      <c r="BRK79" s="394"/>
      <c r="BRL79" s="394"/>
      <c r="BRM79" s="394"/>
      <c r="BRN79" s="394"/>
      <c r="BRO79" s="394"/>
      <c r="BRP79" s="394"/>
      <c r="BRQ79" s="394"/>
      <c r="BRR79" s="394"/>
      <c r="BRS79" s="394"/>
      <c r="BRT79" s="394"/>
      <c r="BRU79" s="394"/>
      <c r="BRV79" s="394"/>
      <c r="BRW79" s="394"/>
      <c r="BRX79" s="394"/>
      <c r="BRY79" s="394"/>
      <c r="BRZ79" s="394"/>
      <c r="BSA79" s="394"/>
      <c r="BSB79" s="394"/>
      <c r="BSC79" s="394"/>
      <c r="BSD79" s="394"/>
      <c r="BSE79" s="394"/>
      <c r="BSF79" s="394"/>
      <c r="BSG79" s="394"/>
      <c r="BSH79" s="394"/>
      <c r="BSI79" s="394"/>
      <c r="BSJ79" s="394"/>
      <c r="BSK79" s="394"/>
      <c r="BSL79" s="394"/>
      <c r="BSM79" s="394"/>
      <c r="BSN79" s="394"/>
      <c r="BSO79" s="394"/>
      <c r="BSP79" s="394"/>
      <c r="BSQ79" s="394"/>
      <c r="BSR79" s="394"/>
      <c r="BSS79" s="394"/>
      <c r="BST79" s="394"/>
      <c r="BSU79" s="394"/>
      <c r="BSV79" s="394"/>
      <c r="BSW79" s="394"/>
      <c r="BSX79" s="394"/>
      <c r="BSY79" s="394"/>
      <c r="BSZ79" s="394"/>
      <c r="BTA79" s="394"/>
      <c r="BTB79" s="394"/>
      <c r="BTC79" s="394"/>
      <c r="BTD79" s="394"/>
      <c r="BTE79" s="394"/>
      <c r="BTF79" s="394"/>
      <c r="BTG79" s="394"/>
      <c r="BTH79" s="394"/>
      <c r="BTI79" s="394"/>
    </row>
    <row r="80" spans="1:1881" ht="79.5" customHeight="1" x14ac:dyDescent="0.25">
      <c r="A80" s="188">
        <v>80</v>
      </c>
      <c r="B80" s="64" t="s">
        <v>68</v>
      </c>
      <c r="C80" s="159" t="s">
        <v>184</v>
      </c>
      <c r="D80" s="165" t="s">
        <v>171</v>
      </c>
      <c r="E80" s="32" t="e">
        <f>HLOOKUP($D$2,'2019 Data(H)'!$C$1:$CP$300,44,FALSE)</f>
        <v>#N/A</v>
      </c>
      <c r="F80" s="624"/>
      <c r="G80" s="591" t="e">
        <f>HLOOKUP($D$2,'2019 Data(H)'!C1:CE297,249,FALSE)</f>
        <v>#N/A</v>
      </c>
      <c r="H80" s="61"/>
      <c r="I80" s="31"/>
      <c r="L80" s="833" t="s">
        <v>1172</v>
      </c>
    </row>
    <row r="81" spans="1:1881" ht="66.75" customHeight="1" x14ac:dyDescent="0.25">
      <c r="A81" s="188">
        <v>81</v>
      </c>
      <c r="B81" s="64" t="s">
        <v>69</v>
      </c>
      <c r="C81" s="159" t="s">
        <v>184</v>
      </c>
      <c r="D81" s="165" t="s">
        <v>172</v>
      </c>
      <c r="E81" s="32" t="e">
        <f>HLOOKUP($D$2,'2019 Data(H)'!$C$1:$CP$300,45,FALSE)</f>
        <v>#N/A</v>
      </c>
      <c r="F81" s="624"/>
      <c r="G81" s="316"/>
      <c r="H81" s="13"/>
      <c r="I81" s="31"/>
      <c r="L81" s="833" t="s">
        <v>1173</v>
      </c>
    </row>
    <row r="82" spans="1:1881" s="225" customFormat="1" ht="66.75" customHeight="1" x14ac:dyDescent="0.25">
      <c r="A82" s="188">
        <v>579</v>
      </c>
      <c r="B82" s="65" t="s">
        <v>651</v>
      </c>
      <c r="C82" s="182" t="s">
        <v>184</v>
      </c>
      <c r="D82" s="310" t="s">
        <v>655</v>
      </c>
      <c r="E82" s="32" t="e">
        <f>HLOOKUP($D$2,'2019 Data(H)'!$C$1:$CP$300,229,FALSE)</f>
        <v>#N/A</v>
      </c>
      <c r="F82" s="624"/>
      <c r="G82" s="395"/>
      <c r="H82" s="67"/>
      <c r="I82" s="149"/>
      <c r="J82" s="394"/>
      <c r="K82" s="394"/>
      <c r="L82" s="833" t="s">
        <v>1174</v>
      </c>
      <c r="M82" s="394"/>
      <c r="N82"/>
      <c r="O82" s="394"/>
      <c r="P82" s="394"/>
      <c r="Q82" s="394"/>
      <c r="R82" s="394"/>
      <c r="S82" s="394"/>
      <c r="T82" s="394"/>
      <c r="U82" s="394"/>
      <c r="V82" s="394"/>
      <c r="W82" s="394"/>
      <c r="X82" s="394"/>
      <c r="Y82" s="394"/>
      <c r="Z82" s="394"/>
      <c r="AA82" s="394"/>
      <c r="AB82" s="394"/>
      <c r="AC82" s="394"/>
      <c r="AD82" s="394"/>
      <c r="AE82" s="394"/>
      <c r="AF82" s="394"/>
      <c r="AG82" s="394"/>
      <c r="AH82" s="394"/>
      <c r="AI82" s="394"/>
      <c r="AJ82" s="394"/>
      <c r="AK82" s="394"/>
      <c r="AL82" s="394"/>
      <c r="AM82" s="394"/>
      <c r="AN82" s="394"/>
      <c r="AO82" s="394"/>
      <c r="AP82" s="394"/>
      <c r="AQ82" s="394"/>
      <c r="AR82" s="394"/>
      <c r="AS82" s="394"/>
      <c r="AT82" s="394"/>
      <c r="AU82" s="394"/>
      <c r="AV82" s="394"/>
      <c r="AW82" s="394"/>
      <c r="AX82" s="394"/>
      <c r="AY82" s="394"/>
      <c r="AZ82" s="394"/>
      <c r="BA82" s="394"/>
      <c r="BB82" s="394"/>
      <c r="BC82" s="394"/>
      <c r="BD82" s="394"/>
      <c r="BE82" s="394"/>
      <c r="BF82" s="394"/>
      <c r="BG82" s="394"/>
      <c r="BH82" s="394"/>
      <c r="BI82" s="394"/>
      <c r="BJ82" s="394"/>
      <c r="BK82" s="394"/>
      <c r="BL82" s="394"/>
      <c r="BM82" s="394"/>
      <c r="BN82" s="394"/>
      <c r="BO82" s="394"/>
      <c r="BP82" s="394"/>
      <c r="BQ82" s="394"/>
      <c r="BR82" s="394"/>
      <c r="BS82" s="394"/>
      <c r="BT82" s="394"/>
      <c r="BU82" s="394"/>
      <c r="BV82" s="394"/>
      <c r="BW82" s="394"/>
      <c r="BX82" s="394"/>
      <c r="BY82" s="394"/>
      <c r="BZ82" s="394"/>
      <c r="CA82" s="394"/>
      <c r="CB82" s="394"/>
      <c r="CC82" s="394"/>
      <c r="CD82" s="394"/>
      <c r="CE82" s="394"/>
      <c r="CF82" s="394"/>
      <c r="CG82" s="394"/>
      <c r="CH82" s="394"/>
      <c r="CI82" s="394"/>
      <c r="CJ82" s="394"/>
      <c r="CK82" s="394"/>
      <c r="CL82" s="394"/>
      <c r="CM82" s="394"/>
      <c r="CN82" s="394"/>
      <c r="CO82" s="394"/>
      <c r="CP82" s="394"/>
      <c r="CQ82" s="394"/>
      <c r="CR82" s="394"/>
      <c r="CS82" s="394"/>
      <c r="CT82" s="394"/>
      <c r="CU82" s="394"/>
      <c r="CV82" s="394"/>
      <c r="CW82" s="394"/>
      <c r="CX82" s="394"/>
      <c r="CY82" s="394"/>
      <c r="CZ82" s="394"/>
      <c r="DA82" s="394"/>
      <c r="DB82" s="394"/>
      <c r="DC82" s="394"/>
      <c r="DD82" s="394"/>
      <c r="DE82" s="394"/>
      <c r="DF82" s="394"/>
      <c r="DG82" s="394"/>
      <c r="DH82" s="394"/>
      <c r="DI82" s="394"/>
      <c r="DJ82" s="394"/>
      <c r="DK82" s="394"/>
      <c r="DL82" s="394"/>
      <c r="DM82" s="394"/>
      <c r="DN82" s="394"/>
      <c r="DO82" s="394"/>
      <c r="DP82" s="394"/>
      <c r="DQ82" s="394"/>
      <c r="DR82" s="394"/>
      <c r="DS82" s="394"/>
      <c r="DT82" s="394"/>
      <c r="DU82" s="394"/>
      <c r="DV82" s="394"/>
      <c r="DW82" s="394"/>
      <c r="DX82" s="394"/>
      <c r="DY82" s="394"/>
      <c r="DZ82" s="394"/>
      <c r="EA82" s="394"/>
      <c r="EB82" s="394"/>
      <c r="EC82" s="394"/>
      <c r="ED82" s="394"/>
      <c r="EE82" s="394"/>
      <c r="EF82" s="394"/>
      <c r="EG82" s="394"/>
      <c r="EH82" s="394"/>
      <c r="EI82" s="394"/>
      <c r="EJ82" s="394"/>
      <c r="EK82" s="394"/>
      <c r="EL82" s="394"/>
      <c r="EM82" s="394"/>
      <c r="EN82" s="394"/>
      <c r="EO82" s="394"/>
      <c r="EP82" s="394"/>
      <c r="EQ82" s="394"/>
      <c r="ER82" s="394"/>
      <c r="ES82" s="394"/>
      <c r="ET82" s="394"/>
      <c r="EU82" s="394"/>
      <c r="EV82" s="394"/>
      <c r="EW82" s="394"/>
      <c r="EX82" s="394"/>
      <c r="EY82" s="394"/>
      <c r="EZ82" s="394"/>
      <c r="FA82" s="394"/>
      <c r="FB82" s="394"/>
      <c r="FC82" s="394"/>
      <c r="FD82" s="394"/>
      <c r="FE82" s="394"/>
      <c r="FF82" s="394"/>
      <c r="FG82" s="394"/>
      <c r="FH82" s="394"/>
      <c r="FI82" s="394"/>
      <c r="FJ82" s="394"/>
      <c r="FK82" s="394"/>
      <c r="FL82" s="394"/>
      <c r="FM82" s="394"/>
      <c r="FN82" s="394"/>
      <c r="FO82" s="394"/>
      <c r="FP82" s="394"/>
      <c r="FQ82" s="394"/>
      <c r="FR82" s="394"/>
      <c r="FS82" s="394"/>
      <c r="FT82" s="394"/>
      <c r="FU82" s="394"/>
      <c r="FV82" s="394"/>
      <c r="FW82" s="394"/>
      <c r="FX82" s="394"/>
      <c r="FY82" s="394"/>
      <c r="FZ82" s="394"/>
      <c r="GA82" s="394"/>
      <c r="GB82" s="394"/>
      <c r="GC82" s="394"/>
      <c r="GD82" s="394"/>
      <c r="GE82" s="394"/>
      <c r="GF82" s="394"/>
      <c r="GG82" s="394"/>
      <c r="GH82" s="394"/>
      <c r="GI82" s="394"/>
      <c r="GJ82" s="394"/>
      <c r="GK82" s="394"/>
      <c r="GL82" s="394"/>
      <c r="GM82" s="394"/>
      <c r="GN82" s="394"/>
      <c r="GO82" s="394"/>
      <c r="GP82" s="394"/>
      <c r="GQ82" s="394"/>
      <c r="GR82" s="394"/>
      <c r="GS82" s="394"/>
      <c r="GT82" s="394"/>
      <c r="GU82" s="394"/>
      <c r="GV82" s="394"/>
      <c r="GW82" s="394"/>
      <c r="GX82" s="394"/>
      <c r="GY82" s="394"/>
      <c r="GZ82" s="394"/>
      <c r="HA82" s="394"/>
      <c r="HB82" s="394"/>
      <c r="HC82" s="394"/>
      <c r="HD82" s="394"/>
      <c r="HE82" s="394"/>
      <c r="HF82" s="394"/>
      <c r="HG82" s="394"/>
      <c r="HH82" s="394"/>
      <c r="HI82" s="394"/>
      <c r="HJ82" s="394"/>
      <c r="HK82" s="394"/>
      <c r="HL82" s="394"/>
      <c r="HM82" s="394"/>
      <c r="HN82" s="394"/>
      <c r="HO82" s="394"/>
      <c r="HP82" s="394"/>
      <c r="HQ82" s="394"/>
      <c r="HR82" s="394"/>
      <c r="HS82" s="394"/>
      <c r="HT82" s="394"/>
      <c r="HU82" s="394"/>
      <c r="HV82" s="394"/>
      <c r="HW82" s="394"/>
      <c r="HX82" s="394"/>
      <c r="HY82" s="394"/>
      <c r="HZ82" s="394"/>
      <c r="IA82" s="394"/>
      <c r="IB82" s="394"/>
      <c r="IC82" s="394"/>
      <c r="ID82" s="394"/>
      <c r="IE82" s="394"/>
      <c r="IF82" s="394"/>
      <c r="IG82" s="394"/>
      <c r="IH82" s="394"/>
      <c r="II82" s="394"/>
      <c r="IJ82" s="394"/>
      <c r="IK82" s="394"/>
      <c r="IL82" s="394"/>
      <c r="IM82" s="394"/>
      <c r="IN82" s="394"/>
      <c r="IO82" s="394"/>
      <c r="IP82" s="394"/>
      <c r="IQ82" s="394"/>
      <c r="IR82" s="394"/>
      <c r="IS82" s="394"/>
      <c r="IT82" s="394"/>
      <c r="IU82" s="394"/>
      <c r="IV82" s="394"/>
      <c r="IW82" s="394"/>
      <c r="IX82" s="394"/>
      <c r="IY82" s="394"/>
      <c r="IZ82" s="394"/>
      <c r="JA82" s="394"/>
      <c r="JB82" s="394"/>
      <c r="JC82" s="394"/>
      <c r="JD82" s="394"/>
      <c r="JE82" s="394"/>
      <c r="JF82" s="394"/>
      <c r="JG82" s="394"/>
      <c r="JH82" s="394"/>
      <c r="JI82" s="394"/>
      <c r="JJ82" s="394"/>
      <c r="JK82" s="394"/>
      <c r="JL82" s="394"/>
      <c r="JM82" s="394"/>
      <c r="JN82" s="394"/>
      <c r="JO82" s="394"/>
      <c r="JP82" s="394"/>
      <c r="JQ82" s="394"/>
      <c r="JR82" s="394"/>
      <c r="JS82" s="394"/>
      <c r="JT82" s="394"/>
      <c r="JU82" s="394"/>
      <c r="JV82" s="394"/>
      <c r="JW82" s="394"/>
      <c r="JX82" s="394"/>
      <c r="JY82" s="394"/>
      <c r="JZ82" s="394"/>
      <c r="KA82" s="394"/>
      <c r="KB82" s="394"/>
      <c r="KC82" s="394"/>
      <c r="KD82" s="394"/>
      <c r="KE82" s="394"/>
      <c r="KF82" s="394"/>
      <c r="KG82" s="394"/>
      <c r="KH82" s="394"/>
      <c r="KI82" s="394"/>
      <c r="KJ82" s="394"/>
      <c r="KK82" s="394"/>
      <c r="KL82" s="394"/>
      <c r="KM82" s="394"/>
      <c r="KN82" s="394"/>
      <c r="KO82" s="394"/>
      <c r="KP82" s="394"/>
      <c r="KQ82" s="394"/>
      <c r="KR82" s="394"/>
      <c r="KS82" s="394"/>
      <c r="KT82" s="394"/>
      <c r="KU82" s="394"/>
      <c r="KV82" s="394"/>
      <c r="KW82" s="394"/>
      <c r="KX82" s="394"/>
      <c r="KY82" s="394"/>
      <c r="KZ82" s="394"/>
      <c r="LA82" s="394"/>
      <c r="LB82" s="394"/>
      <c r="LC82" s="394"/>
      <c r="LD82" s="394"/>
      <c r="LE82" s="394"/>
      <c r="LF82" s="394"/>
      <c r="LG82" s="394"/>
      <c r="LH82" s="394"/>
      <c r="LI82" s="394"/>
      <c r="LJ82" s="394"/>
      <c r="LK82" s="394"/>
      <c r="LL82" s="394"/>
      <c r="LM82" s="394"/>
      <c r="LN82" s="394"/>
      <c r="LO82" s="394"/>
      <c r="LP82" s="394"/>
      <c r="LQ82" s="394"/>
      <c r="LR82" s="394"/>
      <c r="LS82" s="394"/>
      <c r="LT82" s="394"/>
      <c r="LU82" s="394"/>
      <c r="LV82" s="394"/>
      <c r="LW82" s="394"/>
      <c r="LX82" s="394"/>
      <c r="LY82" s="394"/>
      <c r="LZ82" s="394"/>
      <c r="MA82" s="394"/>
      <c r="MB82" s="394"/>
      <c r="MC82" s="394"/>
      <c r="MD82" s="394"/>
      <c r="ME82" s="394"/>
      <c r="MF82" s="394"/>
      <c r="MG82" s="394"/>
      <c r="MH82" s="394"/>
      <c r="MI82" s="394"/>
      <c r="MJ82" s="394"/>
      <c r="MK82" s="394"/>
      <c r="ML82" s="394"/>
      <c r="MM82" s="394"/>
      <c r="MN82" s="394"/>
      <c r="MO82" s="394"/>
      <c r="MP82" s="394"/>
      <c r="MQ82" s="394"/>
      <c r="MR82" s="394"/>
      <c r="MS82" s="394"/>
      <c r="MT82" s="394"/>
      <c r="MU82" s="394"/>
      <c r="MV82" s="394"/>
      <c r="MW82" s="394"/>
      <c r="MX82" s="394"/>
      <c r="MY82" s="394"/>
      <c r="MZ82" s="394"/>
      <c r="NA82" s="394"/>
      <c r="NB82" s="394"/>
      <c r="NC82" s="394"/>
      <c r="ND82" s="394"/>
      <c r="NE82" s="394"/>
      <c r="NF82" s="394"/>
      <c r="NG82" s="394"/>
      <c r="NH82" s="394"/>
      <c r="NI82" s="394"/>
      <c r="NJ82" s="394"/>
      <c r="NK82" s="394"/>
      <c r="NL82" s="394"/>
      <c r="NM82" s="394"/>
      <c r="NN82" s="394"/>
      <c r="NO82" s="394"/>
      <c r="NP82" s="394"/>
      <c r="NQ82" s="394"/>
      <c r="NR82" s="394"/>
      <c r="NS82" s="394"/>
      <c r="NT82" s="394"/>
      <c r="NU82" s="394"/>
      <c r="NV82" s="394"/>
      <c r="NW82" s="394"/>
      <c r="NX82" s="394"/>
      <c r="NY82" s="394"/>
      <c r="NZ82" s="394"/>
      <c r="OA82" s="394"/>
      <c r="OB82" s="394"/>
      <c r="OC82" s="394"/>
      <c r="OD82" s="394"/>
      <c r="OE82" s="394"/>
      <c r="OF82" s="394"/>
      <c r="OG82" s="394"/>
      <c r="OH82" s="394"/>
      <c r="OI82" s="394"/>
      <c r="OJ82" s="394"/>
      <c r="OK82" s="394"/>
      <c r="OL82" s="394"/>
      <c r="OM82" s="394"/>
      <c r="ON82" s="394"/>
      <c r="OO82" s="394"/>
      <c r="OP82" s="394"/>
      <c r="OQ82" s="394"/>
      <c r="OR82" s="394"/>
      <c r="OS82" s="394"/>
      <c r="OT82" s="394"/>
      <c r="OU82" s="394"/>
      <c r="OV82" s="394"/>
      <c r="OW82" s="394"/>
      <c r="OX82" s="394"/>
      <c r="OY82" s="394"/>
      <c r="OZ82" s="394"/>
      <c r="PA82" s="394"/>
      <c r="PB82" s="394"/>
      <c r="PC82" s="394"/>
      <c r="PD82" s="394"/>
      <c r="PE82" s="394"/>
      <c r="PF82" s="394"/>
      <c r="PG82" s="394"/>
      <c r="PH82" s="394"/>
      <c r="PI82" s="394"/>
      <c r="PJ82" s="394"/>
      <c r="PK82" s="394"/>
      <c r="PL82" s="394"/>
      <c r="PM82" s="394"/>
      <c r="PN82" s="394"/>
      <c r="PO82" s="394"/>
      <c r="PP82" s="394"/>
      <c r="PQ82" s="394"/>
      <c r="PR82" s="394"/>
      <c r="PS82" s="394"/>
      <c r="PT82" s="394"/>
      <c r="PU82" s="394"/>
      <c r="PV82" s="394"/>
      <c r="PW82" s="394"/>
      <c r="PX82" s="394"/>
      <c r="PY82" s="394"/>
      <c r="PZ82" s="394"/>
      <c r="QA82" s="394"/>
      <c r="QB82" s="394"/>
      <c r="QC82" s="394"/>
      <c r="QD82" s="394"/>
      <c r="QE82" s="394"/>
      <c r="QF82" s="394"/>
      <c r="QG82" s="394"/>
      <c r="QH82" s="394"/>
      <c r="QI82" s="394"/>
      <c r="QJ82" s="394"/>
      <c r="QK82" s="394"/>
      <c r="QL82" s="394"/>
      <c r="QM82" s="394"/>
      <c r="QN82" s="394"/>
      <c r="QO82" s="394"/>
      <c r="QP82" s="394"/>
      <c r="QQ82" s="394"/>
      <c r="QR82" s="394"/>
      <c r="QS82" s="394"/>
      <c r="QT82" s="394"/>
      <c r="QU82" s="394"/>
      <c r="QV82" s="394"/>
      <c r="QW82" s="394"/>
      <c r="QX82" s="394"/>
      <c r="QY82" s="394"/>
      <c r="QZ82" s="394"/>
      <c r="RA82" s="394"/>
      <c r="RB82" s="394"/>
      <c r="RC82" s="394"/>
      <c r="RD82" s="394"/>
      <c r="RE82" s="394"/>
      <c r="RF82" s="394"/>
      <c r="RG82" s="394"/>
      <c r="RH82" s="394"/>
      <c r="RI82" s="394"/>
      <c r="RJ82" s="394"/>
      <c r="RK82" s="394"/>
      <c r="RL82" s="394"/>
      <c r="RM82" s="394"/>
      <c r="RN82" s="394"/>
      <c r="RO82" s="394"/>
      <c r="RP82" s="394"/>
      <c r="RQ82" s="394"/>
      <c r="RR82" s="394"/>
      <c r="RS82" s="394"/>
      <c r="RT82" s="394"/>
      <c r="RU82" s="394"/>
      <c r="RV82" s="394"/>
      <c r="RW82" s="394"/>
      <c r="RX82" s="394"/>
      <c r="RY82" s="394"/>
      <c r="RZ82" s="394"/>
      <c r="SA82" s="394"/>
      <c r="SB82" s="394"/>
      <c r="SC82" s="394"/>
      <c r="SD82" s="394"/>
      <c r="SE82" s="394"/>
      <c r="SF82" s="394"/>
      <c r="SG82" s="394"/>
      <c r="SH82" s="394"/>
      <c r="SI82" s="394"/>
      <c r="SJ82" s="394"/>
      <c r="SK82" s="394"/>
      <c r="SL82" s="394"/>
      <c r="SM82" s="394"/>
      <c r="SN82" s="394"/>
      <c r="SO82" s="394"/>
      <c r="SP82" s="394"/>
      <c r="SQ82" s="394"/>
      <c r="SR82" s="394"/>
      <c r="SS82" s="394"/>
      <c r="ST82" s="394"/>
      <c r="SU82" s="394"/>
      <c r="SV82" s="394"/>
      <c r="SW82" s="394"/>
      <c r="SX82" s="394"/>
      <c r="SY82" s="394"/>
      <c r="SZ82" s="394"/>
      <c r="TA82" s="394"/>
      <c r="TB82" s="394"/>
      <c r="TC82" s="394"/>
      <c r="TD82" s="394"/>
      <c r="TE82" s="394"/>
      <c r="TF82" s="394"/>
      <c r="TG82" s="394"/>
      <c r="TH82" s="394"/>
      <c r="TI82" s="394"/>
      <c r="TJ82" s="394"/>
      <c r="TK82" s="394"/>
      <c r="TL82" s="394"/>
      <c r="TM82" s="394"/>
      <c r="TN82" s="394"/>
      <c r="TO82" s="394"/>
      <c r="TP82" s="394"/>
      <c r="TQ82" s="394"/>
      <c r="TR82" s="394"/>
      <c r="TS82" s="394"/>
      <c r="TT82" s="394"/>
      <c r="TU82" s="394"/>
      <c r="TV82" s="394"/>
      <c r="TW82" s="394"/>
      <c r="TX82" s="394"/>
      <c r="TY82" s="394"/>
      <c r="TZ82" s="394"/>
      <c r="UA82" s="394"/>
      <c r="UB82" s="394"/>
      <c r="UC82" s="394"/>
      <c r="UD82" s="394"/>
      <c r="UE82" s="394"/>
      <c r="UF82" s="394"/>
      <c r="UG82" s="394"/>
      <c r="UH82" s="394"/>
      <c r="UI82" s="394"/>
      <c r="UJ82" s="394"/>
      <c r="UK82" s="394"/>
      <c r="UL82" s="394"/>
      <c r="UM82" s="394"/>
      <c r="UN82" s="394"/>
      <c r="UO82" s="394"/>
      <c r="UP82" s="394"/>
      <c r="UQ82" s="394"/>
      <c r="UR82" s="394"/>
      <c r="US82" s="394"/>
      <c r="UT82" s="394"/>
      <c r="UU82" s="394"/>
      <c r="UV82" s="394"/>
      <c r="UW82" s="394"/>
      <c r="UX82" s="394"/>
      <c r="UY82" s="394"/>
      <c r="UZ82" s="394"/>
      <c r="VA82" s="394"/>
      <c r="VB82" s="394"/>
      <c r="VC82" s="394"/>
      <c r="VD82" s="394"/>
      <c r="VE82" s="394"/>
      <c r="VF82" s="394"/>
      <c r="VG82" s="394"/>
      <c r="VH82" s="394"/>
      <c r="VI82" s="394"/>
      <c r="VJ82" s="394"/>
      <c r="VK82" s="394"/>
      <c r="VL82" s="394"/>
      <c r="VM82" s="394"/>
      <c r="VN82" s="394"/>
      <c r="VO82" s="394"/>
      <c r="VP82" s="394"/>
      <c r="VQ82" s="394"/>
      <c r="VR82" s="394"/>
      <c r="VS82" s="394"/>
      <c r="VT82" s="394"/>
      <c r="VU82" s="394"/>
      <c r="VV82" s="394"/>
      <c r="VW82" s="394"/>
      <c r="VX82" s="394"/>
      <c r="VY82" s="394"/>
      <c r="VZ82" s="394"/>
      <c r="WA82" s="394"/>
      <c r="WB82" s="394"/>
      <c r="WC82" s="394"/>
      <c r="WD82" s="394"/>
      <c r="WE82" s="394"/>
      <c r="WF82" s="394"/>
      <c r="WG82" s="394"/>
      <c r="WH82" s="394"/>
      <c r="WI82" s="394"/>
      <c r="WJ82" s="394"/>
      <c r="WK82" s="394"/>
      <c r="WL82" s="394"/>
      <c r="WM82" s="394"/>
      <c r="WN82" s="394"/>
      <c r="WO82" s="394"/>
      <c r="WP82" s="394"/>
      <c r="WQ82" s="394"/>
      <c r="WR82" s="394"/>
      <c r="WS82" s="394"/>
      <c r="WT82" s="394"/>
      <c r="WU82" s="394"/>
      <c r="WV82" s="394"/>
      <c r="WW82" s="394"/>
      <c r="WX82" s="394"/>
      <c r="WY82" s="394"/>
      <c r="WZ82" s="394"/>
      <c r="XA82" s="394"/>
      <c r="XB82" s="394"/>
      <c r="XC82" s="394"/>
      <c r="XD82" s="394"/>
      <c r="XE82" s="394"/>
      <c r="XF82" s="394"/>
      <c r="XG82" s="394"/>
      <c r="XH82" s="394"/>
      <c r="XI82" s="394"/>
      <c r="XJ82" s="394"/>
      <c r="XK82" s="394"/>
      <c r="XL82" s="394"/>
      <c r="XM82" s="394"/>
      <c r="XN82" s="394"/>
      <c r="XO82" s="394"/>
      <c r="XP82" s="394"/>
      <c r="XQ82" s="394"/>
      <c r="XR82" s="394"/>
      <c r="XS82" s="394"/>
      <c r="XT82" s="394"/>
      <c r="XU82" s="394"/>
      <c r="XV82" s="394"/>
      <c r="XW82" s="394"/>
      <c r="XX82" s="394"/>
      <c r="XY82" s="394"/>
      <c r="XZ82" s="394"/>
      <c r="YA82" s="394"/>
      <c r="YB82" s="394"/>
      <c r="YC82" s="394"/>
      <c r="YD82" s="394"/>
      <c r="YE82" s="394"/>
      <c r="YF82" s="394"/>
      <c r="YG82" s="394"/>
      <c r="YH82" s="394"/>
      <c r="YI82" s="394"/>
      <c r="YJ82" s="394"/>
      <c r="YK82" s="394"/>
      <c r="YL82" s="394"/>
      <c r="YM82" s="394"/>
      <c r="YN82" s="394"/>
      <c r="YO82" s="394"/>
      <c r="YP82" s="394"/>
      <c r="YQ82" s="394"/>
      <c r="YR82" s="394"/>
      <c r="YS82" s="394"/>
      <c r="YT82" s="394"/>
      <c r="YU82" s="394"/>
      <c r="YV82" s="394"/>
      <c r="YW82" s="394"/>
      <c r="YX82" s="394"/>
      <c r="YY82" s="394"/>
      <c r="YZ82" s="394"/>
      <c r="ZA82" s="394"/>
      <c r="ZB82" s="394"/>
      <c r="ZC82" s="394"/>
      <c r="ZD82" s="394"/>
      <c r="ZE82" s="394"/>
      <c r="ZF82" s="394"/>
      <c r="ZG82" s="394"/>
      <c r="ZH82" s="394"/>
      <c r="ZI82" s="394"/>
      <c r="ZJ82" s="394"/>
      <c r="ZK82" s="394"/>
      <c r="ZL82" s="394"/>
      <c r="ZM82" s="394"/>
      <c r="ZN82" s="394"/>
      <c r="ZO82" s="394"/>
      <c r="ZP82" s="394"/>
      <c r="ZQ82" s="394"/>
      <c r="ZR82" s="394"/>
      <c r="ZS82" s="394"/>
      <c r="ZT82" s="394"/>
      <c r="ZU82" s="394"/>
      <c r="ZV82" s="394"/>
      <c r="ZW82" s="394"/>
      <c r="ZX82" s="394"/>
      <c r="ZY82" s="394"/>
      <c r="ZZ82" s="394"/>
      <c r="AAA82" s="394"/>
      <c r="AAB82" s="394"/>
      <c r="AAC82" s="394"/>
      <c r="AAD82" s="394"/>
      <c r="AAE82" s="394"/>
      <c r="AAF82" s="394"/>
      <c r="AAG82" s="394"/>
      <c r="AAH82" s="394"/>
      <c r="AAI82" s="394"/>
      <c r="AAJ82" s="394"/>
      <c r="AAK82" s="394"/>
      <c r="AAL82" s="394"/>
      <c r="AAM82" s="394"/>
      <c r="AAN82" s="394"/>
      <c r="AAO82" s="394"/>
      <c r="AAP82" s="394"/>
      <c r="AAQ82" s="394"/>
      <c r="AAR82" s="394"/>
      <c r="AAS82" s="394"/>
      <c r="AAT82" s="394"/>
      <c r="AAU82" s="394"/>
      <c r="AAV82" s="394"/>
      <c r="AAW82" s="394"/>
      <c r="AAX82" s="394"/>
      <c r="AAY82" s="394"/>
      <c r="AAZ82" s="394"/>
      <c r="ABA82" s="394"/>
      <c r="ABB82" s="394"/>
      <c r="ABC82" s="394"/>
      <c r="ABD82" s="394"/>
      <c r="ABE82" s="394"/>
      <c r="ABF82" s="394"/>
      <c r="ABG82" s="394"/>
      <c r="ABH82" s="394"/>
      <c r="ABI82" s="394"/>
      <c r="ABJ82" s="394"/>
      <c r="ABK82" s="394"/>
      <c r="ABL82" s="394"/>
      <c r="ABM82" s="394"/>
      <c r="ABN82" s="394"/>
      <c r="ABO82" s="394"/>
      <c r="ABP82" s="394"/>
      <c r="ABQ82" s="394"/>
      <c r="ABR82" s="394"/>
      <c r="ABS82" s="394"/>
      <c r="ABT82" s="394"/>
      <c r="ABU82" s="394"/>
      <c r="ABV82" s="394"/>
      <c r="ABW82" s="394"/>
      <c r="ABX82" s="394"/>
      <c r="ABY82" s="394"/>
      <c r="ABZ82" s="394"/>
      <c r="ACA82" s="394"/>
      <c r="ACB82" s="394"/>
      <c r="ACC82" s="394"/>
      <c r="ACD82" s="394"/>
      <c r="ACE82" s="394"/>
      <c r="ACF82" s="394"/>
      <c r="ACG82" s="394"/>
      <c r="ACH82" s="394"/>
      <c r="ACI82" s="394"/>
      <c r="ACJ82" s="394"/>
      <c r="ACK82" s="394"/>
      <c r="ACL82" s="394"/>
      <c r="ACM82" s="394"/>
      <c r="ACN82" s="394"/>
      <c r="ACO82" s="394"/>
      <c r="ACP82" s="394"/>
      <c r="ACQ82" s="394"/>
      <c r="ACR82" s="394"/>
      <c r="ACS82" s="394"/>
      <c r="ACT82" s="394"/>
      <c r="ACU82" s="394"/>
      <c r="ACV82" s="394"/>
      <c r="ACW82" s="394"/>
      <c r="ACX82" s="394"/>
      <c r="ACY82" s="394"/>
      <c r="ACZ82" s="394"/>
      <c r="ADA82" s="394"/>
      <c r="ADB82" s="394"/>
      <c r="ADC82" s="394"/>
      <c r="ADD82" s="394"/>
      <c r="ADE82" s="394"/>
      <c r="ADF82" s="394"/>
      <c r="ADG82" s="394"/>
      <c r="ADH82" s="394"/>
      <c r="ADI82" s="394"/>
      <c r="ADJ82" s="394"/>
      <c r="ADK82" s="394"/>
      <c r="ADL82" s="394"/>
      <c r="ADM82" s="394"/>
      <c r="ADN82" s="394"/>
      <c r="ADO82" s="394"/>
      <c r="ADP82" s="394"/>
      <c r="ADQ82" s="394"/>
      <c r="ADR82" s="394"/>
      <c r="ADS82" s="394"/>
      <c r="ADT82" s="394"/>
      <c r="ADU82" s="394"/>
      <c r="ADV82" s="394"/>
      <c r="ADW82" s="394"/>
      <c r="ADX82" s="394"/>
      <c r="ADY82" s="394"/>
      <c r="ADZ82" s="394"/>
      <c r="AEA82" s="394"/>
      <c r="AEB82" s="394"/>
      <c r="AEC82" s="394"/>
      <c r="AED82" s="394"/>
      <c r="AEE82" s="394"/>
      <c r="AEF82" s="394"/>
      <c r="AEG82" s="394"/>
      <c r="AEH82" s="394"/>
      <c r="AEI82" s="394"/>
      <c r="AEJ82" s="394"/>
      <c r="AEK82" s="394"/>
      <c r="AEL82" s="394"/>
      <c r="AEM82" s="394"/>
      <c r="AEN82" s="394"/>
      <c r="AEO82" s="394"/>
      <c r="AEP82" s="394"/>
      <c r="AEQ82" s="394"/>
      <c r="AER82" s="394"/>
      <c r="AES82" s="394"/>
      <c r="AET82" s="394"/>
      <c r="AEU82" s="394"/>
      <c r="AEV82" s="394"/>
      <c r="AEW82" s="394"/>
      <c r="AEX82" s="394"/>
      <c r="AEY82" s="394"/>
      <c r="AEZ82" s="394"/>
      <c r="AFA82" s="394"/>
      <c r="AFB82" s="394"/>
      <c r="AFC82" s="394"/>
      <c r="AFD82" s="394"/>
      <c r="AFE82" s="394"/>
      <c r="AFF82" s="394"/>
      <c r="AFG82" s="394"/>
      <c r="AFH82" s="394"/>
      <c r="AFI82" s="394"/>
      <c r="AFJ82" s="394"/>
      <c r="AFK82" s="394"/>
      <c r="AFL82" s="394"/>
      <c r="AFM82" s="394"/>
      <c r="AFN82" s="394"/>
      <c r="AFO82" s="394"/>
      <c r="AFP82" s="394"/>
      <c r="AFQ82" s="394"/>
      <c r="AFR82" s="394"/>
      <c r="AFS82" s="394"/>
      <c r="AFT82" s="394"/>
      <c r="AFU82" s="394"/>
      <c r="AFV82" s="394"/>
      <c r="AFW82" s="394"/>
      <c r="AFX82" s="394"/>
      <c r="AFY82" s="394"/>
      <c r="AFZ82" s="394"/>
      <c r="AGA82" s="394"/>
      <c r="AGB82" s="394"/>
      <c r="AGC82" s="394"/>
      <c r="AGD82" s="394"/>
      <c r="AGE82" s="394"/>
      <c r="AGF82" s="394"/>
      <c r="AGG82" s="394"/>
      <c r="AGH82" s="394"/>
      <c r="AGI82" s="394"/>
      <c r="AGJ82" s="394"/>
      <c r="AGK82" s="394"/>
      <c r="AGL82" s="394"/>
      <c r="AGM82" s="394"/>
      <c r="AGN82" s="394"/>
      <c r="AGO82" s="394"/>
      <c r="AGP82" s="394"/>
      <c r="AGQ82" s="394"/>
      <c r="AGR82" s="394"/>
      <c r="AGS82" s="394"/>
      <c r="AGT82" s="394"/>
      <c r="AGU82" s="394"/>
      <c r="AGV82" s="394"/>
      <c r="AGW82" s="394"/>
      <c r="AGX82" s="394"/>
      <c r="AGY82" s="394"/>
      <c r="AGZ82" s="394"/>
      <c r="AHA82" s="394"/>
      <c r="AHB82" s="394"/>
      <c r="AHC82" s="394"/>
      <c r="AHD82" s="394"/>
      <c r="AHE82" s="394"/>
      <c r="AHF82" s="394"/>
      <c r="AHG82" s="394"/>
      <c r="AHH82" s="394"/>
      <c r="AHI82" s="394"/>
      <c r="AHJ82" s="394"/>
      <c r="AHK82" s="394"/>
      <c r="AHL82" s="394"/>
      <c r="AHM82" s="394"/>
      <c r="AHN82" s="394"/>
      <c r="AHO82" s="394"/>
      <c r="AHP82" s="394"/>
      <c r="AHQ82" s="394"/>
      <c r="AHR82" s="394"/>
      <c r="AHS82" s="394"/>
      <c r="AHT82" s="394"/>
      <c r="AHU82" s="394"/>
      <c r="AHV82" s="394"/>
      <c r="AHW82" s="394"/>
      <c r="AHX82" s="394"/>
      <c r="AHY82" s="394"/>
      <c r="AHZ82" s="394"/>
      <c r="AIA82" s="394"/>
      <c r="AIB82" s="394"/>
      <c r="AIC82" s="394"/>
      <c r="AID82" s="394"/>
      <c r="AIE82" s="394"/>
      <c r="AIF82" s="394"/>
      <c r="AIG82" s="394"/>
      <c r="AIH82" s="394"/>
      <c r="AII82" s="394"/>
      <c r="AIJ82" s="394"/>
      <c r="AIK82" s="394"/>
      <c r="AIL82" s="394"/>
      <c r="AIM82" s="394"/>
      <c r="AIN82" s="394"/>
      <c r="AIO82" s="394"/>
      <c r="AIP82" s="394"/>
      <c r="AIQ82" s="394"/>
      <c r="AIR82" s="394"/>
      <c r="AIS82" s="394"/>
      <c r="AIT82" s="394"/>
      <c r="AIU82" s="394"/>
      <c r="AIV82" s="394"/>
      <c r="AIW82" s="394"/>
      <c r="AIX82" s="394"/>
      <c r="AIY82" s="394"/>
      <c r="AIZ82" s="394"/>
      <c r="AJA82" s="394"/>
      <c r="AJB82" s="394"/>
      <c r="AJC82" s="394"/>
      <c r="AJD82" s="394"/>
      <c r="AJE82" s="394"/>
      <c r="AJF82" s="394"/>
      <c r="AJG82" s="394"/>
      <c r="AJH82" s="394"/>
      <c r="AJI82" s="394"/>
      <c r="AJJ82" s="394"/>
      <c r="AJK82" s="394"/>
      <c r="AJL82" s="394"/>
      <c r="AJM82" s="394"/>
      <c r="AJN82" s="394"/>
      <c r="AJO82" s="394"/>
      <c r="AJP82" s="394"/>
      <c r="AJQ82" s="394"/>
      <c r="AJR82" s="394"/>
      <c r="AJS82" s="394"/>
      <c r="AJT82" s="394"/>
      <c r="AJU82" s="394"/>
      <c r="AJV82" s="394"/>
      <c r="AJW82" s="394"/>
      <c r="AJX82" s="394"/>
      <c r="AJY82" s="394"/>
      <c r="AJZ82" s="394"/>
      <c r="AKA82" s="394"/>
      <c r="AKB82" s="394"/>
      <c r="AKC82" s="394"/>
      <c r="AKD82" s="394"/>
      <c r="AKE82" s="394"/>
      <c r="AKF82" s="394"/>
      <c r="AKG82" s="394"/>
      <c r="AKH82" s="394"/>
      <c r="AKI82" s="394"/>
      <c r="AKJ82" s="394"/>
      <c r="AKK82" s="394"/>
      <c r="AKL82" s="394"/>
      <c r="AKM82" s="394"/>
      <c r="AKN82" s="394"/>
      <c r="AKO82" s="394"/>
      <c r="AKP82" s="394"/>
      <c r="AKQ82" s="394"/>
      <c r="AKR82" s="394"/>
      <c r="AKS82" s="394"/>
      <c r="AKT82" s="394"/>
      <c r="AKU82" s="394"/>
      <c r="AKV82" s="394"/>
      <c r="AKW82" s="394"/>
      <c r="AKX82" s="394"/>
      <c r="AKY82" s="394"/>
      <c r="AKZ82" s="394"/>
      <c r="ALA82" s="394"/>
      <c r="ALB82" s="394"/>
      <c r="ALC82" s="394"/>
      <c r="ALD82" s="394"/>
      <c r="ALE82" s="394"/>
      <c r="ALF82" s="394"/>
      <c r="ALG82" s="394"/>
      <c r="ALH82" s="394"/>
      <c r="ALI82" s="394"/>
      <c r="ALJ82" s="394"/>
      <c r="ALK82" s="394"/>
      <c r="ALL82" s="394"/>
      <c r="ALM82" s="394"/>
      <c r="ALN82" s="394"/>
      <c r="ALO82" s="394"/>
      <c r="ALP82" s="394"/>
      <c r="ALQ82" s="394"/>
      <c r="ALR82" s="394"/>
      <c r="ALS82" s="394"/>
      <c r="ALT82" s="394"/>
      <c r="ALU82" s="394"/>
      <c r="ALV82" s="394"/>
      <c r="ALW82" s="394"/>
      <c r="ALX82" s="394"/>
      <c r="ALY82" s="394"/>
      <c r="ALZ82" s="394"/>
      <c r="AMA82" s="394"/>
      <c r="AMB82" s="394"/>
      <c r="AMC82" s="394"/>
      <c r="AMD82" s="394"/>
      <c r="AME82" s="394"/>
      <c r="AMF82" s="394"/>
      <c r="AMG82" s="394"/>
      <c r="AMH82" s="394"/>
      <c r="AMI82" s="394"/>
      <c r="AMJ82" s="394"/>
      <c r="AMK82" s="394"/>
      <c r="AML82" s="394"/>
      <c r="AMM82" s="394"/>
      <c r="AMN82" s="394"/>
      <c r="AMO82" s="394"/>
      <c r="AMP82" s="394"/>
      <c r="AMQ82" s="394"/>
      <c r="AMR82" s="394"/>
      <c r="AMS82" s="394"/>
      <c r="AMT82" s="394"/>
      <c r="AMU82" s="394"/>
      <c r="AMV82" s="394"/>
      <c r="AMW82" s="394"/>
      <c r="AMX82" s="394"/>
      <c r="AMY82" s="394"/>
      <c r="AMZ82" s="394"/>
      <c r="ANA82" s="394"/>
      <c r="ANB82" s="394"/>
      <c r="ANC82" s="394"/>
      <c r="AND82" s="394"/>
      <c r="ANE82" s="394"/>
      <c r="ANF82" s="394"/>
      <c r="ANG82" s="394"/>
      <c r="ANH82" s="394"/>
      <c r="ANI82" s="394"/>
      <c r="ANJ82" s="394"/>
      <c r="ANK82" s="394"/>
      <c r="ANL82" s="394"/>
      <c r="ANM82" s="394"/>
      <c r="ANN82" s="394"/>
      <c r="ANO82" s="394"/>
      <c r="ANP82" s="394"/>
      <c r="ANQ82" s="394"/>
      <c r="ANR82" s="394"/>
      <c r="ANS82" s="394"/>
      <c r="ANT82" s="394"/>
      <c r="ANU82" s="394"/>
      <c r="ANV82" s="394"/>
      <c r="ANW82" s="394"/>
      <c r="ANX82" s="394"/>
      <c r="ANY82" s="394"/>
      <c r="ANZ82" s="394"/>
      <c r="AOA82" s="394"/>
      <c r="AOB82" s="394"/>
      <c r="AOC82" s="394"/>
      <c r="AOD82" s="394"/>
      <c r="AOE82" s="394"/>
      <c r="AOF82" s="394"/>
      <c r="AOG82" s="394"/>
      <c r="AOH82" s="394"/>
      <c r="AOI82" s="394"/>
      <c r="AOJ82" s="394"/>
      <c r="AOK82" s="394"/>
      <c r="AOL82" s="394"/>
      <c r="AOM82" s="394"/>
      <c r="AON82" s="394"/>
      <c r="AOO82" s="394"/>
      <c r="AOP82" s="394"/>
      <c r="AOQ82" s="394"/>
      <c r="AOR82" s="394"/>
      <c r="AOS82" s="394"/>
      <c r="AOT82" s="394"/>
      <c r="AOU82" s="394"/>
      <c r="AOV82" s="394"/>
      <c r="AOW82" s="394"/>
      <c r="AOX82" s="394"/>
      <c r="AOY82" s="394"/>
      <c r="AOZ82" s="394"/>
      <c r="APA82" s="394"/>
      <c r="APB82" s="394"/>
      <c r="APC82" s="394"/>
      <c r="APD82" s="394"/>
      <c r="APE82" s="394"/>
      <c r="APF82" s="394"/>
      <c r="APG82" s="394"/>
      <c r="APH82" s="394"/>
      <c r="API82" s="394"/>
      <c r="APJ82" s="394"/>
      <c r="APK82" s="394"/>
      <c r="APL82" s="394"/>
      <c r="APM82" s="394"/>
      <c r="APN82" s="394"/>
      <c r="APO82" s="394"/>
      <c r="APP82" s="394"/>
      <c r="APQ82" s="394"/>
      <c r="APR82" s="394"/>
      <c r="APS82" s="394"/>
      <c r="APT82" s="394"/>
      <c r="APU82" s="394"/>
      <c r="APV82" s="394"/>
      <c r="APW82" s="394"/>
      <c r="APX82" s="394"/>
      <c r="APY82" s="394"/>
      <c r="APZ82" s="394"/>
      <c r="AQA82" s="394"/>
      <c r="AQB82" s="394"/>
      <c r="AQC82" s="394"/>
      <c r="AQD82" s="394"/>
      <c r="AQE82" s="394"/>
      <c r="AQF82" s="394"/>
      <c r="AQG82" s="394"/>
      <c r="AQH82" s="394"/>
      <c r="AQI82" s="394"/>
      <c r="AQJ82" s="394"/>
      <c r="AQK82" s="394"/>
      <c r="AQL82" s="394"/>
      <c r="AQM82" s="394"/>
      <c r="AQN82" s="394"/>
      <c r="AQO82" s="394"/>
      <c r="AQP82" s="394"/>
      <c r="AQQ82" s="394"/>
      <c r="AQR82" s="394"/>
      <c r="AQS82" s="394"/>
      <c r="AQT82" s="394"/>
      <c r="AQU82" s="394"/>
      <c r="AQV82" s="394"/>
      <c r="AQW82" s="394"/>
      <c r="AQX82" s="394"/>
      <c r="AQY82" s="394"/>
      <c r="AQZ82" s="394"/>
      <c r="ARA82" s="394"/>
      <c r="ARB82" s="394"/>
      <c r="ARC82" s="394"/>
      <c r="ARD82" s="394"/>
      <c r="ARE82" s="394"/>
      <c r="ARF82" s="394"/>
      <c r="ARG82" s="394"/>
      <c r="ARH82" s="394"/>
      <c r="ARI82" s="394"/>
      <c r="ARJ82" s="394"/>
      <c r="ARK82" s="394"/>
      <c r="ARL82" s="394"/>
      <c r="ARM82" s="394"/>
      <c r="ARN82" s="394"/>
      <c r="ARO82" s="394"/>
      <c r="ARP82" s="394"/>
      <c r="ARQ82" s="394"/>
      <c r="ARR82" s="394"/>
      <c r="ARS82" s="394"/>
      <c r="ART82" s="394"/>
      <c r="ARU82" s="394"/>
      <c r="ARV82" s="394"/>
      <c r="ARW82" s="394"/>
      <c r="ARX82" s="394"/>
      <c r="ARY82" s="394"/>
      <c r="ARZ82" s="394"/>
      <c r="ASA82" s="394"/>
      <c r="ASB82" s="394"/>
      <c r="ASC82" s="394"/>
      <c r="ASD82" s="394"/>
      <c r="ASE82" s="394"/>
      <c r="ASF82" s="394"/>
      <c r="ASG82" s="394"/>
      <c r="ASH82" s="394"/>
      <c r="ASI82" s="394"/>
      <c r="ASJ82" s="394"/>
      <c r="ASK82" s="394"/>
      <c r="ASL82" s="394"/>
      <c r="ASM82" s="394"/>
      <c r="ASN82" s="394"/>
      <c r="ASO82" s="394"/>
      <c r="ASP82" s="394"/>
      <c r="ASQ82" s="394"/>
      <c r="ASR82" s="394"/>
      <c r="ASS82" s="394"/>
      <c r="AST82" s="394"/>
      <c r="ASU82" s="394"/>
      <c r="ASV82" s="394"/>
      <c r="ASW82" s="394"/>
      <c r="ASX82" s="394"/>
      <c r="ASY82" s="394"/>
      <c r="ASZ82" s="394"/>
      <c r="ATA82" s="394"/>
      <c r="ATB82" s="394"/>
      <c r="ATC82" s="394"/>
      <c r="ATD82" s="394"/>
      <c r="ATE82" s="394"/>
      <c r="ATF82" s="394"/>
      <c r="ATG82" s="394"/>
      <c r="ATH82" s="394"/>
      <c r="ATI82" s="394"/>
      <c r="ATJ82" s="394"/>
      <c r="ATK82" s="394"/>
      <c r="ATL82" s="394"/>
      <c r="ATM82" s="394"/>
      <c r="ATN82" s="394"/>
      <c r="ATO82" s="394"/>
      <c r="ATP82" s="394"/>
      <c r="ATQ82" s="394"/>
      <c r="ATR82" s="394"/>
      <c r="ATS82" s="394"/>
      <c r="ATT82" s="394"/>
      <c r="ATU82" s="394"/>
      <c r="ATV82" s="394"/>
      <c r="ATW82" s="394"/>
      <c r="ATX82" s="394"/>
      <c r="ATY82" s="394"/>
      <c r="ATZ82" s="394"/>
      <c r="AUA82" s="394"/>
      <c r="AUB82" s="394"/>
      <c r="AUC82" s="394"/>
      <c r="AUD82" s="394"/>
      <c r="AUE82" s="394"/>
      <c r="AUF82" s="394"/>
      <c r="AUG82" s="394"/>
      <c r="AUH82" s="394"/>
      <c r="AUI82" s="394"/>
      <c r="AUJ82" s="394"/>
      <c r="AUK82" s="394"/>
      <c r="AUL82" s="394"/>
      <c r="AUM82" s="394"/>
      <c r="AUN82" s="394"/>
      <c r="AUO82" s="394"/>
      <c r="AUP82" s="394"/>
      <c r="AUQ82" s="394"/>
      <c r="AUR82" s="394"/>
      <c r="AUS82" s="394"/>
      <c r="AUT82" s="394"/>
      <c r="AUU82" s="394"/>
      <c r="AUV82" s="394"/>
      <c r="AUW82" s="394"/>
      <c r="AUX82" s="394"/>
      <c r="AUY82" s="394"/>
      <c r="AUZ82" s="394"/>
      <c r="AVA82" s="394"/>
      <c r="AVB82" s="394"/>
      <c r="AVC82" s="394"/>
      <c r="AVD82" s="394"/>
      <c r="AVE82" s="394"/>
      <c r="AVF82" s="394"/>
      <c r="AVG82" s="394"/>
      <c r="AVH82" s="394"/>
      <c r="AVI82" s="394"/>
      <c r="AVJ82" s="394"/>
      <c r="AVK82" s="394"/>
      <c r="AVL82" s="394"/>
      <c r="AVM82" s="394"/>
      <c r="AVN82" s="394"/>
      <c r="AVO82" s="394"/>
      <c r="AVP82" s="394"/>
      <c r="AVQ82" s="394"/>
      <c r="AVR82" s="394"/>
      <c r="AVS82" s="394"/>
      <c r="AVT82" s="394"/>
      <c r="AVU82" s="394"/>
      <c r="AVV82" s="394"/>
      <c r="AVW82" s="394"/>
      <c r="AVX82" s="394"/>
      <c r="AVY82" s="394"/>
      <c r="AVZ82" s="394"/>
      <c r="AWA82" s="394"/>
      <c r="AWB82" s="394"/>
      <c r="AWC82" s="394"/>
      <c r="AWD82" s="394"/>
      <c r="AWE82" s="394"/>
      <c r="AWF82" s="394"/>
      <c r="AWG82" s="394"/>
      <c r="AWH82" s="394"/>
      <c r="AWI82" s="394"/>
      <c r="AWJ82" s="394"/>
      <c r="AWK82" s="394"/>
      <c r="AWL82" s="394"/>
      <c r="AWM82" s="394"/>
      <c r="AWN82" s="394"/>
      <c r="AWO82" s="394"/>
      <c r="AWP82" s="394"/>
      <c r="AWQ82" s="394"/>
      <c r="AWR82" s="394"/>
      <c r="AWS82" s="394"/>
      <c r="AWT82" s="394"/>
      <c r="AWU82" s="394"/>
      <c r="AWV82" s="394"/>
      <c r="AWW82" s="394"/>
      <c r="AWX82" s="394"/>
      <c r="AWY82" s="394"/>
      <c r="AWZ82" s="394"/>
      <c r="AXA82" s="394"/>
      <c r="AXB82" s="394"/>
      <c r="AXC82" s="394"/>
      <c r="AXD82" s="394"/>
      <c r="AXE82" s="394"/>
      <c r="AXF82" s="394"/>
      <c r="AXG82" s="394"/>
      <c r="AXH82" s="394"/>
      <c r="AXI82" s="394"/>
      <c r="AXJ82" s="394"/>
      <c r="AXK82" s="394"/>
      <c r="AXL82" s="394"/>
      <c r="AXM82" s="394"/>
      <c r="AXN82" s="394"/>
      <c r="AXO82" s="394"/>
      <c r="AXP82" s="394"/>
      <c r="AXQ82" s="394"/>
      <c r="AXR82" s="394"/>
      <c r="AXS82" s="394"/>
      <c r="AXT82" s="394"/>
      <c r="AXU82" s="394"/>
      <c r="AXV82" s="394"/>
      <c r="AXW82" s="394"/>
      <c r="AXX82" s="394"/>
      <c r="AXY82" s="394"/>
      <c r="AXZ82" s="394"/>
      <c r="AYA82" s="394"/>
      <c r="AYB82" s="394"/>
      <c r="AYC82" s="394"/>
      <c r="AYD82" s="394"/>
      <c r="AYE82" s="394"/>
      <c r="AYF82" s="394"/>
      <c r="AYG82" s="394"/>
      <c r="AYH82" s="394"/>
      <c r="AYI82" s="394"/>
      <c r="AYJ82" s="394"/>
      <c r="AYK82" s="394"/>
      <c r="AYL82" s="394"/>
      <c r="AYM82" s="394"/>
      <c r="AYN82" s="394"/>
      <c r="AYO82" s="394"/>
      <c r="AYP82" s="394"/>
      <c r="AYQ82" s="394"/>
      <c r="AYR82" s="394"/>
      <c r="AYS82" s="394"/>
      <c r="AYT82" s="394"/>
      <c r="AYU82" s="394"/>
      <c r="AYV82" s="394"/>
      <c r="AYW82" s="394"/>
      <c r="AYX82" s="394"/>
      <c r="AYY82" s="394"/>
      <c r="AYZ82" s="394"/>
      <c r="AZA82" s="394"/>
      <c r="AZB82" s="394"/>
      <c r="AZC82" s="394"/>
      <c r="AZD82" s="394"/>
      <c r="AZE82" s="394"/>
      <c r="AZF82" s="394"/>
      <c r="AZG82" s="394"/>
      <c r="AZH82" s="394"/>
      <c r="AZI82" s="394"/>
      <c r="AZJ82" s="394"/>
      <c r="AZK82" s="394"/>
      <c r="AZL82" s="394"/>
      <c r="AZM82" s="394"/>
      <c r="AZN82" s="394"/>
      <c r="AZO82" s="394"/>
      <c r="AZP82" s="394"/>
      <c r="AZQ82" s="394"/>
      <c r="AZR82" s="394"/>
      <c r="AZS82" s="394"/>
      <c r="AZT82" s="394"/>
      <c r="AZU82" s="394"/>
      <c r="AZV82" s="394"/>
      <c r="AZW82" s="394"/>
      <c r="AZX82" s="394"/>
      <c r="AZY82" s="394"/>
      <c r="AZZ82" s="394"/>
      <c r="BAA82" s="394"/>
      <c r="BAB82" s="394"/>
      <c r="BAC82" s="394"/>
      <c r="BAD82" s="394"/>
      <c r="BAE82" s="394"/>
      <c r="BAF82" s="394"/>
      <c r="BAG82" s="394"/>
      <c r="BAH82" s="394"/>
      <c r="BAI82" s="394"/>
      <c r="BAJ82" s="394"/>
      <c r="BAK82" s="394"/>
      <c r="BAL82" s="394"/>
      <c r="BAM82" s="394"/>
      <c r="BAN82" s="394"/>
      <c r="BAO82" s="394"/>
      <c r="BAP82" s="394"/>
      <c r="BAQ82" s="394"/>
      <c r="BAR82" s="394"/>
      <c r="BAS82" s="394"/>
      <c r="BAT82" s="394"/>
      <c r="BAU82" s="394"/>
      <c r="BAV82" s="394"/>
      <c r="BAW82" s="394"/>
      <c r="BAX82" s="394"/>
      <c r="BAY82" s="394"/>
      <c r="BAZ82" s="394"/>
      <c r="BBA82" s="394"/>
      <c r="BBB82" s="394"/>
      <c r="BBC82" s="394"/>
      <c r="BBD82" s="394"/>
      <c r="BBE82" s="394"/>
      <c r="BBF82" s="394"/>
      <c r="BBG82" s="394"/>
      <c r="BBH82" s="394"/>
      <c r="BBI82" s="394"/>
      <c r="BBJ82" s="394"/>
      <c r="BBK82" s="394"/>
      <c r="BBL82" s="394"/>
      <c r="BBM82" s="394"/>
      <c r="BBN82" s="394"/>
      <c r="BBO82" s="394"/>
      <c r="BBP82" s="394"/>
      <c r="BBQ82" s="394"/>
      <c r="BBR82" s="394"/>
      <c r="BBS82" s="394"/>
      <c r="BBT82" s="394"/>
      <c r="BBU82" s="394"/>
      <c r="BBV82" s="394"/>
      <c r="BBW82" s="394"/>
      <c r="BBX82" s="394"/>
      <c r="BBY82" s="394"/>
      <c r="BBZ82" s="394"/>
      <c r="BCA82" s="394"/>
      <c r="BCB82" s="394"/>
      <c r="BCC82" s="394"/>
      <c r="BCD82" s="394"/>
      <c r="BCE82" s="394"/>
      <c r="BCF82" s="394"/>
      <c r="BCG82" s="394"/>
      <c r="BCH82" s="394"/>
      <c r="BCI82" s="394"/>
      <c r="BCJ82" s="394"/>
      <c r="BCK82" s="394"/>
      <c r="BCL82" s="394"/>
      <c r="BCM82" s="394"/>
      <c r="BCN82" s="394"/>
      <c r="BCO82" s="394"/>
      <c r="BCP82" s="394"/>
      <c r="BCQ82" s="394"/>
      <c r="BCR82" s="394"/>
      <c r="BCS82" s="394"/>
      <c r="BCT82" s="394"/>
      <c r="BCU82" s="394"/>
      <c r="BCV82" s="394"/>
      <c r="BCW82" s="394"/>
      <c r="BCX82" s="394"/>
      <c r="BCY82" s="394"/>
      <c r="BCZ82" s="394"/>
      <c r="BDA82" s="394"/>
      <c r="BDB82" s="394"/>
      <c r="BDC82" s="394"/>
      <c r="BDD82" s="394"/>
      <c r="BDE82" s="394"/>
      <c r="BDF82" s="394"/>
      <c r="BDG82" s="394"/>
      <c r="BDH82" s="394"/>
      <c r="BDI82" s="394"/>
      <c r="BDJ82" s="394"/>
      <c r="BDK82" s="394"/>
      <c r="BDL82" s="394"/>
      <c r="BDM82" s="394"/>
      <c r="BDN82" s="394"/>
      <c r="BDO82" s="394"/>
      <c r="BDP82" s="394"/>
      <c r="BDQ82" s="394"/>
      <c r="BDR82" s="394"/>
      <c r="BDS82" s="394"/>
      <c r="BDT82" s="394"/>
      <c r="BDU82" s="394"/>
      <c r="BDV82" s="394"/>
      <c r="BDW82" s="394"/>
      <c r="BDX82" s="394"/>
      <c r="BDY82" s="394"/>
      <c r="BDZ82" s="394"/>
      <c r="BEA82" s="394"/>
      <c r="BEB82" s="394"/>
      <c r="BEC82" s="394"/>
      <c r="BED82" s="394"/>
      <c r="BEE82" s="394"/>
      <c r="BEF82" s="394"/>
      <c r="BEG82" s="394"/>
      <c r="BEH82" s="394"/>
      <c r="BEI82" s="394"/>
      <c r="BEJ82" s="394"/>
      <c r="BEK82" s="394"/>
      <c r="BEL82" s="394"/>
      <c r="BEM82" s="394"/>
      <c r="BEN82" s="394"/>
      <c r="BEO82" s="394"/>
      <c r="BEP82" s="394"/>
      <c r="BEQ82" s="394"/>
      <c r="BER82" s="394"/>
      <c r="BES82" s="394"/>
      <c r="BET82" s="394"/>
      <c r="BEU82" s="394"/>
      <c r="BEV82" s="394"/>
      <c r="BEW82" s="394"/>
      <c r="BEX82" s="394"/>
      <c r="BEY82" s="394"/>
      <c r="BEZ82" s="394"/>
      <c r="BFA82" s="394"/>
      <c r="BFB82" s="394"/>
      <c r="BFC82" s="394"/>
      <c r="BFD82" s="394"/>
      <c r="BFE82" s="394"/>
      <c r="BFF82" s="394"/>
      <c r="BFG82" s="394"/>
      <c r="BFH82" s="394"/>
      <c r="BFI82" s="394"/>
      <c r="BFJ82" s="394"/>
      <c r="BFK82" s="394"/>
      <c r="BFL82" s="394"/>
      <c r="BFM82" s="394"/>
      <c r="BFN82" s="394"/>
      <c r="BFO82" s="394"/>
      <c r="BFP82" s="394"/>
      <c r="BFQ82" s="394"/>
      <c r="BFR82" s="394"/>
      <c r="BFS82" s="394"/>
      <c r="BFT82" s="394"/>
      <c r="BFU82" s="394"/>
      <c r="BFV82" s="394"/>
      <c r="BFW82" s="394"/>
      <c r="BFX82" s="394"/>
      <c r="BFY82" s="394"/>
      <c r="BFZ82" s="394"/>
      <c r="BGA82" s="394"/>
      <c r="BGB82" s="394"/>
      <c r="BGC82" s="394"/>
      <c r="BGD82" s="394"/>
      <c r="BGE82" s="394"/>
      <c r="BGF82" s="394"/>
      <c r="BGG82" s="394"/>
      <c r="BGH82" s="394"/>
      <c r="BGI82" s="394"/>
      <c r="BGJ82" s="394"/>
      <c r="BGK82" s="394"/>
      <c r="BGL82" s="394"/>
      <c r="BGM82" s="394"/>
      <c r="BGN82" s="394"/>
      <c r="BGO82" s="394"/>
      <c r="BGP82" s="394"/>
      <c r="BGQ82" s="394"/>
      <c r="BGR82" s="394"/>
      <c r="BGS82" s="394"/>
      <c r="BGT82" s="394"/>
      <c r="BGU82" s="394"/>
      <c r="BGV82" s="394"/>
      <c r="BGW82" s="394"/>
      <c r="BGX82" s="394"/>
      <c r="BGY82" s="394"/>
      <c r="BGZ82" s="394"/>
      <c r="BHA82" s="394"/>
      <c r="BHB82" s="394"/>
      <c r="BHC82" s="394"/>
      <c r="BHD82" s="394"/>
      <c r="BHE82" s="394"/>
      <c r="BHF82" s="394"/>
      <c r="BHG82" s="394"/>
      <c r="BHH82" s="394"/>
      <c r="BHI82" s="394"/>
      <c r="BHJ82" s="394"/>
      <c r="BHK82" s="394"/>
      <c r="BHL82" s="394"/>
      <c r="BHM82" s="394"/>
      <c r="BHN82" s="394"/>
      <c r="BHO82" s="394"/>
      <c r="BHP82" s="394"/>
      <c r="BHQ82" s="394"/>
      <c r="BHR82" s="394"/>
      <c r="BHS82" s="394"/>
      <c r="BHT82" s="394"/>
      <c r="BHU82" s="394"/>
      <c r="BHV82" s="394"/>
      <c r="BHW82" s="394"/>
      <c r="BHX82" s="394"/>
      <c r="BHY82" s="394"/>
      <c r="BHZ82" s="394"/>
      <c r="BIA82" s="394"/>
      <c r="BIB82" s="394"/>
      <c r="BIC82" s="394"/>
      <c r="BID82" s="394"/>
      <c r="BIE82" s="394"/>
      <c r="BIF82" s="394"/>
      <c r="BIG82" s="394"/>
      <c r="BIH82" s="394"/>
      <c r="BII82" s="394"/>
      <c r="BIJ82" s="394"/>
      <c r="BIK82" s="394"/>
      <c r="BIL82" s="394"/>
      <c r="BIM82" s="394"/>
      <c r="BIN82" s="394"/>
      <c r="BIO82" s="394"/>
      <c r="BIP82" s="394"/>
      <c r="BIQ82" s="394"/>
      <c r="BIR82" s="394"/>
      <c r="BIS82" s="394"/>
      <c r="BIT82" s="394"/>
      <c r="BIU82" s="394"/>
      <c r="BIV82" s="394"/>
      <c r="BIW82" s="394"/>
      <c r="BIX82" s="394"/>
      <c r="BIY82" s="394"/>
      <c r="BIZ82" s="394"/>
      <c r="BJA82" s="394"/>
      <c r="BJB82" s="394"/>
      <c r="BJC82" s="394"/>
      <c r="BJD82" s="394"/>
      <c r="BJE82" s="394"/>
      <c r="BJF82" s="394"/>
      <c r="BJG82" s="394"/>
      <c r="BJH82" s="394"/>
      <c r="BJI82" s="394"/>
      <c r="BJJ82" s="394"/>
      <c r="BJK82" s="394"/>
      <c r="BJL82" s="394"/>
      <c r="BJM82" s="394"/>
      <c r="BJN82" s="394"/>
      <c r="BJO82" s="394"/>
      <c r="BJP82" s="394"/>
      <c r="BJQ82" s="394"/>
      <c r="BJR82" s="394"/>
      <c r="BJS82" s="394"/>
      <c r="BJT82" s="394"/>
      <c r="BJU82" s="394"/>
      <c r="BJV82" s="394"/>
      <c r="BJW82" s="394"/>
      <c r="BJX82" s="394"/>
      <c r="BJY82" s="394"/>
      <c r="BJZ82" s="394"/>
      <c r="BKA82" s="394"/>
      <c r="BKB82" s="394"/>
      <c r="BKC82" s="394"/>
      <c r="BKD82" s="394"/>
      <c r="BKE82" s="394"/>
      <c r="BKF82" s="394"/>
      <c r="BKG82" s="394"/>
      <c r="BKH82" s="394"/>
      <c r="BKI82" s="394"/>
      <c r="BKJ82" s="394"/>
      <c r="BKK82" s="394"/>
      <c r="BKL82" s="394"/>
      <c r="BKM82" s="394"/>
      <c r="BKN82" s="394"/>
      <c r="BKO82" s="394"/>
      <c r="BKP82" s="394"/>
      <c r="BKQ82" s="394"/>
      <c r="BKR82" s="394"/>
      <c r="BKS82" s="394"/>
      <c r="BKT82" s="394"/>
      <c r="BKU82" s="394"/>
      <c r="BKV82" s="394"/>
      <c r="BKW82" s="394"/>
      <c r="BKX82" s="394"/>
      <c r="BKY82" s="394"/>
      <c r="BKZ82" s="394"/>
      <c r="BLA82" s="394"/>
      <c r="BLB82" s="394"/>
      <c r="BLC82" s="394"/>
      <c r="BLD82" s="394"/>
      <c r="BLE82" s="394"/>
      <c r="BLF82" s="394"/>
      <c r="BLG82" s="394"/>
      <c r="BLH82" s="394"/>
      <c r="BLI82" s="394"/>
      <c r="BLJ82" s="394"/>
      <c r="BLK82" s="394"/>
      <c r="BLL82" s="394"/>
      <c r="BLM82" s="394"/>
      <c r="BLN82" s="394"/>
      <c r="BLO82" s="394"/>
      <c r="BLP82" s="394"/>
      <c r="BLQ82" s="394"/>
      <c r="BLR82" s="394"/>
      <c r="BLS82" s="394"/>
      <c r="BLT82" s="394"/>
      <c r="BLU82" s="394"/>
      <c r="BLV82" s="394"/>
      <c r="BLW82" s="394"/>
      <c r="BLX82" s="394"/>
      <c r="BLY82" s="394"/>
      <c r="BLZ82" s="394"/>
      <c r="BMA82" s="394"/>
      <c r="BMB82" s="394"/>
      <c r="BMC82" s="394"/>
      <c r="BMD82" s="394"/>
      <c r="BME82" s="394"/>
      <c r="BMF82" s="394"/>
      <c r="BMG82" s="394"/>
      <c r="BMH82" s="394"/>
      <c r="BMI82" s="394"/>
      <c r="BMJ82" s="394"/>
      <c r="BMK82" s="394"/>
      <c r="BML82" s="394"/>
      <c r="BMM82" s="394"/>
      <c r="BMN82" s="394"/>
      <c r="BMO82" s="394"/>
      <c r="BMP82" s="394"/>
      <c r="BMQ82" s="394"/>
      <c r="BMR82" s="394"/>
      <c r="BMS82" s="394"/>
      <c r="BMT82" s="394"/>
      <c r="BMU82" s="394"/>
      <c r="BMV82" s="394"/>
      <c r="BMW82" s="394"/>
      <c r="BMX82" s="394"/>
      <c r="BMY82" s="394"/>
      <c r="BMZ82" s="394"/>
      <c r="BNA82" s="394"/>
      <c r="BNB82" s="394"/>
      <c r="BNC82" s="394"/>
      <c r="BND82" s="394"/>
      <c r="BNE82" s="394"/>
      <c r="BNF82" s="394"/>
      <c r="BNG82" s="394"/>
      <c r="BNH82" s="394"/>
      <c r="BNI82" s="394"/>
      <c r="BNJ82" s="394"/>
      <c r="BNK82" s="394"/>
      <c r="BNL82" s="394"/>
      <c r="BNM82" s="394"/>
      <c r="BNN82" s="394"/>
      <c r="BNO82" s="394"/>
      <c r="BNP82" s="394"/>
      <c r="BNQ82" s="394"/>
      <c r="BNR82" s="394"/>
      <c r="BNS82" s="394"/>
      <c r="BNT82" s="394"/>
      <c r="BNU82" s="394"/>
      <c r="BNV82" s="394"/>
      <c r="BNW82" s="394"/>
      <c r="BNX82" s="394"/>
      <c r="BNY82" s="394"/>
      <c r="BNZ82" s="394"/>
      <c r="BOA82" s="394"/>
      <c r="BOB82" s="394"/>
      <c r="BOC82" s="394"/>
      <c r="BOD82" s="394"/>
      <c r="BOE82" s="394"/>
      <c r="BOF82" s="394"/>
      <c r="BOG82" s="394"/>
      <c r="BOH82" s="394"/>
      <c r="BOI82" s="394"/>
      <c r="BOJ82" s="394"/>
      <c r="BOK82" s="394"/>
      <c r="BOL82" s="394"/>
      <c r="BOM82" s="394"/>
      <c r="BON82" s="394"/>
      <c r="BOO82" s="394"/>
      <c r="BOP82" s="394"/>
      <c r="BOQ82" s="394"/>
      <c r="BOR82" s="394"/>
      <c r="BOS82" s="394"/>
      <c r="BOT82" s="394"/>
      <c r="BOU82" s="394"/>
      <c r="BOV82" s="394"/>
      <c r="BOW82" s="394"/>
      <c r="BOX82" s="394"/>
      <c r="BOY82" s="394"/>
      <c r="BOZ82" s="394"/>
      <c r="BPA82" s="394"/>
      <c r="BPB82" s="394"/>
      <c r="BPC82" s="394"/>
      <c r="BPD82" s="394"/>
      <c r="BPE82" s="394"/>
      <c r="BPF82" s="394"/>
      <c r="BPG82" s="394"/>
      <c r="BPH82" s="394"/>
      <c r="BPI82" s="394"/>
      <c r="BPJ82" s="394"/>
      <c r="BPK82" s="394"/>
      <c r="BPL82" s="394"/>
      <c r="BPM82" s="394"/>
      <c r="BPN82" s="394"/>
      <c r="BPO82" s="394"/>
      <c r="BPP82" s="394"/>
      <c r="BPQ82" s="394"/>
      <c r="BPR82" s="394"/>
      <c r="BPS82" s="394"/>
      <c r="BPT82" s="394"/>
      <c r="BPU82" s="394"/>
      <c r="BPV82" s="394"/>
      <c r="BPW82" s="394"/>
      <c r="BPX82" s="394"/>
      <c r="BPY82" s="394"/>
      <c r="BPZ82" s="394"/>
      <c r="BQA82" s="394"/>
      <c r="BQB82" s="394"/>
      <c r="BQC82" s="394"/>
      <c r="BQD82" s="394"/>
      <c r="BQE82" s="394"/>
      <c r="BQF82" s="394"/>
      <c r="BQG82" s="394"/>
      <c r="BQH82" s="394"/>
      <c r="BQI82" s="394"/>
      <c r="BQJ82" s="394"/>
      <c r="BQK82" s="394"/>
      <c r="BQL82" s="394"/>
      <c r="BQM82" s="394"/>
      <c r="BQN82" s="394"/>
      <c r="BQO82" s="394"/>
      <c r="BQP82" s="394"/>
      <c r="BQQ82" s="394"/>
      <c r="BQR82" s="394"/>
      <c r="BQS82" s="394"/>
      <c r="BQT82" s="394"/>
      <c r="BQU82" s="394"/>
      <c r="BQV82" s="394"/>
      <c r="BQW82" s="394"/>
      <c r="BQX82" s="394"/>
      <c r="BQY82" s="394"/>
      <c r="BQZ82" s="394"/>
      <c r="BRA82" s="394"/>
      <c r="BRB82" s="394"/>
      <c r="BRC82" s="394"/>
      <c r="BRD82" s="394"/>
      <c r="BRE82" s="394"/>
      <c r="BRF82" s="394"/>
      <c r="BRG82" s="394"/>
      <c r="BRH82" s="394"/>
      <c r="BRI82" s="394"/>
      <c r="BRJ82" s="394"/>
      <c r="BRK82" s="394"/>
      <c r="BRL82" s="394"/>
      <c r="BRM82" s="394"/>
      <c r="BRN82" s="394"/>
      <c r="BRO82" s="394"/>
      <c r="BRP82" s="394"/>
      <c r="BRQ82" s="394"/>
      <c r="BRR82" s="394"/>
      <c r="BRS82" s="394"/>
      <c r="BRT82" s="394"/>
      <c r="BRU82" s="394"/>
      <c r="BRV82" s="394"/>
      <c r="BRW82" s="394"/>
      <c r="BRX82" s="394"/>
      <c r="BRY82" s="394"/>
      <c r="BRZ82" s="394"/>
      <c r="BSA82" s="394"/>
      <c r="BSB82" s="394"/>
      <c r="BSC82" s="394"/>
      <c r="BSD82" s="394"/>
      <c r="BSE82" s="394"/>
      <c r="BSF82" s="394"/>
      <c r="BSG82" s="394"/>
      <c r="BSH82" s="394"/>
      <c r="BSI82" s="394"/>
      <c r="BSJ82" s="394"/>
      <c r="BSK82" s="394"/>
      <c r="BSL82" s="394"/>
      <c r="BSM82" s="394"/>
      <c r="BSN82" s="394"/>
      <c r="BSO82" s="394"/>
      <c r="BSP82" s="394"/>
      <c r="BSQ82" s="394"/>
      <c r="BSR82" s="394"/>
      <c r="BSS82" s="394"/>
      <c r="BST82" s="394"/>
      <c r="BSU82" s="394"/>
      <c r="BSV82" s="394"/>
      <c r="BSW82" s="394"/>
      <c r="BSX82" s="394"/>
      <c r="BSY82" s="394"/>
      <c r="BSZ82" s="394"/>
      <c r="BTA82" s="394"/>
      <c r="BTB82" s="394"/>
      <c r="BTC82" s="394"/>
      <c r="BTD82" s="394"/>
      <c r="BTE82" s="394"/>
      <c r="BTF82" s="394"/>
      <c r="BTG82" s="394"/>
      <c r="BTH82" s="394"/>
      <c r="BTI82" s="394"/>
    </row>
    <row r="83" spans="1:1881" ht="66.75" customHeight="1" x14ac:dyDescent="0.25">
      <c r="A83" s="188">
        <v>510</v>
      </c>
      <c r="B83" s="64" t="s">
        <v>42</v>
      </c>
      <c r="C83" s="159" t="s">
        <v>184</v>
      </c>
      <c r="D83" s="175" t="s">
        <v>613</v>
      </c>
      <c r="E83" s="32" t="e">
        <f>HLOOKUP($D$2,'2019 Data(H)'!$C$1:$CP$300,160,FALSE)</f>
        <v>#N/A</v>
      </c>
      <c r="F83" s="624"/>
      <c r="G83" s="316"/>
      <c r="H83" s="13"/>
      <c r="I83" s="31"/>
      <c r="L83" s="833" t="s">
        <v>1175</v>
      </c>
    </row>
    <row r="84" spans="1:1881" ht="80.25" customHeight="1" x14ac:dyDescent="0.25">
      <c r="A84" s="455">
        <v>654</v>
      </c>
      <c r="B84" s="451" t="s">
        <v>42</v>
      </c>
      <c r="C84" s="452" t="s">
        <v>184</v>
      </c>
      <c r="D84" s="453" t="s">
        <v>1217</v>
      </c>
      <c r="E84" s="454" t="s">
        <v>964</v>
      </c>
      <c r="F84" s="624"/>
      <c r="G84" s="395">
        <f>IF((F80+F81+F83)&gt;F84,"Error: Please review components of current assets above.  Account numbers (80+81+510)&gt;654",)</f>
        <v>0</v>
      </c>
      <c r="H84" s="13"/>
      <c r="I84" s="31"/>
      <c r="L84" s="833" t="s">
        <v>1176</v>
      </c>
    </row>
    <row r="85" spans="1:1881" s="609" customFormat="1" ht="80.25" customHeight="1" x14ac:dyDescent="0.25">
      <c r="A85" s="455">
        <v>655</v>
      </c>
      <c r="B85" s="451" t="s">
        <v>42</v>
      </c>
      <c r="C85" s="452" t="s">
        <v>184</v>
      </c>
      <c r="D85" s="468" t="s">
        <v>1205</v>
      </c>
      <c r="E85" s="454" t="s">
        <v>964</v>
      </c>
      <c r="F85" s="624"/>
      <c r="G85" s="611"/>
      <c r="H85" s="612"/>
      <c r="I85" s="613"/>
      <c r="J85" s="610"/>
      <c r="K85" s="610"/>
      <c r="L85" s="833" t="s">
        <v>1177</v>
      </c>
      <c r="M85" s="610"/>
      <c r="N85"/>
      <c r="O85" s="610"/>
      <c r="P85" s="610"/>
      <c r="Q85" s="610"/>
      <c r="R85" s="610"/>
      <c r="S85" s="610"/>
      <c r="T85" s="610"/>
      <c r="U85" s="610"/>
      <c r="V85" s="610"/>
      <c r="W85" s="610"/>
      <c r="X85" s="610"/>
      <c r="Y85" s="610"/>
      <c r="Z85" s="610"/>
      <c r="AA85" s="610"/>
      <c r="AB85" s="610"/>
      <c r="AC85" s="610"/>
      <c r="AD85" s="610"/>
      <c r="AE85" s="610"/>
      <c r="AF85" s="610"/>
      <c r="AG85" s="610"/>
      <c r="AH85" s="610"/>
      <c r="AI85" s="610"/>
      <c r="AJ85" s="610"/>
      <c r="AK85" s="610"/>
      <c r="AL85" s="610"/>
      <c r="AM85" s="610"/>
      <c r="AN85" s="610"/>
      <c r="AO85" s="610"/>
      <c r="AP85" s="610"/>
      <c r="AQ85" s="610"/>
      <c r="AR85" s="610"/>
      <c r="AS85" s="610"/>
      <c r="AT85" s="610"/>
      <c r="AU85" s="610"/>
      <c r="AV85" s="610"/>
      <c r="AW85" s="610"/>
      <c r="AX85" s="610"/>
      <c r="AY85" s="610"/>
      <c r="AZ85" s="610"/>
      <c r="BA85" s="610"/>
      <c r="BB85" s="610"/>
      <c r="BC85" s="610"/>
      <c r="BD85" s="610"/>
      <c r="BE85" s="610"/>
      <c r="BF85" s="610"/>
      <c r="BG85" s="610"/>
      <c r="BH85" s="610"/>
      <c r="BI85" s="610"/>
      <c r="BJ85" s="610"/>
      <c r="BK85" s="610"/>
      <c r="BL85" s="610"/>
      <c r="BM85" s="610"/>
      <c r="BN85" s="610"/>
      <c r="BO85" s="610"/>
      <c r="BP85" s="610"/>
      <c r="BQ85" s="610"/>
      <c r="BR85" s="610"/>
      <c r="BS85" s="610"/>
      <c r="BT85" s="610"/>
      <c r="BU85" s="610"/>
      <c r="BV85" s="610"/>
      <c r="BW85" s="610"/>
      <c r="BX85" s="610"/>
      <c r="BY85" s="610"/>
      <c r="BZ85" s="610"/>
      <c r="CA85" s="610"/>
      <c r="CB85" s="610"/>
      <c r="CC85" s="610"/>
      <c r="CD85" s="610"/>
      <c r="CE85" s="610"/>
      <c r="CF85" s="610"/>
      <c r="CG85" s="610"/>
      <c r="CH85" s="610"/>
      <c r="CI85" s="610"/>
      <c r="CJ85" s="610"/>
      <c r="CK85" s="610"/>
      <c r="CL85" s="610"/>
      <c r="CM85" s="610"/>
      <c r="CN85" s="610"/>
      <c r="CO85" s="610"/>
      <c r="CP85" s="610"/>
      <c r="CQ85" s="610"/>
      <c r="CR85" s="610"/>
      <c r="CS85" s="610"/>
      <c r="CT85" s="610"/>
      <c r="CU85" s="610"/>
      <c r="CV85" s="610"/>
      <c r="CW85" s="610"/>
      <c r="CX85" s="610"/>
      <c r="CY85" s="610"/>
      <c r="CZ85" s="610"/>
      <c r="DA85" s="610"/>
      <c r="DB85" s="610"/>
      <c r="DC85" s="610"/>
      <c r="DD85" s="610"/>
      <c r="DE85" s="610"/>
      <c r="DF85" s="610"/>
      <c r="DG85" s="610"/>
      <c r="DH85" s="610"/>
      <c r="DI85" s="610"/>
      <c r="DJ85" s="610"/>
      <c r="DK85" s="610"/>
      <c r="DL85" s="610"/>
      <c r="DM85" s="610"/>
      <c r="DN85" s="610"/>
      <c r="DO85" s="610"/>
      <c r="DP85" s="610"/>
      <c r="DQ85" s="610"/>
      <c r="DR85" s="610"/>
      <c r="DS85" s="610"/>
      <c r="DT85" s="610"/>
      <c r="DU85" s="610"/>
      <c r="DV85" s="610"/>
      <c r="DW85" s="610"/>
      <c r="DX85" s="610"/>
      <c r="DY85" s="610"/>
      <c r="DZ85" s="610"/>
      <c r="EA85" s="610"/>
      <c r="EB85" s="610"/>
      <c r="EC85" s="610"/>
      <c r="ED85" s="610"/>
      <c r="EE85" s="610"/>
      <c r="EF85" s="610"/>
      <c r="EG85" s="610"/>
      <c r="EH85" s="610"/>
      <c r="EI85" s="610"/>
      <c r="EJ85" s="610"/>
      <c r="EK85" s="610"/>
      <c r="EL85" s="610"/>
      <c r="EM85" s="610"/>
      <c r="EN85" s="610"/>
      <c r="EO85" s="610"/>
      <c r="EP85" s="610"/>
      <c r="EQ85" s="610"/>
      <c r="ER85" s="610"/>
      <c r="ES85" s="610"/>
      <c r="ET85" s="610"/>
      <c r="EU85" s="610"/>
      <c r="EV85" s="610"/>
      <c r="EW85" s="610"/>
      <c r="EX85" s="610"/>
      <c r="EY85" s="610"/>
      <c r="EZ85" s="610"/>
      <c r="FA85" s="610"/>
      <c r="FB85" s="610"/>
      <c r="FC85" s="610"/>
      <c r="FD85" s="610"/>
      <c r="FE85" s="610"/>
      <c r="FF85" s="610"/>
      <c r="FG85" s="610"/>
      <c r="FH85" s="610"/>
      <c r="FI85" s="610"/>
      <c r="FJ85" s="610"/>
      <c r="FK85" s="610"/>
      <c r="FL85" s="610"/>
      <c r="FM85" s="610"/>
      <c r="FN85" s="610"/>
      <c r="FO85" s="610"/>
      <c r="FP85" s="610"/>
      <c r="FQ85" s="610"/>
      <c r="FR85" s="610"/>
      <c r="FS85" s="610"/>
      <c r="FT85" s="610"/>
      <c r="FU85" s="610"/>
      <c r="FV85" s="610"/>
      <c r="FW85" s="610"/>
      <c r="FX85" s="610"/>
      <c r="FY85" s="610"/>
      <c r="FZ85" s="610"/>
      <c r="GA85" s="610"/>
      <c r="GB85" s="610"/>
      <c r="GC85" s="610"/>
      <c r="GD85" s="610"/>
      <c r="GE85" s="610"/>
      <c r="GF85" s="610"/>
      <c r="GG85" s="610"/>
      <c r="GH85" s="610"/>
      <c r="GI85" s="610"/>
      <c r="GJ85" s="610"/>
      <c r="GK85" s="610"/>
      <c r="GL85" s="610"/>
      <c r="GM85" s="610"/>
      <c r="GN85" s="610"/>
      <c r="GO85" s="610"/>
      <c r="GP85" s="610"/>
      <c r="GQ85" s="610"/>
      <c r="GR85" s="610"/>
      <c r="GS85" s="610"/>
      <c r="GT85" s="610"/>
      <c r="GU85" s="610"/>
      <c r="GV85" s="610"/>
      <c r="GW85" s="610"/>
      <c r="GX85" s="610"/>
      <c r="GY85" s="610"/>
      <c r="GZ85" s="610"/>
      <c r="HA85" s="610"/>
      <c r="HB85" s="610"/>
      <c r="HC85" s="610"/>
      <c r="HD85" s="610"/>
      <c r="HE85" s="610"/>
      <c r="HF85" s="610"/>
      <c r="HG85" s="610"/>
      <c r="HH85" s="610"/>
      <c r="HI85" s="610"/>
      <c r="HJ85" s="610"/>
      <c r="HK85" s="610"/>
      <c r="HL85" s="610"/>
      <c r="HM85" s="610"/>
      <c r="HN85" s="610"/>
      <c r="HO85" s="610"/>
      <c r="HP85" s="610"/>
      <c r="HQ85" s="610"/>
      <c r="HR85" s="610"/>
      <c r="HS85" s="610"/>
      <c r="HT85" s="610"/>
      <c r="HU85" s="610"/>
      <c r="HV85" s="610"/>
      <c r="HW85" s="610"/>
      <c r="HX85" s="610"/>
      <c r="HY85" s="610"/>
      <c r="HZ85" s="610"/>
      <c r="IA85" s="610"/>
      <c r="IB85" s="610"/>
      <c r="IC85" s="610"/>
      <c r="ID85" s="610"/>
      <c r="IE85" s="610"/>
      <c r="IF85" s="610"/>
      <c r="IG85" s="610"/>
      <c r="IH85" s="610"/>
      <c r="II85" s="610"/>
      <c r="IJ85" s="610"/>
      <c r="IK85" s="610"/>
      <c r="IL85" s="610"/>
      <c r="IM85" s="610"/>
      <c r="IN85" s="610"/>
      <c r="IO85" s="610"/>
      <c r="IP85" s="610"/>
      <c r="IQ85" s="610"/>
      <c r="IR85" s="610"/>
      <c r="IS85" s="610"/>
      <c r="IT85" s="610"/>
      <c r="IU85" s="610"/>
      <c r="IV85" s="610"/>
      <c r="IW85" s="610"/>
      <c r="IX85" s="610"/>
      <c r="IY85" s="610"/>
      <c r="IZ85" s="610"/>
      <c r="JA85" s="610"/>
      <c r="JB85" s="610"/>
      <c r="JC85" s="610"/>
      <c r="JD85" s="610"/>
      <c r="JE85" s="610"/>
      <c r="JF85" s="610"/>
      <c r="JG85" s="610"/>
      <c r="JH85" s="610"/>
      <c r="JI85" s="610"/>
      <c r="JJ85" s="610"/>
      <c r="JK85" s="610"/>
      <c r="JL85" s="610"/>
      <c r="JM85" s="610"/>
      <c r="JN85" s="610"/>
      <c r="JO85" s="610"/>
      <c r="JP85" s="610"/>
      <c r="JQ85" s="610"/>
      <c r="JR85" s="610"/>
      <c r="JS85" s="610"/>
      <c r="JT85" s="610"/>
      <c r="JU85" s="610"/>
      <c r="JV85" s="610"/>
      <c r="JW85" s="610"/>
      <c r="JX85" s="610"/>
      <c r="JY85" s="610"/>
      <c r="JZ85" s="610"/>
      <c r="KA85" s="610"/>
      <c r="KB85" s="610"/>
      <c r="KC85" s="610"/>
      <c r="KD85" s="610"/>
      <c r="KE85" s="610"/>
      <c r="KF85" s="610"/>
      <c r="KG85" s="610"/>
      <c r="KH85" s="610"/>
      <c r="KI85" s="610"/>
      <c r="KJ85" s="610"/>
      <c r="KK85" s="610"/>
      <c r="KL85" s="610"/>
      <c r="KM85" s="610"/>
      <c r="KN85" s="610"/>
      <c r="KO85" s="610"/>
      <c r="KP85" s="610"/>
      <c r="KQ85" s="610"/>
      <c r="KR85" s="610"/>
      <c r="KS85" s="610"/>
      <c r="KT85" s="610"/>
      <c r="KU85" s="610"/>
      <c r="KV85" s="610"/>
      <c r="KW85" s="610"/>
      <c r="KX85" s="610"/>
      <c r="KY85" s="610"/>
      <c r="KZ85" s="610"/>
      <c r="LA85" s="610"/>
      <c r="LB85" s="610"/>
      <c r="LC85" s="610"/>
      <c r="LD85" s="610"/>
      <c r="LE85" s="610"/>
      <c r="LF85" s="610"/>
      <c r="LG85" s="610"/>
      <c r="LH85" s="610"/>
      <c r="LI85" s="610"/>
      <c r="LJ85" s="610"/>
      <c r="LK85" s="610"/>
      <c r="LL85" s="610"/>
      <c r="LM85" s="610"/>
      <c r="LN85" s="610"/>
      <c r="LO85" s="610"/>
      <c r="LP85" s="610"/>
      <c r="LQ85" s="610"/>
      <c r="LR85" s="610"/>
      <c r="LS85" s="610"/>
      <c r="LT85" s="610"/>
      <c r="LU85" s="610"/>
      <c r="LV85" s="610"/>
      <c r="LW85" s="610"/>
      <c r="LX85" s="610"/>
      <c r="LY85" s="610"/>
      <c r="LZ85" s="610"/>
      <c r="MA85" s="610"/>
      <c r="MB85" s="610"/>
      <c r="MC85" s="610"/>
      <c r="MD85" s="610"/>
      <c r="ME85" s="610"/>
      <c r="MF85" s="610"/>
      <c r="MG85" s="610"/>
      <c r="MH85" s="610"/>
      <c r="MI85" s="610"/>
      <c r="MJ85" s="610"/>
      <c r="MK85" s="610"/>
      <c r="ML85" s="610"/>
      <c r="MM85" s="610"/>
      <c r="MN85" s="610"/>
      <c r="MO85" s="610"/>
      <c r="MP85" s="610"/>
      <c r="MQ85" s="610"/>
      <c r="MR85" s="610"/>
      <c r="MS85" s="610"/>
      <c r="MT85" s="610"/>
      <c r="MU85" s="610"/>
      <c r="MV85" s="610"/>
      <c r="MW85" s="610"/>
      <c r="MX85" s="610"/>
      <c r="MY85" s="610"/>
      <c r="MZ85" s="610"/>
      <c r="NA85" s="610"/>
      <c r="NB85" s="610"/>
      <c r="NC85" s="610"/>
      <c r="ND85" s="610"/>
      <c r="NE85" s="610"/>
      <c r="NF85" s="610"/>
      <c r="NG85" s="610"/>
      <c r="NH85" s="610"/>
      <c r="NI85" s="610"/>
      <c r="NJ85" s="610"/>
      <c r="NK85" s="610"/>
      <c r="NL85" s="610"/>
      <c r="NM85" s="610"/>
      <c r="NN85" s="610"/>
      <c r="NO85" s="610"/>
      <c r="NP85" s="610"/>
      <c r="NQ85" s="610"/>
      <c r="NR85" s="610"/>
      <c r="NS85" s="610"/>
      <c r="NT85" s="610"/>
      <c r="NU85" s="610"/>
      <c r="NV85" s="610"/>
      <c r="NW85" s="610"/>
      <c r="NX85" s="610"/>
      <c r="NY85" s="610"/>
      <c r="NZ85" s="610"/>
      <c r="OA85" s="610"/>
      <c r="OB85" s="610"/>
      <c r="OC85" s="610"/>
      <c r="OD85" s="610"/>
      <c r="OE85" s="610"/>
      <c r="OF85" s="610"/>
      <c r="OG85" s="610"/>
      <c r="OH85" s="610"/>
      <c r="OI85" s="610"/>
      <c r="OJ85" s="610"/>
      <c r="OK85" s="610"/>
      <c r="OL85" s="610"/>
      <c r="OM85" s="610"/>
      <c r="ON85" s="610"/>
      <c r="OO85" s="610"/>
      <c r="OP85" s="610"/>
      <c r="OQ85" s="610"/>
      <c r="OR85" s="610"/>
      <c r="OS85" s="610"/>
      <c r="OT85" s="610"/>
      <c r="OU85" s="610"/>
      <c r="OV85" s="610"/>
      <c r="OW85" s="610"/>
      <c r="OX85" s="610"/>
      <c r="OY85" s="610"/>
      <c r="OZ85" s="610"/>
      <c r="PA85" s="610"/>
      <c r="PB85" s="610"/>
      <c r="PC85" s="610"/>
      <c r="PD85" s="610"/>
      <c r="PE85" s="610"/>
      <c r="PF85" s="610"/>
      <c r="PG85" s="610"/>
      <c r="PH85" s="610"/>
      <c r="PI85" s="610"/>
      <c r="PJ85" s="610"/>
      <c r="PK85" s="610"/>
      <c r="PL85" s="610"/>
      <c r="PM85" s="610"/>
      <c r="PN85" s="610"/>
      <c r="PO85" s="610"/>
      <c r="PP85" s="610"/>
      <c r="PQ85" s="610"/>
      <c r="PR85" s="610"/>
      <c r="PS85" s="610"/>
      <c r="PT85" s="610"/>
      <c r="PU85" s="610"/>
      <c r="PV85" s="610"/>
      <c r="PW85" s="610"/>
      <c r="PX85" s="610"/>
      <c r="PY85" s="610"/>
      <c r="PZ85" s="610"/>
      <c r="QA85" s="610"/>
      <c r="QB85" s="610"/>
      <c r="QC85" s="610"/>
      <c r="QD85" s="610"/>
      <c r="QE85" s="610"/>
      <c r="QF85" s="610"/>
      <c r="QG85" s="610"/>
      <c r="QH85" s="610"/>
      <c r="QI85" s="610"/>
      <c r="QJ85" s="610"/>
      <c r="QK85" s="610"/>
      <c r="QL85" s="610"/>
      <c r="QM85" s="610"/>
      <c r="QN85" s="610"/>
      <c r="QO85" s="610"/>
      <c r="QP85" s="610"/>
      <c r="QQ85" s="610"/>
      <c r="QR85" s="610"/>
      <c r="QS85" s="610"/>
      <c r="QT85" s="610"/>
      <c r="QU85" s="610"/>
      <c r="QV85" s="610"/>
      <c r="QW85" s="610"/>
      <c r="QX85" s="610"/>
      <c r="QY85" s="610"/>
      <c r="QZ85" s="610"/>
      <c r="RA85" s="610"/>
      <c r="RB85" s="610"/>
      <c r="RC85" s="610"/>
      <c r="RD85" s="610"/>
      <c r="RE85" s="610"/>
      <c r="RF85" s="610"/>
      <c r="RG85" s="610"/>
      <c r="RH85" s="610"/>
      <c r="RI85" s="610"/>
      <c r="RJ85" s="610"/>
      <c r="RK85" s="610"/>
      <c r="RL85" s="610"/>
      <c r="RM85" s="610"/>
      <c r="RN85" s="610"/>
      <c r="RO85" s="610"/>
      <c r="RP85" s="610"/>
      <c r="RQ85" s="610"/>
      <c r="RR85" s="610"/>
      <c r="RS85" s="610"/>
      <c r="RT85" s="610"/>
      <c r="RU85" s="610"/>
      <c r="RV85" s="610"/>
      <c r="RW85" s="610"/>
      <c r="RX85" s="610"/>
      <c r="RY85" s="610"/>
      <c r="RZ85" s="610"/>
      <c r="SA85" s="610"/>
      <c r="SB85" s="610"/>
      <c r="SC85" s="610"/>
      <c r="SD85" s="610"/>
      <c r="SE85" s="610"/>
      <c r="SF85" s="610"/>
      <c r="SG85" s="610"/>
      <c r="SH85" s="610"/>
      <c r="SI85" s="610"/>
      <c r="SJ85" s="610"/>
      <c r="SK85" s="610"/>
      <c r="SL85" s="610"/>
      <c r="SM85" s="610"/>
      <c r="SN85" s="610"/>
      <c r="SO85" s="610"/>
      <c r="SP85" s="610"/>
      <c r="SQ85" s="610"/>
      <c r="SR85" s="610"/>
      <c r="SS85" s="610"/>
      <c r="ST85" s="610"/>
      <c r="SU85" s="610"/>
      <c r="SV85" s="610"/>
      <c r="SW85" s="610"/>
      <c r="SX85" s="610"/>
      <c r="SY85" s="610"/>
      <c r="SZ85" s="610"/>
      <c r="TA85" s="610"/>
      <c r="TB85" s="610"/>
      <c r="TC85" s="610"/>
      <c r="TD85" s="610"/>
      <c r="TE85" s="610"/>
      <c r="TF85" s="610"/>
      <c r="TG85" s="610"/>
      <c r="TH85" s="610"/>
      <c r="TI85" s="610"/>
      <c r="TJ85" s="610"/>
      <c r="TK85" s="610"/>
      <c r="TL85" s="610"/>
      <c r="TM85" s="610"/>
      <c r="TN85" s="610"/>
      <c r="TO85" s="610"/>
      <c r="TP85" s="610"/>
      <c r="TQ85" s="610"/>
      <c r="TR85" s="610"/>
      <c r="TS85" s="610"/>
      <c r="TT85" s="610"/>
      <c r="TU85" s="610"/>
      <c r="TV85" s="610"/>
      <c r="TW85" s="610"/>
      <c r="TX85" s="610"/>
      <c r="TY85" s="610"/>
      <c r="TZ85" s="610"/>
      <c r="UA85" s="610"/>
      <c r="UB85" s="610"/>
      <c r="UC85" s="610"/>
      <c r="UD85" s="610"/>
      <c r="UE85" s="610"/>
      <c r="UF85" s="610"/>
      <c r="UG85" s="610"/>
      <c r="UH85" s="610"/>
      <c r="UI85" s="610"/>
      <c r="UJ85" s="610"/>
      <c r="UK85" s="610"/>
      <c r="UL85" s="610"/>
      <c r="UM85" s="610"/>
      <c r="UN85" s="610"/>
      <c r="UO85" s="610"/>
      <c r="UP85" s="610"/>
      <c r="UQ85" s="610"/>
      <c r="UR85" s="610"/>
      <c r="US85" s="610"/>
      <c r="UT85" s="610"/>
      <c r="UU85" s="610"/>
      <c r="UV85" s="610"/>
      <c r="UW85" s="610"/>
      <c r="UX85" s="610"/>
      <c r="UY85" s="610"/>
      <c r="UZ85" s="610"/>
      <c r="VA85" s="610"/>
      <c r="VB85" s="610"/>
      <c r="VC85" s="610"/>
      <c r="VD85" s="610"/>
      <c r="VE85" s="610"/>
      <c r="VF85" s="610"/>
      <c r="VG85" s="610"/>
      <c r="VH85" s="610"/>
      <c r="VI85" s="610"/>
      <c r="VJ85" s="610"/>
      <c r="VK85" s="610"/>
      <c r="VL85" s="610"/>
      <c r="VM85" s="610"/>
      <c r="VN85" s="610"/>
      <c r="VO85" s="610"/>
      <c r="VP85" s="610"/>
      <c r="VQ85" s="610"/>
      <c r="VR85" s="610"/>
      <c r="VS85" s="610"/>
      <c r="VT85" s="610"/>
      <c r="VU85" s="610"/>
      <c r="VV85" s="610"/>
      <c r="VW85" s="610"/>
      <c r="VX85" s="610"/>
      <c r="VY85" s="610"/>
      <c r="VZ85" s="610"/>
      <c r="WA85" s="610"/>
      <c r="WB85" s="610"/>
      <c r="WC85" s="610"/>
      <c r="WD85" s="610"/>
      <c r="WE85" s="610"/>
      <c r="WF85" s="610"/>
      <c r="WG85" s="610"/>
      <c r="WH85" s="610"/>
      <c r="WI85" s="610"/>
      <c r="WJ85" s="610"/>
      <c r="WK85" s="610"/>
      <c r="WL85" s="610"/>
      <c r="WM85" s="610"/>
      <c r="WN85" s="610"/>
      <c r="WO85" s="610"/>
      <c r="WP85" s="610"/>
      <c r="WQ85" s="610"/>
      <c r="WR85" s="610"/>
      <c r="WS85" s="610"/>
      <c r="WT85" s="610"/>
      <c r="WU85" s="610"/>
      <c r="WV85" s="610"/>
      <c r="WW85" s="610"/>
      <c r="WX85" s="610"/>
      <c r="WY85" s="610"/>
      <c r="WZ85" s="610"/>
      <c r="XA85" s="610"/>
      <c r="XB85" s="610"/>
      <c r="XC85" s="610"/>
      <c r="XD85" s="610"/>
      <c r="XE85" s="610"/>
      <c r="XF85" s="610"/>
      <c r="XG85" s="610"/>
      <c r="XH85" s="610"/>
      <c r="XI85" s="610"/>
      <c r="XJ85" s="610"/>
      <c r="XK85" s="610"/>
      <c r="XL85" s="610"/>
      <c r="XM85" s="610"/>
      <c r="XN85" s="610"/>
      <c r="XO85" s="610"/>
      <c r="XP85" s="610"/>
      <c r="XQ85" s="610"/>
      <c r="XR85" s="610"/>
      <c r="XS85" s="610"/>
      <c r="XT85" s="610"/>
      <c r="XU85" s="610"/>
      <c r="XV85" s="610"/>
      <c r="XW85" s="610"/>
      <c r="XX85" s="610"/>
      <c r="XY85" s="610"/>
      <c r="XZ85" s="610"/>
      <c r="YA85" s="610"/>
      <c r="YB85" s="610"/>
      <c r="YC85" s="610"/>
      <c r="YD85" s="610"/>
      <c r="YE85" s="610"/>
      <c r="YF85" s="610"/>
      <c r="YG85" s="610"/>
      <c r="YH85" s="610"/>
      <c r="YI85" s="610"/>
      <c r="YJ85" s="610"/>
      <c r="YK85" s="610"/>
      <c r="YL85" s="610"/>
      <c r="YM85" s="610"/>
      <c r="YN85" s="610"/>
      <c r="YO85" s="610"/>
      <c r="YP85" s="610"/>
      <c r="YQ85" s="610"/>
      <c r="YR85" s="610"/>
      <c r="YS85" s="610"/>
      <c r="YT85" s="610"/>
      <c r="YU85" s="610"/>
      <c r="YV85" s="610"/>
      <c r="YW85" s="610"/>
      <c r="YX85" s="610"/>
      <c r="YY85" s="610"/>
      <c r="YZ85" s="610"/>
      <c r="ZA85" s="610"/>
      <c r="ZB85" s="610"/>
      <c r="ZC85" s="610"/>
      <c r="ZD85" s="610"/>
      <c r="ZE85" s="610"/>
      <c r="ZF85" s="610"/>
      <c r="ZG85" s="610"/>
      <c r="ZH85" s="610"/>
      <c r="ZI85" s="610"/>
      <c r="ZJ85" s="610"/>
      <c r="ZK85" s="610"/>
      <c r="ZL85" s="610"/>
      <c r="ZM85" s="610"/>
      <c r="ZN85" s="610"/>
      <c r="ZO85" s="610"/>
      <c r="ZP85" s="610"/>
      <c r="ZQ85" s="610"/>
      <c r="ZR85" s="610"/>
      <c r="ZS85" s="610"/>
      <c r="ZT85" s="610"/>
      <c r="ZU85" s="610"/>
      <c r="ZV85" s="610"/>
      <c r="ZW85" s="610"/>
      <c r="ZX85" s="610"/>
      <c r="ZY85" s="610"/>
      <c r="ZZ85" s="610"/>
      <c r="AAA85" s="610"/>
      <c r="AAB85" s="610"/>
      <c r="AAC85" s="610"/>
      <c r="AAD85" s="610"/>
      <c r="AAE85" s="610"/>
      <c r="AAF85" s="610"/>
      <c r="AAG85" s="610"/>
      <c r="AAH85" s="610"/>
      <c r="AAI85" s="610"/>
      <c r="AAJ85" s="610"/>
      <c r="AAK85" s="610"/>
      <c r="AAL85" s="610"/>
      <c r="AAM85" s="610"/>
      <c r="AAN85" s="610"/>
      <c r="AAO85" s="610"/>
      <c r="AAP85" s="610"/>
      <c r="AAQ85" s="610"/>
      <c r="AAR85" s="610"/>
      <c r="AAS85" s="610"/>
      <c r="AAT85" s="610"/>
      <c r="AAU85" s="610"/>
      <c r="AAV85" s="610"/>
      <c r="AAW85" s="610"/>
      <c r="AAX85" s="610"/>
      <c r="AAY85" s="610"/>
      <c r="AAZ85" s="610"/>
      <c r="ABA85" s="610"/>
      <c r="ABB85" s="610"/>
      <c r="ABC85" s="610"/>
      <c r="ABD85" s="610"/>
      <c r="ABE85" s="610"/>
      <c r="ABF85" s="610"/>
      <c r="ABG85" s="610"/>
      <c r="ABH85" s="610"/>
      <c r="ABI85" s="610"/>
      <c r="ABJ85" s="610"/>
      <c r="ABK85" s="610"/>
      <c r="ABL85" s="610"/>
      <c r="ABM85" s="610"/>
      <c r="ABN85" s="610"/>
      <c r="ABO85" s="610"/>
      <c r="ABP85" s="610"/>
      <c r="ABQ85" s="610"/>
      <c r="ABR85" s="610"/>
      <c r="ABS85" s="610"/>
      <c r="ABT85" s="610"/>
      <c r="ABU85" s="610"/>
      <c r="ABV85" s="610"/>
      <c r="ABW85" s="610"/>
      <c r="ABX85" s="610"/>
      <c r="ABY85" s="610"/>
      <c r="ABZ85" s="610"/>
      <c r="ACA85" s="610"/>
      <c r="ACB85" s="610"/>
      <c r="ACC85" s="610"/>
      <c r="ACD85" s="610"/>
      <c r="ACE85" s="610"/>
      <c r="ACF85" s="610"/>
      <c r="ACG85" s="610"/>
      <c r="ACH85" s="610"/>
      <c r="ACI85" s="610"/>
      <c r="ACJ85" s="610"/>
      <c r="ACK85" s="610"/>
      <c r="ACL85" s="610"/>
      <c r="ACM85" s="610"/>
      <c r="ACN85" s="610"/>
      <c r="ACO85" s="610"/>
      <c r="ACP85" s="610"/>
      <c r="ACQ85" s="610"/>
      <c r="ACR85" s="610"/>
      <c r="ACS85" s="610"/>
      <c r="ACT85" s="610"/>
      <c r="ACU85" s="610"/>
      <c r="ACV85" s="610"/>
      <c r="ACW85" s="610"/>
      <c r="ACX85" s="610"/>
      <c r="ACY85" s="610"/>
      <c r="ACZ85" s="610"/>
      <c r="ADA85" s="610"/>
      <c r="ADB85" s="610"/>
      <c r="ADC85" s="610"/>
      <c r="ADD85" s="610"/>
      <c r="ADE85" s="610"/>
      <c r="ADF85" s="610"/>
      <c r="ADG85" s="610"/>
      <c r="ADH85" s="610"/>
      <c r="ADI85" s="610"/>
      <c r="ADJ85" s="610"/>
      <c r="ADK85" s="610"/>
      <c r="ADL85" s="610"/>
      <c r="ADM85" s="610"/>
      <c r="ADN85" s="610"/>
      <c r="ADO85" s="610"/>
      <c r="ADP85" s="610"/>
      <c r="ADQ85" s="610"/>
      <c r="ADR85" s="610"/>
      <c r="ADS85" s="610"/>
      <c r="ADT85" s="610"/>
      <c r="ADU85" s="610"/>
      <c r="ADV85" s="610"/>
      <c r="ADW85" s="610"/>
      <c r="ADX85" s="610"/>
      <c r="ADY85" s="610"/>
      <c r="ADZ85" s="610"/>
      <c r="AEA85" s="610"/>
      <c r="AEB85" s="610"/>
      <c r="AEC85" s="610"/>
      <c r="AED85" s="610"/>
      <c r="AEE85" s="610"/>
      <c r="AEF85" s="610"/>
      <c r="AEG85" s="610"/>
      <c r="AEH85" s="610"/>
      <c r="AEI85" s="610"/>
      <c r="AEJ85" s="610"/>
      <c r="AEK85" s="610"/>
      <c r="AEL85" s="610"/>
      <c r="AEM85" s="610"/>
      <c r="AEN85" s="610"/>
      <c r="AEO85" s="610"/>
      <c r="AEP85" s="610"/>
      <c r="AEQ85" s="610"/>
      <c r="AER85" s="610"/>
      <c r="AES85" s="610"/>
      <c r="AET85" s="610"/>
      <c r="AEU85" s="610"/>
      <c r="AEV85" s="610"/>
      <c r="AEW85" s="610"/>
      <c r="AEX85" s="610"/>
      <c r="AEY85" s="610"/>
      <c r="AEZ85" s="610"/>
      <c r="AFA85" s="610"/>
      <c r="AFB85" s="610"/>
      <c r="AFC85" s="610"/>
      <c r="AFD85" s="610"/>
      <c r="AFE85" s="610"/>
      <c r="AFF85" s="610"/>
      <c r="AFG85" s="610"/>
      <c r="AFH85" s="610"/>
      <c r="AFI85" s="610"/>
      <c r="AFJ85" s="610"/>
      <c r="AFK85" s="610"/>
      <c r="AFL85" s="610"/>
      <c r="AFM85" s="610"/>
      <c r="AFN85" s="610"/>
      <c r="AFO85" s="610"/>
      <c r="AFP85" s="610"/>
      <c r="AFQ85" s="610"/>
      <c r="AFR85" s="610"/>
      <c r="AFS85" s="610"/>
      <c r="AFT85" s="610"/>
      <c r="AFU85" s="610"/>
      <c r="AFV85" s="610"/>
      <c r="AFW85" s="610"/>
      <c r="AFX85" s="610"/>
      <c r="AFY85" s="610"/>
      <c r="AFZ85" s="610"/>
      <c r="AGA85" s="610"/>
      <c r="AGB85" s="610"/>
      <c r="AGC85" s="610"/>
      <c r="AGD85" s="610"/>
      <c r="AGE85" s="610"/>
      <c r="AGF85" s="610"/>
      <c r="AGG85" s="610"/>
      <c r="AGH85" s="610"/>
      <c r="AGI85" s="610"/>
      <c r="AGJ85" s="610"/>
      <c r="AGK85" s="610"/>
      <c r="AGL85" s="610"/>
      <c r="AGM85" s="610"/>
      <c r="AGN85" s="610"/>
      <c r="AGO85" s="610"/>
      <c r="AGP85" s="610"/>
      <c r="AGQ85" s="610"/>
      <c r="AGR85" s="610"/>
      <c r="AGS85" s="610"/>
      <c r="AGT85" s="610"/>
      <c r="AGU85" s="610"/>
      <c r="AGV85" s="610"/>
      <c r="AGW85" s="610"/>
      <c r="AGX85" s="610"/>
      <c r="AGY85" s="610"/>
      <c r="AGZ85" s="610"/>
      <c r="AHA85" s="610"/>
      <c r="AHB85" s="610"/>
      <c r="AHC85" s="610"/>
      <c r="AHD85" s="610"/>
      <c r="AHE85" s="610"/>
      <c r="AHF85" s="610"/>
      <c r="AHG85" s="610"/>
      <c r="AHH85" s="610"/>
      <c r="AHI85" s="610"/>
      <c r="AHJ85" s="610"/>
      <c r="AHK85" s="610"/>
      <c r="AHL85" s="610"/>
      <c r="AHM85" s="610"/>
      <c r="AHN85" s="610"/>
      <c r="AHO85" s="610"/>
      <c r="AHP85" s="610"/>
      <c r="AHQ85" s="610"/>
      <c r="AHR85" s="610"/>
      <c r="AHS85" s="610"/>
      <c r="AHT85" s="610"/>
      <c r="AHU85" s="610"/>
      <c r="AHV85" s="610"/>
      <c r="AHW85" s="610"/>
      <c r="AHX85" s="610"/>
      <c r="AHY85" s="610"/>
      <c r="AHZ85" s="610"/>
      <c r="AIA85" s="610"/>
      <c r="AIB85" s="610"/>
      <c r="AIC85" s="610"/>
      <c r="AID85" s="610"/>
      <c r="AIE85" s="610"/>
      <c r="AIF85" s="610"/>
      <c r="AIG85" s="610"/>
      <c r="AIH85" s="610"/>
      <c r="AII85" s="610"/>
      <c r="AIJ85" s="610"/>
      <c r="AIK85" s="610"/>
      <c r="AIL85" s="610"/>
      <c r="AIM85" s="610"/>
      <c r="AIN85" s="610"/>
      <c r="AIO85" s="610"/>
      <c r="AIP85" s="610"/>
      <c r="AIQ85" s="610"/>
      <c r="AIR85" s="610"/>
      <c r="AIS85" s="610"/>
      <c r="AIT85" s="610"/>
      <c r="AIU85" s="610"/>
      <c r="AIV85" s="610"/>
      <c r="AIW85" s="610"/>
      <c r="AIX85" s="610"/>
      <c r="AIY85" s="610"/>
      <c r="AIZ85" s="610"/>
      <c r="AJA85" s="610"/>
      <c r="AJB85" s="610"/>
      <c r="AJC85" s="610"/>
      <c r="AJD85" s="610"/>
      <c r="AJE85" s="610"/>
      <c r="AJF85" s="610"/>
      <c r="AJG85" s="610"/>
      <c r="AJH85" s="610"/>
      <c r="AJI85" s="610"/>
      <c r="AJJ85" s="610"/>
      <c r="AJK85" s="610"/>
      <c r="AJL85" s="610"/>
      <c r="AJM85" s="610"/>
      <c r="AJN85" s="610"/>
      <c r="AJO85" s="610"/>
      <c r="AJP85" s="610"/>
      <c r="AJQ85" s="610"/>
      <c r="AJR85" s="610"/>
      <c r="AJS85" s="610"/>
      <c r="AJT85" s="610"/>
      <c r="AJU85" s="610"/>
      <c r="AJV85" s="610"/>
      <c r="AJW85" s="610"/>
      <c r="AJX85" s="610"/>
      <c r="AJY85" s="610"/>
      <c r="AJZ85" s="610"/>
      <c r="AKA85" s="610"/>
      <c r="AKB85" s="610"/>
      <c r="AKC85" s="610"/>
      <c r="AKD85" s="610"/>
      <c r="AKE85" s="610"/>
      <c r="AKF85" s="610"/>
      <c r="AKG85" s="610"/>
      <c r="AKH85" s="610"/>
      <c r="AKI85" s="610"/>
      <c r="AKJ85" s="610"/>
      <c r="AKK85" s="610"/>
      <c r="AKL85" s="610"/>
      <c r="AKM85" s="610"/>
      <c r="AKN85" s="610"/>
      <c r="AKO85" s="610"/>
      <c r="AKP85" s="610"/>
      <c r="AKQ85" s="610"/>
      <c r="AKR85" s="610"/>
      <c r="AKS85" s="610"/>
      <c r="AKT85" s="610"/>
      <c r="AKU85" s="610"/>
      <c r="AKV85" s="610"/>
      <c r="AKW85" s="610"/>
      <c r="AKX85" s="610"/>
      <c r="AKY85" s="610"/>
      <c r="AKZ85" s="610"/>
      <c r="ALA85" s="610"/>
      <c r="ALB85" s="610"/>
      <c r="ALC85" s="610"/>
      <c r="ALD85" s="610"/>
      <c r="ALE85" s="610"/>
      <c r="ALF85" s="610"/>
      <c r="ALG85" s="610"/>
      <c r="ALH85" s="610"/>
      <c r="ALI85" s="610"/>
      <c r="ALJ85" s="610"/>
      <c r="ALK85" s="610"/>
      <c r="ALL85" s="610"/>
      <c r="ALM85" s="610"/>
      <c r="ALN85" s="610"/>
      <c r="ALO85" s="610"/>
      <c r="ALP85" s="610"/>
      <c r="ALQ85" s="610"/>
      <c r="ALR85" s="610"/>
      <c r="ALS85" s="610"/>
      <c r="ALT85" s="610"/>
      <c r="ALU85" s="610"/>
      <c r="ALV85" s="610"/>
      <c r="ALW85" s="610"/>
      <c r="ALX85" s="610"/>
      <c r="ALY85" s="610"/>
      <c r="ALZ85" s="610"/>
      <c r="AMA85" s="610"/>
      <c r="AMB85" s="610"/>
      <c r="AMC85" s="610"/>
      <c r="AMD85" s="610"/>
      <c r="AME85" s="610"/>
      <c r="AMF85" s="610"/>
      <c r="AMG85" s="610"/>
      <c r="AMH85" s="610"/>
      <c r="AMI85" s="610"/>
      <c r="AMJ85" s="610"/>
      <c r="AMK85" s="610"/>
      <c r="AML85" s="610"/>
      <c r="AMM85" s="610"/>
      <c r="AMN85" s="610"/>
      <c r="AMO85" s="610"/>
      <c r="AMP85" s="610"/>
      <c r="AMQ85" s="610"/>
      <c r="AMR85" s="610"/>
      <c r="AMS85" s="610"/>
      <c r="AMT85" s="610"/>
      <c r="AMU85" s="610"/>
      <c r="AMV85" s="610"/>
      <c r="AMW85" s="610"/>
      <c r="AMX85" s="610"/>
      <c r="AMY85" s="610"/>
      <c r="AMZ85" s="610"/>
      <c r="ANA85" s="610"/>
      <c r="ANB85" s="610"/>
      <c r="ANC85" s="610"/>
      <c r="AND85" s="610"/>
      <c r="ANE85" s="610"/>
      <c r="ANF85" s="610"/>
      <c r="ANG85" s="610"/>
      <c r="ANH85" s="610"/>
      <c r="ANI85" s="610"/>
      <c r="ANJ85" s="610"/>
      <c r="ANK85" s="610"/>
      <c r="ANL85" s="610"/>
      <c r="ANM85" s="610"/>
      <c r="ANN85" s="610"/>
      <c r="ANO85" s="610"/>
      <c r="ANP85" s="610"/>
      <c r="ANQ85" s="610"/>
      <c r="ANR85" s="610"/>
      <c r="ANS85" s="610"/>
      <c r="ANT85" s="610"/>
      <c r="ANU85" s="610"/>
      <c r="ANV85" s="610"/>
      <c r="ANW85" s="610"/>
      <c r="ANX85" s="610"/>
      <c r="ANY85" s="610"/>
      <c r="ANZ85" s="610"/>
      <c r="AOA85" s="610"/>
      <c r="AOB85" s="610"/>
      <c r="AOC85" s="610"/>
      <c r="AOD85" s="610"/>
      <c r="AOE85" s="610"/>
      <c r="AOF85" s="610"/>
      <c r="AOG85" s="610"/>
      <c r="AOH85" s="610"/>
      <c r="AOI85" s="610"/>
      <c r="AOJ85" s="610"/>
      <c r="AOK85" s="610"/>
      <c r="AOL85" s="610"/>
      <c r="AOM85" s="610"/>
      <c r="AON85" s="610"/>
      <c r="AOO85" s="610"/>
      <c r="AOP85" s="610"/>
      <c r="AOQ85" s="610"/>
      <c r="AOR85" s="610"/>
      <c r="AOS85" s="610"/>
      <c r="AOT85" s="610"/>
      <c r="AOU85" s="610"/>
      <c r="AOV85" s="610"/>
      <c r="AOW85" s="610"/>
      <c r="AOX85" s="610"/>
      <c r="AOY85" s="610"/>
      <c r="AOZ85" s="610"/>
      <c r="APA85" s="610"/>
      <c r="APB85" s="610"/>
      <c r="APC85" s="610"/>
      <c r="APD85" s="610"/>
      <c r="APE85" s="610"/>
      <c r="APF85" s="610"/>
      <c r="APG85" s="610"/>
      <c r="APH85" s="610"/>
      <c r="API85" s="610"/>
      <c r="APJ85" s="610"/>
      <c r="APK85" s="610"/>
      <c r="APL85" s="610"/>
      <c r="APM85" s="610"/>
      <c r="APN85" s="610"/>
      <c r="APO85" s="610"/>
      <c r="APP85" s="610"/>
      <c r="APQ85" s="610"/>
      <c r="APR85" s="610"/>
      <c r="APS85" s="610"/>
      <c r="APT85" s="610"/>
      <c r="APU85" s="610"/>
      <c r="APV85" s="610"/>
      <c r="APW85" s="610"/>
      <c r="APX85" s="610"/>
      <c r="APY85" s="610"/>
      <c r="APZ85" s="610"/>
      <c r="AQA85" s="610"/>
      <c r="AQB85" s="610"/>
      <c r="AQC85" s="610"/>
      <c r="AQD85" s="610"/>
      <c r="AQE85" s="610"/>
      <c r="AQF85" s="610"/>
      <c r="AQG85" s="610"/>
      <c r="AQH85" s="610"/>
      <c r="AQI85" s="610"/>
      <c r="AQJ85" s="610"/>
      <c r="AQK85" s="610"/>
      <c r="AQL85" s="610"/>
      <c r="AQM85" s="610"/>
      <c r="AQN85" s="610"/>
      <c r="AQO85" s="610"/>
      <c r="AQP85" s="610"/>
      <c r="AQQ85" s="610"/>
      <c r="AQR85" s="610"/>
      <c r="AQS85" s="610"/>
      <c r="AQT85" s="610"/>
      <c r="AQU85" s="610"/>
      <c r="AQV85" s="610"/>
      <c r="AQW85" s="610"/>
      <c r="AQX85" s="610"/>
      <c r="AQY85" s="610"/>
      <c r="AQZ85" s="610"/>
      <c r="ARA85" s="610"/>
      <c r="ARB85" s="610"/>
      <c r="ARC85" s="610"/>
      <c r="ARD85" s="610"/>
      <c r="ARE85" s="610"/>
      <c r="ARF85" s="610"/>
      <c r="ARG85" s="610"/>
      <c r="ARH85" s="610"/>
      <c r="ARI85" s="610"/>
      <c r="ARJ85" s="610"/>
      <c r="ARK85" s="610"/>
      <c r="ARL85" s="610"/>
      <c r="ARM85" s="610"/>
      <c r="ARN85" s="610"/>
      <c r="ARO85" s="610"/>
      <c r="ARP85" s="610"/>
      <c r="ARQ85" s="610"/>
      <c r="ARR85" s="610"/>
      <c r="ARS85" s="610"/>
      <c r="ART85" s="610"/>
      <c r="ARU85" s="610"/>
      <c r="ARV85" s="610"/>
      <c r="ARW85" s="610"/>
      <c r="ARX85" s="610"/>
      <c r="ARY85" s="610"/>
      <c r="ARZ85" s="610"/>
      <c r="ASA85" s="610"/>
      <c r="ASB85" s="610"/>
      <c r="ASC85" s="610"/>
      <c r="ASD85" s="610"/>
      <c r="ASE85" s="610"/>
      <c r="ASF85" s="610"/>
      <c r="ASG85" s="610"/>
      <c r="ASH85" s="610"/>
      <c r="ASI85" s="610"/>
      <c r="ASJ85" s="610"/>
      <c r="ASK85" s="610"/>
      <c r="ASL85" s="610"/>
      <c r="ASM85" s="610"/>
      <c r="ASN85" s="610"/>
      <c r="ASO85" s="610"/>
      <c r="ASP85" s="610"/>
      <c r="ASQ85" s="610"/>
      <c r="ASR85" s="610"/>
      <c r="ASS85" s="610"/>
      <c r="AST85" s="610"/>
      <c r="ASU85" s="610"/>
      <c r="ASV85" s="610"/>
      <c r="ASW85" s="610"/>
      <c r="ASX85" s="610"/>
      <c r="ASY85" s="610"/>
      <c r="ASZ85" s="610"/>
      <c r="ATA85" s="610"/>
      <c r="ATB85" s="610"/>
      <c r="ATC85" s="610"/>
      <c r="ATD85" s="610"/>
      <c r="ATE85" s="610"/>
      <c r="ATF85" s="610"/>
      <c r="ATG85" s="610"/>
      <c r="ATH85" s="610"/>
      <c r="ATI85" s="610"/>
      <c r="ATJ85" s="610"/>
      <c r="ATK85" s="610"/>
      <c r="ATL85" s="610"/>
      <c r="ATM85" s="610"/>
      <c r="ATN85" s="610"/>
      <c r="ATO85" s="610"/>
      <c r="ATP85" s="610"/>
      <c r="ATQ85" s="610"/>
      <c r="ATR85" s="610"/>
      <c r="ATS85" s="610"/>
      <c r="ATT85" s="610"/>
      <c r="ATU85" s="610"/>
      <c r="ATV85" s="610"/>
      <c r="ATW85" s="610"/>
      <c r="ATX85" s="610"/>
      <c r="ATY85" s="610"/>
      <c r="ATZ85" s="610"/>
      <c r="AUA85" s="610"/>
      <c r="AUB85" s="610"/>
      <c r="AUC85" s="610"/>
      <c r="AUD85" s="610"/>
      <c r="AUE85" s="610"/>
      <c r="AUF85" s="610"/>
      <c r="AUG85" s="610"/>
      <c r="AUH85" s="610"/>
      <c r="AUI85" s="610"/>
      <c r="AUJ85" s="610"/>
      <c r="AUK85" s="610"/>
      <c r="AUL85" s="610"/>
      <c r="AUM85" s="610"/>
      <c r="AUN85" s="610"/>
      <c r="AUO85" s="610"/>
      <c r="AUP85" s="610"/>
      <c r="AUQ85" s="610"/>
      <c r="AUR85" s="610"/>
      <c r="AUS85" s="610"/>
      <c r="AUT85" s="610"/>
      <c r="AUU85" s="610"/>
      <c r="AUV85" s="610"/>
      <c r="AUW85" s="610"/>
      <c r="AUX85" s="610"/>
      <c r="AUY85" s="610"/>
      <c r="AUZ85" s="610"/>
      <c r="AVA85" s="610"/>
      <c r="AVB85" s="610"/>
      <c r="AVC85" s="610"/>
      <c r="AVD85" s="610"/>
      <c r="AVE85" s="610"/>
      <c r="AVF85" s="610"/>
      <c r="AVG85" s="610"/>
      <c r="AVH85" s="610"/>
      <c r="AVI85" s="610"/>
      <c r="AVJ85" s="610"/>
      <c r="AVK85" s="610"/>
      <c r="AVL85" s="610"/>
      <c r="AVM85" s="610"/>
      <c r="AVN85" s="610"/>
      <c r="AVO85" s="610"/>
      <c r="AVP85" s="610"/>
      <c r="AVQ85" s="610"/>
      <c r="AVR85" s="610"/>
      <c r="AVS85" s="610"/>
      <c r="AVT85" s="610"/>
      <c r="AVU85" s="610"/>
      <c r="AVV85" s="610"/>
      <c r="AVW85" s="610"/>
      <c r="AVX85" s="610"/>
      <c r="AVY85" s="610"/>
      <c r="AVZ85" s="610"/>
      <c r="AWA85" s="610"/>
      <c r="AWB85" s="610"/>
      <c r="AWC85" s="610"/>
      <c r="AWD85" s="610"/>
      <c r="AWE85" s="610"/>
      <c r="AWF85" s="610"/>
      <c r="AWG85" s="610"/>
      <c r="AWH85" s="610"/>
      <c r="AWI85" s="610"/>
      <c r="AWJ85" s="610"/>
      <c r="AWK85" s="610"/>
      <c r="AWL85" s="610"/>
      <c r="AWM85" s="610"/>
      <c r="AWN85" s="610"/>
      <c r="AWO85" s="610"/>
      <c r="AWP85" s="610"/>
      <c r="AWQ85" s="610"/>
      <c r="AWR85" s="610"/>
      <c r="AWS85" s="610"/>
      <c r="AWT85" s="610"/>
      <c r="AWU85" s="610"/>
      <c r="AWV85" s="610"/>
      <c r="AWW85" s="610"/>
      <c r="AWX85" s="610"/>
      <c r="AWY85" s="610"/>
      <c r="AWZ85" s="610"/>
      <c r="AXA85" s="610"/>
      <c r="AXB85" s="610"/>
      <c r="AXC85" s="610"/>
      <c r="AXD85" s="610"/>
      <c r="AXE85" s="610"/>
      <c r="AXF85" s="610"/>
      <c r="AXG85" s="610"/>
      <c r="AXH85" s="610"/>
      <c r="AXI85" s="610"/>
      <c r="AXJ85" s="610"/>
      <c r="AXK85" s="610"/>
      <c r="AXL85" s="610"/>
      <c r="AXM85" s="610"/>
      <c r="AXN85" s="610"/>
      <c r="AXO85" s="610"/>
      <c r="AXP85" s="610"/>
      <c r="AXQ85" s="610"/>
      <c r="AXR85" s="610"/>
      <c r="AXS85" s="610"/>
      <c r="AXT85" s="610"/>
      <c r="AXU85" s="610"/>
      <c r="AXV85" s="610"/>
      <c r="AXW85" s="610"/>
      <c r="AXX85" s="610"/>
      <c r="AXY85" s="610"/>
      <c r="AXZ85" s="610"/>
      <c r="AYA85" s="610"/>
      <c r="AYB85" s="610"/>
      <c r="AYC85" s="610"/>
      <c r="AYD85" s="610"/>
      <c r="AYE85" s="610"/>
      <c r="AYF85" s="610"/>
      <c r="AYG85" s="610"/>
      <c r="AYH85" s="610"/>
      <c r="AYI85" s="610"/>
      <c r="AYJ85" s="610"/>
      <c r="AYK85" s="610"/>
      <c r="AYL85" s="610"/>
      <c r="AYM85" s="610"/>
      <c r="AYN85" s="610"/>
      <c r="AYO85" s="610"/>
      <c r="AYP85" s="610"/>
      <c r="AYQ85" s="610"/>
      <c r="AYR85" s="610"/>
      <c r="AYS85" s="610"/>
      <c r="AYT85" s="610"/>
      <c r="AYU85" s="610"/>
      <c r="AYV85" s="610"/>
      <c r="AYW85" s="610"/>
      <c r="AYX85" s="610"/>
      <c r="AYY85" s="610"/>
      <c r="AYZ85" s="610"/>
      <c r="AZA85" s="610"/>
      <c r="AZB85" s="610"/>
      <c r="AZC85" s="610"/>
      <c r="AZD85" s="610"/>
      <c r="AZE85" s="610"/>
      <c r="AZF85" s="610"/>
      <c r="AZG85" s="610"/>
      <c r="AZH85" s="610"/>
      <c r="AZI85" s="610"/>
      <c r="AZJ85" s="610"/>
      <c r="AZK85" s="610"/>
      <c r="AZL85" s="610"/>
      <c r="AZM85" s="610"/>
      <c r="AZN85" s="610"/>
      <c r="AZO85" s="610"/>
      <c r="AZP85" s="610"/>
      <c r="AZQ85" s="610"/>
      <c r="AZR85" s="610"/>
      <c r="AZS85" s="610"/>
      <c r="AZT85" s="610"/>
      <c r="AZU85" s="610"/>
      <c r="AZV85" s="610"/>
      <c r="AZW85" s="610"/>
      <c r="AZX85" s="610"/>
      <c r="AZY85" s="610"/>
      <c r="AZZ85" s="610"/>
      <c r="BAA85" s="610"/>
      <c r="BAB85" s="610"/>
      <c r="BAC85" s="610"/>
      <c r="BAD85" s="610"/>
      <c r="BAE85" s="610"/>
      <c r="BAF85" s="610"/>
      <c r="BAG85" s="610"/>
      <c r="BAH85" s="610"/>
      <c r="BAI85" s="610"/>
      <c r="BAJ85" s="610"/>
      <c r="BAK85" s="610"/>
      <c r="BAL85" s="610"/>
      <c r="BAM85" s="610"/>
      <c r="BAN85" s="610"/>
      <c r="BAO85" s="610"/>
      <c r="BAP85" s="610"/>
      <c r="BAQ85" s="610"/>
      <c r="BAR85" s="610"/>
      <c r="BAS85" s="610"/>
      <c r="BAT85" s="610"/>
      <c r="BAU85" s="610"/>
      <c r="BAV85" s="610"/>
      <c r="BAW85" s="610"/>
      <c r="BAX85" s="610"/>
      <c r="BAY85" s="610"/>
      <c r="BAZ85" s="610"/>
      <c r="BBA85" s="610"/>
      <c r="BBB85" s="610"/>
      <c r="BBC85" s="610"/>
      <c r="BBD85" s="610"/>
      <c r="BBE85" s="610"/>
      <c r="BBF85" s="610"/>
      <c r="BBG85" s="610"/>
      <c r="BBH85" s="610"/>
      <c r="BBI85" s="610"/>
      <c r="BBJ85" s="610"/>
      <c r="BBK85" s="610"/>
      <c r="BBL85" s="610"/>
      <c r="BBM85" s="610"/>
      <c r="BBN85" s="610"/>
      <c r="BBO85" s="610"/>
      <c r="BBP85" s="610"/>
      <c r="BBQ85" s="610"/>
      <c r="BBR85" s="610"/>
      <c r="BBS85" s="610"/>
      <c r="BBT85" s="610"/>
      <c r="BBU85" s="610"/>
      <c r="BBV85" s="610"/>
      <c r="BBW85" s="610"/>
      <c r="BBX85" s="610"/>
      <c r="BBY85" s="610"/>
      <c r="BBZ85" s="610"/>
      <c r="BCA85" s="610"/>
      <c r="BCB85" s="610"/>
      <c r="BCC85" s="610"/>
      <c r="BCD85" s="610"/>
      <c r="BCE85" s="610"/>
      <c r="BCF85" s="610"/>
      <c r="BCG85" s="610"/>
      <c r="BCH85" s="610"/>
      <c r="BCI85" s="610"/>
      <c r="BCJ85" s="610"/>
      <c r="BCK85" s="610"/>
      <c r="BCL85" s="610"/>
      <c r="BCM85" s="610"/>
      <c r="BCN85" s="610"/>
      <c r="BCO85" s="610"/>
      <c r="BCP85" s="610"/>
      <c r="BCQ85" s="610"/>
      <c r="BCR85" s="610"/>
      <c r="BCS85" s="610"/>
      <c r="BCT85" s="610"/>
      <c r="BCU85" s="610"/>
      <c r="BCV85" s="610"/>
      <c r="BCW85" s="610"/>
      <c r="BCX85" s="610"/>
      <c r="BCY85" s="610"/>
      <c r="BCZ85" s="610"/>
      <c r="BDA85" s="610"/>
      <c r="BDB85" s="610"/>
      <c r="BDC85" s="610"/>
      <c r="BDD85" s="610"/>
      <c r="BDE85" s="610"/>
      <c r="BDF85" s="610"/>
      <c r="BDG85" s="610"/>
      <c r="BDH85" s="610"/>
      <c r="BDI85" s="610"/>
      <c r="BDJ85" s="610"/>
      <c r="BDK85" s="610"/>
      <c r="BDL85" s="610"/>
      <c r="BDM85" s="610"/>
      <c r="BDN85" s="610"/>
      <c r="BDO85" s="610"/>
      <c r="BDP85" s="610"/>
      <c r="BDQ85" s="610"/>
      <c r="BDR85" s="610"/>
      <c r="BDS85" s="610"/>
      <c r="BDT85" s="610"/>
      <c r="BDU85" s="610"/>
      <c r="BDV85" s="610"/>
      <c r="BDW85" s="610"/>
      <c r="BDX85" s="610"/>
      <c r="BDY85" s="610"/>
      <c r="BDZ85" s="610"/>
      <c r="BEA85" s="610"/>
      <c r="BEB85" s="610"/>
      <c r="BEC85" s="610"/>
      <c r="BED85" s="610"/>
      <c r="BEE85" s="610"/>
      <c r="BEF85" s="610"/>
      <c r="BEG85" s="610"/>
      <c r="BEH85" s="610"/>
      <c r="BEI85" s="610"/>
      <c r="BEJ85" s="610"/>
      <c r="BEK85" s="610"/>
      <c r="BEL85" s="610"/>
      <c r="BEM85" s="610"/>
      <c r="BEN85" s="610"/>
      <c r="BEO85" s="610"/>
      <c r="BEP85" s="610"/>
      <c r="BEQ85" s="610"/>
      <c r="BER85" s="610"/>
      <c r="BES85" s="610"/>
      <c r="BET85" s="610"/>
      <c r="BEU85" s="610"/>
      <c r="BEV85" s="610"/>
      <c r="BEW85" s="610"/>
      <c r="BEX85" s="610"/>
      <c r="BEY85" s="610"/>
      <c r="BEZ85" s="610"/>
      <c r="BFA85" s="610"/>
      <c r="BFB85" s="610"/>
      <c r="BFC85" s="610"/>
      <c r="BFD85" s="610"/>
      <c r="BFE85" s="610"/>
      <c r="BFF85" s="610"/>
      <c r="BFG85" s="610"/>
      <c r="BFH85" s="610"/>
      <c r="BFI85" s="610"/>
      <c r="BFJ85" s="610"/>
      <c r="BFK85" s="610"/>
      <c r="BFL85" s="610"/>
      <c r="BFM85" s="610"/>
      <c r="BFN85" s="610"/>
      <c r="BFO85" s="610"/>
      <c r="BFP85" s="610"/>
      <c r="BFQ85" s="610"/>
      <c r="BFR85" s="610"/>
      <c r="BFS85" s="610"/>
      <c r="BFT85" s="610"/>
      <c r="BFU85" s="610"/>
      <c r="BFV85" s="610"/>
      <c r="BFW85" s="610"/>
      <c r="BFX85" s="610"/>
      <c r="BFY85" s="610"/>
      <c r="BFZ85" s="610"/>
      <c r="BGA85" s="610"/>
      <c r="BGB85" s="610"/>
      <c r="BGC85" s="610"/>
      <c r="BGD85" s="610"/>
      <c r="BGE85" s="610"/>
      <c r="BGF85" s="610"/>
      <c r="BGG85" s="610"/>
      <c r="BGH85" s="610"/>
      <c r="BGI85" s="610"/>
      <c r="BGJ85" s="610"/>
      <c r="BGK85" s="610"/>
      <c r="BGL85" s="610"/>
      <c r="BGM85" s="610"/>
      <c r="BGN85" s="610"/>
      <c r="BGO85" s="610"/>
      <c r="BGP85" s="610"/>
      <c r="BGQ85" s="610"/>
      <c r="BGR85" s="610"/>
      <c r="BGS85" s="610"/>
      <c r="BGT85" s="610"/>
      <c r="BGU85" s="610"/>
      <c r="BGV85" s="610"/>
      <c r="BGW85" s="610"/>
      <c r="BGX85" s="610"/>
      <c r="BGY85" s="610"/>
      <c r="BGZ85" s="610"/>
      <c r="BHA85" s="610"/>
      <c r="BHB85" s="610"/>
      <c r="BHC85" s="610"/>
      <c r="BHD85" s="610"/>
      <c r="BHE85" s="610"/>
      <c r="BHF85" s="610"/>
      <c r="BHG85" s="610"/>
      <c r="BHH85" s="610"/>
      <c r="BHI85" s="610"/>
      <c r="BHJ85" s="610"/>
      <c r="BHK85" s="610"/>
      <c r="BHL85" s="610"/>
      <c r="BHM85" s="610"/>
      <c r="BHN85" s="610"/>
      <c r="BHO85" s="610"/>
      <c r="BHP85" s="610"/>
      <c r="BHQ85" s="610"/>
      <c r="BHR85" s="610"/>
      <c r="BHS85" s="610"/>
      <c r="BHT85" s="610"/>
      <c r="BHU85" s="610"/>
      <c r="BHV85" s="610"/>
      <c r="BHW85" s="610"/>
      <c r="BHX85" s="610"/>
      <c r="BHY85" s="610"/>
      <c r="BHZ85" s="610"/>
      <c r="BIA85" s="610"/>
      <c r="BIB85" s="610"/>
      <c r="BIC85" s="610"/>
      <c r="BID85" s="610"/>
      <c r="BIE85" s="610"/>
      <c r="BIF85" s="610"/>
      <c r="BIG85" s="610"/>
      <c r="BIH85" s="610"/>
      <c r="BII85" s="610"/>
      <c r="BIJ85" s="610"/>
      <c r="BIK85" s="610"/>
      <c r="BIL85" s="610"/>
      <c r="BIM85" s="610"/>
      <c r="BIN85" s="610"/>
      <c r="BIO85" s="610"/>
      <c r="BIP85" s="610"/>
      <c r="BIQ85" s="610"/>
      <c r="BIR85" s="610"/>
      <c r="BIS85" s="610"/>
      <c r="BIT85" s="610"/>
      <c r="BIU85" s="610"/>
      <c r="BIV85" s="610"/>
      <c r="BIW85" s="610"/>
      <c r="BIX85" s="610"/>
      <c r="BIY85" s="610"/>
      <c r="BIZ85" s="610"/>
      <c r="BJA85" s="610"/>
      <c r="BJB85" s="610"/>
      <c r="BJC85" s="610"/>
      <c r="BJD85" s="610"/>
      <c r="BJE85" s="610"/>
      <c r="BJF85" s="610"/>
      <c r="BJG85" s="610"/>
      <c r="BJH85" s="610"/>
      <c r="BJI85" s="610"/>
      <c r="BJJ85" s="610"/>
      <c r="BJK85" s="610"/>
      <c r="BJL85" s="610"/>
      <c r="BJM85" s="610"/>
      <c r="BJN85" s="610"/>
      <c r="BJO85" s="610"/>
      <c r="BJP85" s="610"/>
      <c r="BJQ85" s="610"/>
      <c r="BJR85" s="610"/>
      <c r="BJS85" s="610"/>
      <c r="BJT85" s="610"/>
      <c r="BJU85" s="610"/>
      <c r="BJV85" s="610"/>
      <c r="BJW85" s="610"/>
      <c r="BJX85" s="610"/>
      <c r="BJY85" s="610"/>
      <c r="BJZ85" s="610"/>
      <c r="BKA85" s="610"/>
      <c r="BKB85" s="610"/>
      <c r="BKC85" s="610"/>
      <c r="BKD85" s="610"/>
      <c r="BKE85" s="610"/>
      <c r="BKF85" s="610"/>
      <c r="BKG85" s="610"/>
      <c r="BKH85" s="610"/>
      <c r="BKI85" s="610"/>
      <c r="BKJ85" s="610"/>
      <c r="BKK85" s="610"/>
      <c r="BKL85" s="610"/>
      <c r="BKM85" s="610"/>
      <c r="BKN85" s="610"/>
      <c r="BKO85" s="610"/>
      <c r="BKP85" s="610"/>
      <c r="BKQ85" s="610"/>
      <c r="BKR85" s="610"/>
      <c r="BKS85" s="610"/>
      <c r="BKT85" s="610"/>
      <c r="BKU85" s="610"/>
      <c r="BKV85" s="610"/>
      <c r="BKW85" s="610"/>
      <c r="BKX85" s="610"/>
      <c r="BKY85" s="610"/>
      <c r="BKZ85" s="610"/>
      <c r="BLA85" s="610"/>
      <c r="BLB85" s="610"/>
      <c r="BLC85" s="610"/>
      <c r="BLD85" s="610"/>
      <c r="BLE85" s="610"/>
      <c r="BLF85" s="610"/>
      <c r="BLG85" s="610"/>
      <c r="BLH85" s="610"/>
      <c r="BLI85" s="610"/>
      <c r="BLJ85" s="610"/>
      <c r="BLK85" s="610"/>
      <c r="BLL85" s="610"/>
      <c r="BLM85" s="610"/>
      <c r="BLN85" s="610"/>
      <c r="BLO85" s="610"/>
      <c r="BLP85" s="610"/>
      <c r="BLQ85" s="610"/>
      <c r="BLR85" s="610"/>
      <c r="BLS85" s="610"/>
      <c r="BLT85" s="610"/>
      <c r="BLU85" s="610"/>
      <c r="BLV85" s="610"/>
      <c r="BLW85" s="610"/>
      <c r="BLX85" s="610"/>
      <c r="BLY85" s="610"/>
      <c r="BLZ85" s="610"/>
      <c r="BMA85" s="610"/>
      <c r="BMB85" s="610"/>
      <c r="BMC85" s="610"/>
      <c r="BMD85" s="610"/>
      <c r="BME85" s="610"/>
      <c r="BMF85" s="610"/>
      <c r="BMG85" s="610"/>
      <c r="BMH85" s="610"/>
      <c r="BMI85" s="610"/>
      <c r="BMJ85" s="610"/>
      <c r="BMK85" s="610"/>
      <c r="BML85" s="610"/>
      <c r="BMM85" s="610"/>
      <c r="BMN85" s="610"/>
      <c r="BMO85" s="610"/>
      <c r="BMP85" s="610"/>
      <c r="BMQ85" s="610"/>
      <c r="BMR85" s="610"/>
      <c r="BMS85" s="610"/>
      <c r="BMT85" s="610"/>
      <c r="BMU85" s="610"/>
      <c r="BMV85" s="610"/>
      <c r="BMW85" s="610"/>
      <c r="BMX85" s="610"/>
      <c r="BMY85" s="610"/>
      <c r="BMZ85" s="610"/>
      <c r="BNA85" s="610"/>
      <c r="BNB85" s="610"/>
      <c r="BNC85" s="610"/>
      <c r="BND85" s="610"/>
      <c r="BNE85" s="610"/>
      <c r="BNF85" s="610"/>
      <c r="BNG85" s="610"/>
      <c r="BNH85" s="610"/>
      <c r="BNI85" s="610"/>
      <c r="BNJ85" s="610"/>
      <c r="BNK85" s="610"/>
      <c r="BNL85" s="610"/>
      <c r="BNM85" s="610"/>
      <c r="BNN85" s="610"/>
      <c r="BNO85" s="610"/>
      <c r="BNP85" s="610"/>
      <c r="BNQ85" s="610"/>
      <c r="BNR85" s="610"/>
      <c r="BNS85" s="610"/>
      <c r="BNT85" s="610"/>
      <c r="BNU85" s="610"/>
      <c r="BNV85" s="610"/>
      <c r="BNW85" s="610"/>
      <c r="BNX85" s="610"/>
      <c r="BNY85" s="610"/>
      <c r="BNZ85" s="610"/>
      <c r="BOA85" s="610"/>
      <c r="BOB85" s="610"/>
      <c r="BOC85" s="610"/>
      <c r="BOD85" s="610"/>
      <c r="BOE85" s="610"/>
      <c r="BOF85" s="610"/>
      <c r="BOG85" s="610"/>
      <c r="BOH85" s="610"/>
      <c r="BOI85" s="610"/>
      <c r="BOJ85" s="610"/>
      <c r="BOK85" s="610"/>
      <c r="BOL85" s="610"/>
      <c r="BOM85" s="610"/>
      <c r="BON85" s="610"/>
      <c r="BOO85" s="610"/>
      <c r="BOP85" s="610"/>
      <c r="BOQ85" s="610"/>
      <c r="BOR85" s="610"/>
      <c r="BOS85" s="610"/>
      <c r="BOT85" s="610"/>
      <c r="BOU85" s="610"/>
      <c r="BOV85" s="610"/>
      <c r="BOW85" s="610"/>
      <c r="BOX85" s="610"/>
      <c r="BOY85" s="610"/>
      <c r="BOZ85" s="610"/>
      <c r="BPA85" s="610"/>
      <c r="BPB85" s="610"/>
      <c r="BPC85" s="610"/>
      <c r="BPD85" s="610"/>
      <c r="BPE85" s="610"/>
      <c r="BPF85" s="610"/>
      <c r="BPG85" s="610"/>
      <c r="BPH85" s="610"/>
      <c r="BPI85" s="610"/>
      <c r="BPJ85" s="610"/>
      <c r="BPK85" s="610"/>
      <c r="BPL85" s="610"/>
      <c r="BPM85" s="610"/>
      <c r="BPN85" s="610"/>
      <c r="BPO85" s="610"/>
      <c r="BPP85" s="610"/>
      <c r="BPQ85" s="610"/>
      <c r="BPR85" s="610"/>
      <c r="BPS85" s="610"/>
      <c r="BPT85" s="610"/>
      <c r="BPU85" s="610"/>
      <c r="BPV85" s="610"/>
      <c r="BPW85" s="610"/>
      <c r="BPX85" s="610"/>
      <c r="BPY85" s="610"/>
      <c r="BPZ85" s="610"/>
      <c r="BQA85" s="610"/>
      <c r="BQB85" s="610"/>
      <c r="BQC85" s="610"/>
      <c r="BQD85" s="610"/>
      <c r="BQE85" s="610"/>
      <c r="BQF85" s="610"/>
      <c r="BQG85" s="610"/>
      <c r="BQH85" s="610"/>
      <c r="BQI85" s="610"/>
      <c r="BQJ85" s="610"/>
      <c r="BQK85" s="610"/>
      <c r="BQL85" s="610"/>
      <c r="BQM85" s="610"/>
      <c r="BQN85" s="610"/>
      <c r="BQO85" s="610"/>
      <c r="BQP85" s="610"/>
      <c r="BQQ85" s="610"/>
      <c r="BQR85" s="610"/>
      <c r="BQS85" s="610"/>
      <c r="BQT85" s="610"/>
      <c r="BQU85" s="610"/>
      <c r="BQV85" s="610"/>
      <c r="BQW85" s="610"/>
      <c r="BQX85" s="610"/>
      <c r="BQY85" s="610"/>
      <c r="BQZ85" s="610"/>
      <c r="BRA85" s="610"/>
      <c r="BRB85" s="610"/>
      <c r="BRC85" s="610"/>
      <c r="BRD85" s="610"/>
      <c r="BRE85" s="610"/>
      <c r="BRF85" s="610"/>
      <c r="BRG85" s="610"/>
      <c r="BRH85" s="610"/>
      <c r="BRI85" s="610"/>
      <c r="BRJ85" s="610"/>
      <c r="BRK85" s="610"/>
      <c r="BRL85" s="610"/>
      <c r="BRM85" s="610"/>
      <c r="BRN85" s="610"/>
      <c r="BRO85" s="610"/>
      <c r="BRP85" s="610"/>
      <c r="BRQ85" s="610"/>
      <c r="BRR85" s="610"/>
      <c r="BRS85" s="610"/>
      <c r="BRT85" s="610"/>
      <c r="BRU85" s="610"/>
      <c r="BRV85" s="610"/>
      <c r="BRW85" s="610"/>
      <c r="BRX85" s="610"/>
      <c r="BRY85" s="610"/>
      <c r="BRZ85" s="610"/>
      <c r="BSA85" s="610"/>
      <c r="BSB85" s="610"/>
      <c r="BSC85" s="610"/>
      <c r="BSD85" s="610"/>
      <c r="BSE85" s="610"/>
      <c r="BSF85" s="610"/>
      <c r="BSG85" s="610"/>
      <c r="BSH85" s="610"/>
      <c r="BSI85" s="610"/>
      <c r="BSJ85" s="610"/>
      <c r="BSK85" s="610"/>
      <c r="BSL85" s="610"/>
      <c r="BSM85" s="610"/>
      <c r="BSN85" s="610"/>
      <c r="BSO85" s="610"/>
      <c r="BSP85" s="610"/>
      <c r="BSQ85" s="610"/>
      <c r="BSR85" s="610"/>
      <c r="BSS85" s="610"/>
      <c r="BST85" s="610"/>
      <c r="BSU85" s="610"/>
      <c r="BSV85" s="610"/>
      <c r="BSW85" s="610"/>
      <c r="BSX85" s="610"/>
      <c r="BSY85" s="610"/>
      <c r="BSZ85" s="610"/>
      <c r="BTA85" s="610"/>
      <c r="BTB85" s="610"/>
      <c r="BTC85" s="610"/>
      <c r="BTD85" s="610"/>
      <c r="BTE85" s="610"/>
      <c r="BTF85" s="610"/>
      <c r="BTG85" s="610"/>
      <c r="BTH85" s="610"/>
      <c r="BTI85" s="610"/>
    </row>
    <row r="86" spans="1:1881" ht="48" customHeight="1" x14ac:dyDescent="0.25">
      <c r="A86" s="188">
        <v>381</v>
      </c>
      <c r="B86" s="64" t="s">
        <v>42</v>
      </c>
      <c r="C86" s="159" t="s">
        <v>184</v>
      </c>
      <c r="D86" s="131" t="s">
        <v>138</v>
      </c>
      <c r="E86" s="32" t="e">
        <f>HLOOKUP($D$2,'2019 Data(H)'!$C$1:$CP$300,140,FALSE)</f>
        <v>#N/A</v>
      </c>
      <c r="F86" s="624"/>
      <c r="G86" s="395">
        <f>IF(F84&gt;F86,"Error: Please review components of current assets above. Account numbers 654&gt;381",)</f>
        <v>0</v>
      </c>
      <c r="H86" s="13"/>
      <c r="I86" s="31"/>
    </row>
    <row r="87" spans="1:1881" s="225" customFormat="1" ht="67.5" customHeight="1" x14ac:dyDescent="0.25">
      <c r="A87" s="188">
        <v>578</v>
      </c>
      <c r="B87" s="150" t="s">
        <v>66</v>
      </c>
      <c r="C87" s="182" t="s">
        <v>184</v>
      </c>
      <c r="D87" s="310" t="s">
        <v>656</v>
      </c>
      <c r="E87" s="32" t="e">
        <f>HLOOKUP($D$2,'2019 Data(H)'!$C$1:$CP$300,228,FALSE)</f>
        <v>#N/A</v>
      </c>
      <c r="F87" s="624"/>
      <c r="G87" s="395"/>
      <c r="H87" s="149"/>
      <c r="I87" s="297"/>
      <c r="J87" s="394"/>
      <c r="K87" s="394"/>
      <c r="L87" s="394"/>
      <c r="M87" s="394"/>
      <c r="N87"/>
      <c r="O87" s="394"/>
      <c r="P87" s="394"/>
      <c r="Q87" s="394"/>
      <c r="R87" s="394"/>
      <c r="S87" s="394"/>
      <c r="T87" s="394"/>
      <c r="U87" s="394"/>
      <c r="V87" s="394"/>
      <c r="W87" s="394"/>
      <c r="X87" s="394"/>
      <c r="Y87" s="394"/>
      <c r="Z87" s="394"/>
      <c r="AA87" s="394"/>
      <c r="AB87" s="394"/>
      <c r="AC87" s="394"/>
      <c r="AD87" s="394"/>
      <c r="AE87" s="394"/>
      <c r="AF87" s="394"/>
      <c r="AG87" s="394"/>
      <c r="AH87" s="394"/>
      <c r="AI87" s="394"/>
      <c r="AJ87" s="394"/>
      <c r="AK87" s="394"/>
      <c r="AL87" s="394"/>
      <c r="AM87" s="394"/>
      <c r="AN87" s="394"/>
      <c r="AO87" s="394"/>
      <c r="AP87" s="394"/>
      <c r="AQ87" s="394"/>
      <c r="AR87" s="394"/>
      <c r="AS87" s="394"/>
      <c r="AT87" s="394"/>
      <c r="AU87" s="394"/>
      <c r="AV87" s="394"/>
      <c r="AW87" s="394"/>
      <c r="AX87" s="394"/>
      <c r="AY87" s="394"/>
      <c r="AZ87" s="394"/>
      <c r="BA87" s="394"/>
      <c r="BB87" s="394"/>
      <c r="BC87" s="394"/>
      <c r="BD87" s="394"/>
      <c r="BE87" s="394"/>
      <c r="BF87" s="394"/>
      <c r="BG87" s="394"/>
      <c r="BH87" s="394"/>
      <c r="BI87" s="394"/>
      <c r="BJ87" s="394"/>
      <c r="BK87" s="394"/>
      <c r="BL87" s="394"/>
      <c r="BM87" s="394"/>
      <c r="BN87" s="394"/>
      <c r="BO87" s="394"/>
      <c r="BP87" s="394"/>
      <c r="BQ87" s="394"/>
      <c r="BR87" s="394"/>
      <c r="BS87" s="394"/>
      <c r="BT87" s="394"/>
      <c r="BU87" s="394"/>
      <c r="BV87" s="394"/>
      <c r="BW87" s="394"/>
      <c r="BX87" s="394"/>
      <c r="BY87" s="394"/>
      <c r="BZ87" s="394"/>
      <c r="CA87" s="394"/>
      <c r="CB87" s="394"/>
      <c r="CC87" s="394"/>
      <c r="CD87" s="394"/>
      <c r="CE87" s="394"/>
      <c r="CF87" s="394"/>
      <c r="CG87" s="394"/>
      <c r="CH87" s="394"/>
      <c r="CI87" s="394"/>
      <c r="CJ87" s="394"/>
      <c r="CK87" s="394"/>
      <c r="CL87" s="394"/>
      <c r="CM87" s="394"/>
      <c r="CN87" s="394"/>
      <c r="CO87" s="394"/>
      <c r="CP87" s="394"/>
      <c r="CQ87" s="394"/>
      <c r="CR87" s="394"/>
      <c r="CS87" s="394"/>
      <c r="CT87" s="394"/>
      <c r="CU87" s="394"/>
      <c r="CV87" s="394"/>
      <c r="CW87" s="394"/>
      <c r="CX87" s="394"/>
      <c r="CY87" s="394"/>
      <c r="CZ87" s="394"/>
      <c r="DA87" s="394"/>
      <c r="DB87" s="394"/>
      <c r="DC87" s="394"/>
      <c r="DD87" s="394"/>
      <c r="DE87" s="394"/>
      <c r="DF87" s="394"/>
      <c r="DG87" s="394"/>
      <c r="DH87" s="394"/>
      <c r="DI87" s="394"/>
      <c r="DJ87" s="394"/>
      <c r="DK87" s="394"/>
      <c r="DL87" s="394"/>
      <c r="DM87" s="394"/>
      <c r="DN87" s="394"/>
      <c r="DO87" s="394"/>
      <c r="DP87" s="394"/>
      <c r="DQ87" s="394"/>
      <c r="DR87" s="394"/>
      <c r="DS87" s="394"/>
      <c r="DT87" s="394"/>
      <c r="DU87" s="394"/>
      <c r="DV87" s="394"/>
      <c r="DW87" s="394"/>
      <c r="DX87" s="394"/>
      <c r="DY87" s="394"/>
      <c r="DZ87" s="394"/>
      <c r="EA87" s="394"/>
      <c r="EB87" s="394"/>
      <c r="EC87" s="394"/>
      <c r="ED87" s="394"/>
      <c r="EE87" s="394"/>
      <c r="EF87" s="394"/>
      <c r="EG87" s="394"/>
      <c r="EH87" s="394"/>
      <c r="EI87" s="394"/>
      <c r="EJ87" s="394"/>
      <c r="EK87" s="394"/>
      <c r="EL87" s="394"/>
      <c r="EM87" s="394"/>
      <c r="EN87" s="394"/>
      <c r="EO87" s="394"/>
      <c r="EP87" s="394"/>
      <c r="EQ87" s="394"/>
      <c r="ER87" s="394"/>
      <c r="ES87" s="394"/>
      <c r="ET87" s="394"/>
      <c r="EU87" s="394"/>
      <c r="EV87" s="394"/>
      <c r="EW87" s="394"/>
      <c r="EX87" s="394"/>
      <c r="EY87" s="394"/>
      <c r="EZ87" s="394"/>
      <c r="FA87" s="394"/>
      <c r="FB87" s="394"/>
      <c r="FC87" s="394"/>
      <c r="FD87" s="394"/>
      <c r="FE87" s="394"/>
      <c r="FF87" s="394"/>
      <c r="FG87" s="394"/>
      <c r="FH87" s="394"/>
      <c r="FI87" s="394"/>
      <c r="FJ87" s="394"/>
      <c r="FK87" s="394"/>
      <c r="FL87" s="394"/>
      <c r="FM87" s="394"/>
      <c r="FN87" s="394"/>
      <c r="FO87" s="394"/>
      <c r="FP87" s="394"/>
      <c r="FQ87" s="394"/>
      <c r="FR87" s="394"/>
      <c r="FS87" s="394"/>
      <c r="FT87" s="394"/>
      <c r="FU87" s="394"/>
      <c r="FV87" s="394"/>
      <c r="FW87" s="394"/>
      <c r="FX87" s="394"/>
      <c r="FY87" s="394"/>
      <c r="FZ87" s="394"/>
      <c r="GA87" s="394"/>
      <c r="GB87" s="394"/>
      <c r="GC87" s="394"/>
      <c r="GD87" s="394"/>
      <c r="GE87" s="394"/>
      <c r="GF87" s="394"/>
      <c r="GG87" s="394"/>
      <c r="GH87" s="394"/>
      <c r="GI87" s="394"/>
      <c r="GJ87" s="394"/>
      <c r="GK87" s="394"/>
      <c r="GL87" s="394"/>
      <c r="GM87" s="394"/>
      <c r="GN87" s="394"/>
      <c r="GO87" s="394"/>
      <c r="GP87" s="394"/>
      <c r="GQ87" s="394"/>
      <c r="GR87" s="394"/>
      <c r="GS87" s="394"/>
      <c r="GT87" s="394"/>
      <c r="GU87" s="394"/>
      <c r="GV87" s="394"/>
      <c r="GW87" s="394"/>
      <c r="GX87" s="394"/>
      <c r="GY87" s="394"/>
      <c r="GZ87" s="394"/>
      <c r="HA87" s="394"/>
      <c r="HB87" s="394"/>
      <c r="HC87" s="394"/>
      <c r="HD87" s="394"/>
      <c r="HE87" s="394"/>
      <c r="HF87" s="394"/>
      <c r="HG87" s="394"/>
      <c r="HH87" s="394"/>
      <c r="HI87" s="394"/>
      <c r="HJ87" s="394"/>
      <c r="HK87" s="394"/>
      <c r="HL87" s="394"/>
      <c r="HM87" s="394"/>
      <c r="HN87" s="394"/>
      <c r="HO87" s="394"/>
      <c r="HP87" s="394"/>
      <c r="HQ87" s="394"/>
      <c r="HR87" s="394"/>
      <c r="HS87" s="394"/>
      <c r="HT87" s="394"/>
      <c r="HU87" s="394"/>
      <c r="HV87" s="394"/>
      <c r="HW87" s="394"/>
      <c r="HX87" s="394"/>
      <c r="HY87" s="394"/>
      <c r="HZ87" s="394"/>
      <c r="IA87" s="394"/>
      <c r="IB87" s="394"/>
      <c r="IC87" s="394"/>
      <c r="ID87" s="394"/>
      <c r="IE87" s="394"/>
      <c r="IF87" s="394"/>
      <c r="IG87" s="394"/>
      <c r="IH87" s="394"/>
      <c r="II87" s="394"/>
      <c r="IJ87" s="394"/>
      <c r="IK87" s="394"/>
      <c r="IL87" s="394"/>
      <c r="IM87" s="394"/>
      <c r="IN87" s="394"/>
      <c r="IO87" s="394"/>
      <c r="IP87" s="394"/>
      <c r="IQ87" s="394"/>
      <c r="IR87" s="394"/>
      <c r="IS87" s="394"/>
      <c r="IT87" s="394"/>
      <c r="IU87" s="394"/>
      <c r="IV87" s="394"/>
      <c r="IW87" s="394"/>
      <c r="IX87" s="394"/>
      <c r="IY87" s="394"/>
      <c r="IZ87" s="394"/>
      <c r="JA87" s="394"/>
      <c r="JB87" s="394"/>
      <c r="JC87" s="394"/>
      <c r="JD87" s="394"/>
      <c r="JE87" s="394"/>
      <c r="JF87" s="394"/>
      <c r="JG87" s="394"/>
      <c r="JH87" s="394"/>
      <c r="JI87" s="394"/>
      <c r="JJ87" s="394"/>
      <c r="JK87" s="394"/>
      <c r="JL87" s="394"/>
      <c r="JM87" s="394"/>
      <c r="JN87" s="394"/>
      <c r="JO87" s="394"/>
      <c r="JP87" s="394"/>
      <c r="JQ87" s="394"/>
      <c r="JR87" s="394"/>
      <c r="JS87" s="394"/>
      <c r="JT87" s="394"/>
      <c r="JU87" s="394"/>
      <c r="JV87" s="394"/>
      <c r="JW87" s="394"/>
      <c r="JX87" s="394"/>
      <c r="JY87" s="394"/>
      <c r="JZ87" s="394"/>
      <c r="KA87" s="394"/>
      <c r="KB87" s="394"/>
      <c r="KC87" s="394"/>
      <c r="KD87" s="394"/>
      <c r="KE87" s="394"/>
      <c r="KF87" s="394"/>
      <c r="KG87" s="394"/>
      <c r="KH87" s="394"/>
      <c r="KI87" s="394"/>
      <c r="KJ87" s="394"/>
      <c r="KK87" s="394"/>
      <c r="KL87" s="394"/>
      <c r="KM87" s="394"/>
      <c r="KN87" s="394"/>
      <c r="KO87" s="394"/>
      <c r="KP87" s="394"/>
      <c r="KQ87" s="394"/>
      <c r="KR87" s="394"/>
      <c r="KS87" s="394"/>
      <c r="KT87" s="394"/>
      <c r="KU87" s="394"/>
      <c r="KV87" s="394"/>
      <c r="KW87" s="394"/>
      <c r="KX87" s="394"/>
      <c r="KY87" s="394"/>
      <c r="KZ87" s="394"/>
      <c r="LA87" s="394"/>
      <c r="LB87" s="394"/>
      <c r="LC87" s="394"/>
      <c r="LD87" s="394"/>
      <c r="LE87" s="394"/>
      <c r="LF87" s="394"/>
      <c r="LG87" s="394"/>
      <c r="LH87" s="394"/>
      <c r="LI87" s="394"/>
      <c r="LJ87" s="394"/>
      <c r="LK87" s="394"/>
      <c r="LL87" s="394"/>
      <c r="LM87" s="394"/>
      <c r="LN87" s="394"/>
      <c r="LO87" s="394"/>
      <c r="LP87" s="394"/>
      <c r="LQ87" s="394"/>
      <c r="LR87" s="394"/>
      <c r="LS87" s="394"/>
      <c r="LT87" s="394"/>
      <c r="LU87" s="394"/>
      <c r="LV87" s="394"/>
      <c r="LW87" s="394"/>
      <c r="LX87" s="394"/>
      <c r="LY87" s="394"/>
      <c r="LZ87" s="394"/>
      <c r="MA87" s="394"/>
      <c r="MB87" s="394"/>
      <c r="MC87" s="394"/>
      <c r="MD87" s="394"/>
      <c r="ME87" s="394"/>
      <c r="MF87" s="394"/>
      <c r="MG87" s="394"/>
      <c r="MH87" s="394"/>
      <c r="MI87" s="394"/>
      <c r="MJ87" s="394"/>
      <c r="MK87" s="394"/>
      <c r="ML87" s="394"/>
      <c r="MM87" s="394"/>
      <c r="MN87" s="394"/>
      <c r="MO87" s="394"/>
      <c r="MP87" s="394"/>
      <c r="MQ87" s="394"/>
      <c r="MR87" s="394"/>
      <c r="MS87" s="394"/>
      <c r="MT87" s="394"/>
      <c r="MU87" s="394"/>
      <c r="MV87" s="394"/>
      <c r="MW87" s="394"/>
      <c r="MX87" s="394"/>
      <c r="MY87" s="394"/>
      <c r="MZ87" s="394"/>
      <c r="NA87" s="394"/>
      <c r="NB87" s="394"/>
      <c r="NC87" s="394"/>
      <c r="ND87" s="394"/>
      <c r="NE87" s="394"/>
      <c r="NF87" s="394"/>
      <c r="NG87" s="394"/>
      <c r="NH87" s="394"/>
      <c r="NI87" s="394"/>
      <c r="NJ87" s="394"/>
      <c r="NK87" s="394"/>
      <c r="NL87" s="394"/>
      <c r="NM87" s="394"/>
      <c r="NN87" s="394"/>
      <c r="NO87" s="394"/>
      <c r="NP87" s="394"/>
      <c r="NQ87" s="394"/>
      <c r="NR87" s="394"/>
      <c r="NS87" s="394"/>
      <c r="NT87" s="394"/>
      <c r="NU87" s="394"/>
      <c r="NV87" s="394"/>
      <c r="NW87" s="394"/>
      <c r="NX87" s="394"/>
      <c r="NY87" s="394"/>
      <c r="NZ87" s="394"/>
      <c r="OA87" s="394"/>
      <c r="OB87" s="394"/>
      <c r="OC87" s="394"/>
      <c r="OD87" s="394"/>
      <c r="OE87" s="394"/>
      <c r="OF87" s="394"/>
      <c r="OG87" s="394"/>
      <c r="OH87" s="394"/>
      <c r="OI87" s="394"/>
      <c r="OJ87" s="394"/>
      <c r="OK87" s="394"/>
      <c r="OL87" s="394"/>
      <c r="OM87" s="394"/>
      <c r="ON87" s="394"/>
      <c r="OO87" s="394"/>
      <c r="OP87" s="394"/>
      <c r="OQ87" s="394"/>
      <c r="OR87" s="394"/>
      <c r="OS87" s="394"/>
      <c r="OT87" s="394"/>
      <c r="OU87" s="394"/>
      <c r="OV87" s="394"/>
      <c r="OW87" s="394"/>
      <c r="OX87" s="394"/>
      <c r="OY87" s="394"/>
      <c r="OZ87" s="394"/>
      <c r="PA87" s="394"/>
      <c r="PB87" s="394"/>
      <c r="PC87" s="394"/>
      <c r="PD87" s="394"/>
      <c r="PE87" s="394"/>
      <c r="PF87" s="394"/>
      <c r="PG87" s="394"/>
      <c r="PH87" s="394"/>
      <c r="PI87" s="394"/>
      <c r="PJ87" s="394"/>
      <c r="PK87" s="394"/>
      <c r="PL87" s="394"/>
      <c r="PM87" s="394"/>
      <c r="PN87" s="394"/>
      <c r="PO87" s="394"/>
      <c r="PP87" s="394"/>
      <c r="PQ87" s="394"/>
      <c r="PR87" s="394"/>
      <c r="PS87" s="394"/>
      <c r="PT87" s="394"/>
      <c r="PU87" s="394"/>
      <c r="PV87" s="394"/>
      <c r="PW87" s="394"/>
      <c r="PX87" s="394"/>
      <c r="PY87" s="394"/>
      <c r="PZ87" s="394"/>
      <c r="QA87" s="394"/>
      <c r="QB87" s="394"/>
      <c r="QC87" s="394"/>
      <c r="QD87" s="394"/>
      <c r="QE87" s="394"/>
      <c r="QF87" s="394"/>
      <c r="QG87" s="394"/>
      <c r="QH87" s="394"/>
      <c r="QI87" s="394"/>
      <c r="QJ87" s="394"/>
      <c r="QK87" s="394"/>
      <c r="QL87" s="394"/>
      <c r="QM87" s="394"/>
      <c r="QN87" s="394"/>
      <c r="QO87" s="394"/>
      <c r="QP87" s="394"/>
      <c r="QQ87" s="394"/>
      <c r="QR87" s="394"/>
      <c r="QS87" s="394"/>
      <c r="QT87" s="394"/>
      <c r="QU87" s="394"/>
      <c r="QV87" s="394"/>
      <c r="QW87" s="394"/>
      <c r="QX87" s="394"/>
      <c r="QY87" s="394"/>
      <c r="QZ87" s="394"/>
      <c r="RA87" s="394"/>
      <c r="RB87" s="394"/>
      <c r="RC87" s="394"/>
      <c r="RD87" s="394"/>
      <c r="RE87" s="394"/>
      <c r="RF87" s="394"/>
      <c r="RG87" s="394"/>
      <c r="RH87" s="394"/>
      <c r="RI87" s="394"/>
      <c r="RJ87" s="394"/>
      <c r="RK87" s="394"/>
      <c r="RL87" s="394"/>
      <c r="RM87" s="394"/>
      <c r="RN87" s="394"/>
      <c r="RO87" s="394"/>
      <c r="RP87" s="394"/>
      <c r="RQ87" s="394"/>
      <c r="RR87" s="394"/>
      <c r="RS87" s="394"/>
      <c r="RT87" s="394"/>
      <c r="RU87" s="394"/>
      <c r="RV87" s="394"/>
      <c r="RW87" s="394"/>
      <c r="RX87" s="394"/>
      <c r="RY87" s="394"/>
      <c r="RZ87" s="394"/>
      <c r="SA87" s="394"/>
      <c r="SB87" s="394"/>
      <c r="SC87" s="394"/>
      <c r="SD87" s="394"/>
      <c r="SE87" s="394"/>
      <c r="SF87" s="394"/>
      <c r="SG87" s="394"/>
      <c r="SH87" s="394"/>
      <c r="SI87" s="394"/>
      <c r="SJ87" s="394"/>
      <c r="SK87" s="394"/>
      <c r="SL87" s="394"/>
      <c r="SM87" s="394"/>
      <c r="SN87" s="394"/>
      <c r="SO87" s="394"/>
      <c r="SP87" s="394"/>
      <c r="SQ87" s="394"/>
      <c r="SR87" s="394"/>
      <c r="SS87" s="394"/>
      <c r="ST87" s="394"/>
      <c r="SU87" s="394"/>
      <c r="SV87" s="394"/>
      <c r="SW87" s="394"/>
      <c r="SX87" s="394"/>
      <c r="SY87" s="394"/>
      <c r="SZ87" s="394"/>
      <c r="TA87" s="394"/>
      <c r="TB87" s="394"/>
      <c r="TC87" s="394"/>
      <c r="TD87" s="394"/>
      <c r="TE87" s="394"/>
      <c r="TF87" s="394"/>
      <c r="TG87" s="394"/>
      <c r="TH87" s="394"/>
      <c r="TI87" s="394"/>
      <c r="TJ87" s="394"/>
      <c r="TK87" s="394"/>
      <c r="TL87" s="394"/>
      <c r="TM87" s="394"/>
      <c r="TN87" s="394"/>
      <c r="TO87" s="394"/>
      <c r="TP87" s="394"/>
      <c r="TQ87" s="394"/>
      <c r="TR87" s="394"/>
      <c r="TS87" s="394"/>
      <c r="TT87" s="394"/>
      <c r="TU87" s="394"/>
      <c r="TV87" s="394"/>
      <c r="TW87" s="394"/>
      <c r="TX87" s="394"/>
      <c r="TY87" s="394"/>
      <c r="TZ87" s="394"/>
      <c r="UA87" s="394"/>
      <c r="UB87" s="394"/>
      <c r="UC87" s="394"/>
      <c r="UD87" s="394"/>
      <c r="UE87" s="394"/>
      <c r="UF87" s="394"/>
      <c r="UG87" s="394"/>
      <c r="UH87" s="394"/>
      <c r="UI87" s="394"/>
      <c r="UJ87" s="394"/>
      <c r="UK87" s="394"/>
      <c r="UL87" s="394"/>
      <c r="UM87" s="394"/>
      <c r="UN87" s="394"/>
      <c r="UO87" s="394"/>
      <c r="UP87" s="394"/>
      <c r="UQ87" s="394"/>
      <c r="UR87" s="394"/>
      <c r="US87" s="394"/>
      <c r="UT87" s="394"/>
      <c r="UU87" s="394"/>
      <c r="UV87" s="394"/>
      <c r="UW87" s="394"/>
      <c r="UX87" s="394"/>
      <c r="UY87" s="394"/>
      <c r="UZ87" s="394"/>
      <c r="VA87" s="394"/>
      <c r="VB87" s="394"/>
      <c r="VC87" s="394"/>
      <c r="VD87" s="394"/>
      <c r="VE87" s="394"/>
      <c r="VF87" s="394"/>
      <c r="VG87" s="394"/>
      <c r="VH87" s="394"/>
      <c r="VI87" s="394"/>
      <c r="VJ87" s="394"/>
      <c r="VK87" s="394"/>
      <c r="VL87" s="394"/>
      <c r="VM87" s="394"/>
      <c r="VN87" s="394"/>
      <c r="VO87" s="394"/>
      <c r="VP87" s="394"/>
      <c r="VQ87" s="394"/>
      <c r="VR87" s="394"/>
      <c r="VS87" s="394"/>
      <c r="VT87" s="394"/>
      <c r="VU87" s="394"/>
      <c r="VV87" s="394"/>
      <c r="VW87" s="394"/>
      <c r="VX87" s="394"/>
      <c r="VY87" s="394"/>
      <c r="VZ87" s="394"/>
      <c r="WA87" s="394"/>
      <c r="WB87" s="394"/>
      <c r="WC87" s="394"/>
      <c r="WD87" s="394"/>
      <c r="WE87" s="394"/>
      <c r="WF87" s="394"/>
      <c r="WG87" s="394"/>
      <c r="WH87" s="394"/>
      <c r="WI87" s="394"/>
      <c r="WJ87" s="394"/>
      <c r="WK87" s="394"/>
      <c r="WL87" s="394"/>
      <c r="WM87" s="394"/>
      <c r="WN87" s="394"/>
      <c r="WO87" s="394"/>
      <c r="WP87" s="394"/>
      <c r="WQ87" s="394"/>
      <c r="WR87" s="394"/>
      <c r="WS87" s="394"/>
      <c r="WT87" s="394"/>
      <c r="WU87" s="394"/>
      <c r="WV87" s="394"/>
      <c r="WW87" s="394"/>
      <c r="WX87" s="394"/>
      <c r="WY87" s="394"/>
      <c r="WZ87" s="394"/>
      <c r="XA87" s="394"/>
      <c r="XB87" s="394"/>
      <c r="XC87" s="394"/>
      <c r="XD87" s="394"/>
      <c r="XE87" s="394"/>
      <c r="XF87" s="394"/>
      <c r="XG87" s="394"/>
      <c r="XH87" s="394"/>
      <c r="XI87" s="394"/>
      <c r="XJ87" s="394"/>
      <c r="XK87" s="394"/>
      <c r="XL87" s="394"/>
      <c r="XM87" s="394"/>
      <c r="XN87" s="394"/>
      <c r="XO87" s="394"/>
      <c r="XP87" s="394"/>
      <c r="XQ87" s="394"/>
      <c r="XR87" s="394"/>
      <c r="XS87" s="394"/>
      <c r="XT87" s="394"/>
      <c r="XU87" s="394"/>
      <c r="XV87" s="394"/>
      <c r="XW87" s="394"/>
      <c r="XX87" s="394"/>
      <c r="XY87" s="394"/>
      <c r="XZ87" s="394"/>
      <c r="YA87" s="394"/>
      <c r="YB87" s="394"/>
      <c r="YC87" s="394"/>
      <c r="YD87" s="394"/>
      <c r="YE87" s="394"/>
      <c r="YF87" s="394"/>
      <c r="YG87" s="394"/>
      <c r="YH87" s="394"/>
      <c r="YI87" s="394"/>
      <c r="YJ87" s="394"/>
      <c r="YK87" s="394"/>
      <c r="YL87" s="394"/>
      <c r="YM87" s="394"/>
      <c r="YN87" s="394"/>
      <c r="YO87" s="394"/>
      <c r="YP87" s="394"/>
      <c r="YQ87" s="394"/>
      <c r="YR87" s="394"/>
      <c r="YS87" s="394"/>
      <c r="YT87" s="394"/>
      <c r="YU87" s="394"/>
      <c r="YV87" s="394"/>
      <c r="YW87" s="394"/>
      <c r="YX87" s="394"/>
      <c r="YY87" s="394"/>
      <c r="YZ87" s="394"/>
      <c r="ZA87" s="394"/>
      <c r="ZB87" s="394"/>
      <c r="ZC87" s="394"/>
      <c r="ZD87" s="394"/>
      <c r="ZE87" s="394"/>
      <c r="ZF87" s="394"/>
      <c r="ZG87" s="394"/>
      <c r="ZH87" s="394"/>
      <c r="ZI87" s="394"/>
      <c r="ZJ87" s="394"/>
      <c r="ZK87" s="394"/>
      <c r="ZL87" s="394"/>
      <c r="ZM87" s="394"/>
      <c r="ZN87" s="394"/>
      <c r="ZO87" s="394"/>
      <c r="ZP87" s="394"/>
      <c r="ZQ87" s="394"/>
      <c r="ZR87" s="394"/>
      <c r="ZS87" s="394"/>
      <c r="ZT87" s="394"/>
      <c r="ZU87" s="394"/>
      <c r="ZV87" s="394"/>
      <c r="ZW87" s="394"/>
      <c r="ZX87" s="394"/>
      <c r="ZY87" s="394"/>
      <c r="ZZ87" s="394"/>
      <c r="AAA87" s="394"/>
      <c r="AAB87" s="394"/>
      <c r="AAC87" s="394"/>
      <c r="AAD87" s="394"/>
      <c r="AAE87" s="394"/>
      <c r="AAF87" s="394"/>
      <c r="AAG87" s="394"/>
      <c r="AAH87" s="394"/>
      <c r="AAI87" s="394"/>
      <c r="AAJ87" s="394"/>
      <c r="AAK87" s="394"/>
      <c r="AAL87" s="394"/>
      <c r="AAM87" s="394"/>
      <c r="AAN87" s="394"/>
      <c r="AAO87" s="394"/>
      <c r="AAP87" s="394"/>
      <c r="AAQ87" s="394"/>
      <c r="AAR87" s="394"/>
      <c r="AAS87" s="394"/>
      <c r="AAT87" s="394"/>
      <c r="AAU87" s="394"/>
      <c r="AAV87" s="394"/>
      <c r="AAW87" s="394"/>
      <c r="AAX87" s="394"/>
      <c r="AAY87" s="394"/>
      <c r="AAZ87" s="394"/>
      <c r="ABA87" s="394"/>
      <c r="ABB87" s="394"/>
      <c r="ABC87" s="394"/>
      <c r="ABD87" s="394"/>
      <c r="ABE87" s="394"/>
      <c r="ABF87" s="394"/>
      <c r="ABG87" s="394"/>
      <c r="ABH87" s="394"/>
      <c r="ABI87" s="394"/>
      <c r="ABJ87" s="394"/>
      <c r="ABK87" s="394"/>
      <c r="ABL87" s="394"/>
      <c r="ABM87" s="394"/>
      <c r="ABN87" s="394"/>
      <c r="ABO87" s="394"/>
      <c r="ABP87" s="394"/>
      <c r="ABQ87" s="394"/>
      <c r="ABR87" s="394"/>
      <c r="ABS87" s="394"/>
      <c r="ABT87" s="394"/>
      <c r="ABU87" s="394"/>
      <c r="ABV87" s="394"/>
      <c r="ABW87" s="394"/>
      <c r="ABX87" s="394"/>
      <c r="ABY87" s="394"/>
      <c r="ABZ87" s="394"/>
      <c r="ACA87" s="394"/>
      <c r="ACB87" s="394"/>
      <c r="ACC87" s="394"/>
      <c r="ACD87" s="394"/>
      <c r="ACE87" s="394"/>
      <c r="ACF87" s="394"/>
      <c r="ACG87" s="394"/>
      <c r="ACH87" s="394"/>
      <c r="ACI87" s="394"/>
      <c r="ACJ87" s="394"/>
      <c r="ACK87" s="394"/>
      <c r="ACL87" s="394"/>
      <c r="ACM87" s="394"/>
      <c r="ACN87" s="394"/>
      <c r="ACO87" s="394"/>
      <c r="ACP87" s="394"/>
      <c r="ACQ87" s="394"/>
      <c r="ACR87" s="394"/>
      <c r="ACS87" s="394"/>
      <c r="ACT87" s="394"/>
      <c r="ACU87" s="394"/>
      <c r="ACV87" s="394"/>
      <c r="ACW87" s="394"/>
      <c r="ACX87" s="394"/>
      <c r="ACY87" s="394"/>
      <c r="ACZ87" s="394"/>
      <c r="ADA87" s="394"/>
      <c r="ADB87" s="394"/>
      <c r="ADC87" s="394"/>
      <c r="ADD87" s="394"/>
      <c r="ADE87" s="394"/>
      <c r="ADF87" s="394"/>
      <c r="ADG87" s="394"/>
      <c r="ADH87" s="394"/>
      <c r="ADI87" s="394"/>
      <c r="ADJ87" s="394"/>
      <c r="ADK87" s="394"/>
      <c r="ADL87" s="394"/>
      <c r="ADM87" s="394"/>
      <c r="ADN87" s="394"/>
      <c r="ADO87" s="394"/>
      <c r="ADP87" s="394"/>
      <c r="ADQ87" s="394"/>
      <c r="ADR87" s="394"/>
      <c r="ADS87" s="394"/>
      <c r="ADT87" s="394"/>
      <c r="ADU87" s="394"/>
      <c r="ADV87" s="394"/>
      <c r="ADW87" s="394"/>
      <c r="ADX87" s="394"/>
      <c r="ADY87" s="394"/>
      <c r="ADZ87" s="394"/>
      <c r="AEA87" s="394"/>
      <c r="AEB87" s="394"/>
      <c r="AEC87" s="394"/>
      <c r="AED87" s="394"/>
      <c r="AEE87" s="394"/>
      <c r="AEF87" s="394"/>
      <c r="AEG87" s="394"/>
      <c r="AEH87" s="394"/>
      <c r="AEI87" s="394"/>
      <c r="AEJ87" s="394"/>
      <c r="AEK87" s="394"/>
      <c r="AEL87" s="394"/>
      <c r="AEM87" s="394"/>
      <c r="AEN87" s="394"/>
      <c r="AEO87" s="394"/>
      <c r="AEP87" s="394"/>
      <c r="AEQ87" s="394"/>
      <c r="AER87" s="394"/>
      <c r="AES87" s="394"/>
      <c r="AET87" s="394"/>
      <c r="AEU87" s="394"/>
      <c r="AEV87" s="394"/>
      <c r="AEW87" s="394"/>
      <c r="AEX87" s="394"/>
      <c r="AEY87" s="394"/>
      <c r="AEZ87" s="394"/>
      <c r="AFA87" s="394"/>
      <c r="AFB87" s="394"/>
      <c r="AFC87" s="394"/>
      <c r="AFD87" s="394"/>
      <c r="AFE87" s="394"/>
      <c r="AFF87" s="394"/>
      <c r="AFG87" s="394"/>
      <c r="AFH87" s="394"/>
      <c r="AFI87" s="394"/>
      <c r="AFJ87" s="394"/>
      <c r="AFK87" s="394"/>
      <c r="AFL87" s="394"/>
      <c r="AFM87" s="394"/>
      <c r="AFN87" s="394"/>
      <c r="AFO87" s="394"/>
      <c r="AFP87" s="394"/>
      <c r="AFQ87" s="394"/>
      <c r="AFR87" s="394"/>
      <c r="AFS87" s="394"/>
      <c r="AFT87" s="394"/>
      <c r="AFU87" s="394"/>
      <c r="AFV87" s="394"/>
      <c r="AFW87" s="394"/>
      <c r="AFX87" s="394"/>
      <c r="AFY87" s="394"/>
      <c r="AFZ87" s="394"/>
      <c r="AGA87" s="394"/>
      <c r="AGB87" s="394"/>
      <c r="AGC87" s="394"/>
      <c r="AGD87" s="394"/>
      <c r="AGE87" s="394"/>
      <c r="AGF87" s="394"/>
      <c r="AGG87" s="394"/>
      <c r="AGH87" s="394"/>
      <c r="AGI87" s="394"/>
      <c r="AGJ87" s="394"/>
      <c r="AGK87" s="394"/>
      <c r="AGL87" s="394"/>
      <c r="AGM87" s="394"/>
      <c r="AGN87" s="394"/>
      <c r="AGO87" s="394"/>
      <c r="AGP87" s="394"/>
      <c r="AGQ87" s="394"/>
      <c r="AGR87" s="394"/>
      <c r="AGS87" s="394"/>
      <c r="AGT87" s="394"/>
      <c r="AGU87" s="394"/>
      <c r="AGV87" s="394"/>
      <c r="AGW87" s="394"/>
      <c r="AGX87" s="394"/>
      <c r="AGY87" s="394"/>
      <c r="AGZ87" s="394"/>
      <c r="AHA87" s="394"/>
      <c r="AHB87" s="394"/>
      <c r="AHC87" s="394"/>
      <c r="AHD87" s="394"/>
      <c r="AHE87" s="394"/>
      <c r="AHF87" s="394"/>
      <c r="AHG87" s="394"/>
      <c r="AHH87" s="394"/>
      <c r="AHI87" s="394"/>
      <c r="AHJ87" s="394"/>
      <c r="AHK87" s="394"/>
      <c r="AHL87" s="394"/>
      <c r="AHM87" s="394"/>
      <c r="AHN87" s="394"/>
      <c r="AHO87" s="394"/>
      <c r="AHP87" s="394"/>
      <c r="AHQ87" s="394"/>
      <c r="AHR87" s="394"/>
      <c r="AHS87" s="394"/>
      <c r="AHT87" s="394"/>
      <c r="AHU87" s="394"/>
      <c r="AHV87" s="394"/>
      <c r="AHW87" s="394"/>
      <c r="AHX87" s="394"/>
      <c r="AHY87" s="394"/>
      <c r="AHZ87" s="394"/>
      <c r="AIA87" s="394"/>
      <c r="AIB87" s="394"/>
      <c r="AIC87" s="394"/>
      <c r="AID87" s="394"/>
      <c r="AIE87" s="394"/>
      <c r="AIF87" s="394"/>
      <c r="AIG87" s="394"/>
      <c r="AIH87" s="394"/>
      <c r="AII87" s="394"/>
      <c r="AIJ87" s="394"/>
      <c r="AIK87" s="394"/>
      <c r="AIL87" s="394"/>
      <c r="AIM87" s="394"/>
      <c r="AIN87" s="394"/>
      <c r="AIO87" s="394"/>
      <c r="AIP87" s="394"/>
      <c r="AIQ87" s="394"/>
      <c r="AIR87" s="394"/>
      <c r="AIS87" s="394"/>
      <c r="AIT87" s="394"/>
      <c r="AIU87" s="394"/>
      <c r="AIV87" s="394"/>
      <c r="AIW87" s="394"/>
      <c r="AIX87" s="394"/>
      <c r="AIY87" s="394"/>
      <c r="AIZ87" s="394"/>
      <c r="AJA87" s="394"/>
      <c r="AJB87" s="394"/>
      <c r="AJC87" s="394"/>
      <c r="AJD87" s="394"/>
      <c r="AJE87" s="394"/>
      <c r="AJF87" s="394"/>
      <c r="AJG87" s="394"/>
      <c r="AJH87" s="394"/>
      <c r="AJI87" s="394"/>
      <c r="AJJ87" s="394"/>
      <c r="AJK87" s="394"/>
      <c r="AJL87" s="394"/>
      <c r="AJM87" s="394"/>
      <c r="AJN87" s="394"/>
      <c r="AJO87" s="394"/>
      <c r="AJP87" s="394"/>
      <c r="AJQ87" s="394"/>
      <c r="AJR87" s="394"/>
      <c r="AJS87" s="394"/>
      <c r="AJT87" s="394"/>
      <c r="AJU87" s="394"/>
      <c r="AJV87" s="394"/>
      <c r="AJW87" s="394"/>
      <c r="AJX87" s="394"/>
      <c r="AJY87" s="394"/>
      <c r="AJZ87" s="394"/>
      <c r="AKA87" s="394"/>
      <c r="AKB87" s="394"/>
      <c r="AKC87" s="394"/>
      <c r="AKD87" s="394"/>
      <c r="AKE87" s="394"/>
      <c r="AKF87" s="394"/>
      <c r="AKG87" s="394"/>
      <c r="AKH87" s="394"/>
      <c r="AKI87" s="394"/>
      <c r="AKJ87" s="394"/>
      <c r="AKK87" s="394"/>
      <c r="AKL87" s="394"/>
      <c r="AKM87" s="394"/>
      <c r="AKN87" s="394"/>
      <c r="AKO87" s="394"/>
      <c r="AKP87" s="394"/>
      <c r="AKQ87" s="394"/>
      <c r="AKR87" s="394"/>
      <c r="AKS87" s="394"/>
      <c r="AKT87" s="394"/>
      <c r="AKU87" s="394"/>
      <c r="AKV87" s="394"/>
      <c r="AKW87" s="394"/>
      <c r="AKX87" s="394"/>
      <c r="AKY87" s="394"/>
      <c r="AKZ87" s="394"/>
      <c r="ALA87" s="394"/>
      <c r="ALB87" s="394"/>
      <c r="ALC87" s="394"/>
      <c r="ALD87" s="394"/>
      <c r="ALE87" s="394"/>
      <c r="ALF87" s="394"/>
      <c r="ALG87" s="394"/>
      <c r="ALH87" s="394"/>
      <c r="ALI87" s="394"/>
      <c r="ALJ87" s="394"/>
      <c r="ALK87" s="394"/>
      <c r="ALL87" s="394"/>
      <c r="ALM87" s="394"/>
      <c r="ALN87" s="394"/>
      <c r="ALO87" s="394"/>
      <c r="ALP87" s="394"/>
      <c r="ALQ87" s="394"/>
      <c r="ALR87" s="394"/>
      <c r="ALS87" s="394"/>
      <c r="ALT87" s="394"/>
      <c r="ALU87" s="394"/>
      <c r="ALV87" s="394"/>
      <c r="ALW87" s="394"/>
      <c r="ALX87" s="394"/>
      <c r="ALY87" s="394"/>
      <c r="ALZ87" s="394"/>
      <c r="AMA87" s="394"/>
      <c r="AMB87" s="394"/>
      <c r="AMC87" s="394"/>
      <c r="AMD87" s="394"/>
      <c r="AME87" s="394"/>
      <c r="AMF87" s="394"/>
      <c r="AMG87" s="394"/>
      <c r="AMH87" s="394"/>
      <c r="AMI87" s="394"/>
      <c r="AMJ87" s="394"/>
      <c r="AMK87" s="394"/>
      <c r="AML87" s="394"/>
      <c r="AMM87" s="394"/>
      <c r="AMN87" s="394"/>
      <c r="AMO87" s="394"/>
      <c r="AMP87" s="394"/>
      <c r="AMQ87" s="394"/>
      <c r="AMR87" s="394"/>
      <c r="AMS87" s="394"/>
      <c r="AMT87" s="394"/>
      <c r="AMU87" s="394"/>
      <c r="AMV87" s="394"/>
      <c r="AMW87" s="394"/>
      <c r="AMX87" s="394"/>
      <c r="AMY87" s="394"/>
      <c r="AMZ87" s="394"/>
      <c r="ANA87" s="394"/>
      <c r="ANB87" s="394"/>
      <c r="ANC87" s="394"/>
      <c r="AND87" s="394"/>
      <c r="ANE87" s="394"/>
      <c r="ANF87" s="394"/>
      <c r="ANG87" s="394"/>
      <c r="ANH87" s="394"/>
      <c r="ANI87" s="394"/>
      <c r="ANJ87" s="394"/>
      <c r="ANK87" s="394"/>
      <c r="ANL87" s="394"/>
      <c r="ANM87" s="394"/>
      <c r="ANN87" s="394"/>
      <c r="ANO87" s="394"/>
      <c r="ANP87" s="394"/>
      <c r="ANQ87" s="394"/>
      <c r="ANR87" s="394"/>
      <c r="ANS87" s="394"/>
      <c r="ANT87" s="394"/>
      <c r="ANU87" s="394"/>
      <c r="ANV87" s="394"/>
      <c r="ANW87" s="394"/>
      <c r="ANX87" s="394"/>
      <c r="ANY87" s="394"/>
      <c r="ANZ87" s="394"/>
      <c r="AOA87" s="394"/>
      <c r="AOB87" s="394"/>
      <c r="AOC87" s="394"/>
      <c r="AOD87" s="394"/>
      <c r="AOE87" s="394"/>
      <c r="AOF87" s="394"/>
      <c r="AOG87" s="394"/>
      <c r="AOH87" s="394"/>
      <c r="AOI87" s="394"/>
      <c r="AOJ87" s="394"/>
      <c r="AOK87" s="394"/>
      <c r="AOL87" s="394"/>
      <c r="AOM87" s="394"/>
      <c r="AON87" s="394"/>
      <c r="AOO87" s="394"/>
      <c r="AOP87" s="394"/>
      <c r="AOQ87" s="394"/>
      <c r="AOR87" s="394"/>
      <c r="AOS87" s="394"/>
      <c r="AOT87" s="394"/>
      <c r="AOU87" s="394"/>
      <c r="AOV87" s="394"/>
      <c r="AOW87" s="394"/>
      <c r="AOX87" s="394"/>
      <c r="AOY87" s="394"/>
      <c r="AOZ87" s="394"/>
      <c r="APA87" s="394"/>
      <c r="APB87" s="394"/>
      <c r="APC87" s="394"/>
      <c r="APD87" s="394"/>
      <c r="APE87" s="394"/>
      <c r="APF87" s="394"/>
      <c r="APG87" s="394"/>
      <c r="APH87" s="394"/>
      <c r="API87" s="394"/>
      <c r="APJ87" s="394"/>
      <c r="APK87" s="394"/>
      <c r="APL87" s="394"/>
      <c r="APM87" s="394"/>
      <c r="APN87" s="394"/>
      <c r="APO87" s="394"/>
      <c r="APP87" s="394"/>
      <c r="APQ87" s="394"/>
      <c r="APR87" s="394"/>
      <c r="APS87" s="394"/>
      <c r="APT87" s="394"/>
      <c r="APU87" s="394"/>
      <c r="APV87" s="394"/>
      <c r="APW87" s="394"/>
      <c r="APX87" s="394"/>
      <c r="APY87" s="394"/>
      <c r="APZ87" s="394"/>
      <c r="AQA87" s="394"/>
      <c r="AQB87" s="394"/>
      <c r="AQC87" s="394"/>
      <c r="AQD87" s="394"/>
      <c r="AQE87" s="394"/>
      <c r="AQF87" s="394"/>
      <c r="AQG87" s="394"/>
      <c r="AQH87" s="394"/>
      <c r="AQI87" s="394"/>
      <c r="AQJ87" s="394"/>
      <c r="AQK87" s="394"/>
      <c r="AQL87" s="394"/>
      <c r="AQM87" s="394"/>
      <c r="AQN87" s="394"/>
      <c r="AQO87" s="394"/>
      <c r="AQP87" s="394"/>
      <c r="AQQ87" s="394"/>
      <c r="AQR87" s="394"/>
      <c r="AQS87" s="394"/>
      <c r="AQT87" s="394"/>
      <c r="AQU87" s="394"/>
      <c r="AQV87" s="394"/>
      <c r="AQW87" s="394"/>
      <c r="AQX87" s="394"/>
      <c r="AQY87" s="394"/>
      <c r="AQZ87" s="394"/>
      <c r="ARA87" s="394"/>
      <c r="ARB87" s="394"/>
      <c r="ARC87" s="394"/>
      <c r="ARD87" s="394"/>
      <c r="ARE87" s="394"/>
      <c r="ARF87" s="394"/>
      <c r="ARG87" s="394"/>
      <c r="ARH87" s="394"/>
      <c r="ARI87" s="394"/>
      <c r="ARJ87" s="394"/>
      <c r="ARK87" s="394"/>
      <c r="ARL87" s="394"/>
      <c r="ARM87" s="394"/>
      <c r="ARN87" s="394"/>
      <c r="ARO87" s="394"/>
      <c r="ARP87" s="394"/>
      <c r="ARQ87" s="394"/>
      <c r="ARR87" s="394"/>
      <c r="ARS87" s="394"/>
      <c r="ART87" s="394"/>
      <c r="ARU87" s="394"/>
      <c r="ARV87" s="394"/>
      <c r="ARW87" s="394"/>
      <c r="ARX87" s="394"/>
      <c r="ARY87" s="394"/>
      <c r="ARZ87" s="394"/>
      <c r="ASA87" s="394"/>
      <c r="ASB87" s="394"/>
      <c r="ASC87" s="394"/>
      <c r="ASD87" s="394"/>
      <c r="ASE87" s="394"/>
      <c r="ASF87" s="394"/>
      <c r="ASG87" s="394"/>
      <c r="ASH87" s="394"/>
      <c r="ASI87" s="394"/>
      <c r="ASJ87" s="394"/>
      <c r="ASK87" s="394"/>
      <c r="ASL87" s="394"/>
      <c r="ASM87" s="394"/>
      <c r="ASN87" s="394"/>
      <c r="ASO87" s="394"/>
      <c r="ASP87" s="394"/>
      <c r="ASQ87" s="394"/>
      <c r="ASR87" s="394"/>
      <c r="ASS87" s="394"/>
      <c r="AST87" s="394"/>
      <c r="ASU87" s="394"/>
      <c r="ASV87" s="394"/>
      <c r="ASW87" s="394"/>
      <c r="ASX87" s="394"/>
      <c r="ASY87" s="394"/>
      <c r="ASZ87" s="394"/>
      <c r="ATA87" s="394"/>
      <c r="ATB87" s="394"/>
      <c r="ATC87" s="394"/>
      <c r="ATD87" s="394"/>
      <c r="ATE87" s="394"/>
      <c r="ATF87" s="394"/>
      <c r="ATG87" s="394"/>
      <c r="ATH87" s="394"/>
      <c r="ATI87" s="394"/>
      <c r="ATJ87" s="394"/>
      <c r="ATK87" s="394"/>
      <c r="ATL87" s="394"/>
      <c r="ATM87" s="394"/>
      <c r="ATN87" s="394"/>
      <c r="ATO87" s="394"/>
      <c r="ATP87" s="394"/>
      <c r="ATQ87" s="394"/>
      <c r="ATR87" s="394"/>
      <c r="ATS87" s="394"/>
      <c r="ATT87" s="394"/>
      <c r="ATU87" s="394"/>
      <c r="ATV87" s="394"/>
      <c r="ATW87" s="394"/>
      <c r="ATX87" s="394"/>
      <c r="ATY87" s="394"/>
      <c r="ATZ87" s="394"/>
      <c r="AUA87" s="394"/>
      <c r="AUB87" s="394"/>
      <c r="AUC87" s="394"/>
      <c r="AUD87" s="394"/>
      <c r="AUE87" s="394"/>
      <c r="AUF87" s="394"/>
      <c r="AUG87" s="394"/>
      <c r="AUH87" s="394"/>
      <c r="AUI87" s="394"/>
      <c r="AUJ87" s="394"/>
      <c r="AUK87" s="394"/>
      <c r="AUL87" s="394"/>
      <c r="AUM87" s="394"/>
      <c r="AUN87" s="394"/>
      <c r="AUO87" s="394"/>
      <c r="AUP87" s="394"/>
      <c r="AUQ87" s="394"/>
      <c r="AUR87" s="394"/>
      <c r="AUS87" s="394"/>
      <c r="AUT87" s="394"/>
      <c r="AUU87" s="394"/>
      <c r="AUV87" s="394"/>
      <c r="AUW87" s="394"/>
      <c r="AUX87" s="394"/>
      <c r="AUY87" s="394"/>
      <c r="AUZ87" s="394"/>
      <c r="AVA87" s="394"/>
      <c r="AVB87" s="394"/>
      <c r="AVC87" s="394"/>
      <c r="AVD87" s="394"/>
      <c r="AVE87" s="394"/>
      <c r="AVF87" s="394"/>
      <c r="AVG87" s="394"/>
      <c r="AVH87" s="394"/>
      <c r="AVI87" s="394"/>
      <c r="AVJ87" s="394"/>
      <c r="AVK87" s="394"/>
      <c r="AVL87" s="394"/>
      <c r="AVM87" s="394"/>
      <c r="AVN87" s="394"/>
      <c r="AVO87" s="394"/>
      <c r="AVP87" s="394"/>
      <c r="AVQ87" s="394"/>
      <c r="AVR87" s="394"/>
      <c r="AVS87" s="394"/>
      <c r="AVT87" s="394"/>
      <c r="AVU87" s="394"/>
      <c r="AVV87" s="394"/>
      <c r="AVW87" s="394"/>
      <c r="AVX87" s="394"/>
      <c r="AVY87" s="394"/>
      <c r="AVZ87" s="394"/>
      <c r="AWA87" s="394"/>
      <c r="AWB87" s="394"/>
      <c r="AWC87" s="394"/>
      <c r="AWD87" s="394"/>
      <c r="AWE87" s="394"/>
      <c r="AWF87" s="394"/>
      <c r="AWG87" s="394"/>
      <c r="AWH87" s="394"/>
      <c r="AWI87" s="394"/>
      <c r="AWJ87" s="394"/>
      <c r="AWK87" s="394"/>
      <c r="AWL87" s="394"/>
      <c r="AWM87" s="394"/>
      <c r="AWN87" s="394"/>
      <c r="AWO87" s="394"/>
      <c r="AWP87" s="394"/>
      <c r="AWQ87" s="394"/>
      <c r="AWR87" s="394"/>
      <c r="AWS87" s="394"/>
      <c r="AWT87" s="394"/>
      <c r="AWU87" s="394"/>
      <c r="AWV87" s="394"/>
      <c r="AWW87" s="394"/>
      <c r="AWX87" s="394"/>
      <c r="AWY87" s="394"/>
      <c r="AWZ87" s="394"/>
      <c r="AXA87" s="394"/>
      <c r="AXB87" s="394"/>
      <c r="AXC87" s="394"/>
      <c r="AXD87" s="394"/>
      <c r="AXE87" s="394"/>
      <c r="AXF87" s="394"/>
      <c r="AXG87" s="394"/>
      <c r="AXH87" s="394"/>
      <c r="AXI87" s="394"/>
      <c r="AXJ87" s="394"/>
      <c r="AXK87" s="394"/>
      <c r="AXL87" s="394"/>
      <c r="AXM87" s="394"/>
      <c r="AXN87" s="394"/>
      <c r="AXO87" s="394"/>
      <c r="AXP87" s="394"/>
      <c r="AXQ87" s="394"/>
      <c r="AXR87" s="394"/>
      <c r="AXS87" s="394"/>
      <c r="AXT87" s="394"/>
      <c r="AXU87" s="394"/>
      <c r="AXV87" s="394"/>
      <c r="AXW87" s="394"/>
      <c r="AXX87" s="394"/>
      <c r="AXY87" s="394"/>
      <c r="AXZ87" s="394"/>
      <c r="AYA87" s="394"/>
      <c r="AYB87" s="394"/>
      <c r="AYC87" s="394"/>
      <c r="AYD87" s="394"/>
      <c r="AYE87" s="394"/>
      <c r="AYF87" s="394"/>
      <c r="AYG87" s="394"/>
      <c r="AYH87" s="394"/>
      <c r="AYI87" s="394"/>
      <c r="AYJ87" s="394"/>
      <c r="AYK87" s="394"/>
      <c r="AYL87" s="394"/>
      <c r="AYM87" s="394"/>
      <c r="AYN87" s="394"/>
      <c r="AYO87" s="394"/>
      <c r="AYP87" s="394"/>
      <c r="AYQ87" s="394"/>
      <c r="AYR87" s="394"/>
      <c r="AYS87" s="394"/>
      <c r="AYT87" s="394"/>
      <c r="AYU87" s="394"/>
      <c r="AYV87" s="394"/>
      <c r="AYW87" s="394"/>
      <c r="AYX87" s="394"/>
      <c r="AYY87" s="394"/>
      <c r="AYZ87" s="394"/>
      <c r="AZA87" s="394"/>
      <c r="AZB87" s="394"/>
      <c r="AZC87" s="394"/>
      <c r="AZD87" s="394"/>
      <c r="AZE87" s="394"/>
      <c r="AZF87" s="394"/>
      <c r="AZG87" s="394"/>
      <c r="AZH87" s="394"/>
      <c r="AZI87" s="394"/>
      <c r="AZJ87" s="394"/>
      <c r="AZK87" s="394"/>
      <c r="AZL87" s="394"/>
      <c r="AZM87" s="394"/>
      <c r="AZN87" s="394"/>
      <c r="AZO87" s="394"/>
      <c r="AZP87" s="394"/>
      <c r="AZQ87" s="394"/>
      <c r="AZR87" s="394"/>
      <c r="AZS87" s="394"/>
      <c r="AZT87" s="394"/>
      <c r="AZU87" s="394"/>
      <c r="AZV87" s="394"/>
      <c r="AZW87" s="394"/>
      <c r="AZX87" s="394"/>
      <c r="AZY87" s="394"/>
      <c r="AZZ87" s="394"/>
      <c r="BAA87" s="394"/>
      <c r="BAB87" s="394"/>
      <c r="BAC87" s="394"/>
      <c r="BAD87" s="394"/>
      <c r="BAE87" s="394"/>
      <c r="BAF87" s="394"/>
      <c r="BAG87" s="394"/>
      <c r="BAH87" s="394"/>
      <c r="BAI87" s="394"/>
      <c r="BAJ87" s="394"/>
      <c r="BAK87" s="394"/>
      <c r="BAL87" s="394"/>
      <c r="BAM87" s="394"/>
      <c r="BAN87" s="394"/>
      <c r="BAO87" s="394"/>
      <c r="BAP87" s="394"/>
      <c r="BAQ87" s="394"/>
      <c r="BAR87" s="394"/>
      <c r="BAS87" s="394"/>
      <c r="BAT87" s="394"/>
      <c r="BAU87" s="394"/>
      <c r="BAV87" s="394"/>
      <c r="BAW87" s="394"/>
      <c r="BAX87" s="394"/>
      <c r="BAY87" s="394"/>
      <c r="BAZ87" s="394"/>
      <c r="BBA87" s="394"/>
      <c r="BBB87" s="394"/>
      <c r="BBC87" s="394"/>
      <c r="BBD87" s="394"/>
      <c r="BBE87" s="394"/>
      <c r="BBF87" s="394"/>
      <c r="BBG87" s="394"/>
      <c r="BBH87" s="394"/>
      <c r="BBI87" s="394"/>
      <c r="BBJ87" s="394"/>
      <c r="BBK87" s="394"/>
      <c r="BBL87" s="394"/>
      <c r="BBM87" s="394"/>
      <c r="BBN87" s="394"/>
      <c r="BBO87" s="394"/>
      <c r="BBP87" s="394"/>
      <c r="BBQ87" s="394"/>
      <c r="BBR87" s="394"/>
      <c r="BBS87" s="394"/>
      <c r="BBT87" s="394"/>
      <c r="BBU87" s="394"/>
      <c r="BBV87" s="394"/>
      <c r="BBW87" s="394"/>
      <c r="BBX87" s="394"/>
      <c r="BBY87" s="394"/>
      <c r="BBZ87" s="394"/>
      <c r="BCA87" s="394"/>
      <c r="BCB87" s="394"/>
      <c r="BCC87" s="394"/>
      <c r="BCD87" s="394"/>
      <c r="BCE87" s="394"/>
      <c r="BCF87" s="394"/>
      <c r="BCG87" s="394"/>
      <c r="BCH87" s="394"/>
      <c r="BCI87" s="394"/>
      <c r="BCJ87" s="394"/>
      <c r="BCK87" s="394"/>
      <c r="BCL87" s="394"/>
      <c r="BCM87" s="394"/>
      <c r="BCN87" s="394"/>
      <c r="BCO87" s="394"/>
      <c r="BCP87" s="394"/>
      <c r="BCQ87" s="394"/>
      <c r="BCR87" s="394"/>
      <c r="BCS87" s="394"/>
      <c r="BCT87" s="394"/>
      <c r="BCU87" s="394"/>
      <c r="BCV87" s="394"/>
      <c r="BCW87" s="394"/>
      <c r="BCX87" s="394"/>
      <c r="BCY87" s="394"/>
      <c r="BCZ87" s="394"/>
      <c r="BDA87" s="394"/>
      <c r="BDB87" s="394"/>
      <c r="BDC87" s="394"/>
      <c r="BDD87" s="394"/>
      <c r="BDE87" s="394"/>
      <c r="BDF87" s="394"/>
      <c r="BDG87" s="394"/>
      <c r="BDH87" s="394"/>
      <c r="BDI87" s="394"/>
      <c r="BDJ87" s="394"/>
      <c r="BDK87" s="394"/>
      <c r="BDL87" s="394"/>
      <c r="BDM87" s="394"/>
      <c r="BDN87" s="394"/>
      <c r="BDO87" s="394"/>
      <c r="BDP87" s="394"/>
      <c r="BDQ87" s="394"/>
      <c r="BDR87" s="394"/>
      <c r="BDS87" s="394"/>
      <c r="BDT87" s="394"/>
      <c r="BDU87" s="394"/>
      <c r="BDV87" s="394"/>
      <c r="BDW87" s="394"/>
      <c r="BDX87" s="394"/>
      <c r="BDY87" s="394"/>
      <c r="BDZ87" s="394"/>
      <c r="BEA87" s="394"/>
      <c r="BEB87" s="394"/>
      <c r="BEC87" s="394"/>
      <c r="BED87" s="394"/>
      <c r="BEE87" s="394"/>
      <c r="BEF87" s="394"/>
      <c r="BEG87" s="394"/>
      <c r="BEH87" s="394"/>
      <c r="BEI87" s="394"/>
      <c r="BEJ87" s="394"/>
      <c r="BEK87" s="394"/>
      <c r="BEL87" s="394"/>
      <c r="BEM87" s="394"/>
      <c r="BEN87" s="394"/>
      <c r="BEO87" s="394"/>
      <c r="BEP87" s="394"/>
      <c r="BEQ87" s="394"/>
      <c r="BER87" s="394"/>
      <c r="BES87" s="394"/>
      <c r="BET87" s="394"/>
      <c r="BEU87" s="394"/>
      <c r="BEV87" s="394"/>
      <c r="BEW87" s="394"/>
      <c r="BEX87" s="394"/>
      <c r="BEY87" s="394"/>
      <c r="BEZ87" s="394"/>
      <c r="BFA87" s="394"/>
      <c r="BFB87" s="394"/>
      <c r="BFC87" s="394"/>
      <c r="BFD87" s="394"/>
      <c r="BFE87" s="394"/>
      <c r="BFF87" s="394"/>
      <c r="BFG87" s="394"/>
      <c r="BFH87" s="394"/>
      <c r="BFI87" s="394"/>
      <c r="BFJ87" s="394"/>
      <c r="BFK87" s="394"/>
      <c r="BFL87" s="394"/>
      <c r="BFM87" s="394"/>
      <c r="BFN87" s="394"/>
      <c r="BFO87" s="394"/>
      <c r="BFP87" s="394"/>
      <c r="BFQ87" s="394"/>
      <c r="BFR87" s="394"/>
      <c r="BFS87" s="394"/>
      <c r="BFT87" s="394"/>
      <c r="BFU87" s="394"/>
      <c r="BFV87" s="394"/>
      <c r="BFW87" s="394"/>
      <c r="BFX87" s="394"/>
      <c r="BFY87" s="394"/>
      <c r="BFZ87" s="394"/>
      <c r="BGA87" s="394"/>
      <c r="BGB87" s="394"/>
      <c r="BGC87" s="394"/>
      <c r="BGD87" s="394"/>
      <c r="BGE87" s="394"/>
      <c r="BGF87" s="394"/>
      <c r="BGG87" s="394"/>
      <c r="BGH87" s="394"/>
      <c r="BGI87" s="394"/>
      <c r="BGJ87" s="394"/>
      <c r="BGK87" s="394"/>
      <c r="BGL87" s="394"/>
      <c r="BGM87" s="394"/>
      <c r="BGN87" s="394"/>
      <c r="BGO87" s="394"/>
      <c r="BGP87" s="394"/>
      <c r="BGQ87" s="394"/>
      <c r="BGR87" s="394"/>
      <c r="BGS87" s="394"/>
      <c r="BGT87" s="394"/>
      <c r="BGU87" s="394"/>
      <c r="BGV87" s="394"/>
      <c r="BGW87" s="394"/>
      <c r="BGX87" s="394"/>
      <c r="BGY87" s="394"/>
      <c r="BGZ87" s="394"/>
      <c r="BHA87" s="394"/>
      <c r="BHB87" s="394"/>
      <c r="BHC87" s="394"/>
      <c r="BHD87" s="394"/>
      <c r="BHE87" s="394"/>
      <c r="BHF87" s="394"/>
      <c r="BHG87" s="394"/>
      <c r="BHH87" s="394"/>
      <c r="BHI87" s="394"/>
      <c r="BHJ87" s="394"/>
      <c r="BHK87" s="394"/>
      <c r="BHL87" s="394"/>
      <c r="BHM87" s="394"/>
      <c r="BHN87" s="394"/>
      <c r="BHO87" s="394"/>
      <c r="BHP87" s="394"/>
      <c r="BHQ87" s="394"/>
      <c r="BHR87" s="394"/>
      <c r="BHS87" s="394"/>
      <c r="BHT87" s="394"/>
      <c r="BHU87" s="394"/>
      <c r="BHV87" s="394"/>
      <c r="BHW87" s="394"/>
      <c r="BHX87" s="394"/>
      <c r="BHY87" s="394"/>
      <c r="BHZ87" s="394"/>
      <c r="BIA87" s="394"/>
      <c r="BIB87" s="394"/>
      <c r="BIC87" s="394"/>
      <c r="BID87" s="394"/>
      <c r="BIE87" s="394"/>
      <c r="BIF87" s="394"/>
      <c r="BIG87" s="394"/>
      <c r="BIH87" s="394"/>
      <c r="BII87" s="394"/>
      <c r="BIJ87" s="394"/>
      <c r="BIK87" s="394"/>
      <c r="BIL87" s="394"/>
      <c r="BIM87" s="394"/>
      <c r="BIN87" s="394"/>
      <c r="BIO87" s="394"/>
      <c r="BIP87" s="394"/>
      <c r="BIQ87" s="394"/>
      <c r="BIR87" s="394"/>
      <c r="BIS87" s="394"/>
      <c r="BIT87" s="394"/>
      <c r="BIU87" s="394"/>
      <c r="BIV87" s="394"/>
      <c r="BIW87" s="394"/>
      <c r="BIX87" s="394"/>
      <c r="BIY87" s="394"/>
      <c r="BIZ87" s="394"/>
      <c r="BJA87" s="394"/>
      <c r="BJB87" s="394"/>
      <c r="BJC87" s="394"/>
      <c r="BJD87" s="394"/>
      <c r="BJE87" s="394"/>
      <c r="BJF87" s="394"/>
      <c r="BJG87" s="394"/>
      <c r="BJH87" s="394"/>
      <c r="BJI87" s="394"/>
      <c r="BJJ87" s="394"/>
      <c r="BJK87" s="394"/>
      <c r="BJL87" s="394"/>
      <c r="BJM87" s="394"/>
      <c r="BJN87" s="394"/>
      <c r="BJO87" s="394"/>
      <c r="BJP87" s="394"/>
      <c r="BJQ87" s="394"/>
      <c r="BJR87" s="394"/>
      <c r="BJS87" s="394"/>
      <c r="BJT87" s="394"/>
      <c r="BJU87" s="394"/>
      <c r="BJV87" s="394"/>
      <c r="BJW87" s="394"/>
      <c r="BJX87" s="394"/>
      <c r="BJY87" s="394"/>
      <c r="BJZ87" s="394"/>
      <c r="BKA87" s="394"/>
      <c r="BKB87" s="394"/>
      <c r="BKC87" s="394"/>
      <c r="BKD87" s="394"/>
      <c r="BKE87" s="394"/>
      <c r="BKF87" s="394"/>
      <c r="BKG87" s="394"/>
      <c r="BKH87" s="394"/>
      <c r="BKI87" s="394"/>
      <c r="BKJ87" s="394"/>
      <c r="BKK87" s="394"/>
      <c r="BKL87" s="394"/>
      <c r="BKM87" s="394"/>
      <c r="BKN87" s="394"/>
      <c r="BKO87" s="394"/>
      <c r="BKP87" s="394"/>
      <c r="BKQ87" s="394"/>
      <c r="BKR87" s="394"/>
      <c r="BKS87" s="394"/>
      <c r="BKT87" s="394"/>
      <c r="BKU87" s="394"/>
      <c r="BKV87" s="394"/>
      <c r="BKW87" s="394"/>
      <c r="BKX87" s="394"/>
      <c r="BKY87" s="394"/>
      <c r="BKZ87" s="394"/>
      <c r="BLA87" s="394"/>
      <c r="BLB87" s="394"/>
      <c r="BLC87" s="394"/>
      <c r="BLD87" s="394"/>
      <c r="BLE87" s="394"/>
      <c r="BLF87" s="394"/>
      <c r="BLG87" s="394"/>
      <c r="BLH87" s="394"/>
      <c r="BLI87" s="394"/>
      <c r="BLJ87" s="394"/>
      <c r="BLK87" s="394"/>
      <c r="BLL87" s="394"/>
      <c r="BLM87" s="394"/>
      <c r="BLN87" s="394"/>
      <c r="BLO87" s="394"/>
      <c r="BLP87" s="394"/>
      <c r="BLQ87" s="394"/>
      <c r="BLR87" s="394"/>
      <c r="BLS87" s="394"/>
      <c r="BLT87" s="394"/>
      <c r="BLU87" s="394"/>
      <c r="BLV87" s="394"/>
      <c r="BLW87" s="394"/>
      <c r="BLX87" s="394"/>
      <c r="BLY87" s="394"/>
      <c r="BLZ87" s="394"/>
      <c r="BMA87" s="394"/>
      <c r="BMB87" s="394"/>
      <c r="BMC87" s="394"/>
      <c r="BMD87" s="394"/>
      <c r="BME87" s="394"/>
      <c r="BMF87" s="394"/>
      <c r="BMG87" s="394"/>
      <c r="BMH87" s="394"/>
      <c r="BMI87" s="394"/>
      <c r="BMJ87" s="394"/>
      <c r="BMK87" s="394"/>
      <c r="BML87" s="394"/>
      <c r="BMM87" s="394"/>
      <c r="BMN87" s="394"/>
      <c r="BMO87" s="394"/>
      <c r="BMP87" s="394"/>
      <c r="BMQ87" s="394"/>
      <c r="BMR87" s="394"/>
      <c r="BMS87" s="394"/>
      <c r="BMT87" s="394"/>
      <c r="BMU87" s="394"/>
      <c r="BMV87" s="394"/>
      <c r="BMW87" s="394"/>
      <c r="BMX87" s="394"/>
      <c r="BMY87" s="394"/>
      <c r="BMZ87" s="394"/>
      <c r="BNA87" s="394"/>
      <c r="BNB87" s="394"/>
      <c r="BNC87" s="394"/>
      <c r="BND87" s="394"/>
      <c r="BNE87" s="394"/>
      <c r="BNF87" s="394"/>
      <c r="BNG87" s="394"/>
      <c r="BNH87" s="394"/>
      <c r="BNI87" s="394"/>
      <c r="BNJ87" s="394"/>
      <c r="BNK87" s="394"/>
      <c r="BNL87" s="394"/>
      <c r="BNM87" s="394"/>
      <c r="BNN87" s="394"/>
      <c r="BNO87" s="394"/>
      <c r="BNP87" s="394"/>
      <c r="BNQ87" s="394"/>
      <c r="BNR87" s="394"/>
      <c r="BNS87" s="394"/>
      <c r="BNT87" s="394"/>
      <c r="BNU87" s="394"/>
      <c r="BNV87" s="394"/>
      <c r="BNW87" s="394"/>
      <c r="BNX87" s="394"/>
      <c r="BNY87" s="394"/>
      <c r="BNZ87" s="394"/>
      <c r="BOA87" s="394"/>
      <c r="BOB87" s="394"/>
      <c r="BOC87" s="394"/>
      <c r="BOD87" s="394"/>
      <c r="BOE87" s="394"/>
      <c r="BOF87" s="394"/>
      <c r="BOG87" s="394"/>
      <c r="BOH87" s="394"/>
      <c r="BOI87" s="394"/>
      <c r="BOJ87" s="394"/>
      <c r="BOK87" s="394"/>
      <c r="BOL87" s="394"/>
      <c r="BOM87" s="394"/>
      <c r="BON87" s="394"/>
      <c r="BOO87" s="394"/>
      <c r="BOP87" s="394"/>
      <c r="BOQ87" s="394"/>
      <c r="BOR87" s="394"/>
      <c r="BOS87" s="394"/>
      <c r="BOT87" s="394"/>
      <c r="BOU87" s="394"/>
      <c r="BOV87" s="394"/>
      <c r="BOW87" s="394"/>
      <c r="BOX87" s="394"/>
      <c r="BOY87" s="394"/>
      <c r="BOZ87" s="394"/>
      <c r="BPA87" s="394"/>
      <c r="BPB87" s="394"/>
      <c r="BPC87" s="394"/>
      <c r="BPD87" s="394"/>
      <c r="BPE87" s="394"/>
      <c r="BPF87" s="394"/>
      <c r="BPG87" s="394"/>
      <c r="BPH87" s="394"/>
      <c r="BPI87" s="394"/>
      <c r="BPJ87" s="394"/>
      <c r="BPK87" s="394"/>
      <c r="BPL87" s="394"/>
      <c r="BPM87" s="394"/>
      <c r="BPN87" s="394"/>
      <c r="BPO87" s="394"/>
      <c r="BPP87" s="394"/>
      <c r="BPQ87" s="394"/>
      <c r="BPR87" s="394"/>
      <c r="BPS87" s="394"/>
      <c r="BPT87" s="394"/>
      <c r="BPU87" s="394"/>
      <c r="BPV87" s="394"/>
      <c r="BPW87" s="394"/>
      <c r="BPX87" s="394"/>
      <c r="BPY87" s="394"/>
      <c r="BPZ87" s="394"/>
      <c r="BQA87" s="394"/>
      <c r="BQB87" s="394"/>
      <c r="BQC87" s="394"/>
      <c r="BQD87" s="394"/>
      <c r="BQE87" s="394"/>
      <c r="BQF87" s="394"/>
      <c r="BQG87" s="394"/>
      <c r="BQH87" s="394"/>
      <c r="BQI87" s="394"/>
      <c r="BQJ87" s="394"/>
      <c r="BQK87" s="394"/>
      <c r="BQL87" s="394"/>
      <c r="BQM87" s="394"/>
      <c r="BQN87" s="394"/>
      <c r="BQO87" s="394"/>
      <c r="BQP87" s="394"/>
      <c r="BQQ87" s="394"/>
      <c r="BQR87" s="394"/>
      <c r="BQS87" s="394"/>
      <c r="BQT87" s="394"/>
      <c r="BQU87" s="394"/>
      <c r="BQV87" s="394"/>
      <c r="BQW87" s="394"/>
      <c r="BQX87" s="394"/>
      <c r="BQY87" s="394"/>
      <c r="BQZ87" s="394"/>
      <c r="BRA87" s="394"/>
      <c r="BRB87" s="394"/>
      <c r="BRC87" s="394"/>
      <c r="BRD87" s="394"/>
      <c r="BRE87" s="394"/>
      <c r="BRF87" s="394"/>
      <c r="BRG87" s="394"/>
      <c r="BRH87" s="394"/>
      <c r="BRI87" s="394"/>
      <c r="BRJ87" s="394"/>
      <c r="BRK87" s="394"/>
      <c r="BRL87" s="394"/>
      <c r="BRM87" s="394"/>
      <c r="BRN87" s="394"/>
      <c r="BRO87" s="394"/>
      <c r="BRP87" s="394"/>
      <c r="BRQ87" s="394"/>
      <c r="BRR87" s="394"/>
      <c r="BRS87" s="394"/>
      <c r="BRT87" s="394"/>
      <c r="BRU87" s="394"/>
      <c r="BRV87" s="394"/>
      <c r="BRW87" s="394"/>
      <c r="BRX87" s="394"/>
      <c r="BRY87" s="394"/>
      <c r="BRZ87" s="394"/>
      <c r="BSA87" s="394"/>
      <c r="BSB87" s="394"/>
      <c r="BSC87" s="394"/>
      <c r="BSD87" s="394"/>
      <c r="BSE87" s="394"/>
      <c r="BSF87" s="394"/>
      <c r="BSG87" s="394"/>
      <c r="BSH87" s="394"/>
      <c r="BSI87" s="394"/>
      <c r="BSJ87" s="394"/>
      <c r="BSK87" s="394"/>
      <c r="BSL87" s="394"/>
      <c r="BSM87" s="394"/>
      <c r="BSN87" s="394"/>
      <c r="BSO87" s="394"/>
      <c r="BSP87" s="394"/>
      <c r="BSQ87" s="394"/>
      <c r="BSR87" s="394"/>
      <c r="BSS87" s="394"/>
      <c r="BST87" s="394"/>
      <c r="BSU87" s="394"/>
      <c r="BSV87" s="394"/>
      <c r="BSW87" s="394"/>
      <c r="BSX87" s="394"/>
      <c r="BSY87" s="394"/>
      <c r="BSZ87" s="394"/>
      <c r="BTA87" s="394"/>
      <c r="BTB87" s="394"/>
      <c r="BTC87" s="394"/>
      <c r="BTD87" s="394"/>
      <c r="BTE87" s="394"/>
      <c r="BTF87" s="394"/>
      <c r="BTG87" s="394"/>
      <c r="BTH87" s="394"/>
      <c r="BTI87" s="394"/>
    </row>
    <row r="88" spans="1:1881" ht="101.25" customHeight="1" x14ac:dyDescent="0.25">
      <c r="A88" s="450">
        <v>633</v>
      </c>
      <c r="B88" s="451" t="s">
        <v>1204</v>
      </c>
      <c r="C88" s="452" t="s">
        <v>835</v>
      </c>
      <c r="D88" s="453" t="s">
        <v>1221</v>
      </c>
      <c r="E88" s="454" t="s">
        <v>832</v>
      </c>
      <c r="F88" s="624"/>
      <c r="G88" s="437">
        <f>IF(F88&lt;0,"Error: Enter as positive.",)</f>
        <v>0</v>
      </c>
      <c r="H88" s="438"/>
      <c r="I88" s="439"/>
    </row>
    <row r="89" spans="1:1881" ht="88.5" customHeight="1" x14ac:dyDescent="0.25">
      <c r="A89" s="455">
        <v>634</v>
      </c>
      <c r="B89" s="456" t="s">
        <v>830</v>
      </c>
      <c r="C89" s="452" t="s">
        <v>835</v>
      </c>
      <c r="D89" s="453" t="s">
        <v>1069</v>
      </c>
      <c r="E89" s="454" t="s">
        <v>832</v>
      </c>
      <c r="F89" s="624"/>
      <c r="G89" s="437">
        <f>IF(F89&gt;F88,"Please review account numbers 634&gt;633",)</f>
        <v>0</v>
      </c>
      <c r="H89" s="438"/>
      <c r="I89" s="439"/>
    </row>
    <row r="90" spans="1:1881" ht="99.75" customHeight="1" x14ac:dyDescent="0.25">
      <c r="A90" s="455">
        <v>635</v>
      </c>
      <c r="B90" s="456" t="s">
        <v>830</v>
      </c>
      <c r="C90" s="452" t="s">
        <v>835</v>
      </c>
      <c r="D90" s="453" t="s">
        <v>1070</v>
      </c>
      <c r="E90" s="454" t="s">
        <v>832</v>
      </c>
      <c r="F90" s="624"/>
      <c r="G90" s="437">
        <f>IF(F90&gt;F88,"Please review account numbers 635&gt;633",)</f>
        <v>0</v>
      </c>
      <c r="H90" s="438"/>
      <c r="I90" s="439"/>
    </row>
    <row r="91" spans="1:1881" ht="99.75" customHeight="1" x14ac:dyDescent="0.25">
      <c r="A91" s="455">
        <v>636</v>
      </c>
      <c r="B91" s="456" t="s">
        <v>830</v>
      </c>
      <c r="C91" s="452" t="s">
        <v>835</v>
      </c>
      <c r="D91" s="453" t="s">
        <v>1071</v>
      </c>
      <c r="E91" s="454" t="s">
        <v>832</v>
      </c>
      <c r="F91" s="624"/>
      <c r="G91" s="437">
        <f>IF(F91&gt;F88,"Please review account numbers 636&gt;633",)</f>
        <v>0</v>
      </c>
      <c r="H91" s="438"/>
      <c r="I91" s="439"/>
    </row>
    <row r="92" spans="1:1881" ht="80.25" customHeight="1" x14ac:dyDescent="0.25">
      <c r="A92" s="455">
        <v>637</v>
      </c>
      <c r="B92" s="456" t="s">
        <v>830</v>
      </c>
      <c r="C92" s="452" t="s">
        <v>835</v>
      </c>
      <c r="D92" s="453" t="s">
        <v>1073</v>
      </c>
      <c r="E92" s="454" t="s">
        <v>832</v>
      </c>
      <c r="F92" s="624"/>
      <c r="G92" s="437">
        <f>IF(F92&gt;F88,"Please review account numbers 637&gt;633",)</f>
        <v>0</v>
      </c>
      <c r="H92" s="438"/>
      <c r="I92" s="439"/>
    </row>
    <row r="93" spans="1:1881" ht="92.25" customHeight="1" x14ac:dyDescent="0.25">
      <c r="A93" s="455">
        <v>638</v>
      </c>
      <c r="B93" s="456" t="s">
        <v>830</v>
      </c>
      <c r="C93" s="452" t="s">
        <v>835</v>
      </c>
      <c r="D93" s="453" t="s">
        <v>1072</v>
      </c>
      <c r="E93" s="454" t="s">
        <v>832</v>
      </c>
      <c r="F93" s="624"/>
      <c r="G93" s="437">
        <f>IF(F93&gt;F88,"Please review account numbers 638&gt;633",)</f>
        <v>0</v>
      </c>
      <c r="H93" s="438"/>
      <c r="I93" s="439"/>
    </row>
    <row r="94" spans="1:1881" s="225" customFormat="1" ht="71.25" customHeight="1" x14ac:dyDescent="0.25">
      <c r="A94" s="188">
        <v>383</v>
      </c>
      <c r="B94" s="64" t="s">
        <v>69</v>
      </c>
      <c r="C94" s="159" t="s">
        <v>184</v>
      </c>
      <c r="D94" s="175" t="s">
        <v>1074</v>
      </c>
      <c r="E94" s="32" t="e">
        <f>HLOOKUP($D$2,'2019 Data(H)'!$C$1:$CP$300,142,FALSE)</f>
        <v>#N/A</v>
      </c>
      <c r="F94" s="624"/>
      <c r="G94" s="590">
        <f>IF(F94&gt;F88,"Error: Please review components of current liabilities above. Account number 383&gt;633",)</f>
        <v>0</v>
      </c>
      <c r="H94" s="579"/>
      <c r="I94" s="31"/>
      <c r="J94" s="394"/>
      <c r="K94" s="394"/>
      <c r="L94" s="394"/>
      <c r="M94" s="394"/>
      <c r="N94"/>
      <c r="O94" s="394"/>
      <c r="P94" s="394"/>
      <c r="Q94" s="394"/>
      <c r="R94" s="394"/>
      <c r="S94" s="394"/>
      <c r="T94" s="394"/>
      <c r="U94" s="394"/>
      <c r="V94" s="394"/>
      <c r="W94" s="394"/>
      <c r="X94" s="394"/>
      <c r="Y94" s="394"/>
      <c r="Z94" s="394"/>
      <c r="AA94" s="394"/>
      <c r="AB94" s="394"/>
      <c r="AC94" s="394"/>
      <c r="AD94" s="394"/>
      <c r="AE94" s="394"/>
      <c r="AF94" s="394"/>
      <c r="AG94" s="394"/>
      <c r="AH94" s="394"/>
      <c r="AI94" s="394"/>
      <c r="AJ94" s="394"/>
      <c r="AK94" s="394"/>
      <c r="AL94" s="394"/>
      <c r="AM94" s="394"/>
      <c r="AN94" s="394"/>
      <c r="AO94" s="394"/>
      <c r="AP94" s="394"/>
      <c r="AQ94" s="394"/>
      <c r="AR94" s="394"/>
      <c r="AS94" s="394"/>
      <c r="AT94" s="394"/>
      <c r="AU94" s="394"/>
      <c r="AV94" s="394"/>
      <c r="AW94" s="394"/>
      <c r="AX94" s="394"/>
      <c r="AY94" s="394"/>
      <c r="AZ94" s="394"/>
      <c r="BA94" s="394"/>
      <c r="BB94" s="394"/>
      <c r="BC94" s="394"/>
      <c r="BD94" s="394"/>
      <c r="BE94" s="394"/>
      <c r="BF94" s="394"/>
      <c r="BG94" s="394"/>
      <c r="BH94" s="394"/>
      <c r="BI94" s="394"/>
      <c r="BJ94" s="394"/>
      <c r="BK94" s="394"/>
      <c r="BL94" s="394"/>
      <c r="BM94" s="394"/>
      <c r="BN94" s="394"/>
      <c r="BO94" s="394"/>
      <c r="BP94" s="394"/>
      <c r="BQ94" s="394"/>
      <c r="BR94" s="394"/>
      <c r="BS94" s="394"/>
      <c r="BT94" s="394"/>
      <c r="BU94" s="394"/>
      <c r="BV94" s="394"/>
      <c r="BW94" s="394"/>
      <c r="BX94" s="394"/>
      <c r="BY94" s="394"/>
      <c r="BZ94" s="394"/>
      <c r="CA94" s="394"/>
      <c r="CB94" s="394"/>
      <c r="CC94" s="394"/>
      <c r="CD94" s="394"/>
      <c r="CE94" s="394"/>
      <c r="CF94" s="394"/>
      <c r="CG94" s="394"/>
      <c r="CH94" s="394"/>
      <c r="CI94" s="394"/>
      <c r="CJ94" s="394"/>
      <c r="CK94" s="394"/>
      <c r="CL94" s="394"/>
      <c r="CM94" s="394"/>
      <c r="CN94" s="394"/>
      <c r="CO94" s="394"/>
      <c r="CP94" s="394"/>
      <c r="CQ94" s="394"/>
      <c r="CR94" s="394"/>
      <c r="CS94" s="394"/>
      <c r="CT94" s="394"/>
      <c r="CU94" s="394"/>
      <c r="CV94" s="394"/>
      <c r="CW94" s="394"/>
      <c r="CX94" s="394"/>
      <c r="CY94" s="394"/>
      <c r="CZ94" s="394"/>
      <c r="DA94" s="394"/>
      <c r="DB94" s="394"/>
      <c r="DC94" s="394"/>
      <c r="DD94" s="394"/>
      <c r="DE94" s="394"/>
      <c r="DF94" s="394"/>
      <c r="DG94" s="394"/>
      <c r="DH94" s="394"/>
      <c r="DI94" s="394"/>
      <c r="DJ94" s="394"/>
      <c r="DK94" s="394"/>
      <c r="DL94" s="394"/>
      <c r="DM94" s="394"/>
      <c r="DN94" s="394"/>
      <c r="DO94" s="394"/>
      <c r="DP94" s="394"/>
      <c r="DQ94" s="394"/>
      <c r="DR94" s="394"/>
      <c r="DS94" s="394"/>
      <c r="DT94" s="394"/>
      <c r="DU94" s="394"/>
      <c r="DV94" s="394"/>
      <c r="DW94" s="394"/>
      <c r="DX94" s="394"/>
      <c r="DY94" s="394"/>
      <c r="DZ94" s="394"/>
      <c r="EA94" s="394"/>
      <c r="EB94" s="394"/>
      <c r="EC94" s="394"/>
      <c r="ED94" s="394"/>
      <c r="EE94" s="394"/>
      <c r="EF94" s="394"/>
      <c r="EG94" s="394"/>
      <c r="EH94" s="394"/>
      <c r="EI94" s="394"/>
      <c r="EJ94" s="394"/>
      <c r="EK94" s="394"/>
      <c r="EL94" s="394"/>
      <c r="EM94" s="394"/>
      <c r="EN94" s="394"/>
      <c r="EO94" s="394"/>
      <c r="EP94" s="394"/>
      <c r="EQ94" s="394"/>
      <c r="ER94" s="394"/>
      <c r="ES94" s="394"/>
      <c r="ET94" s="394"/>
      <c r="EU94" s="394"/>
      <c r="EV94" s="394"/>
      <c r="EW94" s="394"/>
      <c r="EX94" s="394"/>
      <c r="EY94" s="394"/>
      <c r="EZ94" s="394"/>
      <c r="FA94" s="394"/>
      <c r="FB94" s="394"/>
      <c r="FC94" s="394"/>
      <c r="FD94" s="394"/>
      <c r="FE94" s="394"/>
      <c r="FF94" s="394"/>
      <c r="FG94" s="394"/>
      <c r="FH94" s="394"/>
      <c r="FI94" s="394"/>
      <c r="FJ94" s="394"/>
      <c r="FK94" s="394"/>
      <c r="FL94" s="394"/>
      <c r="FM94" s="394"/>
      <c r="FN94" s="394"/>
      <c r="FO94" s="394"/>
      <c r="FP94" s="394"/>
      <c r="FQ94" s="394"/>
      <c r="FR94" s="394"/>
      <c r="FS94" s="394"/>
      <c r="FT94" s="394"/>
      <c r="FU94" s="394"/>
      <c r="FV94" s="394"/>
      <c r="FW94" s="394"/>
      <c r="FX94" s="394"/>
      <c r="FY94" s="394"/>
      <c r="FZ94" s="394"/>
      <c r="GA94" s="394"/>
      <c r="GB94" s="394"/>
      <c r="GC94" s="394"/>
      <c r="GD94" s="394"/>
      <c r="GE94" s="394"/>
      <c r="GF94" s="394"/>
      <c r="GG94" s="394"/>
      <c r="GH94" s="394"/>
      <c r="GI94" s="394"/>
      <c r="GJ94" s="394"/>
      <c r="GK94" s="394"/>
      <c r="GL94" s="394"/>
      <c r="GM94" s="394"/>
      <c r="GN94" s="394"/>
      <c r="GO94" s="394"/>
      <c r="GP94" s="394"/>
      <c r="GQ94" s="394"/>
      <c r="GR94" s="394"/>
      <c r="GS94" s="394"/>
      <c r="GT94" s="394"/>
      <c r="GU94" s="394"/>
      <c r="GV94" s="394"/>
      <c r="GW94" s="394"/>
      <c r="GX94" s="394"/>
      <c r="GY94" s="394"/>
      <c r="GZ94" s="394"/>
      <c r="HA94" s="394"/>
      <c r="HB94" s="394"/>
      <c r="HC94" s="394"/>
      <c r="HD94" s="394"/>
      <c r="HE94" s="394"/>
      <c r="HF94" s="394"/>
      <c r="HG94" s="394"/>
      <c r="HH94" s="394"/>
      <c r="HI94" s="394"/>
      <c r="HJ94" s="394"/>
      <c r="HK94" s="394"/>
      <c r="HL94" s="394"/>
      <c r="HM94" s="394"/>
      <c r="HN94" s="394"/>
      <c r="HO94" s="394"/>
      <c r="HP94" s="394"/>
      <c r="HQ94" s="394"/>
      <c r="HR94" s="394"/>
      <c r="HS94" s="394"/>
      <c r="HT94" s="394"/>
      <c r="HU94" s="394"/>
      <c r="HV94" s="394"/>
      <c r="HW94" s="394"/>
      <c r="HX94" s="394"/>
      <c r="HY94" s="394"/>
      <c r="HZ94" s="394"/>
      <c r="IA94" s="394"/>
      <c r="IB94" s="394"/>
      <c r="IC94" s="394"/>
      <c r="ID94" s="394"/>
      <c r="IE94" s="394"/>
      <c r="IF94" s="394"/>
      <c r="IG94" s="394"/>
      <c r="IH94" s="394"/>
      <c r="II94" s="394"/>
      <c r="IJ94" s="394"/>
      <c r="IK94" s="394"/>
      <c r="IL94" s="394"/>
      <c r="IM94" s="394"/>
      <c r="IN94" s="394"/>
      <c r="IO94" s="394"/>
      <c r="IP94" s="394"/>
      <c r="IQ94" s="394"/>
      <c r="IR94" s="394"/>
      <c r="IS94" s="394"/>
      <c r="IT94" s="394"/>
      <c r="IU94" s="394"/>
      <c r="IV94" s="394"/>
      <c r="IW94" s="394"/>
      <c r="IX94" s="394"/>
      <c r="IY94" s="394"/>
      <c r="IZ94" s="394"/>
      <c r="JA94" s="394"/>
      <c r="JB94" s="394"/>
      <c r="JC94" s="394"/>
      <c r="JD94" s="394"/>
      <c r="JE94" s="394"/>
      <c r="JF94" s="394"/>
      <c r="JG94" s="394"/>
      <c r="JH94" s="394"/>
      <c r="JI94" s="394"/>
      <c r="JJ94" s="394"/>
      <c r="JK94" s="394"/>
      <c r="JL94" s="394"/>
      <c r="JM94" s="394"/>
      <c r="JN94" s="394"/>
      <c r="JO94" s="394"/>
      <c r="JP94" s="394"/>
      <c r="JQ94" s="394"/>
      <c r="JR94" s="394"/>
      <c r="JS94" s="394"/>
      <c r="JT94" s="394"/>
      <c r="JU94" s="394"/>
      <c r="JV94" s="394"/>
      <c r="JW94" s="394"/>
      <c r="JX94" s="394"/>
      <c r="JY94" s="394"/>
      <c r="JZ94" s="394"/>
      <c r="KA94" s="394"/>
      <c r="KB94" s="394"/>
      <c r="KC94" s="394"/>
      <c r="KD94" s="394"/>
      <c r="KE94" s="394"/>
      <c r="KF94" s="394"/>
      <c r="KG94" s="394"/>
      <c r="KH94" s="394"/>
      <c r="KI94" s="394"/>
      <c r="KJ94" s="394"/>
      <c r="KK94" s="394"/>
      <c r="KL94" s="394"/>
      <c r="KM94" s="394"/>
      <c r="KN94" s="394"/>
      <c r="KO94" s="394"/>
      <c r="KP94" s="394"/>
      <c r="KQ94" s="394"/>
      <c r="KR94" s="394"/>
      <c r="KS94" s="394"/>
      <c r="KT94" s="394"/>
      <c r="KU94" s="394"/>
      <c r="KV94" s="394"/>
      <c r="KW94" s="394"/>
      <c r="KX94" s="394"/>
      <c r="KY94" s="394"/>
      <c r="KZ94" s="394"/>
      <c r="LA94" s="394"/>
      <c r="LB94" s="394"/>
      <c r="LC94" s="394"/>
      <c r="LD94" s="394"/>
      <c r="LE94" s="394"/>
      <c r="LF94" s="394"/>
      <c r="LG94" s="394"/>
      <c r="LH94" s="394"/>
      <c r="LI94" s="394"/>
      <c r="LJ94" s="394"/>
      <c r="LK94" s="394"/>
      <c r="LL94" s="394"/>
      <c r="LM94" s="394"/>
      <c r="LN94" s="394"/>
      <c r="LO94" s="394"/>
      <c r="LP94" s="394"/>
      <c r="LQ94" s="394"/>
      <c r="LR94" s="394"/>
      <c r="LS94" s="394"/>
      <c r="LT94" s="394"/>
      <c r="LU94" s="394"/>
      <c r="LV94" s="394"/>
      <c r="LW94" s="394"/>
      <c r="LX94" s="394"/>
      <c r="LY94" s="394"/>
      <c r="LZ94" s="394"/>
      <c r="MA94" s="394"/>
      <c r="MB94" s="394"/>
      <c r="MC94" s="394"/>
      <c r="MD94" s="394"/>
      <c r="ME94" s="394"/>
      <c r="MF94" s="394"/>
      <c r="MG94" s="394"/>
      <c r="MH94" s="394"/>
      <c r="MI94" s="394"/>
      <c r="MJ94" s="394"/>
      <c r="MK94" s="394"/>
      <c r="ML94" s="394"/>
      <c r="MM94" s="394"/>
      <c r="MN94" s="394"/>
      <c r="MO94" s="394"/>
      <c r="MP94" s="394"/>
      <c r="MQ94" s="394"/>
      <c r="MR94" s="394"/>
      <c r="MS94" s="394"/>
      <c r="MT94" s="394"/>
      <c r="MU94" s="394"/>
      <c r="MV94" s="394"/>
      <c r="MW94" s="394"/>
      <c r="MX94" s="394"/>
      <c r="MY94" s="394"/>
      <c r="MZ94" s="394"/>
      <c r="NA94" s="394"/>
      <c r="NB94" s="394"/>
      <c r="NC94" s="394"/>
      <c r="ND94" s="394"/>
      <c r="NE94" s="394"/>
      <c r="NF94" s="394"/>
      <c r="NG94" s="394"/>
      <c r="NH94" s="394"/>
      <c r="NI94" s="394"/>
      <c r="NJ94" s="394"/>
      <c r="NK94" s="394"/>
      <c r="NL94" s="394"/>
      <c r="NM94" s="394"/>
      <c r="NN94" s="394"/>
      <c r="NO94" s="394"/>
      <c r="NP94" s="394"/>
      <c r="NQ94" s="394"/>
      <c r="NR94" s="394"/>
      <c r="NS94" s="394"/>
      <c r="NT94" s="394"/>
      <c r="NU94" s="394"/>
      <c r="NV94" s="394"/>
      <c r="NW94" s="394"/>
      <c r="NX94" s="394"/>
      <c r="NY94" s="394"/>
      <c r="NZ94" s="394"/>
      <c r="OA94" s="394"/>
      <c r="OB94" s="394"/>
      <c r="OC94" s="394"/>
      <c r="OD94" s="394"/>
      <c r="OE94" s="394"/>
      <c r="OF94" s="394"/>
      <c r="OG94" s="394"/>
      <c r="OH94" s="394"/>
      <c r="OI94" s="394"/>
      <c r="OJ94" s="394"/>
      <c r="OK94" s="394"/>
      <c r="OL94" s="394"/>
      <c r="OM94" s="394"/>
      <c r="ON94" s="394"/>
      <c r="OO94" s="394"/>
      <c r="OP94" s="394"/>
      <c r="OQ94" s="394"/>
      <c r="OR94" s="394"/>
      <c r="OS94" s="394"/>
      <c r="OT94" s="394"/>
      <c r="OU94" s="394"/>
      <c r="OV94" s="394"/>
      <c r="OW94" s="394"/>
      <c r="OX94" s="394"/>
      <c r="OY94" s="394"/>
      <c r="OZ94" s="394"/>
      <c r="PA94" s="394"/>
      <c r="PB94" s="394"/>
      <c r="PC94" s="394"/>
      <c r="PD94" s="394"/>
      <c r="PE94" s="394"/>
      <c r="PF94" s="394"/>
      <c r="PG94" s="394"/>
      <c r="PH94" s="394"/>
      <c r="PI94" s="394"/>
      <c r="PJ94" s="394"/>
      <c r="PK94" s="394"/>
      <c r="PL94" s="394"/>
      <c r="PM94" s="394"/>
      <c r="PN94" s="394"/>
      <c r="PO94" s="394"/>
      <c r="PP94" s="394"/>
      <c r="PQ94" s="394"/>
      <c r="PR94" s="394"/>
      <c r="PS94" s="394"/>
      <c r="PT94" s="394"/>
      <c r="PU94" s="394"/>
      <c r="PV94" s="394"/>
      <c r="PW94" s="394"/>
      <c r="PX94" s="394"/>
      <c r="PY94" s="394"/>
      <c r="PZ94" s="394"/>
      <c r="QA94" s="394"/>
      <c r="QB94" s="394"/>
      <c r="QC94" s="394"/>
      <c r="QD94" s="394"/>
      <c r="QE94" s="394"/>
      <c r="QF94" s="394"/>
      <c r="QG94" s="394"/>
      <c r="QH94" s="394"/>
      <c r="QI94" s="394"/>
      <c r="QJ94" s="394"/>
      <c r="QK94" s="394"/>
      <c r="QL94" s="394"/>
      <c r="QM94" s="394"/>
      <c r="QN94" s="394"/>
      <c r="QO94" s="394"/>
      <c r="QP94" s="394"/>
      <c r="QQ94" s="394"/>
      <c r="QR94" s="394"/>
      <c r="QS94" s="394"/>
      <c r="QT94" s="394"/>
      <c r="QU94" s="394"/>
      <c r="QV94" s="394"/>
      <c r="QW94" s="394"/>
      <c r="QX94" s="394"/>
      <c r="QY94" s="394"/>
      <c r="QZ94" s="394"/>
      <c r="RA94" s="394"/>
      <c r="RB94" s="394"/>
      <c r="RC94" s="394"/>
      <c r="RD94" s="394"/>
      <c r="RE94" s="394"/>
      <c r="RF94" s="394"/>
      <c r="RG94" s="394"/>
      <c r="RH94" s="394"/>
      <c r="RI94" s="394"/>
      <c r="RJ94" s="394"/>
      <c r="RK94" s="394"/>
      <c r="RL94" s="394"/>
      <c r="RM94" s="394"/>
      <c r="RN94" s="394"/>
      <c r="RO94" s="394"/>
      <c r="RP94" s="394"/>
      <c r="RQ94" s="394"/>
      <c r="RR94" s="394"/>
      <c r="RS94" s="394"/>
      <c r="RT94" s="394"/>
      <c r="RU94" s="394"/>
      <c r="RV94" s="394"/>
      <c r="RW94" s="394"/>
      <c r="RX94" s="394"/>
      <c r="RY94" s="394"/>
      <c r="RZ94" s="394"/>
      <c r="SA94" s="394"/>
      <c r="SB94" s="394"/>
      <c r="SC94" s="394"/>
      <c r="SD94" s="394"/>
      <c r="SE94" s="394"/>
      <c r="SF94" s="394"/>
      <c r="SG94" s="394"/>
      <c r="SH94" s="394"/>
      <c r="SI94" s="394"/>
      <c r="SJ94" s="394"/>
      <c r="SK94" s="394"/>
      <c r="SL94" s="394"/>
      <c r="SM94" s="394"/>
      <c r="SN94" s="394"/>
      <c r="SO94" s="394"/>
      <c r="SP94" s="394"/>
      <c r="SQ94" s="394"/>
      <c r="SR94" s="394"/>
      <c r="SS94" s="394"/>
      <c r="ST94" s="394"/>
      <c r="SU94" s="394"/>
      <c r="SV94" s="394"/>
      <c r="SW94" s="394"/>
      <c r="SX94" s="394"/>
      <c r="SY94" s="394"/>
      <c r="SZ94" s="394"/>
      <c r="TA94" s="394"/>
      <c r="TB94" s="394"/>
      <c r="TC94" s="394"/>
      <c r="TD94" s="394"/>
      <c r="TE94" s="394"/>
      <c r="TF94" s="394"/>
      <c r="TG94" s="394"/>
      <c r="TH94" s="394"/>
      <c r="TI94" s="394"/>
      <c r="TJ94" s="394"/>
      <c r="TK94" s="394"/>
      <c r="TL94" s="394"/>
      <c r="TM94" s="394"/>
      <c r="TN94" s="394"/>
      <c r="TO94" s="394"/>
      <c r="TP94" s="394"/>
      <c r="TQ94" s="394"/>
      <c r="TR94" s="394"/>
      <c r="TS94" s="394"/>
      <c r="TT94" s="394"/>
      <c r="TU94" s="394"/>
      <c r="TV94" s="394"/>
      <c r="TW94" s="394"/>
      <c r="TX94" s="394"/>
      <c r="TY94" s="394"/>
      <c r="TZ94" s="394"/>
      <c r="UA94" s="394"/>
      <c r="UB94" s="394"/>
      <c r="UC94" s="394"/>
      <c r="UD94" s="394"/>
      <c r="UE94" s="394"/>
      <c r="UF94" s="394"/>
      <c r="UG94" s="394"/>
      <c r="UH94" s="394"/>
      <c r="UI94" s="394"/>
      <c r="UJ94" s="394"/>
      <c r="UK94" s="394"/>
      <c r="UL94" s="394"/>
      <c r="UM94" s="394"/>
      <c r="UN94" s="394"/>
      <c r="UO94" s="394"/>
      <c r="UP94" s="394"/>
      <c r="UQ94" s="394"/>
      <c r="UR94" s="394"/>
      <c r="US94" s="394"/>
      <c r="UT94" s="394"/>
      <c r="UU94" s="394"/>
      <c r="UV94" s="394"/>
      <c r="UW94" s="394"/>
      <c r="UX94" s="394"/>
      <c r="UY94" s="394"/>
      <c r="UZ94" s="394"/>
      <c r="VA94" s="394"/>
      <c r="VB94" s="394"/>
      <c r="VC94" s="394"/>
      <c r="VD94" s="394"/>
      <c r="VE94" s="394"/>
      <c r="VF94" s="394"/>
      <c r="VG94" s="394"/>
      <c r="VH94" s="394"/>
      <c r="VI94" s="394"/>
      <c r="VJ94" s="394"/>
      <c r="VK94" s="394"/>
      <c r="VL94" s="394"/>
      <c r="VM94" s="394"/>
      <c r="VN94" s="394"/>
      <c r="VO94" s="394"/>
      <c r="VP94" s="394"/>
      <c r="VQ94" s="394"/>
      <c r="VR94" s="394"/>
      <c r="VS94" s="394"/>
      <c r="VT94" s="394"/>
      <c r="VU94" s="394"/>
      <c r="VV94" s="394"/>
      <c r="VW94" s="394"/>
      <c r="VX94" s="394"/>
      <c r="VY94" s="394"/>
      <c r="VZ94" s="394"/>
      <c r="WA94" s="394"/>
      <c r="WB94" s="394"/>
      <c r="WC94" s="394"/>
      <c r="WD94" s="394"/>
      <c r="WE94" s="394"/>
      <c r="WF94" s="394"/>
      <c r="WG94" s="394"/>
      <c r="WH94" s="394"/>
      <c r="WI94" s="394"/>
      <c r="WJ94" s="394"/>
      <c r="WK94" s="394"/>
      <c r="WL94" s="394"/>
      <c r="WM94" s="394"/>
      <c r="WN94" s="394"/>
      <c r="WO94" s="394"/>
      <c r="WP94" s="394"/>
      <c r="WQ94" s="394"/>
      <c r="WR94" s="394"/>
      <c r="WS94" s="394"/>
      <c r="WT94" s="394"/>
      <c r="WU94" s="394"/>
      <c r="WV94" s="394"/>
      <c r="WW94" s="394"/>
      <c r="WX94" s="394"/>
      <c r="WY94" s="394"/>
      <c r="WZ94" s="394"/>
      <c r="XA94" s="394"/>
      <c r="XB94" s="394"/>
      <c r="XC94" s="394"/>
      <c r="XD94" s="394"/>
      <c r="XE94" s="394"/>
      <c r="XF94" s="394"/>
      <c r="XG94" s="394"/>
      <c r="XH94" s="394"/>
      <c r="XI94" s="394"/>
      <c r="XJ94" s="394"/>
      <c r="XK94" s="394"/>
      <c r="XL94" s="394"/>
      <c r="XM94" s="394"/>
      <c r="XN94" s="394"/>
      <c r="XO94" s="394"/>
      <c r="XP94" s="394"/>
      <c r="XQ94" s="394"/>
      <c r="XR94" s="394"/>
      <c r="XS94" s="394"/>
      <c r="XT94" s="394"/>
      <c r="XU94" s="394"/>
      <c r="XV94" s="394"/>
      <c r="XW94" s="394"/>
      <c r="XX94" s="394"/>
      <c r="XY94" s="394"/>
      <c r="XZ94" s="394"/>
      <c r="YA94" s="394"/>
      <c r="YB94" s="394"/>
      <c r="YC94" s="394"/>
      <c r="YD94" s="394"/>
      <c r="YE94" s="394"/>
      <c r="YF94" s="394"/>
      <c r="YG94" s="394"/>
      <c r="YH94" s="394"/>
      <c r="YI94" s="394"/>
      <c r="YJ94" s="394"/>
      <c r="YK94" s="394"/>
      <c r="YL94" s="394"/>
      <c r="YM94" s="394"/>
      <c r="YN94" s="394"/>
      <c r="YO94" s="394"/>
      <c r="YP94" s="394"/>
      <c r="YQ94" s="394"/>
      <c r="YR94" s="394"/>
      <c r="YS94" s="394"/>
      <c r="YT94" s="394"/>
      <c r="YU94" s="394"/>
      <c r="YV94" s="394"/>
      <c r="YW94" s="394"/>
      <c r="YX94" s="394"/>
      <c r="YY94" s="394"/>
      <c r="YZ94" s="394"/>
      <c r="ZA94" s="394"/>
      <c r="ZB94" s="394"/>
      <c r="ZC94" s="394"/>
      <c r="ZD94" s="394"/>
      <c r="ZE94" s="394"/>
      <c r="ZF94" s="394"/>
      <c r="ZG94" s="394"/>
      <c r="ZH94" s="394"/>
      <c r="ZI94" s="394"/>
      <c r="ZJ94" s="394"/>
      <c r="ZK94" s="394"/>
      <c r="ZL94" s="394"/>
      <c r="ZM94" s="394"/>
      <c r="ZN94" s="394"/>
      <c r="ZO94" s="394"/>
      <c r="ZP94" s="394"/>
      <c r="ZQ94" s="394"/>
      <c r="ZR94" s="394"/>
      <c r="ZS94" s="394"/>
      <c r="ZT94" s="394"/>
      <c r="ZU94" s="394"/>
      <c r="ZV94" s="394"/>
      <c r="ZW94" s="394"/>
      <c r="ZX94" s="394"/>
      <c r="ZY94" s="394"/>
      <c r="ZZ94" s="394"/>
      <c r="AAA94" s="394"/>
      <c r="AAB94" s="394"/>
      <c r="AAC94" s="394"/>
      <c r="AAD94" s="394"/>
      <c r="AAE94" s="394"/>
      <c r="AAF94" s="394"/>
      <c r="AAG94" s="394"/>
      <c r="AAH94" s="394"/>
      <c r="AAI94" s="394"/>
      <c r="AAJ94" s="394"/>
      <c r="AAK94" s="394"/>
      <c r="AAL94" s="394"/>
      <c r="AAM94" s="394"/>
      <c r="AAN94" s="394"/>
      <c r="AAO94" s="394"/>
      <c r="AAP94" s="394"/>
      <c r="AAQ94" s="394"/>
      <c r="AAR94" s="394"/>
      <c r="AAS94" s="394"/>
      <c r="AAT94" s="394"/>
      <c r="AAU94" s="394"/>
      <c r="AAV94" s="394"/>
      <c r="AAW94" s="394"/>
      <c r="AAX94" s="394"/>
      <c r="AAY94" s="394"/>
      <c r="AAZ94" s="394"/>
      <c r="ABA94" s="394"/>
      <c r="ABB94" s="394"/>
      <c r="ABC94" s="394"/>
      <c r="ABD94" s="394"/>
      <c r="ABE94" s="394"/>
      <c r="ABF94" s="394"/>
      <c r="ABG94" s="394"/>
      <c r="ABH94" s="394"/>
      <c r="ABI94" s="394"/>
      <c r="ABJ94" s="394"/>
      <c r="ABK94" s="394"/>
      <c r="ABL94" s="394"/>
      <c r="ABM94" s="394"/>
      <c r="ABN94" s="394"/>
      <c r="ABO94" s="394"/>
      <c r="ABP94" s="394"/>
      <c r="ABQ94" s="394"/>
      <c r="ABR94" s="394"/>
      <c r="ABS94" s="394"/>
      <c r="ABT94" s="394"/>
      <c r="ABU94" s="394"/>
      <c r="ABV94" s="394"/>
      <c r="ABW94" s="394"/>
      <c r="ABX94" s="394"/>
      <c r="ABY94" s="394"/>
      <c r="ABZ94" s="394"/>
      <c r="ACA94" s="394"/>
      <c r="ACB94" s="394"/>
      <c r="ACC94" s="394"/>
      <c r="ACD94" s="394"/>
      <c r="ACE94" s="394"/>
      <c r="ACF94" s="394"/>
      <c r="ACG94" s="394"/>
      <c r="ACH94" s="394"/>
      <c r="ACI94" s="394"/>
      <c r="ACJ94" s="394"/>
      <c r="ACK94" s="394"/>
      <c r="ACL94" s="394"/>
      <c r="ACM94" s="394"/>
      <c r="ACN94" s="394"/>
      <c r="ACO94" s="394"/>
      <c r="ACP94" s="394"/>
      <c r="ACQ94" s="394"/>
      <c r="ACR94" s="394"/>
      <c r="ACS94" s="394"/>
      <c r="ACT94" s="394"/>
      <c r="ACU94" s="394"/>
      <c r="ACV94" s="394"/>
      <c r="ACW94" s="394"/>
      <c r="ACX94" s="394"/>
      <c r="ACY94" s="394"/>
      <c r="ACZ94" s="394"/>
      <c r="ADA94" s="394"/>
      <c r="ADB94" s="394"/>
      <c r="ADC94" s="394"/>
      <c r="ADD94" s="394"/>
      <c r="ADE94" s="394"/>
      <c r="ADF94" s="394"/>
      <c r="ADG94" s="394"/>
      <c r="ADH94" s="394"/>
      <c r="ADI94" s="394"/>
      <c r="ADJ94" s="394"/>
      <c r="ADK94" s="394"/>
      <c r="ADL94" s="394"/>
      <c r="ADM94" s="394"/>
      <c r="ADN94" s="394"/>
      <c r="ADO94" s="394"/>
      <c r="ADP94" s="394"/>
      <c r="ADQ94" s="394"/>
      <c r="ADR94" s="394"/>
      <c r="ADS94" s="394"/>
      <c r="ADT94" s="394"/>
      <c r="ADU94" s="394"/>
      <c r="ADV94" s="394"/>
      <c r="ADW94" s="394"/>
      <c r="ADX94" s="394"/>
      <c r="ADY94" s="394"/>
      <c r="ADZ94" s="394"/>
      <c r="AEA94" s="394"/>
      <c r="AEB94" s="394"/>
      <c r="AEC94" s="394"/>
      <c r="AED94" s="394"/>
      <c r="AEE94" s="394"/>
      <c r="AEF94" s="394"/>
      <c r="AEG94" s="394"/>
      <c r="AEH94" s="394"/>
      <c r="AEI94" s="394"/>
      <c r="AEJ94" s="394"/>
      <c r="AEK94" s="394"/>
      <c r="AEL94" s="394"/>
      <c r="AEM94" s="394"/>
      <c r="AEN94" s="394"/>
      <c r="AEO94" s="394"/>
      <c r="AEP94" s="394"/>
      <c r="AEQ94" s="394"/>
      <c r="AER94" s="394"/>
      <c r="AES94" s="394"/>
      <c r="AET94" s="394"/>
      <c r="AEU94" s="394"/>
      <c r="AEV94" s="394"/>
      <c r="AEW94" s="394"/>
      <c r="AEX94" s="394"/>
      <c r="AEY94" s="394"/>
      <c r="AEZ94" s="394"/>
      <c r="AFA94" s="394"/>
      <c r="AFB94" s="394"/>
      <c r="AFC94" s="394"/>
      <c r="AFD94" s="394"/>
      <c r="AFE94" s="394"/>
      <c r="AFF94" s="394"/>
      <c r="AFG94" s="394"/>
      <c r="AFH94" s="394"/>
      <c r="AFI94" s="394"/>
      <c r="AFJ94" s="394"/>
      <c r="AFK94" s="394"/>
      <c r="AFL94" s="394"/>
      <c r="AFM94" s="394"/>
      <c r="AFN94" s="394"/>
      <c r="AFO94" s="394"/>
      <c r="AFP94" s="394"/>
      <c r="AFQ94" s="394"/>
      <c r="AFR94" s="394"/>
      <c r="AFS94" s="394"/>
      <c r="AFT94" s="394"/>
      <c r="AFU94" s="394"/>
      <c r="AFV94" s="394"/>
      <c r="AFW94" s="394"/>
      <c r="AFX94" s="394"/>
      <c r="AFY94" s="394"/>
      <c r="AFZ94" s="394"/>
      <c r="AGA94" s="394"/>
      <c r="AGB94" s="394"/>
      <c r="AGC94" s="394"/>
      <c r="AGD94" s="394"/>
      <c r="AGE94" s="394"/>
      <c r="AGF94" s="394"/>
      <c r="AGG94" s="394"/>
      <c r="AGH94" s="394"/>
      <c r="AGI94" s="394"/>
      <c r="AGJ94" s="394"/>
      <c r="AGK94" s="394"/>
      <c r="AGL94" s="394"/>
      <c r="AGM94" s="394"/>
      <c r="AGN94" s="394"/>
      <c r="AGO94" s="394"/>
      <c r="AGP94" s="394"/>
      <c r="AGQ94" s="394"/>
      <c r="AGR94" s="394"/>
      <c r="AGS94" s="394"/>
      <c r="AGT94" s="394"/>
      <c r="AGU94" s="394"/>
      <c r="AGV94" s="394"/>
      <c r="AGW94" s="394"/>
      <c r="AGX94" s="394"/>
      <c r="AGY94" s="394"/>
      <c r="AGZ94" s="394"/>
      <c r="AHA94" s="394"/>
      <c r="AHB94" s="394"/>
      <c r="AHC94" s="394"/>
      <c r="AHD94" s="394"/>
      <c r="AHE94" s="394"/>
      <c r="AHF94" s="394"/>
      <c r="AHG94" s="394"/>
      <c r="AHH94" s="394"/>
      <c r="AHI94" s="394"/>
      <c r="AHJ94" s="394"/>
      <c r="AHK94" s="394"/>
      <c r="AHL94" s="394"/>
      <c r="AHM94" s="394"/>
      <c r="AHN94" s="394"/>
      <c r="AHO94" s="394"/>
      <c r="AHP94" s="394"/>
      <c r="AHQ94" s="394"/>
      <c r="AHR94" s="394"/>
      <c r="AHS94" s="394"/>
      <c r="AHT94" s="394"/>
      <c r="AHU94" s="394"/>
      <c r="AHV94" s="394"/>
      <c r="AHW94" s="394"/>
      <c r="AHX94" s="394"/>
      <c r="AHY94" s="394"/>
      <c r="AHZ94" s="394"/>
      <c r="AIA94" s="394"/>
      <c r="AIB94" s="394"/>
      <c r="AIC94" s="394"/>
      <c r="AID94" s="394"/>
      <c r="AIE94" s="394"/>
      <c r="AIF94" s="394"/>
      <c r="AIG94" s="394"/>
      <c r="AIH94" s="394"/>
      <c r="AII94" s="394"/>
      <c r="AIJ94" s="394"/>
      <c r="AIK94" s="394"/>
      <c r="AIL94" s="394"/>
      <c r="AIM94" s="394"/>
      <c r="AIN94" s="394"/>
      <c r="AIO94" s="394"/>
      <c r="AIP94" s="394"/>
      <c r="AIQ94" s="394"/>
      <c r="AIR94" s="394"/>
      <c r="AIS94" s="394"/>
      <c r="AIT94" s="394"/>
      <c r="AIU94" s="394"/>
      <c r="AIV94" s="394"/>
      <c r="AIW94" s="394"/>
      <c r="AIX94" s="394"/>
      <c r="AIY94" s="394"/>
      <c r="AIZ94" s="394"/>
      <c r="AJA94" s="394"/>
      <c r="AJB94" s="394"/>
      <c r="AJC94" s="394"/>
      <c r="AJD94" s="394"/>
      <c r="AJE94" s="394"/>
      <c r="AJF94" s="394"/>
      <c r="AJG94" s="394"/>
      <c r="AJH94" s="394"/>
      <c r="AJI94" s="394"/>
      <c r="AJJ94" s="394"/>
      <c r="AJK94" s="394"/>
      <c r="AJL94" s="394"/>
      <c r="AJM94" s="394"/>
      <c r="AJN94" s="394"/>
      <c r="AJO94" s="394"/>
      <c r="AJP94" s="394"/>
      <c r="AJQ94" s="394"/>
      <c r="AJR94" s="394"/>
      <c r="AJS94" s="394"/>
      <c r="AJT94" s="394"/>
      <c r="AJU94" s="394"/>
      <c r="AJV94" s="394"/>
      <c r="AJW94" s="394"/>
      <c r="AJX94" s="394"/>
      <c r="AJY94" s="394"/>
      <c r="AJZ94" s="394"/>
      <c r="AKA94" s="394"/>
      <c r="AKB94" s="394"/>
      <c r="AKC94" s="394"/>
      <c r="AKD94" s="394"/>
      <c r="AKE94" s="394"/>
      <c r="AKF94" s="394"/>
      <c r="AKG94" s="394"/>
      <c r="AKH94" s="394"/>
      <c r="AKI94" s="394"/>
      <c r="AKJ94" s="394"/>
      <c r="AKK94" s="394"/>
      <c r="AKL94" s="394"/>
      <c r="AKM94" s="394"/>
      <c r="AKN94" s="394"/>
      <c r="AKO94" s="394"/>
      <c r="AKP94" s="394"/>
      <c r="AKQ94" s="394"/>
      <c r="AKR94" s="394"/>
      <c r="AKS94" s="394"/>
      <c r="AKT94" s="394"/>
      <c r="AKU94" s="394"/>
      <c r="AKV94" s="394"/>
      <c r="AKW94" s="394"/>
      <c r="AKX94" s="394"/>
      <c r="AKY94" s="394"/>
      <c r="AKZ94" s="394"/>
      <c r="ALA94" s="394"/>
      <c r="ALB94" s="394"/>
      <c r="ALC94" s="394"/>
      <c r="ALD94" s="394"/>
      <c r="ALE94" s="394"/>
      <c r="ALF94" s="394"/>
      <c r="ALG94" s="394"/>
      <c r="ALH94" s="394"/>
      <c r="ALI94" s="394"/>
      <c r="ALJ94" s="394"/>
      <c r="ALK94" s="394"/>
      <c r="ALL94" s="394"/>
      <c r="ALM94" s="394"/>
      <c r="ALN94" s="394"/>
      <c r="ALO94" s="394"/>
      <c r="ALP94" s="394"/>
      <c r="ALQ94" s="394"/>
      <c r="ALR94" s="394"/>
      <c r="ALS94" s="394"/>
      <c r="ALT94" s="394"/>
      <c r="ALU94" s="394"/>
      <c r="ALV94" s="394"/>
      <c r="ALW94" s="394"/>
      <c r="ALX94" s="394"/>
      <c r="ALY94" s="394"/>
      <c r="ALZ94" s="394"/>
      <c r="AMA94" s="394"/>
      <c r="AMB94" s="394"/>
      <c r="AMC94" s="394"/>
      <c r="AMD94" s="394"/>
      <c r="AME94" s="394"/>
      <c r="AMF94" s="394"/>
      <c r="AMG94" s="394"/>
      <c r="AMH94" s="394"/>
      <c r="AMI94" s="394"/>
      <c r="AMJ94" s="394"/>
      <c r="AMK94" s="394"/>
      <c r="AML94" s="394"/>
      <c r="AMM94" s="394"/>
      <c r="AMN94" s="394"/>
      <c r="AMO94" s="394"/>
      <c r="AMP94" s="394"/>
      <c r="AMQ94" s="394"/>
      <c r="AMR94" s="394"/>
      <c r="AMS94" s="394"/>
      <c r="AMT94" s="394"/>
      <c r="AMU94" s="394"/>
      <c r="AMV94" s="394"/>
      <c r="AMW94" s="394"/>
      <c r="AMX94" s="394"/>
      <c r="AMY94" s="394"/>
      <c r="AMZ94" s="394"/>
      <c r="ANA94" s="394"/>
      <c r="ANB94" s="394"/>
      <c r="ANC94" s="394"/>
      <c r="AND94" s="394"/>
      <c r="ANE94" s="394"/>
      <c r="ANF94" s="394"/>
      <c r="ANG94" s="394"/>
      <c r="ANH94" s="394"/>
      <c r="ANI94" s="394"/>
      <c r="ANJ94" s="394"/>
      <c r="ANK94" s="394"/>
      <c r="ANL94" s="394"/>
      <c r="ANM94" s="394"/>
      <c r="ANN94" s="394"/>
      <c r="ANO94" s="394"/>
      <c r="ANP94" s="394"/>
      <c r="ANQ94" s="394"/>
      <c r="ANR94" s="394"/>
      <c r="ANS94" s="394"/>
      <c r="ANT94" s="394"/>
      <c r="ANU94" s="394"/>
      <c r="ANV94" s="394"/>
      <c r="ANW94" s="394"/>
      <c r="ANX94" s="394"/>
      <c r="ANY94" s="394"/>
      <c r="ANZ94" s="394"/>
      <c r="AOA94" s="394"/>
      <c r="AOB94" s="394"/>
      <c r="AOC94" s="394"/>
      <c r="AOD94" s="394"/>
      <c r="AOE94" s="394"/>
      <c r="AOF94" s="394"/>
      <c r="AOG94" s="394"/>
      <c r="AOH94" s="394"/>
      <c r="AOI94" s="394"/>
      <c r="AOJ94" s="394"/>
      <c r="AOK94" s="394"/>
      <c r="AOL94" s="394"/>
      <c r="AOM94" s="394"/>
      <c r="AON94" s="394"/>
      <c r="AOO94" s="394"/>
      <c r="AOP94" s="394"/>
      <c r="AOQ94" s="394"/>
      <c r="AOR94" s="394"/>
      <c r="AOS94" s="394"/>
      <c r="AOT94" s="394"/>
      <c r="AOU94" s="394"/>
      <c r="AOV94" s="394"/>
      <c r="AOW94" s="394"/>
      <c r="AOX94" s="394"/>
      <c r="AOY94" s="394"/>
      <c r="AOZ94" s="394"/>
      <c r="APA94" s="394"/>
      <c r="APB94" s="394"/>
      <c r="APC94" s="394"/>
      <c r="APD94" s="394"/>
      <c r="APE94" s="394"/>
      <c r="APF94" s="394"/>
      <c r="APG94" s="394"/>
      <c r="APH94" s="394"/>
      <c r="API94" s="394"/>
      <c r="APJ94" s="394"/>
      <c r="APK94" s="394"/>
      <c r="APL94" s="394"/>
      <c r="APM94" s="394"/>
      <c r="APN94" s="394"/>
      <c r="APO94" s="394"/>
      <c r="APP94" s="394"/>
      <c r="APQ94" s="394"/>
      <c r="APR94" s="394"/>
      <c r="APS94" s="394"/>
      <c r="APT94" s="394"/>
      <c r="APU94" s="394"/>
      <c r="APV94" s="394"/>
      <c r="APW94" s="394"/>
      <c r="APX94" s="394"/>
      <c r="APY94" s="394"/>
      <c r="APZ94" s="394"/>
      <c r="AQA94" s="394"/>
      <c r="AQB94" s="394"/>
      <c r="AQC94" s="394"/>
      <c r="AQD94" s="394"/>
      <c r="AQE94" s="394"/>
      <c r="AQF94" s="394"/>
      <c r="AQG94" s="394"/>
      <c r="AQH94" s="394"/>
      <c r="AQI94" s="394"/>
      <c r="AQJ94" s="394"/>
      <c r="AQK94" s="394"/>
      <c r="AQL94" s="394"/>
      <c r="AQM94" s="394"/>
      <c r="AQN94" s="394"/>
      <c r="AQO94" s="394"/>
      <c r="AQP94" s="394"/>
      <c r="AQQ94" s="394"/>
      <c r="AQR94" s="394"/>
      <c r="AQS94" s="394"/>
      <c r="AQT94" s="394"/>
      <c r="AQU94" s="394"/>
      <c r="AQV94" s="394"/>
      <c r="AQW94" s="394"/>
      <c r="AQX94" s="394"/>
      <c r="AQY94" s="394"/>
      <c r="AQZ94" s="394"/>
      <c r="ARA94" s="394"/>
      <c r="ARB94" s="394"/>
      <c r="ARC94" s="394"/>
      <c r="ARD94" s="394"/>
      <c r="ARE94" s="394"/>
      <c r="ARF94" s="394"/>
      <c r="ARG94" s="394"/>
      <c r="ARH94" s="394"/>
      <c r="ARI94" s="394"/>
      <c r="ARJ94" s="394"/>
      <c r="ARK94" s="394"/>
      <c r="ARL94" s="394"/>
      <c r="ARM94" s="394"/>
      <c r="ARN94" s="394"/>
      <c r="ARO94" s="394"/>
      <c r="ARP94" s="394"/>
      <c r="ARQ94" s="394"/>
      <c r="ARR94" s="394"/>
      <c r="ARS94" s="394"/>
      <c r="ART94" s="394"/>
      <c r="ARU94" s="394"/>
      <c r="ARV94" s="394"/>
      <c r="ARW94" s="394"/>
      <c r="ARX94" s="394"/>
      <c r="ARY94" s="394"/>
      <c r="ARZ94" s="394"/>
      <c r="ASA94" s="394"/>
      <c r="ASB94" s="394"/>
      <c r="ASC94" s="394"/>
      <c r="ASD94" s="394"/>
      <c r="ASE94" s="394"/>
      <c r="ASF94" s="394"/>
      <c r="ASG94" s="394"/>
      <c r="ASH94" s="394"/>
      <c r="ASI94" s="394"/>
      <c r="ASJ94" s="394"/>
      <c r="ASK94" s="394"/>
      <c r="ASL94" s="394"/>
      <c r="ASM94" s="394"/>
      <c r="ASN94" s="394"/>
      <c r="ASO94" s="394"/>
      <c r="ASP94" s="394"/>
      <c r="ASQ94" s="394"/>
      <c r="ASR94" s="394"/>
      <c r="ASS94" s="394"/>
      <c r="AST94" s="394"/>
      <c r="ASU94" s="394"/>
      <c r="ASV94" s="394"/>
      <c r="ASW94" s="394"/>
      <c r="ASX94" s="394"/>
      <c r="ASY94" s="394"/>
      <c r="ASZ94" s="394"/>
      <c r="ATA94" s="394"/>
      <c r="ATB94" s="394"/>
      <c r="ATC94" s="394"/>
      <c r="ATD94" s="394"/>
      <c r="ATE94" s="394"/>
      <c r="ATF94" s="394"/>
      <c r="ATG94" s="394"/>
      <c r="ATH94" s="394"/>
      <c r="ATI94" s="394"/>
      <c r="ATJ94" s="394"/>
      <c r="ATK94" s="394"/>
      <c r="ATL94" s="394"/>
      <c r="ATM94" s="394"/>
      <c r="ATN94" s="394"/>
      <c r="ATO94" s="394"/>
      <c r="ATP94" s="394"/>
      <c r="ATQ94" s="394"/>
      <c r="ATR94" s="394"/>
      <c r="ATS94" s="394"/>
      <c r="ATT94" s="394"/>
      <c r="ATU94" s="394"/>
      <c r="ATV94" s="394"/>
      <c r="ATW94" s="394"/>
      <c r="ATX94" s="394"/>
      <c r="ATY94" s="394"/>
      <c r="ATZ94" s="394"/>
      <c r="AUA94" s="394"/>
      <c r="AUB94" s="394"/>
      <c r="AUC94" s="394"/>
      <c r="AUD94" s="394"/>
      <c r="AUE94" s="394"/>
      <c r="AUF94" s="394"/>
      <c r="AUG94" s="394"/>
      <c r="AUH94" s="394"/>
      <c r="AUI94" s="394"/>
      <c r="AUJ94" s="394"/>
      <c r="AUK94" s="394"/>
      <c r="AUL94" s="394"/>
      <c r="AUM94" s="394"/>
      <c r="AUN94" s="394"/>
      <c r="AUO94" s="394"/>
      <c r="AUP94" s="394"/>
      <c r="AUQ94" s="394"/>
      <c r="AUR94" s="394"/>
      <c r="AUS94" s="394"/>
      <c r="AUT94" s="394"/>
      <c r="AUU94" s="394"/>
      <c r="AUV94" s="394"/>
      <c r="AUW94" s="394"/>
      <c r="AUX94" s="394"/>
      <c r="AUY94" s="394"/>
      <c r="AUZ94" s="394"/>
      <c r="AVA94" s="394"/>
      <c r="AVB94" s="394"/>
      <c r="AVC94" s="394"/>
      <c r="AVD94" s="394"/>
      <c r="AVE94" s="394"/>
      <c r="AVF94" s="394"/>
      <c r="AVG94" s="394"/>
      <c r="AVH94" s="394"/>
      <c r="AVI94" s="394"/>
      <c r="AVJ94" s="394"/>
      <c r="AVK94" s="394"/>
      <c r="AVL94" s="394"/>
      <c r="AVM94" s="394"/>
      <c r="AVN94" s="394"/>
      <c r="AVO94" s="394"/>
      <c r="AVP94" s="394"/>
      <c r="AVQ94" s="394"/>
      <c r="AVR94" s="394"/>
      <c r="AVS94" s="394"/>
      <c r="AVT94" s="394"/>
      <c r="AVU94" s="394"/>
      <c r="AVV94" s="394"/>
      <c r="AVW94" s="394"/>
      <c r="AVX94" s="394"/>
      <c r="AVY94" s="394"/>
      <c r="AVZ94" s="394"/>
      <c r="AWA94" s="394"/>
      <c r="AWB94" s="394"/>
      <c r="AWC94" s="394"/>
      <c r="AWD94" s="394"/>
      <c r="AWE94" s="394"/>
      <c r="AWF94" s="394"/>
      <c r="AWG94" s="394"/>
      <c r="AWH94" s="394"/>
      <c r="AWI94" s="394"/>
      <c r="AWJ94" s="394"/>
      <c r="AWK94" s="394"/>
      <c r="AWL94" s="394"/>
      <c r="AWM94" s="394"/>
      <c r="AWN94" s="394"/>
      <c r="AWO94" s="394"/>
      <c r="AWP94" s="394"/>
      <c r="AWQ94" s="394"/>
      <c r="AWR94" s="394"/>
      <c r="AWS94" s="394"/>
      <c r="AWT94" s="394"/>
      <c r="AWU94" s="394"/>
      <c r="AWV94" s="394"/>
      <c r="AWW94" s="394"/>
      <c r="AWX94" s="394"/>
      <c r="AWY94" s="394"/>
      <c r="AWZ94" s="394"/>
      <c r="AXA94" s="394"/>
      <c r="AXB94" s="394"/>
      <c r="AXC94" s="394"/>
      <c r="AXD94" s="394"/>
      <c r="AXE94" s="394"/>
      <c r="AXF94" s="394"/>
      <c r="AXG94" s="394"/>
      <c r="AXH94" s="394"/>
      <c r="AXI94" s="394"/>
      <c r="AXJ94" s="394"/>
      <c r="AXK94" s="394"/>
      <c r="AXL94" s="394"/>
      <c r="AXM94" s="394"/>
      <c r="AXN94" s="394"/>
      <c r="AXO94" s="394"/>
      <c r="AXP94" s="394"/>
      <c r="AXQ94" s="394"/>
      <c r="AXR94" s="394"/>
      <c r="AXS94" s="394"/>
      <c r="AXT94" s="394"/>
      <c r="AXU94" s="394"/>
      <c r="AXV94" s="394"/>
      <c r="AXW94" s="394"/>
      <c r="AXX94" s="394"/>
      <c r="AXY94" s="394"/>
      <c r="AXZ94" s="394"/>
      <c r="AYA94" s="394"/>
      <c r="AYB94" s="394"/>
      <c r="AYC94" s="394"/>
      <c r="AYD94" s="394"/>
      <c r="AYE94" s="394"/>
      <c r="AYF94" s="394"/>
      <c r="AYG94" s="394"/>
      <c r="AYH94" s="394"/>
      <c r="AYI94" s="394"/>
      <c r="AYJ94" s="394"/>
      <c r="AYK94" s="394"/>
      <c r="AYL94" s="394"/>
      <c r="AYM94" s="394"/>
      <c r="AYN94" s="394"/>
      <c r="AYO94" s="394"/>
      <c r="AYP94" s="394"/>
      <c r="AYQ94" s="394"/>
      <c r="AYR94" s="394"/>
      <c r="AYS94" s="394"/>
      <c r="AYT94" s="394"/>
      <c r="AYU94" s="394"/>
      <c r="AYV94" s="394"/>
      <c r="AYW94" s="394"/>
      <c r="AYX94" s="394"/>
      <c r="AYY94" s="394"/>
      <c r="AYZ94" s="394"/>
      <c r="AZA94" s="394"/>
      <c r="AZB94" s="394"/>
      <c r="AZC94" s="394"/>
      <c r="AZD94" s="394"/>
      <c r="AZE94" s="394"/>
      <c r="AZF94" s="394"/>
      <c r="AZG94" s="394"/>
      <c r="AZH94" s="394"/>
      <c r="AZI94" s="394"/>
      <c r="AZJ94" s="394"/>
      <c r="AZK94" s="394"/>
      <c r="AZL94" s="394"/>
      <c r="AZM94" s="394"/>
      <c r="AZN94" s="394"/>
      <c r="AZO94" s="394"/>
      <c r="AZP94" s="394"/>
      <c r="AZQ94" s="394"/>
      <c r="AZR94" s="394"/>
      <c r="AZS94" s="394"/>
      <c r="AZT94" s="394"/>
      <c r="AZU94" s="394"/>
      <c r="AZV94" s="394"/>
      <c r="AZW94" s="394"/>
      <c r="AZX94" s="394"/>
      <c r="AZY94" s="394"/>
      <c r="AZZ94" s="394"/>
      <c r="BAA94" s="394"/>
      <c r="BAB94" s="394"/>
      <c r="BAC94" s="394"/>
      <c r="BAD94" s="394"/>
      <c r="BAE94" s="394"/>
      <c r="BAF94" s="394"/>
      <c r="BAG94" s="394"/>
      <c r="BAH94" s="394"/>
      <c r="BAI94" s="394"/>
      <c r="BAJ94" s="394"/>
      <c r="BAK94" s="394"/>
      <c r="BAL94" s="394"/>
      <c r="BAM94" s="394"/>
      <c r="BAN94" s="394"/>
      <c r="BAO94" s="394"/>
      <c r="BAP94" s="394"/>
      <c r="BAQ94" s="394"/>
      <c r="BAR94" s="394"/>
      <c r="BAS94" s="394"/>
      <c r="BAT94" s="394"/>
      <c r="BAU94" s="394"/>
      <c r="BAV94" s="394"/>
      <c r="BAW94" s="394"/>
      <c r="BAX94" s="394"/>
      <c r="BAY94" s="394"/>
      <c r="BAZ94" s="394"/>
      <c r="BBA94" s="394"/>
      <c r="BBB94" s="394"/>
      <c r="BBC94" s="394"/>
      <c r="BBD94" s="394"/>
      <c r="BBE94" s="394"/>
      <c r="BBF94" s="394"/>
      <c r="BBG94" s="394"/>
      <c r="BBH94" s="394"/>
      <c r="BBI94" s="394"/>
      <c r="BBJ94" s="394"/>
      <c r="BBK94" s="394"/>
      <c r="BBL94" s="394"/>
      <c r="BBM94" s="394"/>
      <c r="BBN94" s="394"/>
      <c r="BBO94" s="394"/>
      <c r="BBP94" s="394"/>
      <c r="BBQ94" s="394"/>
      <c r="BBR94" s="394"/>
      <c r="BBS94" s="394"/>
      <c r="BBT94" s="394"/>
      <c r="BBU94" s="394"/>
      <c r="BBV94" s="394"/>
      <c r="BBW94" s="394"/>
      <c r="BBX94" s="394"/>
      <c r="BBY94" s="394"/>
      <c r="BBZ94" s="394"/>
      <c r="BCA94" s="394"/>
      <c r="BCB94" s="394"/>
      <c r="BCC94" s="394"/>
      <c r="BCD94" s="394"/>
      <c r="BCE94" s="394"/>
      <c r="BCF94" s="394"/>
      <c r="BCG94" s="394"/>
      <c r="BCH94" s="394"/>
      <c r="BCI94" s="394"/>
      <c r="BCJ94" s="394"/>
      <c r="BCK94" s="394"/>
      <c r="BCL94" s="394"/>
      <c r="BCM94" s="394"/>
      <c r="BCN94" s="394"/>
      <c r="BCO94" s="394"/>
      <c r="BCP94" s="394"/>
      <c r="BCQ94" s="394"/>
      <c r="BCR94" s="394"/>
      <c r="BCS94" s="394"/>
      <c r="BCT94" s="394"/>
      <c r="BCU94" s="394"/>
      <c r="BCV94" s="394"/>
      <c r="BCW94" s="394"/>
      <c r="BCX94" s="394"/>
      <c r="BCY94" s="394"/>
      <c r="BCZ94" s="394"/>
      <c r="BDA94" s="394"/>
      <c r="BDB94" s="394"/>
      <c r="BDC94" s="394"/>
      <c r="BDD94" s="394"/>
      <c r="BDE94" s="394"/>
      <c r="BDF94" s="394"/>
      <c r="BDG94" s="394"/>
      <c r="BDH94" s="394"/>
      <c r="BDI94" s="394"/>
      <c r="BDJ94" s="394"/>
      <c r="BDK94" s="394"/>
      <c r="BDL94" s="394"/>
      <c r="BDM94" s="394"/>
      <c r="BDN94" s="394"/>
      <c r="BDO94" s="394"/>
      <c r="BDP94" s="394"/>
      <c r="BDQ94" s="394"/>
      <c r="BDR94" s="394"/>
      <c r="BDS94" s="394"/>
      <c r="BDT94" s="394"/>
      <c r="BDU94" s="394"/>
      <c r="BDV94" s="394"/>
      <c r="BDW94" s="394"/>
      <c r="BDX94" s="394"/>
      <c r="BDY94" s="394"/>
      <c r="BDZ94" s="394"/>
      <c r="BEA94" s="394"/>
      <c r="BEB94" s="394"/>
      <c r="BEC94" s="394"/>
      <c r="BED94" s="394"/>
      <c r="BEE94" s="394"/>
      <c r="BEF94" s="394"/>
      <c r="BEG94" s="394"/>
      <c r="BEH94" s="394"/>
      <c r="BEI94" s="394"/>
      <c r="BEJ94" s="394"/>
      <c r="BEK94" s="394"/>
      <c r="BEL94" s="394"/>
      <c r="BEM94" s="394"/>
      <c r="BEN94" s="394"/>
      <c r="BEO94" s="394"/>
      <c r="BEP94" s="394"/>
      <c r="BEQ94" s="394"/>
      <c r="BER94" s="394"/>
      <c r="BES94" s="394"/>
      <c r="BET94" s="394"/>
      <c r="BEU94" s="394"/>
      <c r="BEV94" s="394"/>
      <c r="BEW94" s="394"/>
      <c r="BEX94" s="394"/>
      <c r="BEY94" s="394"/>
      <c r="BEZ94" s="394"/>
      <c r="BFA94" s="394"/>
      <c r="BFB94" s="394"/>
      <c r="BFC94" s="394"/>
      <c r="BFD94" s="394"/>
      <c r="BFE94" s="394"/>
      <c r="BFF94" s="394"/>
      <c r="BFG94" s="394"/>
      <c r="BFH94" s="394"/>
      <c r="BFI94" s="394"/>
      <c r="BFJ94" s="394"/>
      <c r="BFK94" s="394"/>
      <c r="BFL94" s="394"/>
      <c r="BFM94" s="394"/>
      <c r="BFN94" s="394"/>
      <c r="BFO94" s="394"/>
      <c r="BFP94" s="394"/>
      <c r="BFQ94" s="394"/>
      <c r="BFR94" s="394"/>
      <c r="BFS94" s="394"/>
      <c r="BFT94" s="394"/>
      <c r="BFU94" s="394"/>
      <c r="BFV94" s="394"/>
      <c r="BFW94" s="394"/>
      <c r="BFX94" s="394"/>
      <c r="BFY94" s="394"/>
      <c r="BFZ94" s="394"/>
      <c r="BGA94" s="394"/>
      <c r="BGB94" s="394"/>
      <c r="BGC94" s="394"/>
      <c r="BGD94" s="394"/>
      <c r="BGE94" s="394"/>
      <c r="BGF94" s="394"/>
      <c r="BGG94" s="394"/>
      <c r="BGH94" s="394"/>
      <c r="BGI94" s="394"/>
      <c r="BGJ94" s="394"/>
      <c r="BGK94" s="394"/>
      <c r="BGL94" s="394"/>
      <c r="BGM94" s="394"/>
      <c r="BGN94" s="394"/>
      <c r="BGO94" s="394"/>
      <c r="BGP94" s="394"/>
      <c r="BGQ94" s="394"/>
      <c r="BGR94" s="394"/>
      <c r="BGS94" s="394"/>
      <c r="BGT94" s="394"/>
      <c r="BGU94" s="394"/>
      <c r="BGV94" s="394"/>
      <c r="BGW94" s="394"/>
      <c r="BGX94" s="394"/>
      <c r="BGY94" s="394"/>
      <c r="BGZ94" s="394"/>
      <c r="BHA94" s="394"/>
      <c r="BHB94" s="394"/>
      <c r="BHC94" s="394"/>
      <c r="BHD94" s="394"/>
      <c r="BHE94" s="394"/>
      <c r="BHF94" s="394"/>
      <c r="BHG94" s="394"/>
      <c r="BHH94" s="394"/>
      <c r="BHI94" s="394"/>
      <c r="BHJ94" s="394"/>
      <c r="BHK94" s="394"/>
      <c r="BHL94" s="394"/>
      <c r="BHM94" s="394"/>
      <c r="BHN94" s="394"/>
      <c r="BHO94" s="394"/>
      <c r="BHP94" s="394"/>
      <c r="BHQ94" s="394"/>
      <c r="BHR94" s="394"/>
      <c r="BHS94" s="394"/>
      <c r="BHT94" s="394"/>
      <c r="BHU94" s="394"/>
      <c r="BHV94" s="394"/>
      <c r="BHW94" s="394"/>
      <c r="BHX94" s="394"/>
      <c r="BHY94" s="394"/>
      <c r="BHZ94" s="394"/>
      <c r="BIA94" s="394"/>
      <c r="BIB94" s="394"/>
      <c r="BIC94" s="394"/>
      <c r="BID94" s="394"/>
      <c r="BIE94" s="394"/>
      <c r="BIF94" s="394"/>
      <c r="BIG94" s="394"/>
      <c r="BIH94" s="394"/>
      <c r="BII94" s="394"/>
      <c r="BIJ94" s="394"/>
      <c r="BIK94" s="394"/>
      <c r="BIL94" s="394"/>
      <c r="BIM94" s="394"/>
      <c r="BIN94" s="394"/>
      <c r="BIO94" s="394"/>
      <c r="BIP94" s="394"/>
      <c r="BIQ94" s="394"/>
      <c r="BIR94" s="394"/>
      <c r="BIS94" s="394"/>
      <c r="BIT94" s="394"/>
      <c r="BIU94" s="394"/>
      <c r="BIV94" s="394"/>
      <c r="BIW94" s="394"/>
      <c r="BIX94" s="394"/>
      <c r="BIY94" s="394"/>
      <c r="BIZ94" s="394"/>
      <c r="BJA94" s="394"/>
      <c r="BJB94" s="394"/>
      <c r="BJC94" s="394"/>
      <c r="BJD94" s="394"/>
      <c r="BJE94" s="394"/>
      <c r="BJF94" s="394"/>
      <c r="BJG94" s="394"/>
      <c r="BJH94" s="394"/>
      <c r="BJI94" s="394"/>
      <c r="BJJ94" s="394"/>
      <c r="BJK94" s="394"/>
      <c r="BJL94" s="394"/>
      <c r="BJM94" s="394"/>
      <c r="BJN94" s="394"/>
      <c r="BJO94" s="394"/>
      <c r="BJP94" s="394"/>
      <c r="BJQ94" s="394"/>
      <c r="BJR94" s="394"/>
      <c r="BJS94" s="394"/>
      <c r="BJT94" s="394"/>
      <c r="BJU94" s="394"/>
      <c r="BJV94" s="394"/>
      <c r="BJW94" s="394"/>
      <c r="BJX94" s="394"/>
      <c r="BJY94" s="394"/>
      <c r="BJZ94" s="394"/>
      <c r="BKA94" s="394"/>
      <c r="BKB94" s="394"/>
      <c r="BKC94" s="394"/>
      <c r="BKD94" s="394"/>
      <c r="BKE94" s="394"/>
      <c r="BKF94" s="394"/>
      <c r="BKG94" s="394"/>
      <c r="BKH94" s="394"/>
      <c r="BKI94" s="394"/>
      <c r="BKJ94" s="394"/>
      <c r="BKK94" s="394"/>
      <c r="BKL94" s="394"/>
      <c r="BKM94" s="394"/>
      <c r="BKN94" s="394"/>
      <c r="BKO94" s="394"/>
      <c r="BKP94" s="394"/>
      <c r="BKQ94" s="394"/>
      <c r="BKR94" s="394"/>
      <c r="BKS94" s="394"/>
      <c r="BKT94" s="394"/>
      <c r="BKU94" s="394"/>
      <c r="BKV94" s="394"/>
      <c r="BKW94" s="394"/>
      <c r="BKX94" s="394"/>
      <c r="BKY94" s="394"/>
      <c r="BKZ94" s="394"/>
      <c r="BLA94" s="394"/>
      <c r="BLB94" s="394"/>
      <c r="BLC94" s="394"/>
      <c r="BLD94" s="394"/>
      <c r="BLE94" s="394"/>
      <c r="BLF94" s="394"/>
      <c r="BLG94" s="394"/>
      <c r="BLH94" s="394"/>
      <c r="BLI94" s="394"/>
      <c r="BLJ94" s="394"/>
      <c r="BLK94" s="394"/>
      <c r="BLL94" s="394"/>
      <c r="BLM94" s="394"/>
      <c r="BLN94" s="394"/>
      <c r="BLO94" s="394"/>
      <c r="BLP94" s="394"/>
      <c r="BLQ94" s="394"/>
      <c r="BLR94" s="394"/>
      <c r="BLS94" s="394"/>
      <c r="BLT94" s="394"/>
      <c r="BLU94" s="394"/>
      <c r="BLV94" s="394"/>
      <c r="BLW94" s="394"/>
      <c r="BLX94" s="394"/>
      <c r="BLY94" s="394"/>
      <c r="BLZ94" s="394"/>
      <c r="BMA94" s="394"/>
      <c r="BMB94" s="394"/>
      <c r="BMC94" s="394"/>
      <c r="BMD94" s="394"/>
      <c r="BME94" s="394"/>
      <c r="BMF94" s="394"/>
      <c r="BMG94" s="394"/>
      <c r="BMH94" s="394"/>
      <c r="BMI94" s="394"/>
      <c r="BMJ94" s="394"/>
      <c r="BMK94" s="394"/>
      <c r="BML94" s="394"/>
      <c r="BMM94" s="394"/>
      <c r="BMN94" s="394"/>
      <c r="BMO94" s="394"/>
      <c r="BMP94" s="394"/>
      <c r="BMQ94" s="394"/>
      <c r="BMR94" s="394"/>
      <c r="BMS94" s="394"/>
      <c r="BMT94" s="394"/>
      <c r="BMU94" s="394"/>
      <c r="BMV94" s="394"/>
      <c r="BMW94" s="394"/>
      <c r="BMX94" s="394"/>
      <c r="BMY94" s="394"/>
      <c r="BMZ94" s="394"/>
      <c r="BNA94" s="394"/>
      <c r="BNB94" s="394"/>
      <c r="BNC94" s="394"/>
      <c r="BND94" s="394"/>
      <c r="BNE94" s="394"/>
      <c r="BNF94" s="394"/>
      <c r="BNG94" s="394"/>
      <c r="BNH94" s="394"/>
      <c r="BNI94" s="394"/>
      <c r="BNJ94" s="394"/>
      <c r="BNK94" s="394"/>
      <c r="BNL94" s="394"/>
      <c r="BNM94" s="394"/>
      <c r="BNN94" s="394"/>
      <c r="BNO94" s="394"/>
      <c r="BNP94" s="394"/>
      <c r="BNQ94" s="394"/>
      <c r="BNR94" s="394"/>
      <c r="BNS94" s="394"/>
      <c r="BNT94" s="394"/>
      <c r="BNU94" s="394"/>
      <c r="BNV94" s="394"/>
      <c r="BNW94" s="394"/>
      <c r="BNX94" s="394"/>
      <c r="BNY94" s="394"/>
      <c r="BNZ94" s="394"/>
      <c r="BOA94" s="394"/>
      <c r="BOB94" s="394"/>
      <c r="BOC94" s="394"/>
      <c r="BOD94" s="394"/>
      <c r="BOE94" s="394"/>
      <c r="BOF94" s="394"/>
      <c r="BOG94" s="394"/>
      <c r="BOH94" s="394"/>
      <c r="BOI94" s="394"/>
      <c r="BOJ94" s="394"/>
      <c r="BOK94" s="394"/>
      <c r="BOL94" s="394"/>
      <c r="BOM94" s="394"/>
      <c r="BON94" s="394"/>
      <c r="BOO94" s="394"/>
      <c r="BOP94" s="394"/>
      <c r="BOQ94" s="394"/>
      <c r="BOR94" s="394"/>
      <c r="BOS94" s="394"/>
      <c r="BOT94" s="394"/>
      <c r="BOU94" s="394"/>
      <c r="BOV94" s="394"/>
      <c r="BOW94" s="394"/>
      <c r="BOX94" s="394"/>
      <c r="BOY94" s="394"/>
      <c r="BOZ94" s="394"/>
      <c r="BPA94" s="394"/>
      <c r="BPB94" s="394"/>
      <c r="BPC94" s="394"/>
      <c r="BPD94" s="394"/>
      <c r="BPE94" s="394"/>
      <c r="BPF94" s="394"/>
      <c r="BPG94" s="394"/>
      <c r="BPH94" s="394"/>
      <c r="BPI94" s="394"/>
      <c r="BPJ94" s="394"/>
      <c r="BPK94" s="394"/>
      <c r="BPL94" s="394"/>
      <c r="BPM94" s="394"/>
      <c r="BPN94" s="394"/>
      <c r="BPO94" s="394"/>
      <c r="BPP94" s="394"/>
      <c r="BPQ94" s="394"/>
      <c r="BPR94" s="394"/>
      <c r="BPS94" s="394"/>
      <c r="BPT94" s="394"/>
      <c r="BPU94" s="394"/>
      <c r="BPV94" s="394"/>
      <c r="BPW94" s="394"/>
      <c r="BPX94" s="394"/>
      <c r="BPY94" s="394"/>
      <c r="BPZ94" s="394"/>
      <c r="BQA94" s="394"/>
      <c r="BQB94" s="394"/>
      <c r="BQC94" s="394"/>
      <c r="BQD94" s="394"/>
      <c r="BQE94" s="394"/>
      <c r="BQF94" s="394"/>
      <c r="BQG94" s="394"/>
      <c r="BQH94" s="394"/>
      <c r="BQI94" s="394"/>
      <c r="BQJ94" s="394"/>
      <c r="BQK94" s="394"/>
      <c r="BQL94" s="394"/>
      <c r="BQM94" s="394"/>
      <c r="BQN94" s="394"/>
      <c r="BQO94" s="394"/>
      <c r="BQP94" s="394"/>
      <c r="BQQ94" s="394"/>
      <c r="BQR94" s="394"/>
      <c r="BQS94" s="394"/>
      <c r="BQT94" s="394"/>
      <c r="BQU94" s="394"/>
      <c r="BQV94" s="394"/>
      <c r="BQW94" s="394"/>
      <c r="BQX94" s="394"/>
      <c r="BQY94" s="394"/>
      <c r="BQZ94" s="394"/>
      <c r="BRA94" s="394"/>
      <c r="BRB94" s="394"/>
      <c r="BRC94" s="394"/>
      <c r="BRD94" s="394"/>
      <c r="BRE94" s="394"/>
      <c r="BRF94" s="394"/>
      <c r="BRG94" s="394"/>
      <c r="BRH94" s="394"/>
      <c r="BRI94" s="394"/>
      <c r="BRJ94" s="394"/>
      <c r="BRK94" s="394"/>
      <c r="BRL94" s="394"/>
      <c r="BRM94" s="394"/>
      <c r="BRN94" s="394"/>
      <c r="BRO94" s="394"/>
      <c r="BRP94" s="394"/>
      <c r="BRQ94" s="394"/>
      <c r="BRR94" s="394"/>
      <c r="BRS94" s="394"/>
      <c r="BRT94" s="394"/>
      <c r="BRU94" s="394"/>
      <c r="BRV94" s="394"/>
      <c r="BRW94" s="394"/>
      <c r="BRX94" s="394"/>
      <c r="BRY94" s="394"/>
      <c r="BRZ94" s="394"/>
      <c r="BSA94" s="394"/>
      <c r="BSB94" s="394"/>
      <c r="BSC94" s="394"/>
      <c r="BSD94" s="394"/>
      <c r="BSE94" s="394"/>
      <c r="BSF94" s="394"/>
      <c r="BSG94" s="394"/>
      <c r="BSH94" s="394"/>
      <c r="BSI94" s="394"/>
      <c r="BSJ94" s="394"/>
      <c r="BSK94" s="394"/>
      <c r="BSL94" s="394"/>
      <c r="BSM94" s="394"/>
      <c r="BSN94" s="394"/>
      <c r="BSO94" s="394"/>
      <c r="BSP94" s="394"/>
      <c r="BSQ94" s="394"/>
      <c r="BSR94" s="394"/>
      <c r="BSS94" s="394"/>
      <c r="BST94" s="394"/>
      <c r="BSU94" s="394"/>
      <c r="BSV94" s="394"/>
      <c r="BSW94" s="394"/>
      <c r="BSX94" s="394"/>
      <c r="BSY94" s="394"/>
      <c r="BSZ94" s="394"/>
      <c r="BTA94" s="394"/>
      <c r="BTB94" s="394"/>
      <c r="BTC94" s="394"/>
      <c r="BTD94" s="394"/>
      <c r="BTE94" s="394"/>
      <c r="BTF94" s="394"/>
      <c r="BTG94" s="394"/>
      <c r="BTH94" s="394"/>
      <c r="BTI94" s="394"/>
    </row>
    <row r="95" spans="1:1881" ht="57" customHeight="1" x14ac:dyDescent="0.25">
      <c r="A95" s="188">
        <v>349</v>
      </c>
      <c r="B95" s="64" t="s">
        <v>69</v>
      </c>
      <c r="C95" s="159" t="s">
        <v>184</v>
      </c>
      <c r="D95" s="174" t="s">
        <v>173</v>
      </c>
      <c r="E95" s="32" t="e">
        <f>HLOOKUP($D$2,'2019 Data(H)'!$C$1:$CP$300,113,FALSE)</f>
        <v>#N/A</v>
      </c>
      <c r="F95" s="624"/>
      <c r="G95" s="611" t="str">
        <f>IF(F88&gt;F95,"Error: Please review accts 633&gt;349","")</f>
        <v/>
      </c>
      <c r="H95" s="13"/>
      <c r="I95" s="31"/>
    </row>
    <row r="96" spans="1:1881" ht="78" customHeight="1" x14ac:dyDescent="0.25">
      <c r="A96" s="188">
        <v>375</v>
      </c>
      <c r="B96" s="64" t="s">
        <v>69</v>
      </c>
      <c r="C96" s="159" t="s">
        <v>184</v>
      </c>
      <c r="D96" s="141" t="s">
        <v>614</v>
      </c>
      <c r="E96" s="32" t="e">
        <f>HLOOKUP($D$2,'2019 Data(H)'!$C$1:$CP$300,134,FALSE)</f>
        <v>#N/A</v>
      </c>
      <c r="F96" s="624"/>
      <c r="G96" s="316"/>
      <c r="H96" s="13"/>
      <c r="I96" s="31"/>
    </row>
    <row r="97" spans="1:1881" ht="77.25" customHeight="1" x14ac:dyDescent="0.25">
      <c r="A97" s="188">
        <v>83</v>
      </c>
      <c r="B97" s="64" t="s">
        <v>68</v>
      </c>
      <c r="C97" s="159" t="s">
        <v>184</v>
      </c>
      <c r="D97" s="174" t="s">
        <v>174</v>
      </c>
      <c r="E97" s="32" t="e">
        <f>HLOOKUP($D$2,'2019 Data(H)'!$C$1:$CP$300,47,FALSE)</f>
        <v>#N/A</v>
      </c>
      <c r="F97" s="624"/>
      <c r="G97" s="395">
        <f>IF(F86-F95-F97=0,,"Error: Total assets less total liabilities do not equal total net assets.  Account numbers 381-349-83=0  The amount of the formula is in the cell to the right")</f>
        <v>0</v>
      </c>
      <c r="H97" s="192">
        <f>F86-F95-F97</f>
        <v>0</v>
      </c>
      <c r="I97" s="31"/>
    </row>
    <row r="98" spans="1:1881" ht="40.5" customHeight="1" x14ac:dyDescent="0.3">
      <c r="A98" s="189"/>
      <c r="B98" s="161" t="s">
        <v>175</v>
      </c>
      <c r="C98" s="160"/>
      <c r="D98" s="155"/>
      <c r="E98" s="155"/>
      <c r="F98" s="727"/>
      <c r="G98" s="555"/>
      <c r="H98" s="51"/>
      <c r="I98" s="31"/>
    </row>
    <row r="99" spans="1:1881" s="225" customFormat="1" ht="59.25" customHeight="1" x14ac:dyDescent="0.25">
      <c r="A99" s="188">
        <v>90</v>
      </c>
      <c r="B99" s="64" t="s">
        <v>70</v>
      </c>
      <c r="C99" s="159" t="s">
        <v>183</v>
      </c>
      <c r="D99" s="165" t="s">
        <v>176</v>
      </c>
      <c r="E99" s="32" t="e">
        <f>HLOOKUP($D$2,'2019 Data(H)'!$C$1:$CP$300,52,FALSE)</f>
        <v>#N/A</v>
      </c>
      <c r="F99" s="624"/>
      <c r="G99" s="395">
        <f>IF(F99&lt;0,"Note: Number is normally positive.",)</f>
        <v>0</v>
      </c>
      <c r="H99" s="193"/>
      <c r="I99" s="31"/>
      <c r="J99" s="394"/>
      <c r="K99" s="394"/>
      <c r="L99" s="394"/>
      <c r="M99" s="394"/>
      <c r="N99"/>
      <c r="O99" s="394"/>
      <c r="P99" s="394"/>
      <c r="Q99" s="394"/>
      <c r="R99" s="394"/>
      <c r="S99" s="394"/>
      <c r="T99" s="394"/>
      <c r="U99" s="394"/>
      <c r="V99" s="394"/>
      <c r="W99" s="394"/>
      <c r="X99" s="394"/>
      <c r="Y99" s="394"/>
      <c r="Z99" s="394"/>
      <c r="AA99" s="394"/>
      <c r="AB99" s="394"/>
      <c r="AC99" s="394"/>
      <c r="AD99" s="394"/>
      <c r="AE99" s="394"/>
      <c r="AF99" s="394"/>
      <c r="AG99" s="394"/>
      <c r="AH99" s="394"/>
      <c r="AI99" s="394"/>
      <c r="AJ99" s="394"/>
      <c r="AK99" s="394"/>
      <c r="AL99" s="394"/>
      <c r="AM99" s="394"/>
      <c r="AN99" s="394"/>
      <c r="AO99" s="394"/>
      <c r="AP99" s="394"/>
      <c r="AQ99" s="394"/>
      <c r="AR99" s="394"/>
      <c r="AS99" s="394"/>
      <c r="AT99" s="394"/>
      <c r="AU99" s="394"/>
      <c r="AV99" s="394"/>
      <c r="AW99" s="394"/>
      <c r="AX99" s="394"/>
      <c r="AY99" s="394"/>
      <c r="AZ99" s="394"/>
      <c r="BA99" s="394"/>
      <c r="BB99" s="394"/>
      <c r="BC99" s="394"/>
      <c r="BD99" s="394"/>
      <c r="BE99" s="394"/>
      <c r="BF99" s="394"/>
      <c r="BG99" s="394"/>
      <c r="BH99" s="394"/>
      <c r="BI99" s="394"/>
      <c r="BJ99" s="394"/>
      <c r="BK99" s="394"/>
      <c r="BL99" s="394"/>
      <c r="BM99" s="394"/>
      <c r="BN99" s="394"/>
      <c r="BO99" s="394"/>
      <c r="BP99" s="394"/>
      <c r="BQ99" s="394"/>
      <c r="BR99" s="394"/>
      <c r="BS99" s="394"/>
      <c r="BT99" s="394"/>
      <c r="BU99" s="394"/>
      <c r="BV99" s="394"/>
      <c r="BW99" s="394"/>
      <c r="BX99" s="394"/>
      <c r="BY99" s="394"/>
      <c r="BZ99" s="394"/>
      <c r="CA99" s="394"/>
      <c r="CB99" s="394"/>
      <c r="CC99" s="394"/>
      <c r="CD99" s="394"/>
      <c r="CE99" s="394"/>
      <c r="CF99" s="394"/>
      <c r="CG99" s="394"/>
      <c r="CH99" s="394"/>
      <c r="CI99" s="394"/>
      <c r="CJ99" s="394"/>
      <c r="CK99" s="394"/>
      <c r="CL99" s="394"/>
      <c r="CM99" s="394"/>
      <c r="CN99" s="394"/>
      <c r="CO99" s="394"/>
      <c r="CP99" s="394"/>
      <c r="CQ99" s="394"/>
      <c r="CR99" s="394"/>
      <c r="CS99" s="394"/>
      <c r="CT99" s="394"/>
      <c r="CU99" s="394"/>
      <c r="CV99" s="394"/>
      <c r="CW99" s="394"/>
      <c r="CX99" s="394"/>
      <c r="CY99" s="394"/>
      <c r="CZ99" s="394"/>
      <c r="DA99" s="394"/>
      <c r="DB99" s="394"/>
      <c r="DC99" s="394"/>
      <c r="DD99" s="394"/>
      <c r="DE99" s="394"/>
      <c r="DF99" s="394"/>
      <c r="DG99" s="394"/>
      <c r="DH99" s="394"/>
      <c r="DI99" s="394"/>
      <c r="DJ99" s="394"/>
      <c r="DK99" s="394"/>
      <c r="DL99" s="394"/>
      <c r="DM99" s="394"/>
      <c r="DN99" s="394"/>
      <c r="DO99" s="394"/>
      <c r="DP99" s="394"/>
      <c r="DQ99" s="394"/>
      <c r="DR99" s="394"/>
      <c r="DS99" s="394"/>
      <c r="DT99" s="394"/>
      <c r="DU99" s="394"/>
      <c r="DV99" s="394"/>
      <c r="DW99" s="394"/>
      <c r="DX99" s="394"/>
      <c r="DY99" s="394"/>
      <c r="DZ99" s="394"/>
      <c r="EA99" s="394"/>
      <c r="EB99" s="394"/>
      <c r="EC99" s="394"/>
      <c r="ED99" s="394"/>
      <c r="EE99" s="394"/>
      <c r="EF99" s="394"/>
      <c r="EG99" s="394"/>
      <c r="EH99" s="394"/>
      <c r="EI99" s="394"/>
      <c r="EJ99" s="394"/>
      <c r="EK99" s="394"/>
      <c r="EL99" s="394"/>
      <c r="EM99" s="394"/>
      <c r="EN99" s="394"/>
      <c r="EO99" s="394"/>
      <c r="EP99" s="394"/>
      <c r="EQ99" s="394"/>
      <c r="ER99" s="394"/>
      <c r="ES99" s="394"/>
      <c r="ET99" s="394"/>
      <c r="EU99" s="394"/>
      <c r="EV99" s="394"/>
      <c r="EW99" s="394"/>
      <c r="EX99" s="394"/>
      <c r="EY99" s="394"/>
      <c r="EZ99" s="394"/>
      <c r="FA99" s="394"/>
      <c r="FB99" s="394"/>
      <c r="FC99" s="394"/>
      <c r="FD99" s="394"/>
      <c r="FE99" s="394"/>
      <c r="FF99" s="394"/>
      <c r="FG99" s="394"/>
      <c r="FH99" s="394"/>
      <c r="FI99" s="394"/>
      <c r="FJ99" s="394"/>
      <c r="FK99" s="394"/>
      <c r="FL99" s="394"/>
      <c r="FM99" s="394"/>
      <c r="FN99" s="394"/>
      <c r="FO99" s="394"/>
      <c r="FP99" s="394"/>
      <c r="FQ99" s="394"/>
      <c r="FR99" s="394"/>
      <c r="FS99" s="394"/>
      <c r="FT99" s="394"/>
      <c r="FU99" s="394"/>
      <c r="FV99" s="394"/>
      <c r="FW99" s="394"/>
      <c r="FX99" s="394"/>
      <c r="FY99" s="394"/>
      <c r="FZ99" s="394"/>
      <c r="GA99" s="394"/>
      <c r="GB99" s="394"/>
      <c r="GC99" s="394"/>
      <c r="GD99" s="394"/>
      <c r="GE99" s="394"/>
      <c r="GF99" s="394"/>
      <c r="GG99" s="394"/>
      <c r="GH99" s="394"/>
      <c r="GI99" s="394"/>
      <c r="GJ99" s="394"/>
      <c r="GK99" s="394"/>
      <c r="GL99" s="394"/>
      <c r="GM99" s="394"/>
      <c r="GN99" s="394"/>
      <c r="GO99" s="394"/>
      <c r="GP99" s="394"/>
      <c r="GQ99" s="394"/>
      <c r="GR99" s="394"/>
      <c r="GS99" s="394"/>
      <c r="GT99" s="394"/>
      <c r="GU99" s="394"/>
      <c r="GV99" s="394"/>
      <c r="GW99" s="394"/>
      <c r="GX99" s="394"/>
      <c r="GY99" s="394"/>
      <c r="GZ99" s="394"/>
      <c r="HA99" s="394"/>
      <c r="HB99" s="394"/>
      <c r="HC99" s="394"/>
      <c r="HD99" s="394"/>
      <c r="HE99" s="394"/>
      <c r="HF99" s="394"/>
      <c r="HG99" s="394"/>
      <c r="HH99" s="394"/>
      <c r="HI99" s="394"/>
      <c r="HJ99" s="394"/>
      <c r="HK99" s="394"/>
      <c r="HL99" s="394"/>
      <c r="HM99" s="394"/>
      <c r="HN99" s="394"/>
      <c r="HO99" s="394"/>
      <c r="HP99" s="394"/>
      <c r="HQ99" s="394"/>
      <c r="HR99" s="394"/>
      <c r="HS99" s="394"/>
      <c r="HT99" s="394"/>
      <c r="HU99" s="394"/>
      <c r="HV99" s="394"/>
      <c r="HW99" s="394"/>
      <c r="HX99" s="394"/>
      <c r="HY99" s="394"/>
      <c r="HZ99" s="394"/>
      <c r="IA99" s="394"/>
      <c r="IB99" s="394"/>
      <c r="IC99" s="394"/>
      <c r="ID99" s="394"/>
      <c r="IE99" s="394"/>
      <c r="IF99" s="394"/>
      <c r="IG99" s="394"/>
      <c r="IH99" s="394"/>
      <c r="II99" s="394"/>
      <c r="IJ99" s="394"/>
      <c r="IK99" s="394"/>
      <c r="IL99" s="394"/>
      <c r="IM99" s="394"/>
      <c r="IN99" s="394"/>
      <c r="IO99" s="394"/>
      <c r="IP99" s="394"/>
      <c r="IQ99" s="394"/>
      <c r="IR99" s="394"/>
      <c r="IS99" s="394"/>
      <c r="IT99" s="394"/>
      <c r="IU99" s="394"/>
      <c r="IV99" s="394"/>
      <c r="IW99" s="394"/>
      <c r="IX99" s="394"/>
      <c r="IY99" s="394"/>
      <c r="IZ99" s="394"/>
      <c r="JA99" s="394"/>
      <c r="JB99" s="394"/>
      <c r="JC99" s="394"/>
      <c r="JD99" s="394"/>
      <c r="JE99" s="394"/>
      <c r="JF99" s="394"/>
      <c r="JG99" s="394"/>
      <c r="JH99" s="394"/>
      <c r="JI99" s="394"/>
      <c r="JJ99" s="394"/>
      <c r="JK99" s="394"/>
      <c r="JL99" s="394"/>
      <c r="JM99" s="394"/>
      <c r="JN99" s="394"/>
      <c r="JO99" s="394"/>
      <c r="JP99" s="394"/>
      <c r="JQ99" s="394"/>
      <c r="JR99" s="394"/>
      <c r="JS99" s="394"/>
      <c r="JT99" s="394"/>
      <c r="JU99" s="394"/>
      <c r="JV99" s="394"/>
      <c r="JW99" s="394"/>
      <c r="JX99" s="394"/>
      <c r="JY99" s="394"/>
      <c r="JZ99" s="394"/>
      <c r="KA99" s="394"/>
      <c r="KB99" s="394"/>
      <c r="KC99" s="394"/>
      <c r="KD99" s="394"/>
      <c r="KE99" s="394"/>
      <c r="KF99" s="394"/>
      <c r="KG99" s="394"/>
      <c r="KH99" s="394"/>
      <c r="KI99" s="394"/>
      <c r="KJ99" s="394"/>
      <c r="KK99" s="394"/>
      <c r="KL99" s="394"/>
      <c r="KM99" s="394"/>
      <c r="KN99" s="394"/>
      <c r="KO99" s="394"/>
      <c r="KP99" s="394"/>
      <c r="KQ99" s="394"/>
      <c r="KR99" s="394"/>
      <c r="KS99" s="394"/>
      <c r="KT99" s="394"/>
      <c r="KU99" s="394"/>
      <c r="KV99" s="394"/>
      <c r="KW99" s="394"/>
      <c r="KX99" s="394"/>
      <c r="KY99" s="394"/>
      <c r="KZ99" s="394"/>
      <c r="LA99" s="394"/>
      <c r="LB99" s="394"/>
      <c r="LC99" s="394"/>
      <c r="LD99" s="394"/>
      <c r="LE99" s="394"/>
      <c r="LF99" s="394"/>
      <c r="LG99" s="394"/>
      <c r="LH99" s="394"/>
      <c r="LI99" s="394"/>
      <c r="LJ99" s="394"/>
      <c r="LK99" s="394"/>
      <c r="LL99" s="394"/>
      <c r="LM99" s="394"/>
      <c r="LN99" s="394"/>
      <c r="LO99" s="394"/>
      <c r="LP99" s="394"/>
      <c r="LQ99" s="394"/>
      <c r="LR99" s="394"/>
      <c r="LS99" s="394"/>
      <c r="LT99" s="394"/>
      <c r="LU99" s="394"/>
      <c r="LV99" s="394"/>
      <c r="LW99" s="394"/>
      <c r="LX99" s="394"/>
      <c r="LY99" s="394"/>
      <c r="LZ99" s="394"/>
      <c r="MA99" s="394"/>
      <c r="MB99" s="394"/>
      <c r="MC99" s="394"/>
      <c r="MD99" s="394"/>
      <c r="ME99" s="394"/>
      <c r="MF99" s="394"/>
      <c r="MG99" s="394"/>
      <c r="MH99" s="394"/>
      <c r="MI99" s="394"/>
      <c r="MJ99" s="394"/>
      <c r="MK99" s="394"/>
      <c r="ML99" s="394"/>
      <c r="MM99" s="394"/>
      <c r="MN99" s="394"/>
      <c r="MO99" s="394"/>
      <c r="MP99" s="394"/>
      <c r="MQ99" s="394"/>
      <c r="MR99" s="394"/>
      <c r="MS99" s="394"/>
      <c r="MT99" s="394"/>
      <c r="MU99" s="394"/>
      <c r="MV99" s="394"/>
      <c r="MW99" s="394"/>
      <c r="MX99" s="394"/>
      <c r="MY99" s="394"/>
      <c r="MZ99" s="394"/>
      <c r="NA99" s="394"/>
      <c r="NB99" s="394"/>
      <c r="NC99" s="394"/>
      <c r="ND99" s="394"/>
      <c r="NE99" s="394"/>
      <c r="NF99" s="394"/>
      <c r="NG99" s="394"/>
      <c r="NH99" s="394"/>
      <c r="NI99" s="394"/>
      <c r="NJ99" s="394"/>
      <c r="NK99" s="394"/>
      <c r="NL99" s="394"/>
      <c r="NM99" s="394"/>
      <c r="NN99" s="394"/>
      <c r="NO99" s="394"/>
      <c r="NP99" s="394"/>
      <c r="NQ99" s="394"/>
      <c r="NR99" s="394"/>
      <c r="NS99" s="394"/>
      <c r="NT99" s="394"/>
      <c r="NU99" s="394"/>
      <c r="NV99" s="394"/>
      <c r="NW99" s="394"/>
      <c r="NX99" s="394"/>
      <c r="NY99" s="394"/>
      <c r="NZ99" s="394"/>
      <c r="OA99" s="394"/>
      <c r="OB99" s="394"/>
      <c r="OC99" s="394"/>
      <c r="OD99" s="394"/>
      <c r="OE99" s="394"/>
      <c r="OF99" s="394"/>
      <c r="OG99" s="394"/>
      <c r="OH99" s="394"/>
      <c r="OI99" s="394"/>
      <c r="OJ99" s="394"/>
      <c r="OK99" s="394"/>
      <c r="OL99" s="394"/>
      <c r="OM99" s="394"/>
      <c r="ON99" s="394"/>
      <c r="OO99" s="394"/>
      <c r="OP99" s="394"/>
      <c r="OQ99" s="394"/>
      <c r="OR99" s="394"/>
      <c r="OS99" s="394"/>
      <c r="OT99" s="394"/>
      <c r="OU99" s="394"/>
      <c r="OV99" s="394"/>
      <c r="OW99" s="394"/>
      <c r="OX99" s="394"/>
      <c r="OY99" s="394"/>
      <c r="OZ99" s="394"/>
      <c r="PA99" s="394"/>
      <c r="PB99" s="394"/>
      <c r="PC99" s="394"/>
      <c r="PD99" s="394"/>
      <c r="PE99" s="394"/>
      <c r="PF99" s="394"/>
      <c r="PG99" s="394"/>
      <c r="PH99" s="394"/>
      <c r="PI99" s="394"/>
      <c r="PJ99" s="394"/>
      <c r="PK99" s="394"/>
      <c r="PL99" s="394"/>
      <c r="PM99" s="394"/>
      <c r="PN99" s="394"/>
      <c r="PO99" s="394"/>
      <c r="PP99" s="394"/>
      <c r="PQ99" s="394"/>
      <c r="PR99" s="394"/>
      <c r="PS99" s="394"/>
      <c r="PT99" s="394"/>
      <c r="PU99" s="394"/>
      <c r="PV99" s="394"/>
      <c r="PW99" s="394"/>
      <c r="PX99" s="394"/>
      <c r="PY99" s="394"/>
      <c r="PZ99" s="394"/>
      <c r="QA99" s="394"/>
      <c r="QB99" s="394"/>
      <c r="QC99" s="394"/>
      <c r="QD99" s="394"/>
      <c r="QE99" s="394"/>
      <c r="QF99" s="394"/>
      <c r="QG99" s="394"/>
      <c r="QH99" s="394"/>
      <c r="QI99" s="394"/>
      <c r="QJ99" s="394"/>
      <c r="QK99" s="394"/>
      <c r="QL99" s="394"/>
      <c r="QM99" s="394"/>
      <c r="QN99" s="394"/>
      <c r="QO99" s="394"/>
      <c r="QP99" s="394"/>
      <c r="QQ99" s="394"/>
      <c r="QR99" s="394"/>
      <c r="QS99" s="394"/>
      <c r="QT99" s="394"/>
      <c r="QU99" s="394"/>
      <c r="QV99" s="394"/>
      <c r="QW99" s="394"/>
      <c r="QX99" s="394"/>
      <c r="QY99" s="394"/>
      <c r="QZ99" s="394"/>
      <c r="RA99" s="394"/>
      <c r="RB99" s="394"/>
      <c r="RC99" s="394"/>
      <c r="RD99" s="394"/>
      <c r="RE99" s="394"/>
      <c r="RF99" s="394"/>
      <c r="RG99" s="394"/>
      <c r="RH99" s="394"/>
      <c r="RI99" s="394"/>
      <c r="RJ99" s="394"/>
      <c r="RK99" s="394"/>
      <c r="RL99" s="394"/>
      <c r="RM99" s="394"/>
      <c r="RN99" s="394"/>
      <c r="RO99" s="394"/>
      <c r="RP99" s="394"/>
      <c r="RQ99" s="394"/>
      <c r="RR99" s="394"/>
      <c r="RS99" s="394"/>
      <c r="RT99" s="394"/>
      <c r="RU99" s="394"/>
      <c r="RV99" s="394"/>
      <c r="RW99" s="394"/>
      <c r="RX99" s="394"/>
      <c r="RY99" s="394"/>
      <c r="RZ99" s="394"/>
      <c r="SA99" s="394"/>
      <c r="SB99" s="394"/>
      <c r="SC99" s="394"/>
      <c r="SD99" s="394"/>
      <c r="SE99" s="394"/>
      <c r="SF99" s="394"/>
      <c r="SG99" s="394"/>
      <c r="SH99" s="394"/>
      <c r="SI99" s="394"/>
      <c r="SJ99" s="394"/>
      <c r="SK99" s="394"/>
      <c r="SL99" s="394"/>
      <c r="SM99" s="394"/>
      <c r="SN99" s="394"/>
      <c r="SO99" s="394"/>
      <c r="SP99" s="394"/>
      <c r="SQ99" s="394"/>
      <c r="SR99" s="394"/>
      <c r="SS99" s="394"/>
      <c r="ST99" s="394"/>
      <c r="SU99" s="394"/>
      <c r="SV99" s="394"/>
      <c r="SW99" s="394"/>
      <c r="SX99" s="394"/>
      <c r="SY99" s="394"/>
      <c r="SZ99" s="394"/>
      <c r="TA99" s="394"/>
      <c r="TB99" s="394"/>
      <c r="TC99" s="394"/>
      <c r="TD99" s="394"/>
      <c r="TE99" s="394"/>
      <c r="TF99" s="394"/>
      <c r="TG99" s="394"/>
      <c r="TH99" s="394"/>
      <c r="TI99" s="394"/>
      <c r="TJ99" s="394"/>
      <c r="TK99" s="394"/>
      <c r="TL99" s="394"/>
      <c r="TM99" s="394"/>
      <c r="TN99" s="394"/>
      <c r="TO99" s="394"/>
      <c r="TP99" s="394"/>
      <c r="TQ99" s="394"/>
      <c r="TR99" s="394"/>
      <c r="TS99" s="394"/>
      <c r="TT99" s="394"/>
      <c r="TU99" s="394"/>
      <c r="TV99" s="394"/>
      <c r="TW99" s="394"/>
      <c r="TX99" s="394"/>
      <c r="TY99" s="394"/>
      <c r="TZ99" s="394"/>
      <c r="UA99" s="394"/>
      <c r="UB99" s="394"/>
      <c r="UC99" s="394"/>
      <c r="UD99" s="394"/>
      <c r="UE99" s="394"/>
      <c r="UF99" s="394"/>
      <c r="UG99" s="394"/>
      <c r="UH99" s="394"/>
      <c r="UI99" s="394"/>
      <c r="UJ99" s="394"/>
      <c r="UK99" s="394"/>
      <c r="UL99" s="394"/>
      <c r="UM99" s="394"/>
      <c r="UN99" s="394"/>
      <c r="UO99" s="394"/>
      <c r="UP99" s="394"/>
      <c r="UQ99" s="394"/>
      <c r="UR99" s="394"/>
      <c r="US99" s="394"/>
      <c r="UT99" s="394"/>
      <c r="UU99" s="394"/>
      <c r="UV99" s="394"/>
      <c r="UW99" s="394"/>
      <c r="UX99" s="394"/>
      <c r="UY99" s="394"/>
      <c r="UZ99" s="394"/>
      <c r="VA99" s="394"/>
      <c r="VB99" s="394"/>
      <c r="VC99" s="394"/>
      <c r="VD99" s="394"/>
      <c r="VE99" s="394"/>
      <c r="VF99" s="394"/>
      <c r="VG99" s="394"/>
      <c r="VH99" s="394"/>
      <c r="VI99" s="394"/>
      <c r="VJ99" s="394"/>
      <c r="VK99" s="394"/>
      <c r="VL99" s="394"/>
      <c r="VM99" s="394"/>
      <c r="VN99" s="394"/>
      <c r="VO99" s="394"/>
      <c r="VP99" s="394"/>
      <c r="VQ99" s="394"/>
      <c r="VR99" s="394"/>
      <c r="VS99" s="394"/>
      <c r="VT99" s="394"/>
      <c r="VU99" s="394"/>
      <c r="VV99" s="394"/>
      <c r="VW99" s="394"/>
      <c r="VX99" s="394"/>
      <c r="VY99" s="394"/>
      <c r="VZ99" s="394"/>
      <c r="WA99" s="394"/>
      <c r="WB99" s="394"/>
      <c r="WC99" s="394"/>
      <c r="WD99" s="394"/>
      <c r="WE99" s="394"/>
      <c r="WF99" s="394"/>
      <c r="WG99" s="394"/>
      <c r="WH99" s="394"/>
      <c r="WI99" s="394"/>
      <c r="WJ99" s="394"/>
      <c r="WK99" s="394"/>
      <c r="WL99" s="394"/>
      <c r="WM99" s="394"/>
      <c r="WN99" s="394"/>
      <c r="WO99" s="394"/>
      <c r="WP99" s="394"/>
      <c r="WQ99" s="394"/>
      <c r="WR99" s="394"/>
      <c r="WS99" s="394"/>
      <c r="WT99" s="394"/>
      <c r="WU99" s="394"/>
      <c r="WV99" s="394"/>
      <c r="WW99" s="394"/>
      <c r="WX99" s="394"/>
      <c r="WY99" s="394"/>
      <c r="WZ99" s="394"/>
      <c r="XA99" s="394"/>
      <c r="XB99" s="394"/>
      <c r="XC99" s="394"/>
      <c r="XD99" s="394"/>
      <c r="XE99" s="394"/>
      <c r="XF99" s="394"/>
      <c r="XG99" s="394"/>
      <c r="XH99" s="394"/>
      <c r="XI99" s="394"/>
      <c r="XJ99" s="394"/>
      <c r="XK99" s="394"/>
      <c r="XL99" s="394"/>
      <c r="XM99" s="394"/>
      <c r="XN99" s="394"/>
      <c r="XO99" s="394"/>
      <c r="XP99" s="394"/>
      <c r="XQ99" s="394"/>
      <c r="XR99" s="394"/>
      <c r="XS99" s="394"/>
      <c r="XT99" s="394"/>
      <c r="XU99" s="394"/>
      <c r="XV99" s="394"/>
      <c r="XW99" s="394"/>
      <c r="XX99" s="394"/>
      <c r="XY99" s="394"/>
      <c r="XZ99" s="394"/>
      <c r="YA99" s="394"/>
      <c r="YB99" s="394"/>
      <c r="YC99" s="394"/>
      <c r="YD99" s="394"/>
      <c r="YE99" s="394"/>
      <c r="YF99" s="394"/>
      <c r="YG99" s="394"/>
      <c r="YH99" s="394"/>
      <c r="YI99" s="394"/>
      <c r="YJ99" s="394"/>
      <c r="YK99" s="394"/>
      <c r="YL99" s="394"/>
      <c r="YM99" s="394"/>
      <c r="YN99" s="394"/>
      <c r="YO99" s="394"/>
      <c r="YP99" s="394"/>
      <c r="YQ99" s="394"/>
      <c r="YR99" s="394"/>
      <c r="YS99" s="394"/>
      <c r="YT99" s="394"/>
      <c r="YU99" s="394"/>
      <c r="YV99" s="394"/>
      <c r="YW99" s="394"/>
      <c r="YX99" s="394"/>
      <c r="YY99" s="394"/>
      <c r="YZ99" s="394"/>
      <c r="ZA99" s="394"/>
      <c r="ZB99" s="394"/>
      <c r="ZC99" s="394"/>
      <c r="ZD99" s="394"/>
      <c r="ZE99" s="394"/>
      <c r="ZF99" s="394"/>
      <c r="ZG99" s="394"/>
      <c r="ZH99" s="394"/>
      <c r="ZI99" s="394"/>
      <c r="ZJ99" s="394"/>
      <c r="ZK99" s="394"/>
      <c r="ZL99" s="394"/>
      <c r="ZM99" s="394"/>
      <c r="ZN99" s="394"/>
      <c r="ZO99" s="394"/>
      <c r="ZP99" s="394"/>
      <c r="ZQ99" s="394"/>
      <c r="ZR99" s="394"/>
      <c r="ZS99" s="394"/>
      <c r="ZT99" s="394"/>
      <c r="ZU99" s="394"/>
      <c r="ZV99" s="394"/>
      <c r="ZW99" s="394"/>
      <c r="ZX99" s="394"/>
      <c r="ZY99" s="394"/>
      <c r="ZZ99" s="394"/>
      <c r="AAA99" s="394"/>
      <c r="AAB99" s="394"/>
      <c r="AAC99" s="394"/>
      <c r="AAD99" s="394"/>
      <c r="AAE99" s="394"/>
      <c r="AAF99" s="394"/>
      <c r="AAG99" s="394"/>
      <c r="AAH99" s="394"/>
      <c r="AAI99" s="394"/>
      <c r="AAJ99" s="394"/>
      <c r="AAK99" s="394"/>
      <c r="AAL99" s="394"/>
      <c r="AAM99" s="394"/>
      <c r="AAN99" s="394"/>
      <c r="AAO99" s="394"/>
      <c r="AAP99" s="394"/>
      <c r="AAQ99" s="394"/>
      <c r="AAR99" s="394"/>
      <c r="AAS99" s="394"/>
      <c r="AAT99" s="394"/>
      <c r="AAU99" s="394"/>
      <c r="AAV99" s="394"/>
      <c r="AAW99" s="394"/>
      <c r="AAX99" s="394"/>
      <c r="AAY99" s="394"/>
      <c r="AAZ99" s="394"/>
      <c r="ABA99" s="394"/>
      <c r="ABB99" s="394"/>
      <c r="ABC99" s="394"/>
      <c r="ABD99" s="394"/>
      <c r="ABE99" s="394"/>
      <c r="ABF99" s="394"/>
      <c r="ABG99" s="394"/>
      <c r="ABH99" s="394"/>
      <c r="ABI99" s="394"/>
      <c r="ABJ99" s="394"/>
      <c r="ABK99" s="394"/>
      <c r="ABL99" s="394"/>
      <c r="ABM99" s="394"/>
      <c r="ABN99" s="394"/>
      <c r="ABO99" s="394"/>
      <c r="ABP99" s="394"/>
      <c r="ABQ99" s="394"/>
      <c r="ABR99" s="394"/>
      <c r="ABS99" s="394"/>
      <c r="ABT99" s="394"/>
      <c r="ABU99" s="394"/>
      <c r="ABV99" s="394"/>
      <c r="ABW99" s="394"/>
      <c r="ABX99" s="394"/>
      <c r="ABY99" s="394"/>
      <c r="ABZ99" s="394"/>
      <c r="ACA99" s="394"/>
      <c r="ACB99" s="394"/>
      <c r="ACC99" s="394"/>
      <c r="ACD99" s="394"/>
      <c r="ACE99" s="394"/>
      <c r="ACF99" s="394"/>
      <c r="ACG99" s="394"/>
      <c r="ACH99" s="394"/>
      <c r="ACI99" s="394"/>
      <c r="ACJ99" s="394"/>
      <c r="ACK99" s="394"/>
      <c r="ACL99" s="394"/>
      <c r="ACM99" s="394"/>
      <c r="ACN99" s="394"/>
      <c r="ACO99" s="394"/>
      <c r="ACP99" s="394"/>
      <c r="ACQ99" s="394"/>
      <c r="ACR99" s="394"/>
      <c r="ACS99" s="394"/>
      <c r="ACT99" s="394"/>
      <c r="ACU99" s="394"/>
      <c r="ACV99" s="394"/>
      <c r="ACW99" s="394"/>
      <c r="ACX99" s="394"/>
      <c r="ACY99" s="394"/>
      <c r="ACZ99" s="394"/>
      <c r="ADA99" s="394"/>
      <c r="ADB99" s="394"/>
      <c r="ADC99" s="394"/>
      <c r="ADD99" s="394"/>
      <c r="ADE99" s="394"/>
      <c r="ADF99" s="394"/>
      <c r="ADG99" s="394"/>
      <c r="ADH99" s="394"/>
      <c r="ADI99" s="394"/>
      <c r="ADJ99" s="394"/>
      <c r="ADK99" s="394"/>
      <c r="ADL99" s="394"/>
      <c r="ADM99" s="394"/>
      <c r="ADN99" s="394"/>
      <c r="ADO99" s="394"/>
      <c r="ADP99" s="394"/>
      <c r="ADQ99" s="394"/>
      <c r="ADR99" s="394"/>
      <c r="ADS99" s="394"/>
      <c r="ADT99" s="394"/>
      <c r="ADU99" s="394"/>
      <c r="ADV99" s="394"/>
      <c r="ADW99" s="394"/>
      <c r="ADX99" s="394"/>
      <c r="ADY99" s="394"/>
      <c r="ADZ99" s="394"/>
      <c r="AEA99" s="394"/>
      <c r="AEB99" s="394"/>
      <c r="AEC99" s="394"/>
      <c r="AED99" s="394"/>
      <c r="AEE99" s="394"/>
      <c r="AEF99" s="394"/>
      <c r="AEG99" s="394"/>
      <c r="AEH99" s="394"/>
      <c r="AEI99" s="394"/>
      <c r="AEJ99" s="394"/>
      <c r="AEK99" s="394"/>
      <c r="AEL99" s="394"/>
      <c r="AEM99" s="394"/>
      <c r="AEN99" s="394"/>
      <c r="AEO99" s="394"/>
      <c r="AEP99" s="394"/>
      <c r="AEQ99" s="394"/>
      <c r="AER99" s="394"/>
      <c r="AES99" s="394"/>
      <c r="AET99" s="394"/>
      <c r="AEU99" s="394"/>
      <c r="AEV99" s="394"/>
      <c r="AEW99" s="394"/>
      <c r="AEX99" s="394"/>
      <c r="AEY99" s="394"/>
      <c r="AEZ99" s="394"/>
      <c r="AFA99" s="394"/>
      <c r="AFB99" s="394"/>
      <c r="AFC99" s="394"/>
      <c r="AFD99" s="394"/>
      <c r="AFE99" s="394"/>
      <c r="AFF99" s="394"/>
      <c r="AFG99" s="394"/>
      <c r="AFH99" s="394"/>
      <c r="AFI99" s="394"/>
      <c r="AFJ99" s="394"/>
      <c r="AFK99" s="394"/>
      <c r="AFL99" s="394"/>
      <c r="AFM99" s="394"/>
      <c r="AFN99" s="394"/>
      <c r="AFO99" s="394"/>
      <c r="AFP99" s="394"/>
      <c r="AFQ99" s="394"/>
      <c r="AFR99" s="394"/>
      <c r="AFS99" s="394"/>
      <c r="AFT99" s="394"/>
      <c r="AFU99" s="394"/>
      <c r="AFV99" s="394"/>
      <c r="AFW99" s="394"/>
      <c r="AFX99" s="394"/>
      <c r="AFY99" s="394"/>
      <c r="AFZ99" s="394"/>
      <c r="AGA99" s="394"/>
      <c r="AGB99" s="394"/>
      <c r="AGC99" s="394"/>
      <c r="AGD99" s="394"/>
      <c r="AGE99" s="394"/>
      <c r="AGF99" s="394"/>
      <c r="AGG99" s="394"/>
      <c r="AGH99" s="394"/>
      <c r="AGI99" s="394"/>
      <c r="AGJ99" s="394"/>
      <c r="AGK99" s="394"/>
      <c r="AGL99" s="394"/>
      <c r="AGM99" s="394"/>
      <c r="AGN99" s="394"/>
      <c r="AGO99" s="394"/>
      <c r="AGP99" s="394"/>
      <c r="AGQ99" s="394"/>
      <c r="AGR99" s="394"/>
      <c r="AGS99" s="394"/>
      <c r="AGT99" s="394"/>
      <c r="AGU99" s="394"/>
      <c r="AGV99" s="394"/>
      <c r="AGW99" s="394"/>
      <c r="AGX99" s="394"/>
      <c r="AGY99" s="394"/>
      <c r="AGZ99" s="394"/>
      <c r="AHA99" s="394"/>
      <c r="AHB99" s="394"/>
      <c r="AHC99" s="394"/>
      <c r="AHD99" s="394"/>
      <c r="AHE99" s="394"/>
      <c r="AHF99" s="394"/>
      <c r="AHG99" s="394"/>
      <c r="AHH99" s="394"/>
      <c r="AHI99" s="394"/>
      <c r="AHJ99" s="394"/>
      <c r="AHK99" s="394"/>
      <c r="AHL99" s="394"/>
      <c r="AHM99" s="394"/>
      <c r="AHN99" s="394"/>
      <c r="AHO99" s="394"/>
      <c r="AHP99" s="394"/>
      <c r="AHQ99" s="394"/>
      <c r="AHR99" s="394"/>
      <c r="AHS99" s="394"/>
      <c r="AHT99" s="394"/>
      <c r="AHU99" s="394"/>
      <c r="AHV99" s="394"/>
      <c r="AHW99" s="394"/>
      <c r="AHX99" s="394"/>
      <c r="AHY99" s="394"/>
      <c r="AHZ99" s="394"/>
      <c r="AIA99" s="394"/>
      <c r="AIB99" s="394"/>
      <c r="AIC99" s="394"/>
      <c r="AID99" s="394"/>
      <c r="AIE99" s="394"/>
      <c r="AIF99" s="394"/>
      <c r="AIG99" s="394"/>
      <c r="AIH99" s="394"/>
      <c r="AII99" s="394"/>
      <c r="AIJ99" s="394"/>
      <c r="AIK99" s="394"/>
      <c r="AIL99" s="394"/>
      <c r="AIM99" s="394"/>
      <c r="AIN99" s="394"/>
      <c r="AIO99" s="394"/>
      <c r="AIP99" s="394"/>
      <c r="AIQ99" s="394"/>
      <c r="AIR99" s="394"/>
      <c r="AIS99" s="394"/>
      <c r="AIT99" s="394"/>
      <c r="AIU99" s="394"/>
      <c r="AIV99" s="394"/>
      <c r="AIW99" s="394"/>
      <c r="AIX99" s="394"/>
      <c r="AIY99" s="394"/>
      <c r="AIZ99" s="394"/>
      <c r="AJA99" s="394"/>
      <c r="AJB99" s="394"/>
      <c r="AJC99" s="394"/>
      <c r="AJD99" s="394"/>
      <c r="AJE99" s="394"/>
      <c r="AJF99" s="394"/>
      <c r="AJG99" s="394"/>
      <c r="AJH99" s="394"/>
      <c r="AJI99" s="394"/>
      <c r="AJJ99" s="394"/>
      <c r="AJK99" s="394"/>
      <c r="AJL99" s="394"/>
      <c r="AJM99" s="394"/>
      <c r="AJN99" s="394"/>
      <c r="AJO99" s="394"/>
      <c r="AJP99" s="394"/>
      <c r="AJQ99" s="394"/>
      <c r="AJR99" s="394"/>
      <c r="AJS99" s="394"/>
      <c r="AJT99" s="394"/>
      <c r="AJU99" s="394"/>
      <c r="AJV99" s="394"/>
      <c r="AJW99" s="394"/>
      <c r="AJX99" s="394"/>
      <c r="AJY99" s="394"/>
      <c r="AJZ99" s="394"/>
      <c r="AKA99" s="394"/>
      <c r="AKB99" s="394"/>
      <c r="AKC99" s="394"/>
      <c r="AKD99" s="394"/>
      <c r="AKE99" s="394"/>
      <c r="AKF99" s="394"/>
      <c r="AKG99" s="394"/>
      <c r="AKH99" s="394"/>
      <c r="AKI99" s="394"/>
      <c r="AKJ99" s="394"/>
      <c r="AKK99" s="394"/>
      <c r="AKL99" s="394"/>
      <c r="AKM99" s="394"/>
      <c r="AKN99" s="394"/>
      <c r="AKO99" s="394"/>
      <c r="AKP99" s="394"/>
      <c r="AKQ99" s="394"/>
      <c r="AKR99" s="394"/>
      <c r="AKS99" s="394"/>
      <c r="AKT99" s="394"/>
      <c r="AKU99" s="394"/>
      <c r="AKV99" s="394"/>
      <c r="AKW99" s="394"/>
      <c r="AKX99" s="394"/>
      <c r="AKY99" s="394"/>
      <c r="AKZ99" s="394"/>
      <c r="ALA99" s="394"/>
      <c r="ALB99" s="394"/>
      <c r="ALC99" s="394"/>
      <c r="ALD99" s="394"/>
      <c r="ALE99" s="394"/>
      <c r="ALF99" s="394"/>
      <c r="ALG99" s="394"/>
      <c r="ALH99" s="394"/>
      <c r="ALI99" s="394"/>
      <c r="ALJ99" s="394"/>
      <c r="ALK99" s="394"/>
      <c r="ALL99" s="394"/>
      <c r="ALM99" s="394"/>
      <c r="ALN99" s="394"/>
      <c r="ALO99" s="394"/>
      <c r="ALP99" s="394"/>
      <c r="ALQ99" s="394"/>
      <c r="ALR99" s="394"/>
      <c r="ALS99" s="394"/>
      <c r="ALT99" s="394"/>
      <c r="ALU99" s="394"/>
      <c r="ALV99" s="394"/>
      <c r="ALW99" s="394"/>
      <c r="ALX99" s="394"/>
      <c r="ALY99" s="394"/>
      <c r="ALZ99" s="394"/>
      <c r="AMA99" s="394"/>
      <c r="AMB99" s="394"/>
      <c r="AMC99" s="394"/>
      <c r="AMD99" s="394"/>
      <c r="AME99" s="394"/>
      <c r="AMF99" s="394"/>
      <c r="AMG99" s="394"/>
      <c r="AMH99" s="394"/>
      <c r="AMI99" s="394"/>
      <c r="AMJ99" s="394"/>
      <c r="AMK99" s="394"/>
      <c r="AML99" s="394"/>
      <c r="AMM99" s="394"/>
      <c r="AMN99" s="394"/>
      <c r="AMO99" s="394"/>
      <c r="AMP99" s="394"/>
      <c r="AMQ99" s="394"/>
      <c r="AMR99" s="394"/>
      <c r="AMS99" s="394"/>
      <c r="AMT99" s="394"/>
      <c r="AMU99" s="394"/>
      <c r="AMV99" s="394"/>
      <c r="AMW99" s="394"/>
      <c r="AMX99" s="394"/>
      <c r="AMY99" s="394"/>
      <c r="AMZ99" s="394"/>
      <c r="ANA99" s="394"/>
      <c r="ANB99" s="394"/>
      <c r="ANC99" s="394"/>
      <c r="AND99" s="394"/>
      <c r="ANE99" s="394"/>
      <c r="ANF99" s="394"/>
      <c r="ANG99" s="394"/>
      <c r="ANH99" s="394"/>
      <c r="ANI99" s="394"/>
      <c r="ANJ99" s="394"/>
      <c r="ANK99" s="394"/>
      <c r="ANL99" s="394"/>
      <c r="ANM99" s="394"/>
      <c r="ANN99" s="394"/>
      <c r="ANO99" s="394"/>
      <c r="ANP99" s="394"/>
      <c r="ANQ99" s="394"/>
      <c r="ANR99" s="394"/>
      <c r="ANS99" s="394"/>
      <c r="ANT99" s="394"/>
      <c r="ANU99" s="394"/>
      <c r="ANV99" s="394"/>
      <c r="ANW99" s="394"/>
      <c r="ANX99" s="394"/>
      <c r="ANY99" s="394"/>
      <c r="ANZ99" s="394"/>
      <c r="AOA99" s="394"/>
      <c r="AOB99" s="394"/>
      <c r="AOC99" s="394"/>
      <c r="AOD99" s="394"/>
      <c r="AOE99" s="394"/>
      <c r="AOF99" s="394"/>
      <c r="AOG99" s="394"/>
      <c r="AOH99" s="394"/>
      <c r="AOI99" s="394"/>
      <c r="AOJ99" s="394"/>
      <c r="AOK99" s="394"/>
      <c r="AOL99" s="394"/>
      <c r="AOM99" s="394"/>
      <c r="AON99" s="394"/>
      <c r="AOO99" s="394"/>
      <c r="AOP99" s="394"/>
      <c r="AOQ99" s="394"/>
      <c r="AOR99" s="394"/>
      <c r="AOS99" s="394"/>
      <c r="AOT99" s="394"/>
      <c r="AOU99" s="394"/>
      <c r="AOV99" s="394"/>
      <c r="AOW99" s="394"/>
      <c r="AOX99" s="394"/>
      <c r="AOY99" s="394"/>
      <c r="AOZ99" s="394"/>
      <c r="APA99" s="394"/>
      <c r="APB99" s="394"/>
      <c r="APC99" s="394"/>
      <c r="APD99" s="394"/>
      <c r="APE99" s="394"/>
      <c r="APF99" s="394"/>
      <c r="APG99" s="394"/>
      <c r="APH99" s="394"/>
      <c r="API99" s="394"/>
      <c r="APJ99" s="394"/>
      <c r="APK99" s="394"/>
      <c r="APL99" s="394"/>
      <c r="APM99" s="394"/>
      <c r="APN99" s="394"/>
      <c r="APO99" s="394"/>
      <c r="APP99" s="394"/>
      <c r="APQ99" s="394"/>
      <c r="APR99" s="394"/>
      <c r="APS99" s="394"/>
      <c r="APT99" s="394"/>
      <c r="APU99" s="394"/>
      <c r="APV99" s="394"/>
      <c r="APW99" s="394"/>
      <c r="APX99" s="394"/>
      <c r="APY99" s="394"/>
      <c r="APZ99" s="394"/>
      <c r="AQA99" s="394"/>
      <c r="AQB99" s="394"/>
      <c r="AQC99" s="394"/>
      <c r="AQD99" s="394"/>
      <c r="AQE99" s="394"/>
      <c r="AQF99" s="394"/>
      <c r="AQG99" s="394"/>
      <c r="AQH99" s="394"/>
      <c r="AQI99" s="394"/>
      <c r="AQJ99" s="394"/>
      <c r="AQK99" s="394"/>
      <c r="AQL99" s="394"/>
      <c r="AQM99" s="394"/>
      <c r="AQN99" s="394"/>
      <c r="AQO99" s="394"/>
      <c r="AQP99" s="394"/>
      <c r="AQQ99" s="394"/>
      <c r="AQR99" s="394"/>
      <c r="AQS99" s="394"/>
      <c r="AQT99" s="394"/>
      <c r="AQU99" s="394"/>
      <c r="AQV99" s="394"/>
      <c r="AQW99" s="394"/>
      <c r="AQX99" s="394"/>
      <c r="AQY99" s="394"/>
      <c r="AQZ99" s="394"/>
      <c r="ARA99" s="394"/>
      <c r="ARB99" s="394"/>
      <c r="ARC99" s="394"/>
      <c r="ARD99" s="394"/>
      <c r="ARE99" s="394"/>
      <c r="ARF99" s="394"/>
      <c r="ARG99" s="394"/>
      <c r="ARH99" s="394"/>
      <c r="ARI99" s="394"/>
      <c r="ARJ99" s="394"/>
      <c r="ARK99" s="394"/>
      <c r="ARL99" s="394"/>
      <c r="ARM99" s="394"/>
      <c r="ARN99" s="394"/>
      <c r="ARO99" s="394"/>
      <c r="ARP99" s="394"/>
      <c r="ARQ99" s="394"/>
      <c r="ARR99" s="394"/>
      <c r="ARS99" s="394"/>
      <c r="ART99" s="394"/>
      <c r="ARU99" s="394"/>
      <c r="ARV99" s="394"/>
      <c r="ARW99" s="394"/>
      <c r="ARX99" s="394"/>
      <c r="ARY99" s="394"/>
      <c r="ARZ99" s="394"/>
      <c r="ASA99" s="394"/>
      <c r="ASB99" s="394"/>
      <c r="ASC99" s="394"/>
      <c r="ASD99" s="394"/>
      <c r="ASE99" s="394"/>
      <c r="ASF99" s="394"/>
      <c r="ASG99" s="394"/>
      <c r="ASH99" s="394"/>
      <c r="ASI99" s="394"/>
      <c r="ASJ99" s="394"/>
      <c r="ASK99" s="394"/>
      <c r="ASL99" s="394"/>
      <c r="ASM99" s="394"/>
      <c r="ASN99" s="394"/>
      <c r="ASO99" s="394"/>
      <c r="ASP99" s="394"/>
      <c r="ASQ99" s="394"/>
      <c r="ASR99" s="394"/>
      <c r="ASS99" s="394"/>
      <c r="AST99" s="394"/>
      <c r="ASU99" s="394"/>
      <c r="ASV99" s="394"/>
      <c r="ASW99" s="394"/>
      <c r="ASX99" s="394"/>
      <c r="ASY99" s="394"/>
      <c r="ASZ99" s="394"/>
      <c r="ATA99" s="394"/>
      <c r="ATB99" s="394"/>
      <c r="ATC99" s="394"/>
      <c r="ATD99" s="394"/>
      <c r="ATE99" s="394"/>
      <c r="ATF99" s="394"/>
      <c r="ATG99" s="394"/>
      <c r="ATH99" s="394"/>
      <c r="ATI99" s="394"/>
      <c r="ATJ99" s="394"/>
      <c r="ATK99" s="394"/>
      <c r="ATL99" s="394"/>
      <c r="ATM99" s="394"/>
      <c r="ATN99" s="394"/>
      <c r="ATO99" s="394"/>
      <c r="ATP99" s="394"/>
      <c r="ATQ99" s="394"/>
      <c r="ATR99" s="394"/>
      <c r="ATS99" s="394"/>
      <c r="ATT99" s="394"/>
      <c r="ATU99" s="394"/>
      <c r="ATV99" s="394"/>
      <c r="ATW99" s="394"/>
      <c r="ATX99" s="394"/>
      <c r="ATY99" s="394"/>
      <c r="ATZ99" s="394"/>
      <c r="AUA99" s="394"/>
      <c r="AUB99" s="394"/>
      <c r="AUC99" s="394"/>
      <c r="AUD99" s="394"/>
      <c r="AUE99" s="394"/>
      <c r="AUF99" s="394"/>
      <c r="AUG99" s="394"/>
      <c r="AUH99" s="394"/>
      <c r="AUI99" s="394"/>
      <c r="AUJ99" s="394"/>
      <c r="AUK99" s="394"/>
      <c r="AUL99" s="394"/>
      <c r="AUM99" s="394"/>
      <c r="AUN99" s="394"/>
      <c r="AUO99" s="394"/>
      <c r="AUP99" s="394"/>
      <c r="AUQ99" s="394"/>
      <c r="AUR99" s="394"/>
      <c r="AUS99" s="394"/>
      <c r="AUT99" s="394"/>
      <c r="AUU99" s="394"/>
      <c r="AUV99" s="394"/>
      <c r="AUW99" s="394"/>
      <c r="AUX99" s="394"/>
      <c r="AUY99" s="394"/>
      <c r="AUZ99" s="394"/>
      <c r="AVA99" s="394"/>
      <c r="AVB99" s="394"/>
      <c r="AVC99" s="394"/>
      <c r="AVD99" s="394"/>
      <c r="AVE99" s="394"/>
      <c r="AVF99" s="394"/>
      <c r="AVG99" s="394"/>
      <c r="AVH99" s="394"/>
      <c r="AVI99" s="394"/>
      <c r="AVJ99" s="394"/>
      <c r="AVK99" s="394"/>
      <c r="AVL99" s="394"/>
      <c r="AVM99" s="394"/>
      <c r="AVN99" s="394"/>
      <c r="AVO99" s="394"/>
      <c r="AVP99" s="394"/>
      <c r="AVQ99" s="394"/>
      <c r="AVR99" s="394"/>
      <c r="AVS99" s="394"/>
      <c r="AVT99" s="394"/>
      <c r="AVU99" s="394"/>
      <c r="AVV99" s="394"/>
      <c r="AVW99" s="394"/>
      <c r="AVX99" s="394"/>
      <c r="AVY99" s="394"/>
      <c r="AVZ99" s="394"/>
      <c r="AWA99" s="394"/>
      <c r="AWB99" s="394"/>
      <c r="AWC99" s="394"/>
      <c r="AWD99" s="394"/>
      <c r="AWE99" s="394"/>
      <c r="AWF99" s="394"/>
      <c r="AWG99" s="394"/>
      <c r="AWH99" s="394"/>
      <c r="AWI99" s="394"/>
      <c r="AWJ99" s="394"/>
      <c r="AWK99" s="394"/>
      <c r="AWL99" s="394"/>
      <c r="AWM99" s="394"/>
      <c r="AWN99" s="394"/>
      <c r="AWO99" s="394"/>
      <c r="AWP99" s="394"/>
      <c r="AWQ99" s="394"/>
      <c r="AWR99" s="394"/>
      <c r="AWS99" s="394"/>
      <c r="AWT99" s="394"/>
      <c r="AWU99" s="394"/>
      <c r="AWV99" s="394"/>
      <c r="AWW99" s="394"/>
      <c r="AWX99" s="394"/>
      <c r="AWY99" s="394"/>
      <c r="AWZ99" s="394"/>
      <c r="AXA99" s="394"/>
      <c r="AXB99" s="394"/>
      <c r="AXC99" s="394"/>
      <c r="AXD99" s="394"/>
      <c r="AXE99" s="394"/>
      <c r="AXF99" s="394"/>
      <c r="AXG99" s="394"/>
      <c r="AXH99" s="394"/>
      <c r="AXI99" s="394"/>
      <c r="AXJ99" s="394"/>
      <c r="AXK99" s="394"/>
      <c r="AXL99" s="394"/>
      <c r="AXM99" s="394"/>
      <c r="AXN99" s="394"/>
      <c r="AXO99" s="394"/>
      <c r="AXP99" s="394"/>
      <c r="AXQ99" s="394"/>
      <c r="AXR99" s="394"/>
      <c r="AXS99" s="394"/>
      <c r="AXT99" s="394"/>
      <c r="AXU99" s="394"/>
      <c r="AXV99" s="394"/>
      <c r="AXW99" s="394"/>
      <c r="AXX99" s="394"/>
      <c r="AXY99" s="394"/>
      <c r="AXZ99" s="394"/>
      <c r="AYA99" s="394"/>
      <c r="AYB99" s="394"/>
      <c r="AYC99" s="394"/>
      <c r="AYD99" s="394"/>
      <c r="AYE99" s="394"/>
      <c r="AYF99" s="394"/>
      <c r="AYG99" s="394"/>
      <c r="AYH99" s="394"/>
      <c r="AYI99" s="394"/>
      <c r="AYJ99" s="394"/>
      <c r="AYK99" s="394"/>
      <c r="AYL99" s="394"/>
      <c r="AYM99" s="394"/>
      <c r="AYN99" s="394"/>
      <c r="AYO99" s="394"/>
      <c r="AYP99" s="394"/>
      <c r="AYQ99" s="394"/>
      <c r="AYR99" s="394"/>
      <c r="AYS99" s="394"/>
      <c r="AYT99" s="394"/>
      <c r="AYU99" s="394"/>
      <c r="AYV99" s="394"/>
      <c r="AYW99" s="394"/>
      <c r="AYX99" s="394"/>
      <c r="AYY99" s="394"/>
      <c r="AYZ99" s="394"/>
      <c r="AZA99" s="394"/>
      <c r="AZB99" s="394"/>
      <c r="AZC99" s="394"/>
      <c r="AZD99" s="394"/>
      <c r="AZE99" s="394"/>
      <c r="AZF99" s="394"/>
      <c r="AZG99" s="394"/>
      <c r="AZH99" s="394"/>
      <c r="AZI99" s="394"/>
      <c r="AZJ99" s="394"/>
      <c r="AZK99" s="394"/>
      <c r="AZL99" s="394"/>
      <c r="AZM99" s="394"/>
      <c r="AZN99" s="394"/>
      <c r="AZO99" s="394"/>
      <c r="AZP99" s="394"/>
      <c r="AZQ99" s="394"/>
      <c r="AZR99" s="394"/>
      <c r="AZS99" s="394"/>
      <c r="AZT99" s="394"/>
      <c r="AZU99" s="394"/>
      <c r="AZV99" s="394"/>
      <c r="AZW99" s="394"/>
      <c r="AZX99" s="394"/>
      <c r="AZY99" s="394"/>
      <c r="AZZ99" s="394"/>
      <c r="BAA99" s="394"/>
      <c r="BAB99" s="394"/>
      <c r="BAC99" s="394"/>
      <c r="BAD99" s="394"/>
      <c r="BAE99" s="394"/>
      <c r="BAF99" s="394"/>
      <c r="BAG99" s="394"/>
      <c r="BAH99" s="394"/>
      <c r="BAI99" s="394"/>
      <c r="BAJ99" s="394"/>
      <c r="BAK99" s="394"/>
      <c r="BAL99" s="394"/>
      <c r="BAM99" s="394"/>
      <c r="BAN99" s="394"/>
      <c r="BAO99" s="394"/>
      <c r="BAP99" s="394"/>
      <c r="BAQ99" s="394"/>
      <c r="BAR99" s="394"/>
      <c r="BAS99" s="394"/>
      <c r="BAT99" s="394"/>
      <c r="BAU99" s="394"/>
      <c r="BAV99" s="394"/>
      <c r="BAW99" s="394"/>
      <c r="BAX99" s="394"/>
      <c r="BAY99" s="394"/>
      <c r="BAZ99" s="394"/>
      <c r="BBA99" s="394"/>
      <c r="BBB99" s="394"/>
      <c r="BBC99" s="394"/>
      <c r="BBD99" s="394"/>
      <c r="BBE99" s="394"/>
      <c r="BBF99" s="394"/>
      <c r="BBG99" s="394"/>
      <c r="BBH99" s="394"/>
      <c r="BBI99" s="394"/>
      <c r="BBJ99" s="394"/>
      <c r="BBK99" s="394"/>
      <c r="BBL99" s="394"/>
      <c r="BBM99" s="394"/>
      <c r="BBN99" s="394"/>
      <c r="BBO99" s="394"/>
      <c r="BBP99" s="394"/>
      <c r="BBQ99" s="394"/>
      <c r="BBR99" s="394"/>
      <c r="BBS99" s="394"/>
      <c r="BBT99" s="394"/>
      <c r="BBU99" s="394"/>
      <c r="BBV99" s="394"/>
      <c r="BBW99" s="394"/>
      <c r="BBX99" s="394"/>
      <c r="BBY99" s="394"/>
      <c r="BBZ99" s="394"/>
      <c r="BCA99" s="394"/>
      <c r="BCB99" s="394"/>
      <c r="BCC99" s="394"/>
      <c r="BCD99" s="394"/>
      <c r="BCE99" s="394"/>
      <c r="BCF99" s="394"/>
      <c r="BCG99" s="394"/>
      <c r="BCH99" s="394"/>
      <c r="BCI99" s="394"/>
      <c r="BCJ99" s="394"/>
      <c r="BCK99" s="394"/>
      <c r="BCL99" s="394"/>
      <c r="BCM99" s="394"/>
      <c r="BCN99" s="394"/>
      <c r="BCO99" s="394"/>
      <c r="BCP99" s="394"/>
      <c r="BCQ99" s="394"/>
      <c r="BCR99" s="394"/>
      <c r="BCS99" s="394"/>
      <c r="BCT99" s="394"/>
      <c r="BCU99" s="394"/>
      <c r="BCV99" s="394"/>
      <c r="BCW99" s="394"/>
      <c r="BCX99" s="394"/>
      <c r="BCY99" s="394"/>
      <c r="BCZ99" s="394"/>
      <c r="BDA99" s="394"/>
      <c r="BDB99" s="394"/>
      <c r="BDC99" s="394"/>
      <c r="BDD99" s="394"/>
      <c r="BDE99" s="394"/>
      <c r="BDF99" s="394"/>
      <c r="BDG99" s="394"/>
      <c r="BDH99" s="394"/>
      <c r="BDI99" s="394"/>
      <c r="BDJ99" s="394"/>
      <c r="BDK99" s="394"/>
      <c r="BDL99" s="394"/>
      <c r="BDM99" s="394"/>
      <c r="BDN99" s="394"/>
      <c r="BDO99" s="394"/>
      <c r="BDP99" s="394"/>
      <c r="BDQ99" s="394"/>
      <c r="BDR99" s="394"/>
      <c r="BDS99" s="394"/>
      <c r="BDT99" s="394"/>
      <c r="BDU99" s="394"/>
      <c r="BDV99" s="394"/>
      <c r="BDW99" s="394"/>
      <c r="BDX99" s="394"/>
      <c r="BDY99" s="394"/>
      <c r="BDZ99" s="394"/>
      <c r="BEA99" s="394"/>
      <c r="BEB99" s="394"/>
      <c r="BEC99" s="394"/>
      <c r="BED99" s="394"/>
      <c r="BEE99" s="394"/>
      <c r="BEF99" s="394"/>
      <c r="BEG99" s="394"/>
      <c r="BEH99" s="394"/>
      <c r="BEI99" s="394"/>
      <c r="BEJ99" s="394"/>
      <c r="BEK99" s="394"/>
      <c r="BEL99" s="394"/>
      <c r="BEM99" s="394"/>
      <c r="BEN99" s="394"/>
      <c r="BEO99" s="394"/>
      <c r="BEP99" s="394"/>
      <c r="BEQ99" s="394"/>
      <c r="BER99" s="394"/>
      <c r="BES99" s="394"/>
      <c r="BET99" s="394"/>
      <c r="BEU99" s="394"/>
      <c r="BEV99" s="394"/>
      <c r="BEW99" s="394"/>
      <c r="BEX99" s="394"/>
      <c r="BEY99" s="394"/>
      <c r="BEZ99" s="394"/>
      <c r="BFA99" s="394"/>
      <c r="BFB99" s="394"/>
      <c r="BFC99" s="394"/>
      <c r="BFD99" s="394"/>
      <c r="BFE99" s="394"/>
      <c r="BFF99" s="394"/>
      <c r="BFG99" s="394"/>
      <c r="BFH99" s="394"/>
      <c r="BFI99" s="394"/>
      <c r="BFJ99" s="394"/>
      <c r="BFK99" s="394"/>
      <c r="BFL99" s="394"/>
      <c r="BFM99" s="394"/>
      <c r="BFN99" s="394"/>
      <c r="BFO99" s="394"/>
      <c r="BFP99" s="394"/>
      <c r="BFQ99" s="394"/>
      <c r="BFR99" s="394"/>
      <c r="BFS99" s="394"/>
      <c r="BFT99" s="394"/>
      <c r="BFU99" s="394"/>
      <c r="BFV99" s="394"/>
      <c r="BFW99" s="394"/>
      <c r="BFX99" s="394"/>
      <c r="BFY99" s="394"/>
      <c r="BFZ99" s="394"/>
      <c r="BGA99" s="394"/>
      <c r="BGB99" s="394"/>
      <c r="BGC99" s="394"/>
      <c r="BGD99" s="394"/>
      <c r="BGE99" s="394"/>
      <c r="BGF99" s="394"/>
      <c r="BGG99" s="394"/>
      <c r="BGH99" s="394"/>
      <c r="BGI99" s="394"/>
      <c r="BGJ99" s="394"/>
      <c r="BGK99" s="394"/>
      <c r="BGL99" s="394"/>
      <c r="BGM99" s="394"/>
      <c r="BGN99" s="394"/>
      <c r="BGO99" s="394"/>
      <c r="BGP99" s="394"/>
      <c r="BGQ99" s="394"/>
      <c r="BGR99" s="394"/>
      <c r="BGS99" s="394"/>
      <c r="BGT99" s="394"/>
      <c r="BGU99" s="394"/>
      <c r="BGV99" s="394"/>
      <c r="BGW99" s="394"/>
      <c r="BGX99" s="394"/>
      <c r="BGY99" s="394"/>
      <c r="BGZ99" s="394"/>
      <c r="BHA99" s="394"/>
      <c r="BHB99" s="394"/>
      <c r="BHC99" s="394"/>
      <c r="BHD99" s="394"/>
      <c r="BHE99" s="394"/>
      <c r="BHF99" s="394"/>
      <c r="BHG99" s="394"/>
      <c r="BHH99" s="394"/>
      <c r="BHI99" s="394"/>
      <c r="BHJ99" s="394"/>
      <c r="BHK99" s="394"/>
      <c r="BHL99" s="394"/>
      <c r="BHM99" s="394"/>
      <c r="BHN99" s="394"/>
      <c r="BHO99" s="394"/>
      <c r="BHP99" s="394"/>
      <c r="BHQ99" s="394"/>
      <c r="BHR99" s="394"/>
      <c r="BHS99" s="394"/>
      <c r="BHT99" s="394"/>
      <c r="BHU99" s="394"/>
      <c r="BHV99" s="394"/>
      <c r="BHW99" s="394"/>
      <c r="BHX99" s="394"/>
      <c r="BHY99" s="394"/>
      <c r="BHZ99" s="394"/>
      <c r="BIA99" s="394"/>
      <c r="BIB99" s="394"/>
      <c r="BIC99" s="394"/>
      <c r="BID99" s="394"/>
      <c r="BIE99" s="394"/>
      <c r="BIF99" s="394"/>
      <c r="BIG99" s="394"/>
      <c r="BIH99" s="394"/>
      <c r="BII99" s="394"/>
      <c r="BIJ99" s="394"/>
      <c r="BIK99" s="394"/>
      <c r="BIL99" s="394"/>
      <c r="BIM99" s="394"/>
      <c r="BIN99" s="394"/>
      <c r="BIO99" s="394"/>
      <c r="BIP99" s="394"/>
      <c r="BIQ99" s="394"/>
      <c r="BIR99" s="394"/>
      <c r="BIS99" s="394"/>
      <c r="BIT99" s="394"/>
      <c r="BIU99" s="394"/>
      <c r="BIV99" s="394"/>
      <c r="BIW99" s="394"/>
      <c r="BIX99" s="394"/>
      <c r="BIY99" s="394"/>
      <c r="BIZ99" s="394"/>
      <c r="BJA99" s="394"/>
      <c r="BJB99" s="394"/>
      <c r="BJC99" s="394"/>
      <c r="BJD99" s="394"/>
      <c r="BJE99" s="394"/>
      <c r="BJF99" s="394"/>
      <c r="BJG99" s="394"/>
      <c r="BJH99" s="394"/>
      <c r="BJI99" s="394"/>
      <c r="BJJ99" s="394"/>
      <c r="BJK99" s="394"/>
      <c r="BJL99" s="394"/>
      <c r="BJM99" s="394"/>
      <c r="BJN99" s="394"/>
      <c r="BJO99" s="394"/>
      <c r="BJP99" s="394"/>
      <c r="BJQ99" s="394"/>
      <c r="BJR99" s="394"/>
      <c r="BJS99" s="394"/>
      <c r="BJT99" s="394"/>
      <c r="BJU99" s="394"/>
      <c r="BJV99" s="394"/>
      <c r="BJW99" s="394"/>
      <c r="BJX99" s="394"/>
      <c r="BJY99" s="394"/>
      <c r="BJZ99" s="394"/>
      <c r="BKA99" s="394"/>
      <c r="BKB99" s="394"/>
      <c r="BKC99" s="394"/>
      <c r="BKD99" s="394"/>
      <c r="BKE99" s="394"/>
      <c r="BKF99" s="394"/>
      <c r="BKG99" s="394"/>
      <c r="BKH99" s="394"/>
      <c r="BKI99" s="394"/>
      <c r="BKJ99" s="394"/>
      <c r="BKK99" s="394"/>
      <c r="BKL99" s="394"/>
      <c r="BKM99" s="394"/>
      <c r="BKN99" s="394"/>
      <c r="BKO99" s="394"/>
      <c r="BKP99" s="394"/>
      <c r="BKQ99" s="394"/>
      <c r="BKR99" s="394"/>
      <c r="BKS99" s="394"/>
      <c r="BKT99" s="394"/>
      <c r="BKU99" s="394"/>
      <c r="BKV99" s="394"/>
      <c r="BKW99" s="394"/>
      <c r="BKX99" s="394"/>
      <c r="BKY99" s="394"/>
      <c r="BKZ99" s="394"/>
      <c r="BLA99" s="394"/>
      <c r="BLB99" s="394"/>
      <c r="BLC99" s="394"/>
      <c r="BLD99" s="394"/>
      <c r="BLE99" s="394"/>
      <c r="BLF99" s="394"/>
      <c r="BLG99" s="394"/>
      <c r="BLH99" s="394"/>
      <c r="BLI99" s="394"/>
      <c r="BLJ99" s="394"/>
      <c r="BLK99" s="394"/>
      <c r="BLL99" s="394"/>
      <c r="BLM99" s="394"/>
      <c r="BLN99" s="394"/>
      <c r="BLO99" s="394"/>
      <c r="BLP99" s="394"/>
      <c r="BLQ99" s="394"/>
      <c r="BLR99" s="394"/>
      <c r="BLS99" s="394"/>
      <c r="BLT99" s="394"/>
      <c r="BLU99" s="394"/>
      <c r="BLV99" s="394"/>
      <c r="BLW99" s="394"/>
      <c r="BLX99" s="394"/>
      <c r="BLY99" s="394"/>
      <c r="BLZ99" s="394"/>
      <c r="BMA99" s="394"/>
      <c r="BMB99" s="394"/>
      <c r="BMC99" s="394"/>
      <c r="BMD99" s="394"/>
      <c r="BME99" s="394"/>
      <c r="BMF99" s="394"/>
      <c r="BMG99" s="394"/>
      <c r="BMH99" s="394"/>
      <c r="BMI99" s="394"/>
      <c r="BMJ99" s="394"/>
      <c r="BMK99" s="394"/>
      <c r="BML99" s="394"/>
      <c r="BMM99" s="394"/>
      <c r="BMN99" s="394"/>
      <c r="BMO99" s="394"/>
      <c r="BMP99" s="394"/>
      <c r="BMQ99" s="394"/>
      <c r="BMR99" s="394"/>
      <c r="BMS99" s="394"/>
      <c r="BMT99" s="394"/>
      <c r="BMU99" s="394"/>
      <c r="BMV99" s="394"/>
      <c r="BMW99" s="394"/>
      <c r="BMX99" s="394"/>
      <c r="BMY99" s="394"/>
      <c r="BMZ99" s="394"/>
      <c r="BNA99" s="394"/>
      <c r="BNB99" s="394"/>
      <c r="BNC99" s="394"/>
      <c r="BND99" s="394"/>
      <c r="BNE99" s="394"/>
      <c r="BNF99" s="394"/>
      <c r="BNG99" s="394"/>
      <c r="BNH99" s="394"/>
      <c r="BNI99" s="394"/>
      <c r="BNJ99" s="394"/>
      <c r="BNK99" s="394"/>
      <c r="BNL99" s="394"/>
      <c r="BNM99" s="394"/>
      <c r="BNN99" s="394"/>
      <c r="BNO99" s="394"/>
      <c r="BNP99" s="394"/>
      <c r="BNQ99" s="394"/>
      <c r="BNR99" s="394"/>
      <c r="BNS99" s="394"/>
      <c r="BNT99" s="394"/>
      <c r="BNU99" s="394"/>
      <c r="BNV99" s="394"/>
      <c r="BNW99" s="394"/>
      <c r="BNX99" s="394"/>
      <c r="BNY99" s="394"/>
      <c r="BNZ99" s="394"/>
      <c r="BOA99" s="394"/>
      <c r="BOB99" s="394"/>
      <c r="BOC99" s="394"/>
      <c r="BOD99" s="394"/>
      <c r="BOE99" s="394"/>
      <c r="BOF99" s="394"/>
      <c r="BOG99" s="394"/>
      <c r="BOH99" s="394"/>
      <c r="BOI99" s="394"/>
      <c r="BOJ99" s="394"/>
      <c r="BOK99" s="394"/>
      <c r="BOL99" s="394"/>
      <c r="BOM99" s="394"/>
      <c r="BON99" s="394"/>
      <c r="BOO99" s="394"/>
      <c r="BOP99" s="394"/>
      <c r="BOQ99" s="394"/>
      <c r="BOR99" s="394"/>
      <c r="BOS99" s="394"/>
      <c r="BOT99" s="394"/>
      <c r="BOU99" s="394"/>
      <c r="BOV99" s="394"/>
      <c r="BOW99" s="394"/>
      <c r="BOX99" s="394"/>
      <c r="BOY99" s="394"/>
      <c r="BOZ99" s="394"/>
      <c r="BPA99" s="394"/>
      <c r="BPB99" s="394"/>
      <c r="BPC99" s="394"/>
      <c r="BPD99" s="394"/>
      <c r="BPE99" s="394"/>
      <c r="BPF99" s="394"/>
      <c r="BPG99" s="394"/>
      <c r="BPH99" s="394"/>
      <c r="BPI99" s="394"/>
      <c r="BPJ99" s="394"/>
      <c r="BPK99" s="394"/>
      <c r="BPL99" s="394"/>
      <c r="BPM99" s="394"/>
      <c r="BPN99" s="394"/>
      <c r="BPO99" s="394"/>
      <c r="BPP99" s="394"/>
      <c r="BPQ99" s="394"/>
      <c r="BPR99" s="394"/>
      <c r="BPS99" s="394"/>
      <c r="BPT99" s="394"/>
      <c r="BPU99" s="394"/>
      <c r="BPV99" s="394"/>
      <c r="BPW99" s="394"/>
      <c r="BPX99" s="394"/>
      <c r="BPY99" s="394"/>
      <c r="BPZ99" s="394"/>
      <c r="BQA99" s="394"/>
      <c r="BQB99" s="394"/>
      <c r="BQC99" s="394"/>
      <c r="BQD99" s="394"/>
      <c r="BQE99" s="394"/>
      <c r="BQF99" s="394"/>
      <c r="BQG99" s="394"/>
      <c r="BQH99" s="394"/>
      <c r="BQI99" s="394"/>
      <c r="BQJ99" s="394"/>
      <c r="BQK99" s="394"/>
      <c r="BQL99" s="394"/>
      <c r="BQM99" s="394"/>
      <c r="BQN99" s="394"/>
      <c r="BQO99" s="394"/>
      <c r="BQP99" s="394"/>
      <c r="BQQ99" s="394"/>
      <c r="BQR99" s="394"/>
      <c r="BQS99" s="394"/>
      <c r="BQT99" s="394"/>
      <c r="BQU99" s="394"/>
      <c r="BQV99" s="394"/>
      <c r="BQW99" s="394"/>
      <c r="BQX99" s="394"/>
      <c r="BQY99" s="394"/>
      <c r="BQZ99" s="394"/>
      <c r="BRA99" s="394"/>
      <c r="BRB99" s="394"/>
      <c r="BRC99" s="394"/>
      <c r="BRD99" s="394"/>
      <c r="BRE99" s="394"/>
      <c r="BRF99" s="394"/>
      <c r="BRG99" s="394"/>
      <c r="BRH99" s="394"/>
      <c r="BRI99" s="394"/>
      <c r="BRJ99" s="394"/>
      <c r="BRK99" s="394"/>
      <c r="BRL99" s="394"/>
      <c r="BRM99" s="394"/>
      <c r="BRN99" s="394"/>
      <c r="BRO99" s="394"/>
      <c r="BRP99" s="394"/>
      <c r="BRQ99" s="394"/>
      <c r="BRR99" s="394"/>
      <c r="BRS99" s="394"/>
      <c r="BRT99" s="394"/>
      <c r="BRU99" s="394"/>
      <c r="BRV99" s="394"/>
      <c r="BRW99" s="394"/>
      <c r="BRX99" s="394"/>
      <c r="BRY99" s="394"/>
      <c r="BRZ99" s="394"/>
      <c r="BSA99" s="394"/>
      <c r="BSB99" s="394"/>
      <c r="BSC99" s="394"/>
      <c r="BSD99" s="394"/>
      <c r="BSE99" s="394"/>
      <c r="BSF99" s="394"/>
      <c r="BSG99" s="394"/>
      <c r="BSH99" s="394"/>
      <c r="BSI99" s="394"/>
      <c r="BSJ99" s="394"/>
      <c r="BSK99" s="394"/>
      <c r="BSL99" s="394"/>
      <c r="BSM99" s="394"/>
      <c r="BSN99" s="394"/>
      <c r="BSO99" s="394"/>
      <c r="BSP99" s="394"/>
      <c r="BSQ99" s="394"/>
      <c r="BSR99" s="394"/>
      <c r="BSS99" s="394"/>
      <c r="BST99" s="394"/>
      <c r="BSU99" s="394"/>
      <c r="BSV99" s="394"/>
      <c r="BSW99" s="394"/>
      <c r="BSX99" s="394"/>
      <c r="BSY99" s="394"/>
      <c r="BSZ99" s="394"/>
      <c r="BTA99" s="394"/>
      <c r="BTB99" s="394"/>
      <c r="BTC99" s="394"/>
      <c r="BTD99" s="394"/>
      <c r="BTE99" s="394"/>
      <c r="BTF99" s="394"/>
      <c r="BTG99" s="394"/>
      <c r="BTH99" s="394"/>
      <c r="BTI99" s="394"/>
    </row>
    <row r="100" spans="1:1881" ht="66.75" customHeight="1" x14ac:dyDescent="0.25">
      <c r="A100" s="188">
        <v>91</v>
      </c>
      <c r="B100" s="64" t="s">
        <v>65</v>
      </c>
      <c r="C100" s="159" t="s">
        <v>183</v>
      </c>
      <c r="D100" s="165" t="s">
        <v>177</v>
      </c>
      <c r="E100" s="32" t="e">
        <f>HLOOKUP($D$2,'2019 Data(H)'!$C$1:$CP$300,53,FALSE)</f>
        <v>#N/A</v>
      </c>
      <c r="F100" s="624"/>
      <c r="G100" s="395">
        <f>IF(F100&lt;0,"Note: Number is normally positive.",)</f>
        <v>0</v>
      </c>
      <c r="H100" s="13"/>
      <c r="I100" s="31"/>
    </row>
    <row r="101" spans="1:1881" ht="66.75" customHeight="1" x14ac:dyDescent="0.25">
      <c r="A101" s="188">
        <v>581</v>
      </c>
      <c r="B101" s="150" t="s">
        <v>652</v>
      </c>
      <c r="C101" s="182" t="s">
        <v>183</v>
      </c>
      <c r="D101" s="310" t="s">
        <v>1066</v>
      </c>
      <c r="E101" s="32" t="e">
        <f>HLOOKUP($D$2,'2019 Data(H)'!$C$1:$CP$300,231,FALSE)</f>
        <v>#N/A</v>
      </c>
      <c r="F101" s="624"/>
      <c r="G101" s="395"/>
      <c r="H101" s="67"/>
      <c r="I101" s="31"/>
    </row>
    <row r="102" spans="1:1881" ht="63" customHeight="1" x14ac:dyDescent="0.25">
      <c r="A102" s="188">
        <v>511</v>
      </c>
      <c r="B102" s="64" t="s">
        <v>65</v>
      </c>
      <c r="C102" s="159" t="s">
        <v>183</v>
      </c>
      <c r="D102" s="140" t="s">
        <v>178</v>
      </c>
      <c r="E102" s="32" t="e">
        <f>HLOOKUP($D$2,'2019 Data(H)'!$C$1:$CP$300,161,FALSE)</f>
        <v>#N/A</v>
      </c>
      <c r="F102" s="624"/>
      <c r="G102" s="395">
        <f>IF(F102&lt;0,"Note: Number is normally positive.",)</f>
        <v>0</v>
      </c>
      <c r="H102" s="13"/>
      <c r="I102" s="31"/>
    </row>
    <row r="103" spans="1:1881" s="378" customFormat="1" ht="78" customHeight="1" x14ac:dyDescent="0.25">
      <c r="A103" s="455">
        <v>657</v>
      </c>
      <c r="B103" s="451" t="s">
        <v>65</v>
      </c>
      <c r="C103" s="452" t="s">
        <v>183</v>
      </c>
      <c r="D103" s="453" t="s">
        <v>993</v>
      </c>
      <c r="E103" s="454" t="s">
        <v>832</v>
      </c>
      <c r="F103" s="624"/>
      <c r="G103" s="395">
        <f>IF((F99+F100+F102)&gt;F103,"Error: Please review components of current assets above.  Account numbers (90+91+511)&gt;657",)</f>
        <v>0</v>
      </c>
      <c r="H103" s="396"/>
      <c r="I103" s="397"/>
      <c r="J103" s="394"/>
      <c r="K103" s="394"/>
      <c r="L103" s="394"/>
      <c r="M103" s="394"/>
      <c r="N103"/>
      <c r="O103" s="394"/>
      <c r="P103" s="394"/>
      <c r="Q103" s="394"/>
      <c r="R103" s="394"/>
      <c r="S103" s="394"/>
      <c r="T103" s="394"/>
      <c r="U103" s="394"/>
      <c r="V103" s="394"/>
      <c r="W103" s="394"/>
      <c r="X103" s="394"/>
      <c r="Y103" s="394"/>
      <c r="Z103" s="394"/>
      <c r="AA103" s="394"/>
      <c r="AB103" s="394"/>
      <c r="AC103" s="394"/>
      <c r="AD103" s="394"/>
      <c r="AE103" s="394"/>
      <c r="AF103" s="394"/>
      <c r="AG103" s="394"/>
      <c r="AH103" s="394"/>
      <c r="AI103" s="394"/>
      <c r="AJ103" s="394"/>
      <c r="AK103" s="394"/>
      <c r="AL103" s="394"/>
      <c r="AM103" s="394"/>
      <c r="AN103" s="394"/>
      <c r="AO103" s="394"/>
      <c r="AP103" s="394"/>
      <c r="AQ103" s="394"/>
      <c r="AR103" s="394"/>
      <c r="AS103" s="394"/>
      <c r="AT103" s="394"/>
      <c r="AU103" s="394"/>
      <c r="AV103" s="394"/>
      <c r="AW103" s="394"/>
      <c r="AX103" s="394"/>
      <c r="AY103" s="394"/>
      <c r="AZ103" s="394"/>
      <c r="BA103" s="394"/>
      <c r="BB103" s="394"/>
      <c r="BC103" s="394"/>
      <c r="BD103" s="394"/>
      <c r="BE103" s="394"/>
      <c r="BF103" s="394"/>
      <c r="BG103" s="394"/>
      <c r="BH103" s="394"/>
      <c r="BI103" s="394"/>
      <c r="BJ103" s="394"/>
      <c r="BK103" s="394"/>
      <c r="BL103" s="394"/>
      <c r="BM103" s="394"/>
      <c r="BN103" s="394"/>
      <c r="BO103" s="394"/>
      <c r="BP103" s="394"/>
      <c r="BQ103" s="394"/>
      <c r="BR103" s="394"/>
      <c r="BS103" s="394"/>
      <c r="BT103" s="394"/>
      <c r="BU103" s="394"/>
      <c r="BV103" s="394"/>
      <c r="BW103" s="394"/>
      <c r="BX103" s="394"/>
      <c r="BY103" s="394"/>
      <c r="BZ103" s="394"/>
      <c r="CA103" s="394"/>
      <c r="CB103" s="394"/>
      <c r="CC103" s="394"/>
      <c r="CD103" s="394"/>
      <c r="CE103" s="394"/>
      <c r="CF103" s="394"/>
      <c r="CG103" s="394"/>
      <c r="CH103" s="394"/>
      <c r="CI103" s="394"/>
      <c r="CJ103" s="394"/>
      <c r="CK103" s="394"/>
      <c r="CL103" s="394"/>
      <c r="CM103" s="394"/>
      <c r="CN103" s="394"/>
      <c r="CO103" s="394"/>
      <c r="CP103" s="394"/>
      <c r="CQ103" s="394"/>
      <c r="CR103" s="394"/>
      <c r="CS103" s="394"/>
      <c r="CT103" s="394"/>
      <c r="CU103" s="394"/>
      <c r="CV103" s="394"/>
      <c r="CW103" s="394"/>
      <c r="CX103" s="394"/>
      <c r="CY103" s="394"/>
      <c r="CZ103" s="394"/>
      <c r="DA103" s="394"/>
      <c r="DB103" s="394"/>
      <c r="DC103" s="394"/>
      <c r="DD103" s="394"/>
      <c r="DE103" s="394"/>
      <c r="DF103" s="394"/>
      <c r="DG103" s="394"/>
      <c r="DH103" s="394"/>
      <c r="DI103" s="394"/>
      <c r="DJ103" s="394"/>
      <c r="DK103" s="394"/>
      <c r="DL103" s="394"/>
      <c r="DM103" s="394"/>
      <c r="DN103" s="394"/>
      <c r="DO103" s="394"/>
      <c r="DP103" s="394"/>
      <c r="DQ103" s="394"/>
      <c r="DR103" s="394"/>
      <c r="DS103" s="394"/>
      <c r="DT103" s="394"/>
      <c r="DU103" s="394"/>
      <c r="DV103" s="394"/>
      <c r="DW103" s="394"/>
      <c r="DX103" s="394"/>
      <c r="DY103" s="394"/>
      <c r="DZ103" s="394"/>
      <c r="EA103" s="394"/>
      <c r="EB103" s="394"/>
      <c r="EC103" s="394"/>
      <c r="ED103" s="394"/>
      <c r="EE103" s="394"/>
      <c r="EF103" s="394"/>
      <c r="EG103" s="394"/>
      <c r="EH103" s="394"/>
      <c r="EI103" s="394"/>
      <c r="EJ103" s="394"/>
      <c r="EK103" s="394"/>
      <c r="EL103" s="394"/>
      <c r="EM103" s="394"/>
      <c r="EN103" s="394"/>
      <c r="EO103" s="394"/>
      <c r="EP103" s="394"/>
      <c r="EQ103" s="394"/>
      <c r="ER103" s="394"/>
      <c r="ES103" s="394"/>
      <c r="ET103" s="394"/>
      <c r="EU103" s="394"/>
      <c r="EV103" s="394"/>
      <c r="EW103" s="394"/>
      <c r="EX103" s="394"/>
      <c r="EY103" s="394"/>
      <c r="EZ103" s="394"/>
      <c r="FA103" s="394"/>
      <c r="FB103" s="394"/>
      <c r="FC103" s="394"/>
      <c r="FD103" s="394"/>
      <c r="FE103" s="394"/>
      <c r="FF103" s="394"/>
      <c r="FG103" s="394"/>
      <c r="FH103" s="394"/>
      <c r="FI103" s="394"/>
      <c r="FJ103" s="394"/>
      <c r="FK103" s="394"/>
      <c r="FL103" s="394"/>
      <c r="FM103" s="394"/>
      <c r="FN103" s="394"/>
      <c r="FO103" s="394"/>
      <c r="FP103" s="394"/>
      <c r="FQ103" s="394"/>
      <c r="FR103" s="394"/>
      <c r="FS103" s="394"/>
      <c r="FT103" s="394"/>
      <c r="FU103" s="394"/>
      <c r="FV103" s="394"/>
      <c r="FW103" s="394"/>
      <c r="FX103" s="394"/>
      <c r="FY103" s="394"/>
      <c r="FZ103" s="394"/>
      <c r="GA103" s="394"/>
      <c r="GB103" s="394"/>
      <c r="GC103" s="394"/>
      <c r="GD103" s="394"/>
      <c r="GE103" s="394"/>
      <c r="GF103" s="394"/>
      <c r="GG103" s="394"/>
      <c r="GH103" s="394"/>
      <c r="GI103" s="394"/>
      <c r="GJ103" s="394"/>
      <c r="GK103" s="394"/>
      <c r="GL103" s="394"/>
      <c r="GM103" s="394"/>
      <c r="GN103" s="394"/>
      <c r="GO103" s="394"/>
      <c r="GP103" s="394"/>
      <c r="GQ103" s="394"/>
      <c r="GR103" s="394"/>
      <c r="GS103" s="394"/>
      <c r="GT103" s="394"/>
      <c r="GU103" s="394"/>
      <c r="GV103" s="394"/>
      <c r="GW103" s="394"/>
      <c r="GX103" s="394"/>
      <c r="GY103" s="394"/>
      <c r="GZ103" s="394"/>
      <c r="HA103" s="394"/>
      <c r="HB103" s="394"/>
      <c r="HC103" s="394"/>
      <c r="HD103" s="394"/>
      <c r="HE103" s="394"/>
      <c r="HF103" s="394"/>
      <c r="HG103" s="394"/>
      <c r="HH103" s="394"/>
      <c r="HI103" s="394"/>
      <c r="HJ103" s="394"/>
      <c r="HK103" s="394"/>
      <c r="HL103" s="394"/>
      <c r="HM103" s="394"/>
      <c r="HN103" s="394"/>
      <c r="HO103" s="394"/>
      <c r="HP103" s="394"/>
      <c r="HQ103" s="394"/>
      <c r="HR103" s="394"/>
      <c r="HS103" s="394"/>
      <c r="HT103" s="394"/>
      <c r="HU103" s="394"/>
      <c r="HV103" s="394"/>
      <c r="HW103" s="394"/>
      <c r="HX103" s="394"/>
      <c r="HY103" s="394"/>
      <c r="HZ103" s="394"/>
      <c r="IA103" s="394"/>
      <c r="IB103" s="394"/>
      <c r="IC103" s="394"/>
      <c r="ID103" s="394"/>
      <c r="IE103" s="394"/>
      <c r="IF103" s="394"/>
      <c r="IG103" s="394"/>
      <c r="IH103" s="394"/>
      <c r="II103" s="394"/>
      <c r="IJ103" s="394"/>
      <c r="IK103" s="394"/>
      <c r="IL103" s="394"/>
      <c r="IM103" s="394"/>
      <c r="IN103" s="394"/>
      <c r="IO103" s="394"/>
      <c r="IP103" s="394"/>
      <c r="IQ103" s="394"/>
      <c r="IR103" s="394"/>
      <c r="IS103" s="394"/>
      <c r="IT103" s="394"/>
      <c r="IU103" s="394"/>
      <c r="IV103" s="394"/>
      <c r="IW103" s="394"/>
      <c r="IX103" s="394"/>
      <c r="IY103" s="394"/>
      <c r="IZ103" s="394"/>
      <c r="JA103" s="394"/>
      <c r="JB103" s="394"/>
      <c r="JC103" s="394"/>
      <c r="JD103" s="394"/>
      <c r="JE103" s="394"/>
      <c r="JF103" s="394"/>
      <c r="JG103" s="394"/>
      <c r="JH103" s="394"/>
      <c r="JI103" s="394"/>
      <c r="JJ103" s="394"/>
      <c r="JK103" s="394"/>
      <c r="JL103" s="394"/>
      <c r="JM103" s="394"/>
      <c r="JN103" s="394"/>
      <c r="JO103" s="394"/>
      <c r="JP103" s="394"/>
      <c r="JQ103" s="394"/>
      <c r="JR103" s="394"/>
      <c r="JS103" s="394"/>
      <c r="JT103" s="394"/>
      <c r="JU103" s="394"/>
      <c r="JV103" s="394"/>
      <c r="JW103" s="394"/>
      <c r="JX103" s="394"/>
      <c r="JY103" s="394"/>
      <c r="JZ103" s="394"/>
      <c r="KA103" s="394"/>
      <c r="KB103" s="394"/>
      <c r="KC103" s="394"/>
      <c r="KD103" s="394"/>
      <c r="KE103" s="394"/>
      <c r="KF103" s="394"/>
      <c r="KG103" s="394"/>
      <c r="KH103" s="394"/>
      <c r="KI103" s="394"/>
      <c r="KJ103" s="394"/>
      <c r="KK103" s="394"/>
      <c r="KL103" s="394"/>
      <c r="KM103" s="394"/>
      <c r="KN103" s="394"/>
      <c r="KO103" s="394"/>
      <c r="KP103" s="394"/>
      <c r="KQ103" s="394"/>
      <c r="KR103" s="394"/>
      <c r="KS103" s="394"/>
      <c r="KT103" s="394"/>
      <c r="KU103" s="394"/>
      <c r="KV103" s="394"/>
      <c r="KW103" s="394"/>
      <c r="KX103" s="394"/>
      <c r="KY103" s="394"/>
      <c r="KZ103" s="394"/>
      <c r="LA103" s="394"/>
      <c r="LB103" s="394"/>
      <c r="LC103" s="394"/>
      <c r="LD103" s="394"/>
      <c r="LE103" s="394"/>
      <c r="LF103" s="394"/>
      <c r="LG103" s="394"/>
      <c r="LH103" s="394"/>
      <c r="LI103" s="394"/>
      <c r="LJ103" s="394"/>
      <c r="LK103" s="394"/>
      <c r="LL103" s="394"/>
      <c r="LM103" s="394"/>
      <c r="LN103" s="394"/>
      <c r="LO103" s="394"/>
      <c r="LP103" s="394"/>
      <c r="LQ103" s="394"/>
      <c r="LR103" s="394"/>
      <c r="LS103" s="394"/>
      <c r="LT103" s="394"/>
      <c r="LU103" s="394"/>
      <c r="LV103" s="394"/>
      <c r="LW103" s="394"/>
      <c r="LX103" s="394"/>
      <c r="LY103" s="394"/>
      <c r="LZ103" s="394"/>
      <c r="MA103" s="394"/>
      <c r="MB103" s="394"/>
      <c r="MC103" s="394"/>
      <c r="MD103" s="394"/>
      <c r="ME103" s="394"/>
      <c r="MF103" s="394"/>
      <c r="MG103" s="394"/>
      <c r="MH103" s="394"/>
      <c r="MI103" s="394"/>
      <c r="MJ103" s="394"/>
      <c r="MK103" s="394"/>
      <c r="ML103" s="394"/>
      <c r="MM103" s="394"/>
      <c r="MN103" s="394"/>
      <c r="MO103" s="394"/>
      <c r="MP103" s="394"/>
      <c r="MQ103" s="394"/>
      <c r="MR103" s="394"/>
      <c r="MS103" s="394"/>
      <c r="MT103" s="394"/>
      <c r="MU103" s="394"/>
      <c r="MV103" s="394"/>
      <c r="MW103" s="394"/>
      <c r="MX103" s="394"/>
      <c r="MY103" s="394"/>
      <c r="MZ103" s="394"/>
      <c r="NA103" s="394"/>
      <c r="NB103" s="394"/>
      <c r="NC103" s="394"/>
      <c r="ND103" s="394"/>
      <c r="NE103" s="394"/>
      <c r="NF103" s="394"/>
      <c r="NG103" s="394"/>
      <c r="NH103" s="394"/>
      <c r="NI103" s="394"/>
      <c r="NJ103" s="394"/>
      <c r="NK103" s="394"/>
      <c r="NL103" s="394"/>
      <c r="NM103" s="394"/>
      <c r="NN103" s="394"/>
      <c r="NO103" s="394"/>
      <c r="NP103" s="394"/>
      <c r="NQ103" s="394"/>
      <c r="NR103" s="394"/>
      <c r="NS103" s="394"/>
      <c r="NT103" s="394"/>
      <c r="NU103" s="394"/>
      <c r="NV103" s="394"/>
      <c r="NW103" s="394"/>
      <c r="NX103" s="394"/>
      <c r="NY103" s="394"/>
      <c r="NZ103" s="394"/>
      <c r="OA103" s="394"/>
      <c r="OB103" s="394"/>
      <c r="OC103" s="394"/>
      <c r="OD103" s="394"/>
      <c r="OE103" s="394"/>
      <c r="OF103" s="394"/>
      <c r="OG103" s="394"/>
      <c r="OH103" s="394"/>
      <c r="OI103" s="394"/>
      <c r="OJ103" s="394"/>
      <c r="OK103" s="394"/>
      <c r="OL103" s="394"/>
      <c r="OM103" s="394"/>
      <c r="ON103" s="394"/>
      <c r="OO103" s="394"/>
      <c r="OP103" s="394"/>
      <c r="OQ103" s="394"/>
      <c r="OR103" s="394"/>
      <c r="OS103" s="394"/>
      <c r="OT103" s="394"/>
      <c r="OU103" s="394"/>
      <c r="OV103" s="394"/>
      <c r="OW103" s="394"/>
      <c r="OX103" s="394"/>
      <c r="OY103" s="394"/>
      <c r="OZ103" s="394"/>
      <c r="PA103" s="394"/>
      <c r="PB103" s="394"/>
      <c r="PC103" s="394"/>
      <c r="PD103" s="394"/>
      <c r="PE103" s="394"/>
      <c r="PF103" s="394"/>
      <c r="PG103" s="394"/>
      <c r="PH103" s="394"/>
      <c r="PI103" s="394"/>
      <c r="PJ103" s="394"/>
      <c r="PK103" s="394"/>
      <c r="PL103" s="394"/>
      <c r="PM103" s="394"/>
      <c r="PN103" s="394"/>
      <c r="PO103" s="394"/>
      <c r="PP103" s="394"/>
      <c r="PQ103" s="394"/>
      <c r="PR103" s="394"/>
      <c r="PS103" s="394"/>
      <c r="PT103" s="394"/>
      <c r="PU103" s="394"/>
      <c r="PV103" s="394"/>
      <c r="PW103" s="394"/>
      <c r="PX103" s="394"/>
      <c r="PY103" s="394"/>
      <c r="PZ103" s="394"/>
      <c r="QA103" s="394"/>
      <c r="QB103" s="394"/>
      <c r="QC103" s="394"/>
      <c r="QD103" s="394"/>
      <c r="QE103" s="394"/>
      <c r="QF103" s="394"/>
      <c r="QG103" s="394"/>
      <c r="QH103" s="394"/>
      <c r="QI103" s="394"/>
      <c r="QJ103" s="394"/>
      <c r="QK103" s="394"/>
      <c r="QL103" s="394"/>
      <c r="QM103" s="394"/>
      <c r="QN103" s="394"/>
      <c r="QO103" s="394"/>
      <c r="QP103" s="394"/>
      <c r="QQ103" s="394"/>
      <c r="QR103" s="394"/>
      <c r="QS103" s="394"/>
      <c r="QT103" s="394"/>
      <c r="QU103" s="394"/>
      <c r="QV103" s="394"/>
      <c r="QW103" s="394"/>
      <c r="QX103" s="394"/>
      <c r="QY103" s="394"/>
      <c r="QZ103" s="394"/>
      <c r="RA103" s="394"/>
      <c r="RB103" s="394"/>
      <c r="RC103" s="394"/>
      <c r="RD103" s="394"/>
      <c r="RE103" s="394"/>
      <c r="RF103" s="394"/>
      <c r="RG103" s="394"/>
      <c r="RH103" s="394"/>
      <c r="RI103" s="394"/>
      <c r="RJ103" s="394"/>
      <c r="RK103" s="394"/>
      <c r="RL103" s="394"/>
      <c r="RM103" s="394"/>
      <c r="RN103" s="394"/>
      <c r="RO103" s="394"/>
      <c r="RP103" s="394"/>
      <c r="RQ103" s="394"/>
      <c r="RR103" s="394"/>
      <c r="RS103" s="394"/>
      <c r="RT103" s="394"/>
      <c r="RU103" s="394"/>
      <c r="RV103" s="394"/>
      <c r="RW103" s="394"/>
      <c r="RX103" s="394"/>
      <c r="RY103" s="394"/>
      <c r="RZ103" s="394"/>
      <c r="SA103" s="394"/>
      <c r="SB103" s="394"/>
      <c r="SC103" s="394"/>
      <c r="SD103" s="394"/>
      <c r="SE103" s="394"/>
      <c r="SF103" s="394"/>
      <c r="SG103" s="394"/>
      <c r="SH103" s="394"/>
      <c r="SI103" s="394"/>
      <c r="SJ103" s="394"/>
      <c r="SK103" s="394"/>
      <c r="SL103" s="394"/>
      <c r="SM103" s="394"/>
      <c r="SN103" s="394"/>
      <c r="SO103" s="394"/>
      <c r="SP103" s="394"/>
      <c r="SQ103" s="394"/>
      <c r="SR103" s="394"/>
      <c r="SS103" s="394"/>
      <c r="ST103" s="394"/>
      <c r="SU103" s="394"/>
      <c r="SV103" s="394"/>
      <c r="SW103" s="394"/>
      <c r="SX103" s="394"/>
      <c r="SY103" s="394"/>
      <c r="SZ103" s="394"/>
      <c r="TA103" s="394"/>
      <c r="TB103" s="394"/>
      <c r="TC103" s="394"/>
      <c r="TD103" s="394"/>
      <c r="TE103" s="394"/>
      <c r="TF103" s="394"/>
      <c r="TG103" s="394"/>
      <c r="TH103" s="394"/>
      <c r="TI103" s="394"/>
      <c r="TJ103" s="394"/>
      <c r="TK103" s="394"/>
      <c r="TL103" s="394"/>
      <c r="TM103" s="394"/>
      <c r="TN103" s="394"/>
      <c r="TO103" s="394"/>
      <c r="TP103" s="394"/>
      <c r="TQ103" s="394"/>
      <c r="TR103" s="394"/>
      <c r="TS103" s="394"/>
      <c r="TT103" s="394"/>
      <c r="TU103" s="394"/>
      <c r="TV103" s="394"/>
      <c r="TW103" s="394"/>
      <c r="TX103" s="394"/>
      <c r="TY103" s="394"/>
      <c r="TZ103" s="394"/>
      <c r="UA103" s="394"/>
      <c r="UB103" s="394"/>
      <c r="UC103" s="394"/>
      <c r="UD103" s="394"/>
      <c r="UE103" s="394"/>
      <c r="UF103" s="394"/>
      <c r="UG103" s="394"/>
      <c r="UH103" s="394"/>
      <c r="UI103" s="394"/>
      <c r="UJ103" s="394"/>
      <c r="UK103" s="394"/>
      <c r="UL103" s="394"/>
      <c r="UM103" s="394"/>
      <c r="UN103" s="394"/>
      <c r="UO103" s="394"/>
      <c r="UP103" s="394"/>
      <c r="UQ103" s="394"/>
      <c r="UR103" s="394"/>
      <c r="US103" s="394"/>
      <c r="UT103" s="394"/>
      <c r="UU103" s="394"/>
      <c r="UV103" s="394"/>
      <c r="UW103" s="394"/>
      <c r="UX103" s="394"/>
      <c r="UY103" s="394"/>
      <c r="UZ103" s="394"/>
      <c r="VA103" s="394"/>
      <c r="VB103" s="394"/>
      <c r="VC103" s="394"/>
      <c r="VD103" s="394"/>
      <c r="VE103" s="394"/>
      <c r="VF103" s="394"/>
      <c r="VG103" s="394"/>
      <c r="VH103" s="394"/>
      <c r="VI103" s="394"/>
      <c r="VJ103" s="394"/>
      <c r="VK103" s="394"/>
      <c r="VL103" s="394"/>
      <c r="VM103" s="394"/>
      <c r="VN103" s="394"/>
      <c r="VO103" s="394"/>
      <c r="VP103" s="394"/>
      <c r="VQ103" s="394"/>
      <c r="VR103" s="394"/>
      <c r="VS103" s="394"/>
      <c r="VT103" s="394"/>
      <c r="VU103" s="394"/>
      <c r="VV103" s="394"/>
      <c r="VW103" s="394"/>
      <c r="VX103" s="394"/>
      <c r="VY103" s="394"/>
      <c r="VZ103" s="394"/>
      <c r="WA103" s="394"/>
      <c r="WB103" s="394"/>
      <c r="WC103" s="394"/>
      <c r="WD103" s="394"/>
      <c r="WE103" s="394"/>
      <c r="WF103" s="394"/>
      <c r="WG103" s="394"/>
      <c r="WH103" s="394"/>
      <c r="WI103" s="394"/>
      <c r="WJ103" s="394"/>
      <c r="WK103" s="394"/>
      <c r="WL103" s="394"/>
      <c r="WM103" s="394"/>
      <c r="WN103" s="394"/>
      <c r="WO103" s="394"/>
      <c r="WP103" s="394"/>
      <c r="WQ103" s="394"/>
      <c r="WR103" s="394"/>
      <c r="WS103" s="394"/>
      <c r="WT103" s="394"/>
      <c r="WU103" s="394"/>
      <c r="WV103" s="394"/>
      <c r="WW103" s="394"/>
      <c r="WX103" s="394"/>
      <c r="WY103" s="394"/>
      <c r="WZ103" s="394"/>
      <c r="XA103" s="394"/>
      <c r="XB103" s="394"/>
      <c r="XC103" s="394"/>
      <c r="XD103" s="394"/>
      <c r="XE103" s="394"/>
      <c r="XF103" s="394"/>
      <c r="XG103" s="394"/>
      <c r="XH103" s="394"/>
      <c r="XI103" s="394"/>
      <c r="XJ103" s="394"/>
      <c r="XK103" s="394"/>
      <c r="XL103" s="394"/>
      <c r="XM103" s="394"/>
      <c r="XN103" s="394"/>
      <c r="XO103" s="394"/>
      <c r="XP103" s="394"/>
      <c r="XQ103" s="394"/>
      <c r="XR103" s="394"/>
      <c r="XS103" s="394"/>
      <c r="XT103" s="394"/>
      <c r="XU103" s="394"/>
      <c r="XV103" s="394"/>
      <c r="XW103" s="394"/>
      <c r="XX103" s="394"/>
      <c r="XY103" s="394"/>
      <c r="XZ103" s="394"/>
      <c r="YA103" s="394"/>
      <c r="YB103" s="394"/>
      <c r="YC103" s="394"/>
      <c r="YD103" s="394"/>
      <c r="YE103" s="394"/>
      <c r="YF103" s="394"/>
      <c r="YG103" s="394"/>
      <c r="YH103" s="394"/>
      <c r="YI103" s="394"/>
      <c r="YJ103" s="394"/>
      <c r="YK103" s="394"/>
      <c r="YL103" s="394"/>
      <c r="YM103" s="394"/>
      <c r="YN103" s="394"/>
      <c r="YO103" s="394"/>
      <c r="YP103" s="394"/>
      <c r="YQ103" s="394"/>
      <c r="YR103" s="394"/>
      <c r="YS103" s="394"/>
      <c r="YT103" s="394"/>
      <c r="YU103" s="394"/>
      <c r="YV103" s="394"/>
      <c r="YW103" s="394"/>
      <c r="YX103" s="394"/>
      <c r="YY103" s="394"/>
      <c r="YZ103" s="394"/>
      <c r="ZA103" s="394"/>
      <c r="ZB103" s="394"/>
      <c r="ZC103" s="394"/>
      <c r="ZD103" s="394"/>
      <c r="ZE103" s="394"/>
      <c r="ZF103" s="394"/>
      <c r="ZG103" s="394"/>
      <c r="ZH103" s="394"/>
      <c r="ZI103" s="394"/>
      <c r="ZJ103" s="394"/>
      <c r="ZK103" s="394"/>
      <c r="ZL103" s="394"/>
      <c r="ZM103" s="394"/>
      <c r="ZN103" s="394"/>
      <c r="ZO103" s="394"/>
      <c r="ZP103" s="394"/>
      <c r="ZQ103" s="394"/>
      <c r="ZR103" s="394"/>
      <c r="ZS103" s="394"/>
      <c r="ZT103" s="394"/>
      <c r="ZU103" s="394"/>
      <c r="ZV103" s="394"/>
      <c r="ZW103" s="394"/>
      <c r="ZX103" s="394"/>
      <c r="ZY103" s="394"/>
      <c r="ZZ103" s="394"/>
      <c r="AAA103" s="394"/>
      <c r="AAB103" s="394"/>
      <c r="AAC103" s="394"/>
      <c r="AAD103" s="394"/>
      <c r="AAE103" s="394"/>
      <c r="AAF103" s="394"/>
      <c r="AAG103" s="394"/>
      <c r="AAH103" s="394"/>
      <c r="AAI103" s="394"/>
      <c r="AAJ103" s="394"/>
      <c r="AAK103" s="394"/>
      <c r="AAL103" s="394"/>
      <c r="AAM103" s="394"/>
      <c r="AAN103" s="394"/>
      <c r="AAO103" s="394"/>
      <c r="AAP103" s="394"/>
      <c r="AAQ103" s="394"/>
      <c r="AAR103" s="394"/>
      <c r="AAS103" s="394"/>
      <c r="AAT103" s="394"/>
      <c r="AAU103" s="394"/>
      <c r="AAV103" s="394"/>
      <c r="AAW103" s="394"/>
      <c r="AAX103" s="394"/>
      <c r="AAY103" s="394"/>
      <c r="AAZ103" s="394"/>
      <c r="ABA103" s="394"/>
      <c r="ABB103" s="394"/>
      <c r="ABC103" s="394"/>
      <c r="ABD103" s="394"/>
      <c r="ABE103" s="394"/>
      <c r="ABF103" s="394"/>
      <c r="ABG103" s="394"/>
      <c r="ABH103" s="394"/>
      <c r="ABI103" s="394"/>
      <c r="ABJ103" s="394"/>
      <c r="ABK103" s="394"/>
      <c r="ABL103" s="394"/>
      <c r="ABM103" s="394"/>
      <c r="ABN103" s="394"/>
      <c r="ABO103" s="394"/>
      <c r="ABP103" s="394"/>
      <c r="ABQ103" s="394"/>
      <c r="ABR103" s="394"/>
      <c r="ABS103" s="394"/>
      <c r="ABT103" s="394"/>
      <c r="ABU103" s="394"/>
      <c r="ABV103" s="394"/>
      <c r="ABW103" s="394"/>
      <c r="ABX103" s="394"/>
      <c r="ABY103" s="394"/>
      <c r="ABZ103" s="394"/>
      <c r="ACA103" s="394"/>
      <c r="ACB103" s="394"/>
      <c r="ACC103" s="394"/>
      <c r="ACD103" s="394"/>
      <c r="ACE103" s="394"/>
      <c r="ACF103" s="394"/>
      <c r="ACG103" s="394"/>
      <c r="ACH103" s="394"/>
      <c r="ACI103" s="394"/>
      <c r="ACJ103" s="394"/>
      <c r="ACK103" s="394"/>
      <c r="ACL103" s="394"/>
      <c r="ACM103" s="394"/>
      <c r="ACN103" s="394"/>
      <c r="ACO103" s="394"/>
      <c r="ACP103" s="394"/>
      <c r="ACQ103" s="394"/>
      <c r="ACR103" s="394"/>
      <c r="ACS103" s="394"/>
      <c r="ACT103" s="394"/>
      <c r="ACU103" s="394"/>
      <c r="ACV103" s="394"/>
      <c r="ACW103" s="394"/>
      <c r="ACX103" s="394"/>
      <c r="ACY103" s="394"/>
      <c r="ACZ103" s="394"/>
      <c r="ADA103" s="394"/>
      <c r="ADB103" s="394"/>
      <c r="ADC103" s="394"/>
      <c r="ADD103" s="394"/>
      <c r="ADE103" s="394"/>
      <c r="ADF103" s="394"/>
      <c r="ADG103" s="394"/>
      <c r="ADH103" s="394"/>
      <c r="ADI103" s="394"/>
      <c r="ADJ103" s="394"/>
      <c r="ADK103" s="394"/>
      <c r="ADL103" s="394"/>
      <c r="ADM103" s="394"/>
      <c r="ADN103" s="394"/>
      <c r="ADO103" s="394"/>
      <c r="ADP103" s="394"/>
      <c r="ADQ103" s="394"/>
      <c r="ADR103" s="394"/>
      <c r="ADS103" s="394"/>
      <c r="ADT103" s="394"/>
      <c r="ADU103" s="394"/>
      <c r="ADV103" s="394"/>
      <c r="ADW103" s="394"/>
      <c r="ADX103" s="394"/>
      <c r="ADY103" s="394"/>
      <c r="ADZ103" s="394"/>
      <c r="AEA103" s="394"/>
      <c r="AEB103" s="394"/>
      <c r="AEC103" s="394"/>
      <c r="AED103" s="394"/>
      <c r="AEE103" s="394"/>
      <c r="AEF103" s="394"/>
      <c r="AEG103" s="394"/>
      <c r="AEH103" s="394"/>
      <c r="AEI103" s="394"/>
      <c r="AEJ103" s="394"/>
      <c r="AEK103" s="394"/>
      <c r="AEL103" s="394"/>
      <c r="AEM103" s="394"/>
      <c r="AEN103" s="394"/>
      <c r="AEO103" s="394"/>
      <c r="AEP103" s="394"/>
      <c r="AEQ103" s="394"/>
      <c r="AER103" s="394"/>
      <c r="AES103" s="394"/>
      <c r="AET103" s="394"/>
      <c r="AEU103" s="394"/>
      <c r="AEV103" s="394"/>
      <c r="AEW103" s="394"/>
      <c r="AEX103" s="394"/>
      <c r="AEY103" s="394"/>
      <c r="AEZ103" s="394"/>
      <c r="AFA103" s="394"/>
      <c r="AFB103" s="394"/>
      <c r="AFC103" s="394"/>
      <c r="AFD103" s="394"/>
      <c r="AFE103" s="394"/>
      <c r="AFF103" s="394"/>
      <c r="AFG103" s="394"/>
      <c r="AFH103" s="394"/>
      <c r="AFI103" s="394"/>
      <c r="AFJ103" s="394"/>
      <c r="AFK103" s="394"/>
      <c r="AFL103" s="394"/>
      <c r="AFM103" s="394"/>
      <c r="AFN103" s="394"/>
      <c r="AFO103" s="394"/>
      <c r="AFP103" s="394"/>
      <c r="AFQ103" s="394"/>
      <c r="AFR103" s="394"/>
      <c r="AFS103" s="394"/>
      <c r="AFT103" s="394"/>
      <c r="AFU103" s="394"/>
      <c r="AFV103" s="394"/>
      <c r="AFW103" s="394"/>
      <c r="AFX103" s="394"/>
      <c r="AFY103" s="394"/>
      <c r="AFZ103" s="394"/>
      <c r="AGA103" s="394"/>
      <c r="AGB103" s="394"/>
      <c r="AGC103" s="394"/>
      <c r="AGD103" s="394"/>
      <c r="AGE103" s="394"/>
      <c r="AGF103" s="394"/>
      <c r="AGG103" s="394"/>
      <c r="AGH103" s="394"/>
      <c r="AGI103" s="394"/>
      <c r="AGJ103" s="394"/>
      <c r="AGK103" s="394"/>
      <c r="AGL103" s="394"/>
      <c r="AGM103" s="394"/>
      <c r="AGN103" s="394"/>
      <c r="AGO103" s="394"/>
      <c r="AGP103" s="394"/>
      <c r="AGQ103" s="394"/>
      <c r="AGR103" s="394"/>
      <c r="AGS103" s="394"/>
      <c r="AGT103" s="394"/>
      <c r="AGU103" s="394"/>
      <c r="AGV103" s="394"/>
      <c r="AGW103" s="394"/>
      <c r="AGX103" s="394"/>
      <c r="AGY103" s="394"/>
      <c r="AGZ103" s="394"/>
      <c r="AHA103" s="394"/>
      <c r="AHB103" s="394"/>
      <c r="AHC103" s="394"/>
      <c r="AHD103" s="394"/>
      <c r="AHE103" s="394"/>
      <c r="AHF103" s="394"/>
      <c r="AHG103" s="394"/>
      <c r="AHH103" s="394"/>
      <c r="AHI103" s="394"/>
      <c r="AHJ103" s="394"/>
      <c r="AHK103" s="394"/>
      <c r="AHL103" s="394"/>
      <c r="AHM103" s="394"/>
      <c r="AHN103" s="394"/>
      <c r="AHO103" s="394"/>
      <c r="AHP103" s="394"/>
      <c r="AHQ103" s="394"/>
      <c r="AHR103" s="394"/>
      <c r="AHS103" s="394"/>
      <c r="AHT103" s="394"/>
      <c r="AHU103" s="394"/>
      <c r="AHV103" s="394"/>
      <c r="AHW103" s="394"/>
      <c r="AHX103" s="394"/>
      <c r="AHY103" s="394"/>
      <c r="AHZ103" s="394"/>
      <c r="AIA103" s="394"/>
      <c r="AIB103" s="394"/>
      <c r="AIC103" s="394"/>
      <c r="AID103" s="394"/>
      <c r="AIE103" s="394"/>
      <c r="AIF103" s="394"/>
      <c r="AIG103" s="394"/>
      <c r="AIH103" s="394"/>
      <c r="AII103" s="394"/>
      <c r="AIJ103" s="394"/>
      <c r="AIK103" s="394"/>
      <c r="AIL103" s="394"/>
      <c r="AIM103" s="394"/>
      <c r="AIN103" s="394"/>
      <c r="AIO103" s="394"/>
      <c r="AIP103" s="394"/>
      <c r="AIQ103" s="394"/>
      <c r="AIR103" s="394"/>
      <c r="AIS103" s="394"/>
      <c r="AIT103" s="394"/>
      <c r="AIU103" s="394"/>
      <c r="AIV103" s="394"/>
      <c r="AIW103" s="394"/>
      <c r="AIX103" s="394"/>
      <c r="AIY103" s="394"/>
      <c r="AIZ103" s="394"/>
      <c r="AJA103" s="394"/>
      <c r="AJB103" s="394"/>
      <c r="AJC103" s="394"/>
      <c r="AJD103" s="394"/>
      <c r="AJE103" s="394"/>
      <c r="AJF103" s="394"/>
      <c r="AJG103" s="394"/>
      <c r="AJH103" s="394"/>
      <c r="AJI103" s="394"/>
      <c r="AJJ103" s="394"/>
      <c r="AJK103" s="394"/>
      <c r="AJL103" s="394"/>
      <c r="AJM103" s="394"/>
      <c r="AJN103" s="394"/>
      <c r="AJO103" s="394"/>
      <c r="AJP103" s="394"/>
      <c r="AJQ103" s="394"/>
      <c r="AJR103" s="394"/>
      <c r="AJS103" s="394"/>
      <c r="AJT103" s="394"/>
      <c r="AJU103" s="394"/>
      <c r="AJV103" s="394"/>
      <c r="AJW103" s="394"/>
      <c r="AJX103" s="394"/>
      <c r="AJY103" s="394"/>
      <c r="AJZ103" s="394"/>
      <c r="AKA103" s="394"/>
      <c r="AKB103" s="394"/>
      <c r="AKC103" s="394"/>
      <c r="AKD103" s="394"/>
      <c r="AKE103" s="394"/>
      <c r="AKF103" s="394"/>
      <c r="AKG103" s="394"/>
      <c r="AKH103" s="394"/>
      <c r="AKI103" s="394"/>
      <c r="AKJ103" s="394"/>
      <c r="AKK103" s="394"/>
      <c r="AKL103" s="394"/>
      <c r="AKM103" s="394"/>
      <c r="AKN103" s="394"/>
      <c r="AKO103" s="394"/>
      <c r="AKP103" s="394"/>
      <c r="AKQ103" s="394"/>
      <c r="AKR103" s="394"/>
      <c r="AKS103" s="394"/>
      <c r="AKT103" s="394"/>
      <c r="AKU103" s="394"/>
      <c r="AKV103" s="394"/>
      <c r="AKW103" s="394"/>
      <c r="AKX103" s="394"/>
      <c r="AKY103" s="394"/>
      <c r="AKZ103" s="394"/>
      <c r="ALA103" s="394"/>
      <c r="ALB103" s="394"/>
      <c r="ALC103" s="394"/>
      <c r="ALD103" s="394"/>
      <c r="ALE103" s="394"/>
      <c r="ALF103" s="394"/>
      <c r="ALG103" s="394"/>
      <c r="ALH103" s="394"/>
      <c r="ALI103" s="394"/>
      <c r="ALJ103" s="394"/>
      <c r="ALK103" s="394"/>
      <c r="ALL103" s="394"/>
      <c r="ALM103" s="394"/>
      <c r="ALN103" s="394"/>
      <c r="ALO103" s="394"/>
      <c r="ALP103" s="394"/>
      <c r="ALQ103" s="394"/>
      <c r="ALR103" s="394"/>
      <c r="ALS103" s="394"/>
      <c r="ALT103" s="394"/>
      <c r="ALU103" s="394"/>
      <c r="ALV103" s="394"/>
      <c r="ALW103" s="394"/>
      <c r="ALX103" s="394"/>
      <c r="ALY103" s="394"/>
      <c r="ALZ103" s="394"/>
      <c r="AMA103" s="394"/>
      <c r="AMB103" s="394"/>
      <c r="AMC103" s="394"/>
      <c r="AMD103" s="394"/>
      <c r="AME103" s="394"/>
      <c r="AMF103" s="394"/>
      <c r="AMG103" s="394"/>
      <c r="AMH103" s="394"/>
      <c r="AMI103" s="394"/>
      <c r="AMJ103" s="394"/>
      <c r="AMK103" s="394"/>
      <c r="AML103" s="394"/>
      <c r="AMM103" s="394"/>
      <c r="AMN103" s="394"/>
      <c r="AMO103" s="394"/>
      <c r="AMP103" s="394"/>
      <c r="AMQ103" s="394"/>
      <c r="AMR103" s="394"/>
      <c r="AMS103" s="394"/>
      <c r="AMT103" s="394"/>
      <c r="AMU103" s="394"/>
      <c r="AMV103" s="394"/>
      <c r="AMW103" s="394"/>
      <c r="AMX103" s="394"/>
      <c r="AMY103" s="394"/>
      <c r="AMZ103" s="394"/>
      <c r="ANA103" s="394"/>
      <c r="ANB103" s="394"/>
      <c r="ANC103" s="394"/>
      <c r="AND103" s="394"/>
      <c r="ANE103" s="394"/>
      <c r="ANF103" s="394"/>
      <c r="ANG103" s="394"/>
      <c r="ANH103" s="394"/>
      <c r="ANI103" s="394"/>
      <c r="ANJ103" s="394"/>
      <c r="ANK103" s="394"/>
      <c r="ANL103" s="394"/>
      <c r="ANM103" s="394"/>
      <c r="ANN103" s="394"/>
      <c r="ANO103" s="394"/>
      <c r="ANP103" s="394"/>
      <c r="ANQ103" s="394"/>
      <c r="ANR103" s="394"/>
      <c r="ANS103" s="394"/>
      <c r="ANT103" s="394"/>
      <c r="ANU103" s="394"/>
      <c r="ANV103" s="394"/>
      <c r="ANW103" s="394"/>
      <c r="ANX103" s="394"/>
      <c r="ANY103" s="394"/>
      <c r="ANZ103" s="394"/>
      <c r="AOA103" s="394"/>
      <c r="AOB103" s="394"/>
      <c r="AOC103" s="394"/>
      <c r="AOD103" s="394"/>
      <c r="AOE103" s="394"/>
      <c r="AOF103" s="394"/>
      <c r="AOG103" s="394"/>
      <c r="AOH103" s="394"/>
      <c r="AOI103" s="394"/>
      <c r="AOJ103" s="394"/>
      <c r="AOK103" s="394"/>
      <c r="AOL103" s="394"/>
      <c r="AOM103" s="394"/>
      <c r="AON103" s="394"/>
      <c r="AOO103" s="394"/>
      <c r="AOP103" s="394"/>
      <c r="AOQ103" s="394"/>
      <c r="AOR103" s="394"/>
      <c r="AOS103" s="394"/>
      <c r="AOT103" s="394"/>
      <c r="AOU103" s="394"/>
      <c r="AOV103" s="394"/>
      <c r="AOW103" s="394"/>
      <c r="AOX103" s="394"/>
      <c r="AOY103" s="394"/>
      <c r="AOZ103" s="394"/>
      <c r="APA103" s="394"/>
      <c r="APB103" s="394"/>
      <c r="APC103" s="394"/>
      <c r="APD103" s="394"/>
      <c r="APE103" s="394"/>
      <c r="APF103" s="394"/>
      <c r="APG103" s="394"/>
      <c r="APH103" s="394"/>
      <c r="API103" s="394"/>
      <c r="APJ103" s="394"/>
      <c r="APK103" s="394"/>
      <c r="APL103" s="394"/>
      <c r="APM103" s="394"/>
      <c r="APN103" s="394"/>
      <c r="APO103" s="394"/>
      <c r="APP103" s="394"/>
      <c r="APQ103" s="394"/>
      <c r="APR103" s="394"/>
      <c r="APS103" s="394"/>
      <c r="APT103" s="394"/>
      <c r="APU103" s="394"/>
      <c r="APV103" s="394"/>
      <c r="APW103" s="394"/>
      <c r="APX103" s="394"/>
      <c r="APY103" s="394"/>
      <c r="APZ103" s="394"/>
      <c r="AQA103" s="394"/>
      <c r="AQB103" s="394"/>
      <c r="AQC103" s="394"/>
      <c r="AQD103" s="394"/>
      <c r="AQE103" s="394"/>
      <c r="AQF103" s="394"/>
      <c r="AQG103" s="394"/>
      <c r="AQH103" s="394"/>
      <c r="AQI103" s="394"/>
      <c r="AQJ103" s="394"/>
      <c r="AQK103" s="394"/>
      <c r="AQL103" s="394"/>
      <c r="AQM103" s="394"/>
      <c r="AQN103" s="394"/>
      <c r="AQO103" s="394"/>
      <c r="AQP103" s="394"/>
      <c r="AQQ103" s="394"/>
      <c r="AQR103" s="394"/>
      <c r="AQS103" s="394"/>
      <c r="AQT103" s="394"/>
      <c r="AQU103" s="394"/>
      <c r="AQV103" s="394"/>
      <c r="AQW103" s="394"/>
      <c r="AQX103" s="394"/>
      <c r="AQY103" s="394"/>
      <c r="AQZ103" s="394"/>
      <c r="ARA103" s="394"/>
      <c r="ARB103" s="394"/>
      <c r="ARC103" s="394"/>
      <c r="ARD103" s="394"/>
      <c r="ARE103" s="394"/>
      <c r="ARF103" s="394"/>
      <c r="ARG103" s="394"/>
      <c r="ARH103" s="394"/>
      <c r="ARI103" s="394"/>
      <c r="ARJ103" s="394"/>
      <c r="ARK103" s="394"/>
      <c r="ARL103" s="394"/>
      <c r="ARM103" s="394"/>
      <c r="ARN103" s="394"/>
      <c r="ARO103" s="394"/>
      <c r="ARP103" s="394"/>
      <c r="ARQ103" s="394"/>
      <c r="ARR103" s="394"/>
      <c r="ARS103" s="394"/>
      <c r="ART103" s="394"/>
      <c r="ARU103" s="394"/>
      <c r="ARV103" s="394"/>
      <c r="ARW103" s="394"/>
      <c r="ARX103" s="394"/>
      <c r="ARY103" s="394"/>
      <c r="ARZ103" s="394"/>
      <c r="ASA103" s="394"/>
      <c r="ASB103" s="394"/>
      <c r="ASC103" s="394"/>
      <c r="ASD103" s="394"/>
      <c r="ASE103" s="394"/>
      <c r="ASF103" s="394"/>
      <c r="ASG103" s="394"/>
      <c r="ASH103" s="394"/>
      <c r="ASI103" s="394"/>
      <c r="ASJ103" s="394"/>
      <c r="ASK103" s="394"/>
      <c r="ASL103" s="394"/>
      <c r="ASM103" s="394"/>
      <c r="ASN103" s="394"/>
      <c r="ASO103" s="394"/>
      <c r="ASP103" s="394"/>
      <c r="ASQ103" s="394"/>
      <c r="ASR103" s="394"/>
      <c r="ASS103" s="394"/>
      <c r="AST103" s="394"/>
      <c r="ASU103" s="394"/>
      <c r="ASV103" s="394"/>
      <c r="ASW103" s="394"/>
      <c r="ASX103" s="394"/>
      <c r="ASY103" s="394"/>
      <c r="ASZ103" s="394"/>
      <c r="ATA103" s="394"/>
      <c r="ATB103" s="394"/>
      <c r="ATC103" s="394"/>
      <c r="ATD103" s="394"/>
      <c r="ATE103" s="394"/>
      <c r="ATF103" s="394"/>
      <c r="ATG103" s="394"/>
      <c r="ATH103" s="394"/>
      <c r="ATI103" s="394"/>
      <c r="ATJ103" s="394"/>
      <c r="ATK103" s="394"/>
      <c r="ATL103" s="394"/>
      <c r="ATM103" s="394"/>
      <c r="ATN103" s="394"/>
      <c r="ATO103" s="394"/>
      <c r="ATP103" s="394"/>
      <c r="ATQ103" s="394"/>
      <c r="ATR103" s="394"/>
      <c r="ATS103" s="394"/>
      <c r="ATT103" s="394"/>
      <c r="ATU103" s="394"/>
      <c r="ATV103" s="394"/>
      <c r="ATW103" s="394"/>
      <c r="ATX103" s="394"/>
      <c r="ATY103" s="394"/>
      <c r="ATZ103" s="394"/>
      <c r="AUA103" s="394"/>
      <c r="AUB103" s="394"/>
      <c r="AUC103" s="394"/>
      <c r="AUD103" s="394"/>
      <c r="AUE103" s="394"/>
      <c r="AUF103" s="394"/>
      <c r="AUG103" s="394"/>
      <c r="AUH103" s="394"/>
      <c r="AUI103" s="394"/>
      <c r="AUJ103" s="394"/>
      <c r="AUK103" s="394"/>
      <c r="AUL103" s="394"/>
      <c r="AUM103" s="394"/>
      <c r="AUN103" s="394"/>
      <c r="AUO103" s="394"/>
      <c r="AUP103" s="394"/>
      <c r="AUQ103" s="394"/>
      <c r="AUR103" s="394"/>
      <c r="AUS103" s="394"/>
      <c r="AUT103" s="394"/>
      <c r="AUU103" s="394"/>
      <c r="AUV103" s="394"/>
      <c r="AUW103" s="394"/>
      <c r="AUX103" s="394"/>
      <c r="AUY103" s="394"/>
      <c r="AUZ103" s="394"/>
      <c r="AVA103" s="394"/>
      <c r="AVB103" s="394"/>
      <c r="AVC103" s="394"/>
      <c r="AVD103" s="394"/>
      <c r="AVE103" s="394"/>
      <c r="AVF103" s="394"/>
      <c r="AVG103" s="394"/>
      <c r="AVH103" s="394"/>
      <c r="AVI103" s="394"/>
      <c r="AVJ103" s="394"/>
      <c r="AVK103" s="394"/>
      <c r="AVL103" s="394"/>
      <c r="AVM103" s="394"/>
      <c r="AVN103" s="394"/>
      <c r="AVO103" s="394"/>
      <c r="AVP103" s="394"/>
      <c r="AVQ103" s="394"/>
      <c r="AVR103" s="394"/>
      <c r="AVS103" s="394"/>
      <c r="AVT103" s="394"/>
      <c r="AVU103" s="394"/>
      <c r="AVV103" s="394"/>
      <c r="AVW103" s="394"/>
      <c r="AVX103" s="394"/>
      <c r="AVY103" s="394"/>
      <c r="AVZ103" s="394"/>
      <c r="AWA103" s="394"/>
      <c r="AWB103" s="394"/>
      <c r="AWC103" s="394"/>
      <c r="AWD103" s="394"/>
      <c r="AWE103" s="394"/>
      <c r="AWF103" s="394"/>
      <c r="AWG103" s="394"/>
      <c r="AWH103" s="394"/>
      <c r="AWI103" s="394"/>
      <c r="AWJ103" s="394"/>
      <c r="AWK103" s="394"/>
      <c r="AWL103" s="394"/>
      <c r="AWM103" s="394"/>
      <c r="AWN103" s="394"/>
      <c r="AWO103" s="394"/>
      <c r="AWP103" s="394"/>
      <c r="AWQ103" s="394"/>
      <c r="AWR103" s="394"/>
      <c r="AWS103" s="394"/>
      <c r="AWT103" s="394"/>
      <c r="AWU103" s="394"/>
      <c r="AWV103" s="394"/>
      <c r="AWW103" s="394"/>
      <c r="AWX103" s="394"/>
      <c r="AWY103" s="394"/>
      <c r="AWZ103" s="394"/>
      <c r="AXA103" s="394"/>
      <c r="AXB103" s="394"/>
      <c r="AXC103" s="394"/>
      <c r="AXD103" s="394"/>
      <c r="AXE103" s="394"/>
      <c r="AXF103" s="394"/>
      <c r="AXG103" s="394"/>
      <c r="AXH103" s="394"/>
      <c r="AXI103" s="394"/>
      <c r="AXJ103" s="394"/>
      <c r="AXK103" s="394"/>
      <c r="AXL103" s="394"/>
      <c r="AXM103" s="394"/>
      <c r="AXN103" s="394"/>
      <c r="AXO103" s="394"/>
      <c r="AXP103" s="394"/>
      <c r="AXQ103" s="394"/>
      <c r="AXR103" s="394"/>
      <c r="AXS103" s="394"/>
      <c r="AXT103" s="394"/>
      <c r="AXU103" s="394"/>
      <c r="AXV103" s="394"/>
      <c r="AXW103" s="394"/>
      <c r="AXX103" s="394"/>
      <c r="AXY103" s="394"/>
      <c r="AXZ103" s="394"/>
      <c r="AYA103" s="394"/>
      <c r="AYB103" s="394"/>
      <c r="AYC103" s="394"/>
      <c r="AYD103" s="394"/>
      <c r="AYE103" s="394"/>
      <c r="AYF103" s="394"/>
      <c r="AYG103" s="394"/>
      <c r="AYH103" s="394"/>
      <c r="AYI103" s="394"/>
      <c r="AYJ103" s="394"/>
      <c r="AYK103" s="394"/>
      <c r="AYL103" s="394"/>
      <c r="AYM103" s="394"/>
      <c r="AYN103" s="394"/>
      <c r="AYO103" s="394"/>
      <c r="AYP103" s="394"/>
      <c r="AYQ103" s="394"/>
      <c r="AYR103" s="394"/>
      <c r="AYS103" s="394"/>
      <c r="AYT103" s="394"/>
      <c r="AYU103" s="394"/>
      <c r="AYV103" s="394"/>
      <c r="AYW103" s="394"/>
      <c r="AYX103" s="394"/>
      <c r="AYY103" s="394"/>
      <c r="AYZ103" s="394"/>
      <c r="AZA103" s="394"/>
      <c r="AZB103" s="394"/>
      <c r="AZC103" s="394"/>
      <c r="AZD103" s="394"/>
      <c r="AZE103" s="394"/>
      <c r="AZF103" s="394"/>
      <c r="AZG103" s="394"/>
      <c r="AZH103" s="394"/>
      <c r="AZI103" s="394"/>
      <c r="AZJ103" s="394"/>
      <c r="AZK103" s="394"/>
      <c r="AZL103" s="394"/>
      <c r="AZM103" s="394"/>
      <c r="AZN103" s="394"/>
      <c r="AZO103" s="394"/>
      <c r="AZP103" s="394"/>
      <c r="AZQ103" s="394"/>
      <c r="AZR103" s="394"/>
      <c r="AZS103" s="394"/>
      <c r="AZT103" s="394"/>
      <c r="AZU103" s="394"/>
      <c r="AZV103" s="394"/>
      <c r="AZW103" s="394"/>
      <c r="AZX103" s="394"/>
      <c r="AZY103" s="394"/>
      <c r="AZZ103" s="394"/>
      <c r="BAA103" s="394"/>
      <c r="BAB103" s="394"/>
      <c r="BAC103" s="394"/>
      <c r="BAD103" s="394"/>
      <c r="BAE103" s="394"/>
      <c r="BAF103" s="394"/>
      <c r="BAG103" s="394"/>
      <c r="BAH103" s="394"/>
      <c r="BAI103" s="394"/>
      <c r="BAJ103" s="394"/>
      <c r="BAK103" s="394"/>
      <c r="BAL103" s="394"/>
      <c r="BAM103" s="394"/>
      <c r="BAN103" s="394"/>
      <c r="BAO103" s="394"/>
      <c r="BAP103" s="394"/>
      <c r="BAQ103" s="394"/>
      <c r="BAR103" s="394"/>
      <c r="BAS103" s="394"/>
      <c r="BAT103" s="394"/>
      <c r="BAU103" s="394"/>
      <c r="BAV103" s="394"/>
      <c r="BAW103" s="394"/>
      <c r="BAX103" s="394"/>
      <c r="BAY103" s="394"/>
      <c r="BAZ103" s="394"/>
      <c r="BBA103" s="394"/>
      <c r="BBB103" s="394"/>
      <c r="BBC103" s="394"/>
      <c r="BBD103" s="394"/>
      <c r="BBE103" s="394"/>
      <c r="BBF103" s="394"/>
      <c r="BBG103" s="394"/>
      <c r="BBH103" s="394"/>
      <c r="BBI103" s="394"/>
      <c r="BBJ103" s="394"/>
      <c r="BBK103" s="394"/>
      <c r="BBL103" s="394"/>
      <c r="BBM103" s="394"/>
      <c r="BBN103" s="394"/>
      <c r="BBO103" s="394"/>
      <c r="BBP103" s="394"/>
      <c r="BBQ103" s="394"/>
      <c r="BBR103" s="394"/>
      <c r="BBS103" s="394"/>
      <c r="BBT103" s="394"/>
      <c r="BBU103" s="394"/>
      <c r="BBV103" s="394"/>
      <c r="BBW103" s="394"/>
      <c r="BBX103" s="394"/>
      <c r="BBY103" s="394"/>
      <c r="BBZ103" s="394"/>
      <c r="BCA103" s="394"/>
      <c r="BCB103" s="394"/>
      <c r="BCC103" s="394"/>
      <c r="BCD103" s="394"/>
      <c r="BCE103" s="394"/>
      <c r="BCF103" s="394"/>
      <c r="BCG103" s="394"/>
      <c r="BCH103" s="394"/>
      <c r="BCI103" s="394"/>
      <c r="BCJ103" s="394"/>
      <c r="BCK103" s="394"/>
      <c r="BCL103" s="394"/>
      <c r="BCM103" s="394"/>
      <c r="BCN103" s="394"/>
      <c r="BCO103" s="394"/>
      <c r="BCP103" s="394"/>
      <c r="BCQ103" s="394"/>
      <c r="BCR103" s="394"/>
      <c r="BCS103" s="394"/>
      <c r="BCT103" s="394"/>
      <c r="BCU103" s="394"/>
      <c r="BCV103" s="394"/>
      <c r="BCW103" s="394"/>
      <c r="BCX103" s="394"/>
      <c r="BCY103" s="394"/>
      <c r="BCZ103" s="394"/>
      <c r="BDA103" s="394"/>
      <c r="BDB103" s="394"/>
      <c r="BDC103" s="394"/>
      <c r="BDD103" s="394"/>
      <c r="BDE103" s="394"/>
      <c r="BDF103" s="394"/>
      <c r="BDG103" s="394"/>
      <c r="BDH103" s="394"/>
      <c r="BDI103" s="394"/>
      <c r="BDJ103" s="394"/>
      <c r="BDK103" s="394"/>
      <c r="BDL103" s="394"/>
      <c r="BDM103" s="394"/>
      <c r="BDN103" s="394"/>
      <c r="BDO103" s="394"/>
      <c r="BDP103" s="394"/>
      <c r="BDQ103" s="394"/>
      <c r="BDR103" s="394"/>
      <c r="BDS103" s="394"/>
      <c r="BDT103" s="394"/>
      <c r="BDU103" s="394"/>
      <c r="BDV103" s="394"/>
      <c r="BDW103" s="394"/>
      <c r="BDX103" s="394"/>
      <c r="BDY103" s="394"/>
      <c r="BDZ103" s="394"/>
      <c r="BEA103" s="394"/>
      <c r="BEB103" s="394"/>
      <c r="BEC103" s="394"/>
      <c r="BED103" s="394"/>
      <c r="BEE103" s="394"/>
      <c r="BEF103" s="394"/>
      <c r="BEG103" s="394"/>
      <c r="BEH103" s="394"/>
      <c r="BEI103" s="394"/>
      <c r="BEJ103" s="394"/>
      <c r="BEK103" s="394"/>
      <c r="BEL103" s="394"/>
      <c r="BEM103" s="394"/>
      <c r="BEN103" s="394"/>
      <c r="BEO103" s="394"/>
      <c r="BEP103" s="394"/>
      <c r="BEQ103" s="394"/>
      <c r="BER103" s="394"/>
      <c r="BES103" s="394"/>
      <c r="BET103" s="394"/>
      <c r="BEU103" s="394"/>
      <c r="BEV103" s="394"/>
      <c r="BEW103" s="394"/>
      <c r="BEX103" s="394"/>
      <c r="BEY103" s="394"/>
      <c r="BEZ103" s="394"/>
      <c r="BFA103" s="394"/>
      <c r="BFB103" s="394"/>
      <c r="BFC103" s="394"/>
      <c r="BFD103" s="394"/>
      <c r="BFE103" s="394"/>
      <c r="BFF103" s="394"/>
      <c r="BFG103" s="394"/>
      <c r="BFH103" s="394"/>
      <c r="BFI103" s="394"/>
      <c r="BFJ103" s="394"/>
      <c r="BFK103" s="394"/>
      <c r="BFL103" s="394"/>
      <c r="BFM103" s="394"/>
      <c r="BFN103" s="394"/>
      <c r="BFO103" s="394"/>
      <c r="BFP103" s="394"/>
      <c r="BFQ103" s="394"/>
      <c r="BFR103" s="394"/>
      <c r="BFS103" s="394"/>
      <c r="BFT103" s="394"/>
      <c r="BFU103" s="394"/>
      <c r="BFV103" s="394"/>
      <c r="BFW103" s="394"/>
      <c r="BFX103" s="394"/>
      <c r="BFY103" s="394"/>
      <c r="BFZ103" s="394"/>
      <c r="BGA103" s="394"/>
      <c r="BGB103" s="394"/>
      <c r="BGC103" s="394"/>
      <c r="BGD103" s="394"/>
      <c r="BGE103" s="394"/>
      <c r="BGF103" s="394"/>
      <c r="BGG103" s="394"/>
      <c r="BGH103" s="394"/>
      <c r="BGI103" s="394"/>
      <c r="BGJ103" s="394"/>
      <c r="BGK103" s="394"/>
      <c r="BGL103" s="394"/>
      <c r="BGM103" s="394"/>
      <c r="BGN103" s="394"/>
      <c r="BGO103" s="394"/>
      <c r="BGP103" s="394"/>
      <c r="BGQ103" s="394"/>
      <c r="BGR103" s="394"/>
      <c r="BGS103" s="394"/>
      <c r="BGT103" s="394"/>
      <c r="BGU103" s="394"/>
      <c r="BGV103" s="394"/>
      <c r="BGW103" s="394"/>
      <c r="BGX103" s="394"/>
      <c r="BGY103" s="394"/>
      <c r="BGZ103" s="394"/>
      <c r="BHA103" s="394"/>
      <c r="BHB103" s="394"/>
      <c r="BHC103" s="394"/>
      <c r="BHD103" s="394"/>
      <c r="BHE103" s="394"/>
      <c r="BHF103" s="394"/>
      <c r="BHG103" s="394"/>
      <c r="BHH103" s="394"/>
      <c r="BHI103" s="394"/>
      <c r="BHJ103" s="394"/>
      <c r="BHK103" s="394"/>
      <c r="BHL103" s="394"/>
      <c r="BHM103" s="394"/>
      <c r="BHN103" s="394"/>
      <c r="BHO103" s="394"/>
      <c r="BHP103" s="394"/>
      <c r="BHQ103" s="394"/>
      <c r="BHR103" s="394"/>
      <c r="BHS103" s="394"/>
      <c r="BHT103" s="394"/>
      <c r="BHU103" s="394"/>
      <c r="BHV103" s="394"/>
      <c r="BHW103" s="394"/>
      <c r="BHX103" s="394"/>
      <c r="BHY103" s="394"/>
      <c r="BHZ103" s="394"/>
      <c r="BIA103" s="394"/>
      <c r="BIB103" s="394"/>
      <c r="BIC103" s="394"/>
      <c r="BID103" s="394"/>
      <c r="BIE103" s="394"/>
      <c r="BIF103" s="394"/>
      <c r="BIG103" s="394"/>
      <c r="BIH103" s="394"/>
      <c r="BII103" s="394"/>
      <c r="BIJ103" s="394"/>
      <c r="BIK103" s="394"/>
      <c r="BIL103" s="394"/>
      <c r="BIM103" s="394"/>
      <c r="BIN103" s="394"/>
      <c r="BIO103" s="394"/>
      <c r="BIP103" s="394"/>
      <c r="BIQ103" s="394"/>
      <c r="BIR103" s="394"/>
      <c r="BIS103" s="394"/>
      <c r="BIT103" s="394"/>
      <c r="BIU103" s="394"/>
      <c r="BIV103" s="394"/>
      <c r="BIW103" s="394"/>
      <c r="BIX103" s="394"/>
      <c r="BIY103" s="394"/>
      <c r="BIZ103" s="394"/>
      <c r="BJA103" s="394"/>
      <c r="BJB103" s="394"/>
      <c r="BJC103" s="394"/>
      <c r="BJD103" s="394"/>
      <c r="BJE103" s="394"/>
      <c r="BJF103" s="394"/>
      <c r="BJG103" s="394"/>
      <c r="BJH103" s="394"/>
      <c r="BJI103" s="394"/>
      <c r="BJJ103" s="394"/>
      <c r="BJK103" s="394"/>
      <c r="BJL103" s="394"/>
      <c r="BJM103" s="394"/>
      <c r="BJN103" s="394"/>
      <c r="BJO103" s="394"/>
      <c r="BJP103" s="394"/>
      <c r="BJQ103" s="394"/>
      <c r="BJR103" s="394"/>
      <c r="BJS103" s="394"/>
      <c r="BJT103" s="394"/>
      <c r="BJU103" s="394"/>
      <c r="BJV103" s="394"/>
      <c r="BJW103" s="394"/>
      <c r="BJX103" s="394"/>
      <c r="BJY103" s="394"/>
      <c r="BJZ103" s="394"/>
      <c r="BKA103" s="394"/>
      <c r="BKB103" s="394"/>
      <c r="BKC103" s="394"/>
      <c r="BKD103" s="394"/>
      <c r="BKE103" s="394"/>
      <c r="BKF103" s="394"/>
      <c r="BKG103" s="394"/>
      <c r="BKH103" s="394"/>
      <c r="BKI103" s="394"/>
      <c r="BKJ103" s="394"/>
      <c r="BKK103" s="394"/>
      <c r="BKL103" s="394"/>
      <c r="BKM103" s="394"/>
      <c r="BKN103" s="394"/>
      <c r="BKO103" s="394"/>
      <c r="BKP103" s="394"/>
      <c r="BKQ103" s="394"/>
      <c r="BKR103" s="394"/>
      <c r="BKS103" s="394"/>
      <c r="BKT103" s="394"/>
      <c r="BKU103" s="394"/>
      <c r="BKV103" s="394"/>
      <c r="BKW103" s="394"/>
      <c r="BKX103" s="394"/>
      <c r="BKY103" s="394"/>
      <c r="BKZ103" s="394"/>
      <c r="BLA103" s="394"/>
      <c r="BLB103" s="394"/>
      <c r="BLC103" s="394"/>
      <c r="BLD103" s="394"/>
      <c r="BLE103" s="394"/>
      <c r="BLF103" s="394"/>
      <c r="BLG103" s="394"/>
      <c r="BLH103" s="394"/>
      <c r="BLI103" s="394"/>
      <c r="BLJ103" s="394"/>
      <c r="BLK103" s="394"/>
      <c r="BLL103" s="394"/>
      <c r="BLM103" s="394"/>
      <c r="BLN103" s="394"/>
      <c r="BLO103" s="394"/>
      <c r="BLP103" s="394"/>
      <c r="BLQ103" s="394"/>
      <c r="BLR103" s="394"/>
      <c r="BLS103" s="394"/>
      <c r="BLT103" s="394"/>
      <c r="BLU103" s="394"/>
      <c r="BLV103" s="394"/>
      <c r="BLW103" s="394"/>
      <c r="BLX103" s="394"/>
      <c r="BLY103" s="394"/>
      <c r="BLZ103" s="394"/>
      <c r="BMA103" s="394"/>
      <c r="BMB103" s="394"/>
      <c r="BMC103" s="394"/>
      <c r="BMD103" s="394"/>
      <c r="BME103" s="394"/>
      <c r="BMF103" s="394"/>
      <c r="BMG103" s="394"/>
      <c r="BMH103" s="394"/>
      <c r="BMI103" s="394"/>
      <c r="BMJ103" s="394"/>
      <c r="BMK103" s="394"/>
      <c r="BML103" s="394"/>
      <c r="BMM103" s="394"/>
      <c r="BMN103" s="394"/>
      <c r="BMO103" s="394"/>
      <c r="BMP103" s="394"/>
      <c r="BMQ103" s="394"/>
      <c r="BMR103" s="394"/>
      <c r="BMS103" s="394"/>
      <c r="BMT103" s="394"/>
      <c r="BMU103" s="394"/>
      <c r="BMV103" s="394"/>
      <c r="BMW103" s="394"/>
      <c r="BMX103" s="394"/>
      <c r="BMY103" s="394"/>
      <c r="BMZ103" s="394"/>
      <c r="BNA103" s="394"/>
      <c r="BNB103" s="394"/>
      <c r="BNC103" s="394"/>
      <c r="BND103" s="394"/>
      <c r="BNE103" s="394"/>
      <c r="BNF103" s="394"/>
      <c r="BNG103" s="394"/>
      <c r="BNH103" s="394"/>
      <c r="BNI103" s="394"/>
      <c r="BNJ103" s="394"/>
      <c r="BNK103" s="394"/>
      <c r="BNL103" s="394"/>
      <c r="BNM103" s="394"/>
      <c r="BNN103" s="394"/>
      <c r="BNO103" s="394"/>
      <c r="BNP103" s="394"/>
      <c r="BNQ103" s="394"/>
      <c r="BNR103" s="394"/>
      <c r="BNS103" s="394"/>
      <c r="BNT103" s="394"/>
      <c r="BNU103" s="394"/>
      <c r="BNV103" s="394"/>
      <c r="BNW103" s="394"/>
      <c r="BNX103" s="394"/>
      <c r="BNY103" s="394"/>
      <c r="BNZ103" s="394"/>
      <c r="BOA103" s="394"/>
      <c r="BOB103" s="394"/>
      <c r="BOC103" s="394"/>
      <c r="BOD103" s="394"/>
      <c r="BOE103" s="394"/>
      <c r="BOF103" s="394"/>
      <c r="BOG103" s="394"/>
      <c r="BOH103" s="394"/>
      <c r="BOI103" s="394"/>
      <c r="BOJ103" s="394"/>
      <c r="BOK103" s="394"/>
      <c r="BOL103" s="394"/>
      <c r="BOM103" s="394"/>
      <c r="BON103" s="394"/>
      <c r="BOO103" s="394"/>
      <c r="BOP103" s="394"/>
      <c r="BOQ103" s="394"/>
      <c r="BOR103" s="394"/>
      <c r="BOS103" s="394"/>
      <c r="BOT103" s="394"/>
      <c r="BOU103" s="394"/>
      <c r="BOV103" s="394"/>
      <c r="BOW103" s="394"/>
      <c r="BOX103" s="394"/>
      <c r="BOY103" s="394"/>
      <c r="BOZ103" s="394"/>
      <c r="BPA103" s="394"/>
      <c r="BPB103" s="394"/>
      <c r="BPC103" s="394"/>
      <c r="BPD103" s="394"/>
      <c r="BPE103" s="394"/>
      <c r="BPF103" s="394"/>
      <c r="BPG103" s="394"/>
      <c r="BPH103" s="394"/>
      <c r="BPI103" s="394"/>
      <c r="BPJ103" s="394"/>
      <c r="BPK103" s="394"/>
      <c r="BPL103" s="394"/>
      <c r="BPM103" s="394"/>
      <c r="BPN103" s="394"/>
      <c r="BPO103" s="394"/>
      <c r="BPP103" s="394"/>
      <c r="BPQ103" s="394"/>
      <c r="BPR103" s="394"/>
      <c r="BPS103" s="394"/>
      <c r="BPT103" s="394"/>
      <c r="BPU103" s="394"/>
      <c r="BPV103" s="394"/>
      <c r="BPW103" s="394"/>
      <c r="BPX103" s="394"/>
      <c r="BPY103" s="394"/>
      <c r="BPZ103" s="394"/>
      <c r="BQA103" s="394"/>
      <c r="BQB103" s="394"/>
      <c r="BQC103" s="394"/>
      <c r="BQD103" s="394"/>
      <c r="BQE103" s="394"/>
      <c r="BQF103" s="394"/>
      <c r="BQG103" s="394"/>
      <c r="BQH103" s="394"/>
      <c r="BQI103" s="394"/>
      <c r="BQJ103" s="394"/>
      <c r="BQK103" s="394"/>
      <c r="BQL103" s="394"/>
      <c r="BQM103" s="394"/>
      <c r="BQN103" s="394"/>
      <c r="BQO103" s="394"/>
      <c r="BQP103" s="394"/>
      <c r="BQQ103" s="394"/>
      <c r="BQR103" s="394"/>
      <c r="BQS103" s="394"/>
      <c r="BQT103" s="394"/>
      <c r="BQU103" s="394"/>
      <c r="BQV103" s="394"/>
      <c r="BQW103" s="394"/>
      <c r="BQX103" s="394"/>
      <c r="BQY103" s="394"/>
      <c r="BQZ103" s="394"/>
      <c r="BRA103" s="394"/>
      <c r="BRB103" s="394"/>
      <c r="BRC103" s="394"/>
      <c r="BRD103" s="394"/>
      <c r="BRE103" s="394"/>
      <c r="BRF103" s="394"/>
      <c r="BRG103" s="394"/>
      <c r="BRH103" s="394"/>
      <c r="BRI103" s="394"/>
      <c r="BRJ103" s="394"/>
      <c r="BRK103" s="394"/>
      <c r="BRL103" s="394"/>
      <c r="BRM103" s="394"/>
      <c r="BRN103" s="394"/>
      <c r="BRO103" s="394"/>
      <c r="BRP103" s="394"/>
      <c r="BRQ103" s="394"/>
      <c r="BRR103" s="394"/>
      <c r="BRS103" s="394"/>
      <c r="BRT103" s="394"/>
      <c r="BRU103" s="394"/>
      <c r="BRV103" s="394"/>
      <c r="BRW103" s="394"/>
      <c r="BRX103" s="394"/>
      <c r="BRY103" s="394"/>
      <c r="BRZ103" s="394"/>
      <c r="BSA103" s="394"/>
      <c r="BSB103" s="394"/>
      <c r="BSC103" s="394"/>
      <c r="BSD103" s="394"/>
      <c r="BSE103" s="394"/>
      <c r="BSF103" s="394"/>
      <c r="BSG103" s="394"/>
      <c r="BSH103" s="394"/>
      <c r="BSI103" s="394"/>
      <c r="BSJ103" s="394"/>
      <c r="BSK103" s="394"/>
      <c r="BSL103" s="394"/>
      <c r="BSM103" s="394"/>
      <c r="BSN103" s="394"/>
      <c r="BSO103" s="394"/>
      <c r="BSP103" s="394"/>
      <c r="BSQ103" s="394"/>
      <c r="BSR103" s="394"/>
      <c r="BSS103" s="394"/>
      <c r="BST103" s="394"/>
      <c r="BSU103" s="394"/>
      <c r="BSV103" s="394"/>
      <c r="BSW103" s="394"/>
      <c r="BSX103" s="394"/>
      <c r="BSY103" s="394"/>
      <c r="BSZ103" s="394"/>
      <c r="BTA103" s="394"/>
      <c r="BTB103" s="394"/>
      <c r="BTC103" s="394"/>
      <c r="BTD103" s="394"/>
      <c r="BTE103" s="394"/>
      <c r="BTF103" s="394"/>
      <c r="BTG103" s="394"/>
      <c r="BTH103" s="394"/>
      <c r="BTI103" s="394"/>
    </row>
    <row r="104" spans="1:1881" s="609" customFormat="1" ht="81" customHeight="1" x14ac:dyDescent="0.25">
      <c r="A104" s="455">
        <v>658</v>
      </c>
      <c r="B104" s="451" t="s">
        <v>65</v>
      </c>
      <c r="C104" s="452" t="s">
        <v>183</v>
      </c>
      <c r="D104" s="468" t="s">
        <v>1206</v>
      </c>
      <c r="E104" s="454" t="s">
        <v>832</v>
      </c>
      <c r="F104" s="624"/>
      <c r="G104" s="611"/>
      <c r="H104" s="612"/>
      <c r="I104" s="613"/>
      <c r="J104" s="610"/>
      <c r="K104" s="610"/>
      <c r="L104" s="610"/>
      <c r="M104" s="610"/>
      <c r="N104"/>
      <c r="O104" s="610"/>
      <c r="P104" s="610"/>
      <c r="Q104" s="610"/>
      <c r="R104" s="610"/>
      <c r="S104" s="610"/>
      <c r="T104" s="610"/>
      <c r="U104" s="610"/>
      <c r="V104" s="610"/>
      <c r="W104" s="610"/>
      <c r="X104" s="610"/>
      <c r="Y104" s="610"/>
      <c r="Z104" s="610"/>
      <c r="AA104" s="610"/>
      <c r="AB104" s="610"/>
      <c r="AC104" s="610"/>
      <c r="AD104" s="610"/>
      <c r="AE104" s="610"/>
      <c r="AF104" s="610"/>
      <c r="AG104" s="610"/>
      <c r="AH104" s="610"/>
      <c r="AI104" s="610"/>
      <c r="AJ104" s="610"/>
      <c r="AK104" s="610"/>
      <c r="AL104" s="610"/>
      <c r="AM104" s="610"/>
      <c r="AN104" s="610"/>
      <c r="AO104" s="610"/>
      <c r="AP104" s="610"/>
      <c r="AQ104" s="610"/>
      <c r="AR104" s="610"/>
      <c r="AS104" s="610"/>
      <c r="AT104" s="610"/>
      <c r="AU104" s="610"/>
      <c r="AV104" s="610"/>
      <c r="AW104" s="610"/>
      <c r="AX104" s="610"/>
      <c r="AY104" s="610"/>
      <c r="AZ104" s="610"/>
      <c r="BA104" s="610"/>
      <c r="BB104" s="610"/>
      <c r="BC104" s="610"/>
      <c r="BD104" s="610"/>
      <c r="BE104" s="610"/>
      <c r="BF104" s="610"/>
      <c r="BG104" s="610"/>
      <c r="BH104" s="610"/>
      <c r="BI104" s="610"/>
      <c r="BJ104" s="610"/>
      <c r="BK104" s="610"/>
      <c r="BL104" s="610"/>
      <c r="BM104" s="610"/>
      <c r="BN104" s="610"/>
      <c r="BO104" s="610"/>
      <c r="BP104" s="610"/>
      <c r="BQ104" s="610"/>
      <c r="BR104" s="610"/>
      <c r="BS104" s="610"/>
      <c r="BT104" s="610"/>
      <c r="BU104" s="610"/>
      <c r="BV104" s="610"/>
      <c r="BW104" s="610"/>
      <c r="BX104" s="610"/>
      <c r="BY104" s="610"/>
      <c r="BZ104" s="610"/>
      <c r="CA104" s="610"/>
      <c r="CB104" s="610"/>
      <c r="CC104" s="610"/>
      <c r="CD104" s="610"/>
      <c r="CE104" s="610"/>
      <c r="CF104" s="610"/>
      <c r="CG104" s="610"/>
      <c r="CH104" s="610"/>
      <c r="CI104" s="610"/>
      <c r="CJ104" s="610"/>
      <c r="CK104" s="610"/>
      <c r="CL104" s="610"/>
      <c r="CM104" s="610"/>
      <c r="CN104" s="610"/>
      <c r="CO104" s="610"/>
      <c r="CP104" s="610"/>
      <c r="CQ104" s="610"/>
      <c r="CR104" s="610"/>
      <c r="CS104" s="610"/>
      <c r="CT104" s="610"/>
      <c r="CU104" s="610"/>
      <c r="CV104" s="610"/>
      <c r="CW104" s="610"/>
      <c r="CX104" s="610"/>
      <c r="CY104" s="610"/>
      <c r="CZ104" s="610"/>
      <c r="DA104" s="610"/>
      <c r="DB104" s="610"/>
      <c r="DC104" s="610"/>
      <c r="DD104" s="610"/>
      <c r="DE104" s="610"/>
      <c r="DF104" s="610"/>
      <c r="DG104" s="610"/>
      <c r="DH104" s="610"/>
      <c r="DI104" s="610"/>
      <c r="DJ104" s="610"/>
      <c r="DK104" s="610"/>
      <c r="DL104" s="610"/>
      <c r="DM104" s="610"/>
      <c r="DN104" s="610"/>
      <c r="DO104" s="610"/>
      <c r="DP104" s="610"/>
      <c r="DQ104" s="610"/>
      <c r="DR104" s="610"/>
      <c r="DS104" s="610"/>
      <c r="DT104" s="610"/>
      <c r="DU104" s="610"/>
      <c r="DV104" s="610"/>
      <c r="DW104" s="610"/>
      <c r="DX104" s="610"/>
      <c r="DY104" s="610"/>
      <c r="DZ104" s="610"/>
      <c r="EA104" s="610"/>
      <c r="EB104" s="610"/>
      <c r="EC104" s="610"/>
      <c r="ED104" s="610"/>
      <c r="EE104" s="610"/>
      <c r="EF104" s="610"/>
      <c r="EG104" s="610"/>
      <c r="EH104" s="610"/>
      <c r="EI104" s="610"/>
      <c r="EJ104" s="610"/>
      <c r="EK104" s="610"/>
      <c r="EL104" s="610"/>
      <c r="EM104" s="610"/>
      <c r="EN104" s="610"/>
      <c r="EO104" s="610"/>
      <c r="EP104" s="610"/>
      <c r="EQ104" s="610"/>
      <c r="ER104" s="610"/>
      <c r="ES104" s="610"/>
      <c r="ET104" s="610"/>
      <c r="EU104" s="610"/>
      <c r="EV104" s="610"/>
      <c r="EW104" s="610"/>
      <c r="EX104" s="610"/>
      <c r="EY104" s="610"/>
      <c r="EZ104" s="610"/>
      <c r="FA104" s="610"/>
      <c r="FB104" s="610"/>
      <c r="FC104" s="610"/>
      <c r="FD104" s="610"/>
      <c r="FE104" s="610"/>
      <c r="FF104" s="610"/>
      <c r="FG104" s="610"/>
      <c r="FH104" s="610"/>
      <c r="FI104" s="610"/>
      <c r="FJ104" s="610"/>
      <c r="FK104" s="610"/>
      <c r="FL104" s="610"/>
      <c r="FM104" s="610"/>
      <c r="FN104" s="610"/>
      <c r="FO104" s="610"/>
      <c r="FP104" s="610"/>
      <c r="FQ104" s="610"/>
      <c r="FR104" s="610"/>
      <c r="FS104" s="610"/>
      <c r="FT104" s="610"/>
      <c r="FU104" s="610"/>
      <c r="FV104" s="610"/>
      <c r="FW104" s="610"/>
      <c r="FX104" s="610"/>
      <c r="FY104" s="610"/>
      <c r="FZ104" s="610"/>
      <c r="GA104" s="610"/>
      <c r="GB104" s="610"/>
      <c r="GC104" s="610"/>
      <c r="GD104" s="610"/>
      <c r="GE104" s="610"/>
      <c r="GF104" s="610"/>
      <c r="GG104" s="610"/>
      <c r="GH104" s="610"/>
      <c r="GI104" s="610"/>
      <c r="GJ104" s="610"/>
      <c r="GK104" s="610"/>
      <c r="GL104" s="610"/>
      <c r="GM104" s="610"/>
      <c r="GN104" s="610"/>
      <c r="GO104" s="610"/>
      <c r="GP104" s="610"/>
      <c r="GQ104" s="610"/>
      <c r="GR104" s="610"/>
      <c r="GS104" s="610"/>
      <c r="GT104" s="610"/>
      <c r="GU104" s="610"/>
      <c r="GV104" s="610"/>
      <c r="GW104" s="610"/>
      <c r="GX104" s="610"/>
      <c r="GY104" s="610"/>
      <c r="GZ104" s="610"/>
      <c r="HA104" s="610"/>
      <c r="HB104" s="610"/>
      <c r="HC104" s="610"/>
      <c r="HD104" s="610"/>
      <c r="HE104" s="610"/>
      <c r="HF104" s="610"/>
      <c r="HG104" s="610"/>
      <c r="HH104" s="610"/>
      <c r="HI104" s="610"/>
      <c r="HJ104" s="610"/>
      <c r="HK104" s="610"/>
      <c r="HL104" s="610"/>
      <c r="HM104" s="610"/>
      <c r="HN104" s="610"/>
      <c r="HO104" s="610"/>
      <c r="HP104" s="610"/>
      <c r="HQ104" s="610"/>
      <c r="HR104" s="610"/>
      <c r="HS104" s="610"/>
      <c r="HT104" s="610"/>
      <c r="HU104" s="610"/>
      <c r="HV104" s="610"/>
      <c r="HW104" s="610"/>
      <c r="HX104" s="610"/>
      <c r="HY104" s="610"/>
      <c r="HZ104" s="610"/>
      <c r="IA104" s="610"/>
      <c r="IB104" s="610"/>
      <c r="IC104" s="610"/>
      <c r="ID104" s="610"/>
      <c r="IE104" s="610"/>
      <c r="IF104" s="610"/>
      <c r="IG104" s="610"/>
      <c r="IH104" s="610"/>
      <c r="II104" s="610"/>
      <c r="IJ104" s="610"/>
      <c r="IK104" s="610"/>
      <c r="IL104" s="610"/>
      <c r="IM104" s="610"/>
      <c r="IN104" s="610"/>
      <c r="IO104" s="610"/>
      <c r="IP104" s="610"/>
      <c r="IQ104" s="610"/>
      <c r="IR104" s="610"/>
      <c r="IS104" s="610"/>
      <c r="IT104" s="610"/>
      <c r="IU104" s="610"/>
      <c r="IV104" s="610"/>
      <c r="IW104" s="610"/>
      <c r="IX104" s="610"/>
      <c r="IY104" s="610"/>
      <c r="IZ104" s="610"/>
      <c r="JA104" s="610"/>
      <c r="JB104" s="610"/>
      <c r="JC104" s="610"/>
      <c r="JD104" s="610"/>
      <c r="JE104" s="610"/>
      <c r="JF104" s="610"/>
      <c r="JG104" s="610"/>
      <c r="JH104" s="610"/>
      <c r="JI104" s="610"/>
      <c r="JJ104" s="610"/>
      <c r="JK104" s="610"/>
      <c r="JL104" s="610"/>
      <c r="JM104" s="610"/>
      <c r="JN104" s="610"/>
      <c r="JO104" s="610"/>
      <c r="JP104" s="610"/>
      <c r="JQ104" s="610"/>
      <c r="JR104" s="610"/>
      <c r="JS104" s="610"/>
      <c r="JT104" s="610"/>
      <c r="JU104" s="610"/>
      <c r="JV104" s="610"/>
      <c r="JW104" s="610"/>
      <c r="JX104" s="610"/>
      <c r="JY104" s="610"/>
      <c r="JZ104" s="610"/>
      <c r="KA104" s="610"/>
      <c r="KB104" s="610"/>
      <c r="KC104" s="610"/>
      <c r="KD104" s="610"/>
      <c r="KE104" s="610"/>
      <c r="KF104" s="610"/>
      <c r="KG104" s="610"/>
      <c r="KH104" s="610"/>
      <c r="KI104" s="610"/>
      <c r="KJ104" s="610"/>
      <c r="KK104" s="610"/>
      <c r="KL104" s="610"/>
      <c r="KM104" s="610"/>
      <c r="KN104" s="610"/>
      <c r="KO104" s="610"/>
      <c r="KP104" s="610"/>
      <c r="KQ104" s="610"/>
      <c r="KR104" s="610"/>
      <c r="KS104" s="610"/>
      <c r="KT104" s="610"/>
      <c r="KU104" s="610"/>
      <c r="KV104" s="610"/>
      <c r="KW104" s="610"/>
      <c r="KX104" s="610"/>
      <c r="KY104" s="610"/>
      <c r="KZ104" s="610"/>
      <c r="LA104" s="610"/>
      <c r="LB104" s="610"/>
      <c r="LC104" s="610"/>
      <c r="LD104" s="610"/>
      <c r="LE104" s="610"/>
      <c r="LF104" s="610"/>
      <c r="LG104" s="610"/>
      <c r="LH104" s="610"/>
      <c r="LI104" s="610"/>
      <c r="LJ104" s="610"/>
      <c r="LK104" s="610"/>
      <c r="LL104" s="610"/>
      <c r="LM104" s="610"/>
      <c r="LN104" s="610"/>
      <c r="LO104" s="610"/>
      <c r="LP104" s="610"/>
      <c r="LQ104" s="610"/>
      <c r="LR104" s="610"/>
      <c r="LS104" s="610"/>
      <c r="LT104" s="610"/>
      <c r="LU104" s="610"/>
      <c r="LV104" s="610"/>
      <c r="LW104" s="610"/>
      <c r="LX104" s="610"/>
      <c r="LY104" s="610"/>
      <c r="LZ104" s="610"/>
      <c r="MA104" s="610"/>
      <c r="MB104" s="610"/>
      <c r="MC104" s="610"/>
      <c r="MD104" s="610"/>
      <c r="ME104" s="610"/>
      <c r="MF104" s="610"/>
      <c r="MG104" s="610"/>
      <c r="MH104" s="610"/>
      <c r="MI104" s="610"/>
      <c r="MJ104" s="610"/>
      <c r="MK104" s="610"/>
      <c r="ML104" s="610"/>
      <c r="MM104" s="610"/>
      <c r="MN104" s="610"/>
      <c r="MO104" s="610"/>
      <c r="MP104" s="610"/>
      <c r="MQ104" s="610"/>
      <c r="MR104" s="610"/>
      <c r="MS104" s="610"/>
      <c r="MT104" s="610"/>
      <c r="MU104" s="610"/>
      <c r="MV104" s="610"/>
      <c r="MW104" s="610"/>
      <c r="MX104" s="610"/>
      <c r="MY104" s="610"/>
      <c r="MZ104" s="610"/>
      <c r="NA104" s="610"/>
      <c r="NB104" s="610"/>
      <c r="NC104" s="610"/>
      <c r="ND104" s="610"/>
      <c r="NE104" s="610"/>
      <c r="NF104" s="610"/>
      <c r="NG104" s="610"/>
      <c r="NH104" s="610"/>
      <c r="NI104" s="610"/>
      <c r="NJ104" s="610"/>
      <c r="NK104" s="610"/>
      <c r="NL104" s="610"/>
      <c r="NM104" s="610"/>
      <c r="NN104" s="610"/>
      <c r="NO104" s="610"/>
      <c r="NP104" s="610"/>
      <c r="NQ104" s="610"/>
      <c r="NR104" s="610"/>
      <c r="NS104" s="610"/>
      <c r="NT104" s="610"/>
      <c r="NU104" s="610"/>
      <c r="NV104" s="610"/>
      <c r="NW104" s="610"/>
      <c r="NX104" s="610"/>
      <c r="NY104" s="610"/>
      <c r="NZ104" s="610"/>
      <c r="OA104" s="610"/>
      <c r="OB104" s="610"/>
      <c r="OC104" s="610"/>
      <c r="OD104" s="610"/>
      <c r="OE104" s="610"/>
      <c r="OF104" s="610"/>
      <c r="OG104" s="610"/>
      <c r="OH104" s="610"/>
      <c r="OI104" s="610"/>
      <c r="OJ104" s="610"/>
      <c r="OK104" s="610"/>
      <c r="OL104" s="610"/>
      <c r="OM104" s="610"/>
      <c r="ON104" s="610"/>
      <c r="OO104" s="610"/>
      <c r="OP104" s="610"/>
      <c r="OQ104" s="610"/>
      <c r="OR104" s="610"/>
      <c r="OS104" s="610"/>
      <c r="OT104" s="610"/>
      <c r="OU104" s="610"/>
      <c r="OV104" s="610"/>
      <c r="OW104" s="610"/>
      <c r="OX104" s="610"/>
      <c r="OY104" s="610"/>
      <c r="OZ104" s="610"/>
      <c r="PA104" s="610"/>
      <c r="PB104" s="610"/>
      <c r="PC104" s="610"/>
      <c r="PD104" s="610"/>
      <c r="PE104" s="610"/>
      <c r="PF104" s="610"/>
      <c r="PG104" s="610"/>
      <c r="PH104" s="610"/>
      <c r="PI104" s="610"/>
      <c r="PJ104" s="610"/>
      <c r="PK104" s="610"/>
      <c r="PL104" s="610"/>
      <c r="PM104" s="610"/>
      <c r="PN104" s="610"/>
      <c r="PO104" s="610"/>
      <c r="PP104" s="610"/>
      <c r="PQ104" s="610"/>
      <c r="PR104" s="610"/>
      <c r="PS104" s="610"/>
      <c r="PT104" s="610"/>
      <c r="PU104" s="610"/>
      <c r="PV104" s="610"/>
      <c r="PW104" s="610"/>
      <c r="PX104" s="610"/>
      <c r="PY104" s="610"/>
      <c r="PZ104" s="610"/>
      <c r="QA104" s="610"/>
      <c r="QB104" s="610"/>
      <c r="QC104" s="610"/>
      <c r="QD104" s="610"/>
      <c r="QE104" s="610"/>
      <c r="QF104" s="610"/>
      <c r="QG104" s="610"/>
      <c r="QH104" s="610"/>
      <c r="QI104" s="610"/>
      <c r="QJ104" s="610"/>
      <c r="QK104" s="610"/>
      <c r="QL104" s="610"/>
      <c r="QM104" s="610"/>
      <c r="QN104" s="610"/>
      <c r="QO104" s="610"/>
      <c r="QP104" s="610"/>
      <c r="QQ104" s="610"/>
      <c r="QR104" s="610"/>
      <c r="QS104" s="610"/>
      <c r="QT104" s="610"/>
      <c r="QU104" s="610"/>
      <c r="QV104" s="610"/>
      <c r="QW104" s="610"/>
      <c r="QX104" s="610"/>
      <c r="QY104" s="610"/>
      <c r="QZ104" s="610"/>
      <c r="RA104" s="610"/>
      <c r="RB104" s="610"/>
      <c r="RC104" s="610"/>
      <c r="RD104" s="610"/>
      <c r="RE104" s="610"/>
      <c r="RF104" s="610"/>
      <c r="RG104" s="610"/>
      <c r="RH104" s="610"/>
      <c r="RI104" s="610"/>
      <c r="RJ104" s="610"/>
      <c r="RK104" s="610"/>
      <c r="RL104" s="610"/>
      <c r="RM104" s="610"/>
      <c r="RN104" s="610"/>
      <c r="RO104" s="610"/>
      <c r="RP104" s="610"/>
      <c r="RQ104" s="610"/>
      <c r="RR104" s="610"/>
      <c r="RS104" s="610"/>
      <c r="RT104" s="610"/>
      <c r="RU104" s="610"/>
      <c r="RV104" s="610"/>
      <c r="RW104" s="610"/>
      <c r="RX104" s="610"/>
      <c r="RY104" s="610"/>
      <c r="RZ104" s="610"/>
      <c r="SA104" s="610"/>
      <c r="SB104" s="610"/>
      <c r="SC104" s="610"/>
      <c r="SD104" s="610"/>
      <c r="SE104" s="610"/>
      <c r="SF104" s="610"/>
      <c r="SG104" s="610"/>
      <c r="SH104" s="610"/>
      <c r="SI104" s="610"/>
      <c r="SJ104" s="610"/>
      <c r="SK104" s="610"/>
      <c r="SL104" s="610"/>
      <c r="SM104" s="610"/>
      <c r="SN104" s="610"/>
      <c r="SO104" s="610"/>
      <c r="SP104" s="610"/>
      <c r="SQ104" s="610"/>
      <c r="SR104" s="610"/>
      <c r="SS104" s="610"/>
      <c r="ST104" s="610"/>
      <c r="SU104" s="610"/>
      <c r="SV104" s="610"/>
      <c r="SW104" s="610"/>
      <c r="SX104" s="610"/>
      <c r="SY104" s="610"/>
      <c r="SZ104" s="610"/>
      <c r="TA104" s="610"/>
      <c r="TB104" s="610"/>
      <c r="TC104" s="610"/>
      <c r="TD104" s="610"/>
      <c r="TE104" s="610"/>
      <c r="TF104" s="610"/>
      <c r="TG104" s="610"/>
      <c r="TH104" s="610"/>
      <c r="TI104" s="610"/>
      <c r="TJ104" s="610"/>
      <c r="TK104" s="610"/>
      <c r="TL104" s="610"/>
      <c r="TM104" s="610"/>
      <c r="TN104" s="610"/>
      <c r="TO104" s="610"/>
      <c r="TP104" s="610"/>
      <c r="TQ104" s="610"/>
      <c r="TR104" s="610"/>
      <c r="TS104" s="610"/>
      <c r="TT104" s="610"/>
      <c r="TU104" s="610"/>
      <c r="TV104" s="610"/>
      <c r="TW104" s="610"/>
      <c r="TX104" s="610"/>
      <c r="TY104" s="610"/>
      <c r="TZ104" s="610"/>
      <c r="UA104" s="610"/>
      <c r="UB104" s="610"/>
      <c r="UC104" s="610"/>
      <c r="UD104" s="610"/>
      <c r="UE104" s="610"/>
      <c r="UF104" s="610"/>
      <c r="UG104" s="610"/>
      <c r="UH104" s="610"/>
      <c r="UI104" s="610"/>
      <c r="UJ104" s="610"/>
      <c r="UK104" s="610"/>
      <c r="UL104" s="610"/>
      <c r="UM104" s="610"/>
      <c r="UN104" s="610"/>
      <c r="UO104" s="610"/>
      <c r="UP104" s="610"/>
      <c r="UQ104" s="610"/>
      <c r="UR104" s="610"/>
      <c r="US104" s="610"/>
      <c r="UT104" s="610"/>
      <c r="UU104" s="610"/>
      <c r="UV104" s="610"/>
      <c r="UW104" s="610"/>
      <c r="UX104" s="610"/>
      <c r="UY104" s="610"/>
      <c r="UZ104" s="610"/>
      <c r="VA104" s="610"/>
      <c r="VB104" s="610"/>
      <c r="VC104" s="610"/>
      <c r="VD104" s="610"/>
      <c r="VE104" s="610"/>
      <c r="VF104" s="610"/>
      <c r="VG104" s="610"/>
      <c r="VH104" s="610"/>
      <c r="VI104" s="610"/>
      <c r="VJ104" s="610"/>
      <c r="VK104" s="610"/>
      <c r="VL104" s="610"/>
      <c r="VM104" s="610"/>
      <c r="VN104" s="610"/>
      <c r="VO104" s="610"/>
      <c r="VP104" s="610"/>
      <c r="VQ104" s="610"/>
      <c r="VR104" s="610"/>
      <c r="VS104" s="610"/>
      <c r="VT104" s="610"/>
      <c r="VU104" s="610"/>
      <c r="VV104" s="610"/>
      <c r="VW104" s="610"/>
      <c r="VX104" s="610"/>
      <c r="VY104" s="610"/>
      <c r="VZ104" s="610"/>
      <c r="WA104" s="610"/>
      <c r="WB104" s="610"/>
      <c r="WC104" s="610"/>
      <c r="WD104" s="610"/>
      <c r="WE104" s="610"/>
      <c r="WF104" s="610"/>
      <c r="WG104" s="610"/>
      <c r="WH104" s="610"/>
      <c r="WI104" s="610"/>
      <c r="WJ104" s="610"/>
      <c r="WK104" s="610"/>
      <c r="WL104" s="610"/>
      <c r="WM104" s="610"/>
      <c r="WN104" s="610"/>
      <c r="WO104" s="610"/>
      <c r="WP104" s="610"/>
      <c r="WQ104" s="610"/>
      <c r="WR104" s="610"/>
      <c r="WS104" s="610"/>
      <c r="WT104" s="610"/>
      <c r="WU104" s="610"/>
      <c r="WV104" s="610"/>
      <c r="WW104" s="610"/>
      <c r="WX104" s="610"/>
      <c r="WY104" s="610"/>
      <c r="WZ104" s="610"/>
      <c r="XA104" s="610"/>
      <c r="XB104" s="610"/>
      <c r="XC104" s="610"/>
      <c r="XD104" s="610"/>
      <c r="XE104" s="610"/>
      <c r="XF104" s="610"/>
      <c r="XG104" s="610"/>
      <c r="XH104" s="610"/>
      <c r="XI104" s="610"/>
      <c r="XJ104" s="610"/>
      <c r="XK104" s="610"/>
      <c r="XL104" s="610"/>
      <c r="XM104" s="610"/>
      <c r="XN104" s="610"/>
      <c r="XO104" s="610"/>
      <c r="XP104" s="610"/>
      <c r="XQ104" s="610"/>
      <c r="XR104" s="610"/>
      <c r="XS104" s="610"/>
      <c r="XT104" s="610"/>
      <c r="XU104" s="610"/>
      <c r="XV104" s="610"/>
      <c r="XW104" s="610"/>
      <c r="XX104" s="610"/>
      <c r="XY104" s="610"/>
      <c r="XZ104" s="610"/>
      <c r="YA104" s="610"/>
      <c r="YB104" s="610"/>
      <c r="YC104" s="610"/>
      <c r="YD104" s="610"/>
      <c r="YE104" s="610"/>
      <c r="YF104" s="610"/>
      <c r="YG104" s="610"/>
      <c r="YH104" s="610"/>
      <c r="YI104" s="610"/>
      <c r="YJ104" s="610"/>
      <c r="YK104" s="610"/>
      <c r="YL104" s="610"/>
      <c r="YM104" s="610"/>
      <c r="YN104" s="610"/>
      <c r="YO104" s="610"/>
      <c r="YP104" s="610"/>
      <c r="YQ104" s="610"/>
      <c r="YR104" s="610"/>
      <c r="YS104" s="610"/>
      <c r="YT104" s="610"/>
      <c r="YU104" s="610"/>
      <c r="YV104" s="610"/>
      <c r="YW104" s="610"/>
      <c r="YX104" s="610"/>
      <c r="YY104" s="610"/>
      <c r="YZ104" s="610"/>
      <c r="ZA104" s="610"/>
      <c r="ZB104" s="610"/>
      <c r="ZC104" s="610"/>
      <c r="ZD104" s="610"/>
      <c r="ZE104" s="610"/>
      <c r="ZF104" s="610"/>
      <c r="ZG104" s="610"/>
      <c r="ZH104" s="610"/>
      <c r="ZI104" s="610"/>
      <c r="ZJ104" s="610"/>
      <c r="ZK104" s="610"/>
      <c r="ZL104" s="610"/>
      <c r="ZM104" s="610"/>
      <c r="ZN104" s="610"/>
      <c r="ZO104" s="610"/>
      <c r="ZP104" s="610"/>
      <c r="ZQ104" s="610"/>
      <c r="ZR104" s="610"/>
      <c r="ZS104" s="610"/>
      <c r="ZT104" s="610"/>
      <c r="ZU104" s="610"/>
      <c r="ZV104" s="610"/>
      <c r="ZW104" s="610"/>
      <c r="ZX104" s="610"/>
      <c r="ZY104" s="610"/>
      <c r="ZZ104" s="610"/>
      <c r="AAA104" s="610"/>
      <c r="AAB104" s="610"/>
      <c r="AAC104" s="610"/>
      <c r="AAD104" s="610"/>
      <c r="AAE104" s="610"/>
      <c r="AAF104" s="610"/>
      <c r="AAG104" s="610"/>
      <c r="AAH104" s="610"/>
      <c r="AAI104" s="610"/>
      <c r="AAJ104" s="610"/>
      <c r="AAK104" s="610"/>
      <c r="AAL104" s="610"/>
      <c r="AAM104" s="610"/>
      <c r="AAN104" s="610"/>
      <c r="AAO104" s="610"/>
      <c r="AAP104" s="610"/>
      <c r="AAQ104" s="610"/>
      <c r="AAR104" s="610"/>
      <c r="AAS104" s="610"/>
      <c r="AAT104" s="610"/>
      <c r="AAU104" s="610"/>
      <c r="AAV104" s="610"/>
      <c r="AAW104" s="610"/>
      <c r="AAX104" s="610"/>
      <c r="AAY104" s="610"/>
      <c r="AAZ104" s="610"/>
      <c r="ABA104" s="610"/>
      <c r="ABB104" s="610"/>
      <c r="ABC104" s="610"/>
      <c r="ABD104" s="610"/>
      <c r="ABE104" s="610"/>
      <c r="ABF104" s="610"/>
      <c r="ABG104" s="610"/>
      <c r="ABH104" s="610"/>
      <c r="ABI104" s="610"/>
      <c r="ABJ104" s="610"/>
      <c r="ABK104" s="610"/>
      <c r="ABL104" s="610"/>
      <c r="ABM104" s="610"/>
      <c r="ABN104" s="610"/>
      <c r="ABO104" s="610"/>
      <c r="ABP104" s="610"/>
      <c r="ABQ104" s="610"/>
      <c r="ABR104" s="610"/>
      <c r="ABS104" s="610"/>
      <c r="ABT104" s="610"/>
      <c r="ABU104" s="610"/>
      <c r="ABV104" s="610"/>
      <c r="ABW104" s="610"/>
      <c r="ABX104" s="610"/>
      <c r="ABY104" s="610"/>
      <c r="ABZ104" s="610"/>
      <c r="ACA104" s="610"/>
      <c r="ACB104" s="610"/>
      <c r="ACC104" s="610"/>
      <c r="ACD104" s="610"/>
      <c r="ACE104" s="610"/>
      <c r="ACF104" s="610"/>
      <c r="ACG104" s="610"/>
      <c r="ACH104" s="610"/>
      <c r="ACI104" s="610"/>
      <c r="ACJ104" s="610"/>
      <c r="ACK104" s="610"/>
      <c r="ACL104" s="610"/>
      <c r="ACM104" s="610"/>
      <c r="ACN104" s="610"/>
      <c r="ACO104" s="610"/>
      <c r="ACP104" s="610"/>
      <c r="ACQ104" s="610"/>
      <c r="ACR104" s="610"/>
      <c r="ACS104" s="610"/>
      <c r="ACT104" s="610"/>
      <c r="ACU104" s="610"/>
      <c r="ACV104" s="610"/>
      <c r="ACW104" s="610"/>
      <c r="ACX104" s="610"/>
      <c r="ACY104" s="610"/>
      <c r="ACZ104" s="610"/>
      <c r="ADA104" s="610"/>
      <c r="ADB104" s="610"/>
      <c r="ADC104" s="610"/>
      <c r="ADD104" s="610"/>
      <c r="ADE104" s="610"/>
      <c r="ADF104" s="610"/>
      <c r="ADG104" s="610"/>
      <c r="ADH104" s="610"/>
      <c r="ADI104" s="610"/>
      <c r="ADJ104" s="610"/>
      <c r="ADK104" s="610"/>
      <c r="ADL104" s="610"/>
      <c r="ADM104" s="610"/>
      <c r="ADN104" s="610"/>
      <c r="ADO104" s="610"/>
      <c r="ADP104" s="610"/>
      <c r="ADQ104" s="610"/>
      <c r="ADR104" s="610"/>
      <c r="ADS104" s="610"/>
      <c r="ADT104" s="610"/>
      <c r="ADU104" s="610"/>
      <c r="ADV104" s="610"/>
      <c r="ADW104" s="610"/>
      <c r="ADX104" s="610"/>
      <c r="ADY104" s="610"/>
      <c r="ADZ104" s="610"/>
      <c r="AEA104" s="610"/>
      <c r="AEB104" s="610"/>
      <c r="AEC104" s="610"/>
      <c r="AED104" s="610"/>
      <c r="AEE104" s="610"/>
      <c r="AEF104" s="610"/>
      <c r="AEG104" s="610"/>
      <c r="AEH104" s="610"/>
      <c r="AEI104" s="610"/>
      <c r="AEJ104" s="610"/>
      <c r="AEK104" s="610"/>
      <c r="AEL104" s="610"/>
      <c r="AEM104" s="610"/>
      <c r="AEN104" s="610"/>
      <c r="AEO104" s="610"/>
      <c r="AEP104" s="610"/>
      <c r="AEQ104" s="610"/>
      <c r="AER104" s="610"/>
      <c r="AES104" s="610"/>
      <c r="AET104" s="610"/>
      <c r="AEU104" s="610"/>
      <c r="AEV104" s="610"/>
      <c r="AEW104" s="610"/>
      <c r="AEX104" s="610"/>
      <c r="AEY104" s="610"/>
      <c r="AEZ104" s="610"/>
      <c r="AFA104" s="610"/>
      <c r="AFB104" s="610"/>
      <c r="AFC104" s="610"/>
      <c r="AFD104" s="610"/>
      <c r="AFE104" s="610"/>
      <c r="AFF104" s="610"/>
      <c r="AFG104" s="610"/>
      <c r="AFH104" s="610"/>
      <c r="AFI104" s="610"/>
      <c r="AFJ104" s="610"/>
      <c r="AFK104" s="610"/>
      <c r="AFL104" s="610"/>
      <c r="AFM104" s="610"/>
      <c r="AFN104" s="610"/>
      <c r="AFO104" s="610"/>
      <c r="AFP104" s="610"/>
      <c r="AFQ104" s="610"/>
      <c r="AFR104" s="610"/>
      <c r="AFS104" s="610"/>
      <c r="AFT104" s="610"/>
      <c r="AFU104" s="610"/>
      <c r="AFV104" s="610"/>
      <c r="AFW104" s="610"/>
      <c r="AFX104" s="610"/>
      <c r="AFY104" s="610"/>
      <c r="AFZ104" s="610"/>
      <c r="AGA104" s="610"/>
      <c r="AGB104" s="610"/>
      <c r="AGC104" s="610"/>
      <c r="AGD104" s="610"/>
      <c r="AGE104" s="610"/>
      <c r="AGF104" s="610"/>
      <c r="AGG104" s="610"/>
      <c r="AGH104" s="610"/>
      <c r="AGI104" s="610"/>
      <c r="AGJ104" s="610"/>
      <c r="AGK104" s="610"/>
      <c r="AGL104" s="610"/>
      <c r="AGM104" s="610"/>
      <c r="AGN104" s="610"/>
      <c r="AGO104" s="610"/>
      <c r="AGP104" s="610"/>
      <c r="AGQ104" s="610"/>
      <c r="AGR104" s="610"/>
      <c r="AGS104" s="610"/>
      <c r="AGT104" s="610"/>
      <c r="AGU104" s="610"/>
      <c r="AGV104" s="610"/>
      <c r="AGW104" s="610"/>
      <c r="AGX104" s="610"/>
      <c r="AGY104" s="610"/>
      <c r="AGZ104" s="610"/>
      <c r="AHA104" s="610"/>
      <c r="AHB104" s="610"/>
      <c r="AHC104" s="610"/>
      <c r="AHD104" s="610"/>
      <c r="AHE104" s="610"/>
      <c r="AHF104" s="610"/>
      <c r="AHG104" s="610"/>
      <c r="AHH104" s="610"/>
      <c r="AHI104" s="610"/>
      <c r="AHJ104" s="610"/>
      <c r="AHK104" s="610"/>
      <c r="AHL104" s="610"/>
      <c r="AHM104" s="610"/>
      <c r="AHN104" s="610"/>
      <c r="AHO104" s="610"/>
      <c r="AHP104" s="610"/>
      <c r="AHQ104" s="610"/>
      <c r="AHR104" s="610"/>
      <c r="AHS104" s="610"/>
      <c r="AHT104" s="610"/>
      <c r="AHU104" s="610"/>
      <c r="AHV104" s="610"/>
      <c r="AHW104" s="610"/>
      <c r="AHX104" s="610"/>
      <c r="AHY104" s="610"/>
      <c r="AHZ104" s="610"/>
      <c r="AIA104" s="610"/>
      <c r="AIB104" s="610"/>
      <c r="AIC104" s="610"/>
      <c r="AID104" s="610"/>
      <c r="AIE104" s="610"/>
      <c r="AIF104" s="610"/>
      <c r="AIG104" s="610"/>
      <c r="AIH104" s="610"/>
      <c r="AII104" s="610"/>
      <c r="AIJ104" s="610"/>
      <c r="AIK104" s="610"/>
      <c r="AIL104" s="610"/>
      <c r="AIM104" s="610"/>
      <c r="AIN104" s="610"/>
      <c r="AIO104" s="610"/>
      <c r="AIP104" s="610"/>
      <c r="AIQ104" s="610"/>
      <c r="AIR104" s="610"/>
      <c r="AIS104" s="610"/>
      <c r="AIT104" s="610"/>
      <c r="AIU104" s="610"/>
      <c r="AIV104" s="610"/>
      <c r="AIW104" s="610"/>
      <c r="AIX104" s="610"/>
      <c r="AIY104" s="610"/>
      <c r="AIZ104" s="610"/>
      <c r="AJA104" s="610"/>
      <c r="AJB104" s="610"/>
      <c r="AJC104" s="610"/>
      <c r="AJD104" s="610"/>
      <c r="AJE104" s="610"/>
      <c r="AJF104" s="610"/>
      <c r="AJG104" s="610"/>
      <c r="AJH104" s="610"/>
      <c r="AJI104" s="610"/>
      <c r="AJJ104" s="610"/>
      <c r="AJK104" s="610"/>
      <c r="AJL104" s="610"/>
      <c r="AJM104" s="610"/>
      <c r="AJN104" s="610"/>
      <c r="AJO104" s="610"/>
      <c r="AJP104" s="610"/>
      <c r="AJQ104" s="610"/>
      <c r="AJR104" s="610"/>
      <c r="AJS104" s="610"/>
      <c r="AJT104" s="610"/>
      <c r="AJU104" s="610"/>
      <c r="AJV104" s="610"/>
      <c r="AJW104" s="610"/>
      <c r="AJX104" s="610"/>
      <c r="AJY104" s="610"/>
      <c r="AJZ104" s="610"/>
      <c r="AKA104" s="610"/>
      <c r="AKB104" s="610"/>
      <c r="AKC104" s="610"/>
      <c r="AKD104" s="610"/>
      <c r="AKE104" s="610"/>
      <c r="AKF104" s="610"/>
      <c r="AKG104" s="610"/>
      <c r="AKH104" s="610"/>
      <c r="AKI104" s="610"/>
      <c r="AKJ104" s="610"/>
      <c r="AKK104" s="610"/>
      <c r="AKL104" s="610"/>
      <c r="AKM104" s="610"/>
      <c r="AKN104" s="610"/>
      <c r="AKO104" s="610"/>
      <c r="AKP104" s="610"/>
      <c r="AKQ104" s="610"/>
      <c r="AKR104" s="610"/>
      <c r="AKS104" s="610"/>
      <c r="AKT104" s="610"/>
      <c r="AKU104" s="610"/>
      <c r="AKV104" s="610"/>
      <c r="AKW104" s="610"/>
      <c r="AKX104" s="610"/>
      <c r="AKY104" s="610"/>
      <c r="AKZ104" s="610"/>
      <c r="ALA104" s="610"/>
      <c r="ALB104" s="610"/>
      <c r="ALC104" s="610"/>
      <c r="ALD104" s="610"/>
      <c r="ALE104" s="610"/>
      <c r="ALF104" s="610"/>
      <c r="ALG104" s="610"/>
      <c r="ALH104" s="610"/>
      <c r="ALI104" s="610"/>
      <c r="ALJ104" s="610"/>
      <c r="ALK104" s="610"/>
      <c r="ALL104" s="610"/>
      <c r="ALM104" s="610"/>
      <c r="ALN104" s="610"/>
      <c r="ALO104" s="610"/>
      <c r="ALP104" s="610"/>
      <c r="ALQ104" s="610"/>
      <c r="ALR104" s="610"/>
      <c r="ALS104" s="610"/>
      <c r="ALT104" s="610"/>
      <c r="ALU104" s="610"/>
      <c r="ALV104" s="610"/>
      <c r="ALW104" s="610"/>
      <c r="ALX104" s="610"/>
      <c r="ALY104" s="610"/>
      <c r="ALZ104" s="610"/>
      <c r="AMA104" s="610"/>
      <c r="AMB104" s="610"/>
      <c r="AMC104" s="610"/>
      <c r="AMD104" s="610"/>
      <c r="AME104" s="610"/>
      <c r="AMF104" s="610"/>
      <c r="AMG104" s="610"/>
      <c r="AMH104" s="610"/>
      <c r="AMI104" s="610"/>
      <c r="AMJ104" s="610"/>
      <c r="AMK104" s="610"/>
      <c r="AML104" s="610"/>
      <c r="AMM104" s="610"/>
      <c r="AMN104" s="610"/>
      <c r="AMO104" s="610"/>
      <c r="AMP104" s="610"/>
      <c r="AMQ104" s="610"/>
      <c r="AMR104" s="610"/>
      <c r="AMS104" s="610"/>
      <c r="AMT104" s="610"/>
      <c r="AMU104" s="610"/>
      <c r="AMV104" s="610"/>
      <c r="AMW104" s="610"/>
      <c r="AMX104" s="610"/>
      <c r="AMY104" s="610"/>
      <c r="AMZ104" s="610"/>
      <c r="ANA104" s="610"/>
      <c r="ANB104" s="610"/>
      <c r="ANC104" s="610"/>
      <c r="AND104" s="610"/>
      <c r="ANE104" s="610"/>
      <c r="ANF104" s="610"/>
      <c r="ANG104" s="610"/>
      <c r="ANH104" s="610"/>
      <c r="ANI104" s="610"/>
      <c r="ANJ104" s="610"/>
      <c r="ANK104" s="610"/>
      <c r="ANL104" s="610"/>
      <c r="ANM104" s="610"/>
      <c r="ANN104" s="610"/>
      <c r="ANO104" s="610"/>
      <c r="ANP104" s="610"/>
      <c r="ANQ104" s="610"/>
      <c r="ANR104" s="610"/>
      <c r="ANS104" s="610"/>
      <c r="ANT104" s="610"/>
      <c r="ANU104" s="610"/>
      <c r="ANV104" s="610"/>
      <c r="ANW104" s="610"/>
      <c r="ANX104" s="610"/>
      <c r="ANY104" s="610"/>
      <c r="ANZ104" s="610"/>
      <c r="AOA104" s="610"/>
      <c r="AOB104" s="610"/>
      <c r="AOC104" s="610"/>
      <c r="AOD104" s="610"/>
      <c r="AOE104" s="610"/>
      <c r="AOF104" s="610"/>
      <c r="AOG104" s="610"/>
      <c r="AOH104" s="610"/>
      <c r="AOI104" s="610"/>
      <c r="AOJ104" s="610"/>
      <c r="AOK104" s="610"/>
      <c r="AOL104" s="610"/>
      <c r="AOM104" s="610"/>
      <c r="AON104" s="610"/>
      <c r="AOO104" s="610"/>
      <c r="AOP104" s="610"/>
      <c r="AOQ104" s="610"/>
      <c r="AOR104" s="610"/>
      <c r="AOS104" s="610"/>
      <c r="AOT104" s="610"/>
      <c r="AOU104" s="610"/>
      <c r="AOV104" s="610"/>
      <c r="AOW104" s="610"/>
      <c r="AOX104" s="610"/>
      <c r="AOY104" s="610"/>
      <c r="AOZ104" s="610"/>
      <c r="APA104" s="610"/>
      <c r="APB104" s="610"/>
      <c r="APC104" s="610"/>
      <c r="APD104" s="610"/>
      <c r="APE104" s="610"/>
      <c r="APF104" s="610"/>
      <c r="APG104" s="610"/>
      <c r="APH104" s="610"/>
      <c r="API104" s="610"/>
      <c r="APJ104" s="610"/>
      <c r="APK104" s="610"/>
      <c r="APL104" s="610"/>
      <c r="APM104" s="610"/>
      <c r="APN104" s="610"/>
      <c r="APO104" s="610"/>
      <c r="APP104" s="610"/>
      <c r="APQ104" s="610"/>
      <c r="APR104" s="610"/>
      <c r="APS104" s="610"/>
      <c r="APT104" s="610"/>
      <c r="APU104" s="610"/>
      <c r="APV104" s="610"/>
      <c r="APW104" s="610"/>
      <c r="APX104" s="610"/>
      <c r="APY104" s="610"/>
      <c r="APZ104" s="610"/>
      <c r="AQA104" s="610"/>
      <c r="AQB104" s="610"/>
      <c r="AQC104" s="610"/>
      <c r="AQD104" s="610"/>
      <c r="AQE104" s="610"/>
      <c r="AQF104" s="610"/>
      <c r="AQG104" s="610"/>
      <c r="AQH104" s="610"/>
      <c r="AQI104" s="610"/>
      <c r="AQJ104" s="610"/>
      <c r="AQK104" s="610"/>
      <c r="AQL104" s="610"/>
      <c r="AQM104" s="610"/>
      <c r="AQN104" s="610"/>
      <c r="AQO104" s="610"/>
      <c r="AQP104" s="610"/>
      <c r="AQQ104" s="610"/>
      <c r="AQR104" s="610"/>
      <c r="AQS104" s="610"/>
      <c r="AQT104" s="610"/>
      <c r="AQU104" s="610"/>
      <c r="AQV104" s="610"/>
      <c r="AQW104" s="610"/>
      <c r="AQX104" s="610"/>
      <c r="AQY104" s="610"/>
      <c r="AQZ104" s="610"/>
      <c r="ARA104" s="610"/>
      <c r="ARB104" s="610"/>
      <c r="ARC104" s="610"/>
      <c r="ARD104" s="610"/>
      <c r="ARE104" s="610"/>
      <c r="ARF104" s="610"/>
      <c r="ARG104" s="610"/>
      <c r="ARH104" s="610"/>
      <c r="ARI104" s="610"/>
      <c r="ARJ104" s="610"/>
      <c r="ARK104" s="610"/>
      <c r="ARL104" s="610"/>
      <c r="ARM104" s="610"/>
      <c r="ARN104" s="610"/>
      <c r="ARO104" s="610"/>
      <c r="ARP104" s="610"/>
      <c r="ARQ104" s="610"/>
      <c r="ARR104" s="610"/>
      <c r="ARS104" s="610"/>
      <c r="ART104" s="610"/>
      <c r="ARU104" s="610"/>
      <c r="ARV104" s="610"/>
      <c r="ARW104" s="610"/>
      <c r="ARX104" s="610"/>
      <c r="ARY104" s="610"/>
      <c r="ARZ104" s="610"/>
      <c r="ASA104" s="610"/>
      <c r="ASB104" s="610"/>
      <c r="ASC104" s="610"/>
      <c r="ASD104" s="610"/>
      <c r="ASE104" s="610"/>
      <c r="ASF104" s="610"/>
      <c r="ASG104" s="610"/>
      <c r="ASH104" s="610"/>
      <c r="ASI104" s="610"/>
      <c r="ASJ104" s="610"/>
      <c r="ASK104" s="610"/>
      <c r="ASL104" s="610"/>
      <c r="ASM104" s="610"/>
      <c r="ASN104" s="610"/>
      <c r="ASO104" s="610"/>
      <c r="ASP104" s="610"/>
      <c r="ASQ104" s="610"/>
      <c r="ASR104" s="610"/>
      <c r="ASS104" s="610"/>
      <c r="AST104" s="610"/>
      <c r="ASU104" s="610"/>
      <c r="ASV104" s="610"/>
      <c r="ASW104" s="610"/>
      <c r="ASX104" s="610"/>
      <c r="ASY104" s="610"/>
      <c r="ASZ104" s="610"/>
      <c r="ATA104" s="610"/>
      <c r="ATB104" s="610"/>
      <c r="ATC104" s="610"/>
      <c r="ATD104" s="610"/>
      <c r="ATE104" s="610"/>
      <c r="ATF104" s="610"/>
      <c r="ATG104" s="610"/>
      <c r="ATH104" s="610"/>
      <c r="ATI104" s="610"/>
      <c r="ATJ104" s="610"/>
      <c r="ATK104" s="610"/>
      <c r="ATL104" s="610"/>
      <c r="ATM104" s="610"/>
      <c r="ATN104" s="610"/>
      <c r="ATO104" s="610"/>
      <c r="ATP104" s="610"/>
      <c r="ATQ104" s="610"/>
      <c r="ATR104" s="610"/>
      <c r="ATS104" s="610"/>
      <c r="ATT104" s="610"/>
      <c r="ATU104" s="610"/>
      <c r="ATV104" s="610"/>
      <c r="ATW104" s="610"/>
      <c r="ATX104" s="610"/>
      <c r="ATY104" s="610"/>
      <c r="ATZ104" s="610"/>
      <c r="AUA104" s="610"/>
      <c r="AUB104" s="610"/>
      <c r="AUC104" s="610"/>
      <c r="AUD104" s="610"/>
      <c r="AUE104" s="610"/>
      <c r="AUF104" s="610"/>
      <c r="AUG104" s="610"/>
      <c r="AUH104" s="610"/>
      <c r="AUI104" s="610"/>
      <c r="AUJ104" s="610"/>
      <c r="AUK104" s="610"/>
      <c r="AUL104" s="610"/>
      <c r="AUM104" s="610"/>
      <c r="AUN104" s="610"/>
      <c r="AUO104" s="610"/>
      <c r="AUP104" s="610"/>
      <c r="AUQ104" s="610"/>
      <c r="AUR104" s="610"/>
      <c r="AUS104" s="610"/>
      <c r="AUT104" s="610"/>
      <c r="AUU104" s="610"/>
      <c r="AUV104" s="610"/>
      <c r="AUW104" s="610"/>
      <c r="AUX104" s="610"/>
      <c r="AUY104" s="610"/>
      <c r="AUZ104" s="610"/>
      <c r="AVA104" s="610"/>
      <c r="AVB104" s="610"/>
      <c r="AVC104" s="610"/>
      <c r="AVD104" s="610"/>
      <c r="AVE104" s="610"/>
      <c r="AVF104" s="610"/>
      <c r="AVG104" s="610"/>
      <c r="AVH104" s="610"/>
      <c r="AVI104" s="610"/>
      <c r="AVJ104" s="610"/>
      <c r="AVK104" s="610"/>
      <c r="AVL104" s="610"/>
      <c r="AVM104" s="610"/>
      <c r="AVN104" s="610"/>
      <c r="AVO104" s="610"/>
      <c r="AVP104" s="610"/>
      <c r="AVQ104" s="610"/>
      <c r="AVR104" s="610"/>
      <c r="AVS104" s="610"/>
      <c r="AVT104" s="610"/>
      <c r="AVU104" s="610"/>
      <c r="AVV104" s="610"/>
      <c r="AVW104" s="610"/>
      <c r="AVX104" s="610"/>
      <c r="AVY104" s="610"/>
      <c r="AVZ104" s="610"/>
      <c r="AWA104" s="610"/>
      <c r="AWB104" s="610"/>
      <c r="AWC104" s="610"/>
      <c r="AWD104" s="610"/>
      <c r="AWE104" s="610"/>
      <c r="AWF104" s="610"/>
      <c r="AWG104" s="610"/>
      <c r="AWH104" s="610"/>
      <c r="AWI104" s="610"/>
      <c r="AWJ104" s="610"/>
      <c r="AWK104" s="610"/>
      <c r="AWL104" s="610"/>
      <c r="AWM104" s="610"/>
      <c r="AWN104" s="610"/>
      <c r="AWO104" s="610"/>
      <c r="AWP104" s="610"/>
      <c r="AWQ104" s="610"/>
      <c r="AWR104" s="610"/>
      <c r="AWS104" s="610"/>
      <c r="AWT104" s="610"/>
      <c r="AWU104" s="610"/>
      <c r="AWV104" s="610"/>
      <c r="AWW104" s="610"/>
      <c r="AWX104" s="610"/>
      <c r="AWY104" s="610"/>
      <c r="AWZ104" s="610"/>
      <c r="AXA104" s="610"/>
      <c r="AXB104" s="610"/>
      <c r="AXC104" s="610"/>
      <c r="AXD104" s="610"/>
      <c r="AXE104" s="610"/>
      <c r="AXF104" s="610"/>
      <c r="AXG104" s="610"/>
      <c r="AXH104" s="610"/>
      <c r="AXI104" s="610"/>
      <c r="AXJ104" s="610"/>
      <c r="AXK104" s="610"/>
      <c r="AXL104" s="610"/>
      <c r="AXM104" s="610"/>
      <c r="AXN104" s="610"/>
      <c r="AXO104" s="610"/>
      <c r="AXP104" s="610"/>
      <c r="AXQ104" s="610"/>
      <c r="AXR104" s="610"/>
      <c r="AXS104" s="610"/>
      <c r="AXT104" s="610"/>
      <c r="AXU104" s="610"/>
      <c r="AXV104" s="610"/>
      <c r="AXW104" s="610"/>
      <c r="AXX104" s="610"/>
      <c r="AXY104" s="610"/>
      <c r="AXZ104" s="610"/>
      <c r="AYA104" s="610"/>
      <c r="AYB104" s="610"/>
      <c r="AYC104" s="610"/>
      <c r="AYD104" s="610"/>
      <c r="AYE104" s="610"/>
      <c r="AYF104" s="610"/>
      <c r="AYG104" s="610"/>
      <c r="AYH104" s="610"/>
      <c r="AYI104" s="610"/>
      <c r="AYJ104" s="610"/>
      <c r="AYK104" s="610"/>
      <c r="AYL104" s="610"/>
      <c r="AYM104" s="610"/>
      <c r="AYN104" s="610"/>
      <c r="AYO104" s="610"/>
      <c r="AYP104" s="610"/>
      <c r="AYQ104" s="610"/>
      <c r="AYR104" s="610"/>
      <c r="AYS104" s="610"/>
      <c r="AYT104" s="610"/>
      <c r="AYU104" s="610"/>
      <c r="AYV104" s="610"/>
      <c r="AYW104" s="610"/>
      <c r="AYX104" s="610"/>
      <c r="AYY104" s="610"/>
      <c r="AYZ104" s="610"/>
      <c r="AZA104" s="610"/>
      <c r="AZB104" s="610"/>
      <c r="AZC104" s="610"/>
      <c r="AZD104" s="610"/>
      <c r="AZE104" s="610"/>
      <c r="AZF104" s="610"/>
      <c r="AZG104" s="610"/>
      <c r="AZH104" s="610"/>
      <c r="AZI104" s="610"/>
      <c r="AZJ104" s="610"/>
      <c r="AZK104" s="610"/>
      <c r="AZL104" s="610"/>
      <c r="AZM104" s="610"/>
      <c r="AZN104" s="610"/>
      <c r="AZO104" s="610"/>
      <c r="AZP104" s="610"/>
      <c r="AZQ104" s="610"/>
      <c r="AZR104" s="610"/>
      <c r="AZS104" s="610"/>
      <c r="AZT104" s="610"/>
      <c r="AZU104" s="610"/>
      <c r="AZV104" s="610"/>
      <c r="AZW104" s="610"/>
      <c r="AZX104" s="610"/>
      <c r="AZY104" s="610"/>
      <c r="AZZ104" s="610"/>
      <c r="BAA104" s="610"/>
      <c r="BAB104" s="610"/>
      <c r="BAC104" s="610"/>
      <c r="BAD104" s="610"/>
      <c r="BAE104" s="610"/>
      <c r="BAF104" s="610"/>
      <c r="BAG104" s="610"/>
      <c r="BAH104" s="610"/>
      <c r="BAI104" s="610"/>
      <c r="BAJ104" s="610"/>
      <c r="BAK104" s="610"/>
      <c r="BAL104" s="610"/>
      <c r="BAM104" s="610"/>
      <c r="BAN104" s="610"/>
      <c r="BAO104" s="610"/>
      <c r="BAP104" s="610"/>
      <c r="BAQ104" s="610"/>
      <c r="BAR104" s="610"/>
      <c r="BAS104" s="610"/>
      <c r="BAT104" s="610"/>
      <c r="BAU104" s="610"/>
      <c r="BAV104" s="610"/>
      <c r="BAW104" s="610"/>
      <c r="BAX104" s="610"/>
      <c r="BAY104" s="610"/>
      <c r="BAZ104" s="610"/>
      <c r="BBA104" s="610"/>
      <c r="BBB104" s="610"/>
      <c r="BBC104" s="610"/>
      <c r="BBD104" s="610"/>
      <c r="BBE104" s="610"/>
      <c r="BBF104" s="610"/>
      <c r="BBG104" s="610"/>
      <c r="BBH104" s="610"/>
      <c r="BBI104" s="610"/>
      <c r="BBJ104" s="610"/>
      <c r="BBK104" s="610"/>
      <c r="BBL104" s="610"/>
      <c r="BBM104" s="610"/>
      <c r="BBN104" s="610"/>
      <c r="BBO104" s="610"/>
      <c r="BBP104" s="610"/>
      <c r="BBQ104" s="610"/>
      <c r="BBR104" s="610"/>
      <c r="BBS104" s="610"/>
      <c r="BBT104" s="610"/>
      <c r="BBU104" s="610"/>
      <c r="BBV104" s="610"/>
      <c r="BBW104" s="610"/>
      <c r="BBX104" s="610"/>
      <c r="BBY104" s="610"/>
      <c r="BBZ104" s="610"/>
      <c r="BCA104" s="610"/>
      <c r="BCB104" s="610"/>
      <c r="BCC104" s="610"/>
      <c r="BCD104" s="610"/>
      <c r="BCE104" s="610"/>
      <c r="BCF104" s="610"/>
      <c r="BCG104" s="610"/>
      <c r="BCH104" s="610"/>
      <c r="BCI104" s="610"/>
      <c r="BCJ104" s="610"/>
      <c r="BCK104" s="610"/>
      <c r="BCL104" s="610"/>
      <c r="BCM104" s="610"/>
      <c r="BCN104" s="610"/>
      <c r="BCO104" s="610"/>
      <c r="BCP104" s="610"/>
      <c r="BCQ104" s="610"/>
      <c r="BCR104" s="610"/>
      <c r="BCS104" s="610"/>
      <c r="BCT104" s="610"/>
      <c r="BCU104" s="610"/>
      <c r="BCV104" s="610"/>
      <c r="BCW104" s="610"/>
      <c r="BCX104" s="610"/>
      <c r="BCY104" s="610"/>
      <c r="BCZ104" s="610"/>
      <c r="BDA104" s="610"/>
      <c r="BDB104" s="610"/>
      <c r="BDC104" s="610"/>
      <c r="BDD104" s="610"/>
      <c r="BDE104" s="610"/>
      <c r="BDF104" s="610"/>
      <c r="BDG104" s="610"/>
      <c r="BDH104" s="610"/>
      <c r="BDI104" s="610"/>
      <c r="BDJ104" s="610"/>
      <c r="BDK104" s="610"/>
      <c r="BDL104" s="610"/>
      <c r="BDM104" s="610"/>
      <c r="BDN104" s="610"/>
      <c r="BDO104" s="610"/>
      <c r="BDP104" s="610"/>
      <c r="BDQ104" s="610"/>
      <c r="BDR104" s="610"/>
      <c r="BDS104" s="610"/>
      <c r="BDT104" s="610"/>
      <c r="BDU104" s="610"/>
      <c r="BDV104" s="610"/>
      <c r="BDW104" s="610"/>
      <c r="BDX104" s="610"/>
      <c r="BDY104" s="610"/>
      <c r="BDZ104" s="610"/>
      <c r="BEA104" s="610"/>
      <c r="BEB104" s="610"/>
      <c r="BEC104" s="610"/>
      <c r="BED104" s="610"/>
      <c r="BEE104" s="610"/>
      <c r="BEF104" s="610"/>
      <c r="BEG104" s="610"/>
      <c r="BEH104" s="610"/>
      <c r="BEI104" s="610"/>
      <c r="BEJ104" s="610"/>
      <c r="BEK104" s="610"/>
      <c r="BEL104" s="610"/>
      <c r="BEM104" s="610"/>
      <c r="BEN104" s="610"/>
      <c r="BEO104" s="610"/>
      <c r="BEP104" s="610"/>
      <c r="BEQ104" s="610"/>
      <c r="BER104" s="610"/>
      <c r="BES104" s="610"/>
      <c r="BET104" s="610"/>
      <c r="BEU104" s="610"/>
      <c r="BEV104" s="610"/>
      <c r="BEW104" s="610"/>
      <c r="BEX104" s="610"/>
      <c r="BEY104" s="610"/>
      <c r="BEZ104" s="610"/>
      <c r="BFA104" s="610"/>
      <c r="BFB104" s="610"/>
      <c r="BFC104" s="610"/>
      <c r="BFD104" s="610"/>
      <c r="BFE104" s="610"/>
      <c r="BFF104" s="610"/>
      <c r="BFG104" s="610"/>
      <c r="BFH104" s="610"/>
      <c r="BFI104" s="610"/>
      <c r="BFJ104" s="610"/>
      <c r="BFK104" s="610"/>
      <c r="BFL104" s="610"/>
      <c r="BFM104" s="610"/>
      <c r="BFN104" s="610"/>
      <c r="BFO104" s="610"/>
      <c r="BFP104" s="610"/>
      <c r="BFQ104" s="610"/>
      <c r="BFR104" s="610"/>
      <c r="BFS104" s="610"/>
      <c r="BFT104" s="610"/>
      <c r="BFU104" s="610"/>
      <c r="BFV104" s="610"/>
      <c r="BFW104" s="610"/>
      <c r="BFX104" s="610"/>
      <c r="BFY104" s="610"/>
      <c r="BFZ104" s="610"/>
      <c r="BGA104" s="610"/>
      <c r="BGB104" s="610"/>
      <c r="BGC104" s="610"/>
      <c r="BGD104" s="610"/>
      <c r="BGE104" s="610"/>
      <c r="BGF104" s="610"/>
      <c r="BGG104" s="610"/>
      <c r="BGH104" s="610"/>
      <c r="BGI104" s="610"/>
      <c r="BGJ104" s="610"/>
      <c r="BGK104" s="610"/>
      <c r="BGL104" s="610"/>
      <c r="BGM104" s="610"/>
      <c r="BGN104" s="610"/>
      <c r="BGO104" s="610"/>
      <c r="BGP104" s="610"/>
      <c r="BGQ104" s="610"/>
      <c r="BGR104" s="610"/>
      <c r="BGS104" s="610"/>
      <c r="BGT104" s="610"/>
      <c r="BGU104" s="610"/>
      <c r="BGV104" s="610"/>
      <c r="BGW104" s="610"/>
      <c r="BGX104" s="610"/>
      <c r="BGY104" s="610"/>
      <c r="BGZ104" s="610"/>
      <c r="BHA104" s="610"/>
      <c r="BHB104" s="610"/>
      <c r="BHC104" s="610"/>
      <c r="BHD104" s="610"/>
      <c r="BHE104" s="610"/>
      <c r="BHF104" s="610"/>
      <c r="BHG104" s="610"/>
      <c r="BHH104" s="610"/>
      <c r="BHI104" s="610"/>
      <c r="BHJ104" s="610"/>
      <c r="BHK104" s="610"/>
      <c r="BHL104" s="610"/>
      <c r="BHM104" s="610"/>
      <c r="BHN104" s="610"/>
      <c r="BHO104" s="610"/>
      <c r="BHP104" s="610"/>
      <c r="BHQ104" s="610"/>
      <c r="BHR104" s="610"/>
      <c r="BHS104" s="610"/>
      <c r="BHT104" s="610"/>
      <c r="BHU104" s="610"/>
      <c r="BHV104" s="610"/>
      <c r="BHW104" s="610"/>
      <c r="BHX104" s="610"/>
      <c r="BHY104" s="610"/>
      <c r="BHZ104" s="610"/>
      <c r="BIA104" s="610"/>
      <c r="BIB104" s="610"/>
      <c r="BIC104" s="610"/>
      <c r="BID104" s="610"/>
      <c r="BIE104" s="610"/>
      <c r="BIF104" s="610"/>
      <c r="BIG104" s="610"/>
      <c r="BIH104" s="610"/>
      <c r="BII104" s="610"/>
      <c r="BIJ104" s="610"/>
      <c r="BIK104" s="610"/>
      <c r="BIL104" s="610"/>
      <c r="BIM104" s="610"/>
      <c r="BIN104" s="610"/>
      <c r="BIO104" s="610"/>
      <c r="BIP104" s="610"/>
      <c r="BIQ104" s="610"/>
      <c r="BIR104" s="610"/>
      <c r="BIS104" s="610"/>
      <c r="BIT104" s="610"/>
      <c r="BIU104" s="610"/>
      <c r="BIV104" s="610"/>
      <c r="BIW104" s="610"/>
      <c r="BIX104" s="610"/>
      <c r="BIY104" s="610"/>
      <c r="BIZ104" s="610"/>
      <c r="BJA104" s="610"/>
      <c r="BJB104" s="610"/>
      <c r="BJC104" s="610"/>
      <c r="BJD104" s="610"/>
      <c r="BJE104" s="610"/>
      <c r="BJF104" s="610"/>
      <c r="BJG104" s="610"/>
      <c r="BJH104" s="610"/>
      <c r="BJI104" s="610"/>
      <c r="BJJ104" s="610"/>
      <c r="BJK104" s="610"/>
      <c r="BJL104" s="610"/>
      <c r="BJM104" s="610"/>
      <c r="BJN104" s="610"/>
      <c r="BJO104" s="610"/>
      <c r="BJP104" s="610"/>
      <c r="BJQ104" s="610"/>
      <c r="BJR104" s="610"/>
      <c r="BJS104" s="610"/>
      <c r="BJT104" s="610"/>
      <c r="BJU104" s="610"/>
      <c r="BJV104" s="610"/>
      <c r="BJW104" s="610"/>
      <c r="BJX104" s="610"/>
      <c r="BJY104" s="610"/>
      <c r="BJZ104" s="610"/>
      <c r="BKA104" s="610"/>
      <c r="BKB104" s="610"/>
      <c r="BKC104" s="610"/>
      <c r="BKD104" s="610"/>
      <c r="BKE104" s="610"/>
      <c r="BKF104" s="610"/>
      <c r="BKG104" s="610"/>
      <c r="BKH104" s="610"/>
      <c r="BKI104" s="610"/>
      <c r="BKJ104" s="610"/>
      <c r="BKK104" s="610"/>
      <c r="BKL104" s="610"/>
      <c r="BKM104" s="610"/>
      <c r="BKN104" s="610"/>
      <c r="BKO104" s="610"/>
      <c r="BKP104" s="610"/>
      <c r="BKQ104" s="610"/>
      <c r="BKR104" s="610"/>
      <c r="BKS104" s="610"/>
      <c r="BKT104" s="610"/>
      <c r="BKU104" s="610"/>
      <c r="BKV104" s="610"/>
      <c r="BKW104" s="610"/>
      <c r="BKX104" s="610"/>
      <c r="BKY104" s="610"/>
      <c r="BKZ104" s="610"/>
      <c r="BLA104" s="610"/>
      <c r="BLB104" s="610"/>
      <c r="BLC104" s="610"/>
      <c r="BLD104" s="610"/>
      <c r="BLE104" s="610"/>
      <c r="BLF104" s="610"/>
      <c r="BLG104" s="610"/>
      <c r="BLH104" s="610"/>
      <c r="BLI104" s="610"/>
      <c r="BLJ104" s="610"/>
      <c r="BLK104" s="610"/>
      <c r="BLL104" s="610"/>
      <c r="BLM104" s="610"/>
      <c r="BLN104" s="610"/>
      <c r="BLO104" s="610"/>
      <c r="BLP104" s="610"/>
      <c r="BLQ104" s="610"/>
      <c r="BLR104" s="610"/>
      <c r="BLS104" s="610"/>
      <c r="BLT104" s="610"/>
      <c r="BLU104" s="610"/>
      <c r="BLV104" s="610"/>
      <c r="BLW104" s="610"/>
      <c r="BLX104" s="610"/>
      <c r="BLY104" s="610"/>
      <c r="BLZ104" s="610"/>
      <c r="BMA104" s="610"/>
      <c r="BMB104" s="610"/>
      <c r="BMC104" s="610"/>
      <c r="BMD104" s="610"/>
      <c r="BME104" s="610"/>
      <c r="BMF104" s="610"/>
      <c r="BMG104" s="610"/>
      <c r="BMH104" s="610"/>
      <c r="BMI104" s="610"/>
      <c r="BMJ104" s="610"/>
      <c r="BMK104" s="610"/>
      <c r="BML104" s="610"/>
      <c r="BMM104" s="610"/>
      <c r="BMN104" s="610"/>
      <c r="BMO104" s="610"/>
      <c r="BMP104" s="610"/>
      <c r="BMQ104" s="610"/>
      <c r="BMR104" s="610"/>
      <c r="BMS104" s="610"/>
      <c r="BMT104" s="610"/>
      <c r="BMU104" s="610"/>
      <c r="BMV104" s="610"/>
      <c r="BMW104" s="610"/>
      <c r="BMX104" s="610"/>
      <c r="BMY104" s="610"/>
      <c r="BMZ104" s="610"/>
      <c r="BNA104" s="610"/>
      <c r="BNB104" s="610"/>
      <c r="BNC104" s="610"/>
      <c r="BND104" s="610"/>
      <c r="BNE104" s="610"/>
      <c r="BNF104" s="610"/>
      <c r="BNG104" s="610"/>
      <c r="BNH104" s="610"/>
      <c r="BNI104" s="610"/>
      <c r="BNJ104" s="610"/>
      <c r="BNK104" s="610"/>
      <c r="BNL104" s="610"/>
      <c r="BNM104" s="610"/>
      <c r="BNN104" s="610"/>
      <c r="BNO104" s="610"/>
      <c r="BNP104" s="610"/>
      <c r="BNQ104" s="610"/>
      <c r="BNR104" s="610"/>
      <c r="BNS104" s="610"/>
      <c r="BNT104" s="610"/>
      <c r="BNU104" s="610"/>
      <c r="BNV104" s="610"/>
      <c r="BNW104" s="610"/>
      <c r="BNX104" s="610"/>
      <c r="BNY104" s="610"/>
      <c r="BNZ104" s="610"/>
      <c r="BOA104" s="610"/>
      <c r="BOB104" s="610"/>
      <c r="BOC104" s="610"/>
      <c r="BOD104" s="610"/>
      <c r="BOE104" s="610"/>
      <c r="BOF104" s="610"/>
      <c r="BOG104" s="610"/>
      <c r="BOH104" s="610"/>
      <c r="BOI104" s="610"/>
      <c r="BOJ104" s="610"/>
      <c r="BOK104" s="610"/>
      <c r="BOL104" s="610"/>
      <c r="BOM104" s="610"/>
      <c r="BON104" s="610"/>
      <c r="BOO104" s="610"/>
      <c r="BOP104" s="610"/>
      <c r="BOQ104" s="610"/>
      <c r="BOR104" s="610"/>
      <c r="BOS104" s="610"/>
      <c r="BOT104" s="610"/>
      <c r="BOU104" s="610"/>
      <c r="BOV104" s="610"/>
      <c r="BOW104" s="610"/>
      <c r="BOX104" s="610"/>
      <c r="BOY104" s="610"/>
      <c r="BOZ104" s="610"/>
      <c r="BPA104" s="610"/>
      <c r="BPB104" s="610"/>
      <c r="BPC104" s="610"/>
      <c r="BPD104" s="610"/>
      <c r="BPE104" s="610"/>
      <c r="BPF104" s="610"/>
      <c r="BPG104" s="610"/>
      <c r="BPH104" s="610"/>
      <c r="BPI104" s="610"/>
      <c r="BPJ104" s="610"/>
      <c r="BPK104" s="610"/>
      <c r="BPL104" s="610"/>
      <c r="BPM104" s="610"/>
      <c r="BPN104" s="610"/>
      <c r="BPO104" s="610"/>
      <c r="BPP104" s="610"/>
      <c r="BPQ104" s="610"/>
      <c r="BPR104" s="610"/>
      <c r="BPS104" s="610"/>
      <c r="BPT104" s="610"/>
      <c r="BPU104" s="610"/>
      <c r="BPV104" s="610"/>
      <c r="BPW104" s="610"/>
      <c r="BPX104" s="610"/>
      <c r="BPY104" s="610"/>
      <c r="BPZ104" s="610"/>
      <c r="BQA104" s="610"/>
      <c r="BQB104" s="610"/>
      <c r="BQC104" s="610"/>
      <c r="BQD104" s="610"/>
      <c r="BQE104" s="610"/>
      <c r="BQF104" s="610"/>
      <c r="BQG104" s="610"/>
      <c r="BQH104" s="610"/>
      <c r="BQI104" s="610"/>
      <c r="BQJ104" s="610"/>
      <c r="BQK104" s="610"/>
      <c r="BQL104" s="610"/>
      <c r="BQM104" s="610"/>
      <c r="BQN104" s="610"/>
      <c r="BQO104" s="610"/>
      <c r="BQP104" s="610"/>
      <c r="BQQ104" s="610"/>
      <c r="BQR104" s="610"/>
      <c r="BQS104" s="610"/>
      <c r="BQT104" s="610"/>
      <c r="BQU104" s="610"/>
      <c r="BQV104" s="610"/>
      <c r="BQW104" s="610"/>
      <c r="BQX104" s="610"/>
      <c r="BQY104" s="610"/>
      <c r="BQZ104" s="610"/>
      <c r="BRA104" s="610"/>
      <c r="BRB104" s="610"/>
      <c r="BRC104" s="610"/>
      <c r="BRD104" s="610"/>
      <c r="BRE104" s="610"/>
      <c r="BRF104" s="610"/>
      <c r="BRG104" s="610"/>
      <c r="BRH104" s="610"/>
      <c r="BRI104" s="610"/>
      <c r="BRJ104" s="610"/>
      <c r="BRK104" s="610"/>
      <c r="BRL104" s="610"/>
      <c r="BRM104" s="610"/>
      <c r="BRN104" s="610"/>
      <c r="BRO104" s="610"/>
      <c r="BRP104" s="610"/>
      <c r="BRQ104" s="610"/>
      <c r="BRR104" s="610"/>
      <c r="BRS104" s="610"/>
      <c r="BRT104" s="610"/>
      <c r="BRU104" s="610"/>
      <c r="BRV104" s="610"/>
      <c r="BRW104" s="610"/>
      <c r="BRX104" s="610"/>
      <c r="BRY104" s="610"/>
      <c r="BRZ104" s="610"/>
      <c r="BSA104" s="610"/>
      <c r="BSB104" s="610"/>
      <c r="BSC104" s="610"/>
      <c r="BSD104" s="610"/>
      <c r="BSE104" s="610"/>
      <c r="BSF104" s="610"/>
      <c r="BSG104" s="610"/>
      <c r="BSH104" s="610"/>
      <c r="BSI104" s="610"/>
      <c r="BSJ104" s="610"/>
      <c r="BSK104" s="610"/>
      <c r="BSL104" s="610"/>
      <c r="BSM104" s="610"/>
      <c r="BSN104" s="610"/>
      <c r="BSO104" s="610"/>
      <c r="BSP104" s="610"/>
      <c r="BSQ104" s="610"/>
      <c r="BSR104" s="610"/>
      <c r="BSS104" s="610"/>
      <c r="BST104" s="610"/>
      <c r="BSU104" s="610"/>
      <c r="BSV104" s="610"/>
      <c r="BSW104" s="610"/>
      <c r="BSX104" s="610"/>
      <c r="BSY104" s="610"/>
      <c r="BSZ104" s="610"/>
      <c r="BTA104" s="610"/>
      <c r="BTB104" s="610"/>
      <c r="BTC104" s="610"/>
      <c r="BTD104" s="610"/>
      <c r="BTE104" s="610"/>
      <c r="BTF104" s="610"/>
      <c r="BTG104" s="610"/>
      <c r="BTH104" s="610"/>
      <c r="BTI104" s="610"/>
    </row>
    <row r="105" spans="1:1881" s="378" customFormat="1" ht="61.5" customHeight="1" x14ac:dyDescent="0.25">
      <c r="A105" s="405">
        <v>382</v>
      </c>
      <c r="B105" s="399" t="s">
        <v>67</v>
      </c>
      <c r="C105" s="402" t="s">
        <v>183</v>
      </c>
      <c r="D105" s="400" t="s">
        <v>138</v>
      </c>
      <c r="E105" s="398" t="e">
        <f>HLOOKUP($D$2,'2019 Data(H)'!$C$1:$CP$300,141,FALSE)</f>
        <v>#N/A</v>
      </c>
      <c r="F105" s="624"/>
      <c r="G105" s="395">
        <f>IF(F103&gt;F105,"Error: Please review components of current assets above. Account numbers 657&gt;382",)</f>
        <v>0</v>
      </c>
      <c r="H105" s="396"/>
      <c r="I105" s="397"/>
      <c r="J105" s="394"/>
      <c r="K105" s="394"/>
      <c r="L105" s="394"/>
      <c r="M105" s="394"/>
      <c r="N105"/>
      <c r="O105" s="394"/>
      <c r="P105" s="394"/>
      <c r="Q105" s="394"/>
      <c r="R105" s="394"/>
      <c r="S105" s="394"/>
      <c r="T105" s="394"/>
      <c r="U105" s="394"/>
      <c r="V105" s="394"/>
      <c r="W105" s="394"/>
      <c r="X105" s="394"/>
      <c r="Y105" s="394"/>
      <c r="Z105" s="394"/>
      <c r="AA105" s="394"/>
      <c r="AB105" s="394"/>
      <c r="AC105" s="394"/>
      <c r="AD105" s="394"/>
      <c r="AE105" s="394"/>
      <c r="AF105" s="394"/>
      <c r="AG105" s="394"/>
      <c r="AH105" s="394"/>
      <c r="AI105" s="394"/>
      <c r="AJ105" s="394"/>
      <c r="AK105" s="394"/>
      <c r="AL105" s="394"/>
      <c r="AM105" s="394"/>
      <c r="AN105" s="394"/>
      <c r="AO105" s="394"/>
      <c r="AP105" s="394"/>
      <c r="AQ105" s="394"/>
      <c r="AR105" s="394"/>
      <c r="AS105" s="394"/>
      <c r="AT105" s="394"/>
      <c r="AU105" s="394"/>
      <c r="AV105" s="394"/>
      <c r="AW105" s="394"/>
      <c r="AX105" s="394"/>
      <c r="AY105" s="394"/>
      <c r="AZ105" s="394"/>
      <c r="BA105" s="394"/>
      <c r="BB105" s="394"/>
      <c r="BC105" s="394"/>
      <c r="BD105" s="394"/>
      <c r="BE105" s="394"/>
      <c r="BF105" s="394"/>
      <c r="BG105" s="394"/>
      <c r="BH105" s="394"/>
      <c r="BI105" s="394"/>
      <c r="BJ105" s="394"/>
      <c r="BK105" s="394"/>
      <c r="BL105" s="394"/>
      <c r="BM105" s="394"/>
      <c r="BN105" s="394"/>
      <c r="BO105" s="394"/>
      <c r="BP105" s="394"/>
      <c r="BQ105" s="394"/>
      <c r="BR105" s="394"/>
      <c r="BS105" s="394"/>
      <c r="BT105" s="394"/>
      <c r="BU105" s="394"/>
      <c r="BV105" s="394"/>
      <c r="BW105" s="394"/>
      <c r="BX105" s="394"/>
      <c r="BY105" s="394"/>
      <c r="BZ105" s="394"/>
      <c r="CA105" s="394"/>
      <c r="CB105" s="394"/>
      <c r="CC105" s="394"/>
      <c r="CD105" s="394"/>
      <c r="CE105" s="394"/>
      <c r="CF105" s="394"/>
      <c r="CG105" s="394"/>
      <c r="CH105" s="394"/>
      <c r="CI105" s="394"/>
      <c r="CJ105" s="394"/>
      <c r="CK105" s="394"/>
      <c r="CL105" s="394"/>
      <c r="CM105" s="394"/>
      <c r="CN105" s="394"/>
      <c r="CO105" s="394"/>
      <c r="CP105" s="394"/>
      <c r="CQ105" s="394"/>
      <c r="CR105" s="394"/>
      <c r="CS105" s="394"/>
      <c r="CT105" s="394"/>
      <c r="CU105" s="394"/>
      <c r="CV105" s="394"/>
      <c r="CW105" s="394"/>
      <c r="CX105" s="394"/>
      <c r="CY105" s="394"/>
      <c r="CZ105" s="394"/>
      <c r="DA105" s="394"/>
      <c r="DB105" s="394"/>
      <c r="DC105" s="394"/>
      <c r="DD105" s="394"/>
      <c r="DE105" s="394"/>
      <c r="DF105" s="394"/>
      <c r="DG105" s="394"/>
      <c r="DH105" s="394"/>
      <c r="DI105" s="394"/>
      <c r="DJ105" s="394"/>
      <c r="DK105" s="394"/>
      <c r="DL105" s="394"/>
      <c r="DM105" s="394"/>
      <c r="DN105" s="394"/>
      <c r="DO105" s="394"/>
      <c r="DP105" s="394"/>
      <c r="DQ105" s="394"/>
      <c r="DR105" s="394"/>
      <c r="DS105" s="394"/>
      <c r="DT105" s="394"/>
      <c r="DU105" s="394"/>
      <c r="DV105" s="394"/>
      <c r="DW105" s="394"/>
      <c r="DX105" s="394"/>
      <c r="DY105" s="394"/>
      <c r="DZ105" s="394"/>
      <c r="EA105" s="394"/>
      <c r="EB105" s="394"/>
      <c r="EC105" s="394"/>
      <c r="ED105" s="394"/>
      <c r="EE105" s="394"/>
      <c r="EF105" s="394"/>
      <c r="EG105" s="394"/>
      <c r="EH105" s="394"/>
      <c r="EI105" s="394"/>
      <c r="EJ105" s="394"/>
      <c r="EK105" s="394"/>
      <c r="EL105" s="394"/>
      <c r="EM105" s="394"/>
      <c r="EN105" s="394"/>
      <c r="EO105" s="394"/>
      <c r="EP105" s="394"/>
      <c r="EQ105" s="394"/>
      <c r="ER105" s="394"/>
      <c r="ES105" s="394"/>
      <c r="ET105" s="394"/>
      <c r="EU105" s="394"/>
      <c r="EV105" s="394"/>
      <c r="EW105" s="394"/>
      <c r="EX105" s="394"/>
      <c r="EY105" s="394"/>
      <c r="EZ105" s="394"/>
      <c r="FA105" s="394"/>
      <c r="FB105" s="394"/>
      <c r="FC105" s="394"/>
      <c r="FD105" s="394"/>
      <c r="FE105" s="394"/>
      <c r="FF105" s="394"/>
      <c r="FG105" s="394"/>
      <c r="FH105" s="394"/>
      <c r="FI105" s="394"/>
      <c r="FJ105" s="394"/>
      <c r="FK105" s="394"/>
      <c r="FL105" s="394"/>
      <c r="FM105" s="394"/>
      <c r="FN105" s="394"/>
      <c r="FO105" s="394"/>
      <c r="FP105" s="394"/>
      <c r="FQ105" s="394"/>
      <c r="FR105" s="394"/>
      <c r="FS105" s="394"/>
      <c r="FT105" s="394"/>
      <c r="FU105" s="394"/>
      <c r="FV105" s="394"/>
      <c r="FW105" s="394"/>
      <c r="FX105" s="394"/>
      <c r="FY105" s="394"/>
      <c r="FZ105" s="394"/>
      <c r="GA105" s="394"/>
      <c r="GB105" s="394"/>
      <c r="GC105" s="394"/>
      <c r="GD105" s="394"/>
      <c r="GE105" s="394"/>
      <c r="GF105" s="394"/>
      <c r="GG105" s="394"/>
      <c r="GH105" s="394"/>
      <c r="GI105" s="394"/>
      <c r="GJ105" s="394"/>
      <c r="GK105" s="394"/>
      <c r="GL105" s="394"/>
      <c r="GM105" s="394"/>
      <c r="GN105" s="394"/>
      <c r="GO105" s="394"/>
      <c r="GP105" s="394"/>
      <c r="GQ105" s="394"/>
      <c r="GR105" s="394"/>
      <c r="GS105" s="394"/>
      <c r="GT105" s="394"/>
      <c r="GU105" s="394"/>
      <c r="GV105" s="394"/>
      <c r="GW105" s="394"/>
      <c r="GX105" s="394"/>
      <c r="GY105" s="394"/>
      <c r="GZ105" s="394"/>
      <c r="HA105" s="394"/>
      <c r="HB105" s="394"/>
      <c r="HC105" s="394"/>
      <c r="HD105" s="394"/>
      <c r="HE105" s="394"/>
      <c r="HF105" s="394"/>
      <c r="HG105" s="394"/>
      <c r="HH105" s="394"/>
      <c r="HI105" s="394"/>
      <c r="HJ105" s="394"/>
      <c r="HK105" s="394"/>
      <c r="HL105" s="394"/>
      <c r="HM105" s="394"/>
      <c r="HN105" s="394"/>
      <c r="HO105" s="394"/>
      <c r="HP105" s="394"/>
      <c r="HQ105" s="394"/>
      <c r="HR105" s="394"/>
      <c r="HS105" s="394"/>
      <c r="HT105" s="394"/>
      <c r="HU105" s="394"/>
      <c r="HV105" s="394"/>
      <c r="HW105" s="394"/>
      <c r="HX105" s="394"/>
      <c r="HY105" s="394"/>
      <c r="HZ105" s="394"/>
      <c r="IA105" s="394"/>
      <c r="IB105" s="394"/>
      <c r="IC105" s="394"/>
      <c r="ID105" s="394"/>
      <c r="IE105" s="394"/>
      <c r="IF105" s="394"/>
      <c r="IG105" s="394"/>
      <c r="IH105" s="394"/>
      <c r="II105" s="394"/>
      <c r="IJ105" s="394"/>
      <c r="IK105" s="394"/>
      <c r="IL105" s="394"/>
      <c r="IM105" s="394"/>
      <c r="IN105" s="394"/>
      <c r="IO105" s="394"/>
      <c r="IP105" s="394"/>
      <c r="IQ105" s="394"/>
      <c r="IR105" s="394"/>
      <c r="IS105" s="394"/>
      <c r="IT105" s="394"/>
      <c r="IU105" s="394"/>
      <c r="IV105" s="394"/>
      <c r="IW105" s="394"/>
      <c r="IX105" s="394"/>
      <c r="IY105" s="394"/>
      <c r="IZ105" s="394"/>
      <c r="JA105" s="394"/>
      <c r="JB105" s="394"/>
      <c r="JC105" s="394"/>
      <c r="JD105" s="394"/>
      <c r="JE105" s="394"/>
      <c r="JF105" s="394"/>
      <c r="JG105" s="394"/>
      <c r="JH105" s="394"/>
      <c r="JI105" s="394"/>
      <c r="JJ105" s="394"/>
      <c r="JK105" s="394"/>
      <c r="JL105" s="394"/>
      <c r="JM105" s="394"/>
      <c r="JN105" s="394"/>
      <c r="JO105" s="394"/>
      <c r="JP105" s="394"/>
      <c r="JQ105" s="394"/>
      <c r="JR105" s="394"/>
      <c r="JS105" s="394"/>
      <c r="JT105" s="394"/>
      <c r="JU105" s="394"/>
      <c r="JV105" s="394"/>
      <c r="JW105" s="394"/>
      <c r="JX105" s="394"/>
      <c r="JY105" s="394"/>
      <c r="JZ105" s="394"/>
      <c r="KA105" s="394"/>
      <c r="KB105" s="394"/>
      <c r="KC105" s="394"/>
      <c r="KD105" s="394"/>
      <c r="KE105" s="394"/>
      <c r="KF105" s="394"/>
      <c r="KG105" s="394"/>
      <c r="KH105" s="394"/>
      <c r="KI105" s="394"/>
      <c r="KJ105" s="394"/>
      <c r="KK105" s="394"/>
      <c r="KL105" s="394"/>
      <c r="KM105" s="394"/>
      <c r="KN105" s="394"/>
      <c r="KO105" s="394"/>
      <c r="KP105" s="394"/>
      <c r="KQ105" s="394"/>
      <c r="KR105" s="394"/>
      <c r="KS105" s="394"/>
      <c r="KT105" s="394"/>
      <c r="KU105" s="394"/>
      <c r="KV105" s="394"/>
      <c r="KW105" s="394"/>
      <c r="KX105" s="394"/>
      <c r="KY105" s="394"/>
      <c r="KZ105" s="394"/>
      <c r="LA105" s="394"/>
      <c r="LB105" s="394"/>
      <c r="LC105" s="394"/>
      <c r="LD105" s="394"/>
      <c r="LE105" s="394"/>
      <c r="LF105" s="394"/>
      <c r="LG105" s="394"/>
      <c r="LH105" s="394"/>
      <c r="LI105" s="394"/>
      <c r="LJ105" s="394"/>
      <c r="LK105" s="394"/>
      <c r="LL105" s="394"/>
      <c r="LM105" s="394"/>
      <c r="LN105" s="394"/>
      <c r="LO105" s="394"/>
      <c r="LP105" s="394"/>
      <c r="LQ105" s="394"/>
      <c r="LR105" s="394"/>
      <c r="LS105" s="394"/>
      <c r="LT105" s="394"/>
      <c r="LU105" s="394"/>
      <c r="LV105" s="394"/>
      <c r="LW105" s="394"/>
      <c r="LX105" s="394"/>
      <c r="LY105" s="394"/>
      <c r="LZ105" s="394"/>
      <c r="MA105" s="394"/>
      <c r="MB105" s="394"/>
      <c r="MC105" s="394"/>
      <c r="MD105" s="394"/>
      <c r="ME105" s="394"/>
      <c r="MF105" s="394"/>
      <c r="MG105" s="394"/>
      <c r="MH105" s="394"/>
      <c r="MI105" s="394"/>
      <c r="MJ105" s="394"/>
      <c r="MK105" s="394"/>
      <c r="ML105" s="394"/>
      <c r="MM105" s="394"/>
      <c r="MN105" s="394"/>
      <c r="MO105" s="394"/>
      <c r="MP105" s="394"/>
      <c r="MQ105" s="394"/>
      <c r="MR105" s="394"/>
      <c r="MS105" s="394"/>
      <c r="MT105" s="394"/>
      <c r="MU105" s="394"/>
      <c r="MV105" s="394"/>
      <c r="MW105" s="394"/>
      <c r="MX105" s="394"/>
      <c r="MY105" s="394"/>
      <c r="MZ105" s="394"/>
      <c r="NA105" s="394"/>
      <c r="NB105" s="394"/>
      <c r="NC105" s="394"/>
      <c r="ND105" s="394"/>
      <c r="NE105" s="394"/>
      <c r="NF105" s="394"/>
      <c r="NG105" s="394"/>
      <c r="NH105" s="394"/>
      <c r="NI105" s="394"/>
      <c r="NJ105" s="394"/>
      <c r="NK105" s="394"/>
      <c r="NL105" s="394"/>
      <c r="NM105" s="394"/>
      <c r="NN105" s="394"/>
      <c r="NO105" s="394"/>
      <c r="NP105" s="394"/>
      <c r="NQ105" s="394"/>
      <c r="NR105" s="394"/>
      <c r="NS105" s="394"/>
      <c r="NT105" s="394"/>
      <c r="NU105" s="394"/>
      <c r="NV105" s="394"/>
      <c r="NW105" s="394"/>
      <c r="NX105" s="394"/>
      <c r="NY105" s="394"/>
      <c r="NZ105" s="394"/>
      <c r="OA105" s="394"/>
      <c r="OB105" s="394"/>
      <c r="OC105" s="394"/>
      <c r="OD105" s="394"/>
      <c r="OE105" s="394"/>
      <c r="OF105" s="394"/>
      <c r="OG105" s="394"/>
      <c r="OH105" s="394"/>
      <c r="OI105" s="394"/>
      <c r="OJ105" s="394"/>
      <c r="OK105" s="394"/>
      <c r="OL105" s="394"/>
      <c r="OM105" s="394"/>
      <c r="ON105" s="394"/>
      <c r="OO105" s="394"/>
      <c r="OP105" s="394"/>
      <c r="OQ105" s="394"/>
      <c r="OR105" s="394"/>
      <c r="OS105" s="394"/>
      <c r="OT105" s="394"/>
      <c r="OU105" s="394"/>
      <c r="OV105" s="394"/>
      <c r="OW105" s="394"/>
      <c r="OX105" s="394"/>
      <c r="OY105" s="394"/>
      <c r="OZ105" s="394"/>
      <c r="PA105" s="394"/>
      <c r="PB105" s="394"/>
      <c r="PC105" s="394"/>
      <c r="PD105" s="394"/>
      <c r="PE105" s="394"/>
      <c r="PF105" s="394"/>
      <c r="PG105" s="394"/>
      <c r="PH105" s="394"/>
      <c r="PI105" s="394"/>
      <c r="PJ105" s="394"/>
      <c r="PK105" s="394"/>
      <c r="PL105" s="394"/>
      <c r="PM105" s="394"/>
      <c r="PN105" s="394"/>
      <c r="PO105" s="394"/>
      <c r="PP105" s="394"/>
      <c r="PQ105" s="394"/>
      <c r="PR105" s="394"/>
      <c r="PS105" s="394"/>
      <c r="PT105" s="394"/>
      <c r="PU105" s="394"/>
      <c r="PV105" s="394"/>
      <c r="PW105" s="394"/>
      <c r="PX105" s="394"/>
      <c r="PY105" s="394"/>
      <c r="PZ105" s="394"/>
      <c r="QA105" s="394"/>
      <c r="QB105" s="394"/>
      <c r="QC105" s="394"/>
      <c r="QD105" s="394"/>
      <c r="QE105" s="394"/>
      <c r="QF105" s="394"/>
      <c r="QG105" s="394"/>
      <c r="QH105" s="394"/>
      <c r="QI105" s="394"/>
      <c r="QJ105" s="394"/>
      <c r="QK105" s="394"/>
      <c r="QL105" s="394"/>
      <c r="QM105" s="394"/>
      <c r="QN105" s="394"/>
      <c r="QO105" s="394"/>
      <c r="QP105" s="394"/>
      <c r="QQ105" s="394"/>
      <c r="QR105" s="394"/>
      <c r="QS105" s="394"/>
      <c r="QT105" s="394"/>
      <c r="QU105" s="394"/>
      <c r="QV105" s="394"/>
      <c r="QW105" s="394"/>
      <c r="QX105" s="394"/>
      <c r="QY105" s="394"/>
      <c r="QZ105" s="394"/>
      <c r="RA105" s="394"/>
      <c r="RB105" s="394"/>
      <c r="RC105" s="394"/>
      <c r="RD105" s="394"/>
      <c r="RE105" s="394"/>
      <c r="RF105" s="394"/>
      <c r="RG105" s="394"/>
      <c r="RH105" s="394"/>
      <c r="RI105" s="394"/>
      <c r="RJ105" s="394"/>
      <c r="RK105" s="394"/>
      <c r="RL105" s="394"/>
      <c r="RM105" s="394"/>
      <c r="RN105" s="394"/>
      <c r="RO105" s="394"/>
      <c r="RP105" s="394"/>
      <c r="RQ105" s="394"/>
      <c r="RR105" s="394"/>
      <c r="RS105" s="394"/>
      <c r="RT105" s="394"/>
      <c r="RU105" s="394"/>
      <c r="RV105" s="394"/>
      <c r="RW105" s="394"/>
      <c r="RX105" s="394"/>
      <c r="RY105" s="394"/>
      <c r="RZ105" s="394"/>
      <c r="SA105" s="394"/>
      <c r="SB105" s="394"/>
      <c r="SC105" s="394"/>
      <c r="SD105" s="394"/>
      <c r="SE105" s="394"/>
      <c r="SF105" s="394"/>
      <c r="SG105" s="394"/>
      <c r="SH105" s="394"/>
      <c r="SI105" s="394"/>
      <c r="SJ105" s="394"/>
      <c r="SK105" s="394"/>
      <c r="SL105" s="394"/>
      <c r="SM105" s="394"/>
      <c r="SN105" s="394"/>
      <c r="SO105" s="394"/>
      <c r="SP105" s="394"/>
      <c r="SQ105" s="394"/>
      <c r="SR105" s="394"/>
      <c r="SS105" s="394"/>
      <c r="ST105" s="394"/>
      <c r="SU105" s="394"/>
      <c r="SV105" s="394"/>
      <c r="SW105" s="394"/>
      <c r="SX105" s="394"/>
      <c r="SY105" s="394"/>
      <c r="SZ105" s="394"/>
      <c r="TA105" s="394"/>
      <c r="TB105" s="394"/>
      <c r="TC105" s="394"/>
      <c r="TD105" s="394"/>
      <c r="TE105" s="394"/>
      <c r="TF105" s="394"/>
      <c r="TG105" s="394"/>
      <c r="TH105" s="394"/>
      <c r="TI105" s="394"/>
      <c r="TJ105" s="394"/>
      <c r="TK105" s="394"/>
      <c r="TL105" s="394"/>
      <c r="TM105" s="394"/>
      <c r="TN105" s="394"/>
      <c r="TO105" s="394"/>
      <c r="TP105" s="394"/>
      <c r="TQ105" s="394"/>
      <c r="TR105" s="394"/>
      <c r="TS105" s="394"/>
      <c r="TT105" s="394"/>
      <c r="TU105" s="394"/>
      <c r="TV105" s="394"/>
      <c r="TW105" s="394"/>
      <c r="TX105" s="394"/>
      <c r="TY105" s="394"/>
      <c r="TZ105" s="394"/>
      <c r="UA105" s="394"/>
      <c r="UB105" s="394"/>
      <c r="UC105" s="394"/>
      <c r="UD105" s="394"/>
      <c r="UE105" s="394"/>
      <c r="UF105" s="394"/>
      <c r="UG105" s="394"/>
      <c r="UH105" s="394"/>
      <c r="UI105" s="394"/>
      <c r="UJ105" s="394"/>
      <c r="UK105" s="394"/>
      <c r="UL105" s="394"/>
      <c r="UM105" s="394"/>
      <c r="UN105" s="394"/>
      <c r="UO105" s="394"/>
      <c r="UP105" s="394"/>
      <c r="UQ105" s="394"/>
      <c r="UR105" s="394"/>
      <c r="US105" s="394"/>
      <c r="UT105" s="394"/>
      <c r="UU105" s="394"/>
      <c r="UV105" s="394"/>
      <c r="UW105" s="394"/>
      <c r="UX105" s="394"/>
      <c r="UY105" s="394"/>
      <c r="UZ105" s="394"/>
      <c r="VA105" s="394"/>
      <c r="VB105" s="394"/>
      <c r="VC105" s="394"/>
      <c r="VD105" s="394"/>
      <c r="VE105" s="394"/>
      <c r="VF105" s="394"/>
      <c r="VG105" s="394"/>
      <c r="VH105" s="394"/>
      <c r="VI105" s="394"/>
      <c r="VJ105" s="394"/>
      <c r="VK105" s="394"/>
      <c r="VL105" s="394"/>
      <c r="VM105" s="394"/>
      <c r="VN105" s="394"/>
      <c r="VO105" s="394"/>
      <c r="VP105" s="394"/>
      <c r="VQ105" s="394"/>
      <c r="VR105" s="394"/>
      <c r="VS105" s="394"/>
      <c r="VT105" s="394"/>
      <c r="VU105" s="394"/>
      <c r="VV105" s="394"/>
      <c r="VW105" s="394"/>
      <c r="VX105" s="394"/>
      <c r="VY105" s="394"/>
      <c r="VZ105" s="394"/>
      <c r="WA105" s="394"/>
      <c r="WB105" s="394"/>
      <c r="WC105" s="394"/>
      <c r="WD105" s="394"/>
      <c r="WE105" s="394"/>
      <c r="WF105" s="394"/>
      <c r="WG105" s="394"/>
      <c r="WH105" s="394"/>
      <c r="WI105" s="394"/>
      <c r="WJ105" s="394"/>
      <c r="WK105" s="394"/>
      <c r="WL105" s="394"/>
      <c r="WM105" s="394"/>
      <c r="WN105" s="394"/>
      <c r="WO105" s="394"/>
      <c r="WP105" s="394"/>
      <c r="WQ105" s="394"/>
      <c r="WR105" s="394"/>
      <c r="WS105" s="394"/>
      <c r="WT105" s="394"/>
      <c r="WU105" s="394"/>
      <c r="WV105" s="394"/>
      <c r="WW105" s="394"/>
      <c r="WX105" s="394"/>
      <c r="WY105" s="394"/>
      <c r="WZ105" s="394"/>
      <c r="XA105" s="394"/>
      <c r="XB105" s="394"/>
      <c r="XC105" s="394"/>
      <c r="XD105" s="394"/>
      <c r="XE105" s="394"/>
      <c r="XF105" s="394"/>
      <c r="XG105" s="394"/>
      <c r="XH105" s="394"/>
      <c r="XI105" s="394"/>
      <c r="XJ105" s="394"/>
      <c r="XK105" s="394"/>
      <c r="XL105" s="394"/>
      <c r="XM105" s="394"/>
      <c r="XN105" s="394"/>
      <c r="XO105" s="394"/>
      <c r="XP105" s="394"/>
      <c r="XQ105" s="394"/>
      <c r="XR105" s="394"/>
      <c r="XS105" s="394"/>
      <c r="XT105" s="394"/>
      <c r="XU105" s="394"/>
      <c r="XV105" s="394"/>
      <c r="XW105" s="394"/>
      <c r="XX105" s="394"/>
      <c r="XY105" s="394"/>
      <c r="XZ105" s="394"/>
      <c r="YA105" s="394"/>
      <c r="YB105" s="394"/>
      <c r="YC105" s="394"/>
      <c r="YD105" s="394"/>
      <c r="YE105" s="394"/>
      <c r="YF105" s="394"/>
      <c r="YG105" s="394"/>
      <c r="YH105" s="394"/>
      <c r="YI105" s="394"/>
      <c r="YJ105" s="394"/>
      <c r="YK105" s="394"/>
      <c r="YL105" s="394"/>
      <c r="YM105" s="394"/>
      <c r="YN105" s="394"/>
      <c r="YO105" s="394"/>
      <c r="YP105" s="394"/>
      <c r="YQ105" s="394"/>
      <c r="YR105" s="394"/>
      <c r="YS105" s="394"/>
      <c r="YT105" s="394"/>
      <c r="YU105" s="394"/>
      <c r="YV105" s="394"/>
      <c r="YW105" s="394"/>
      <c r="YX105" s="394"/>
      <c r="YY105" s="394"/>
      <c r="YZ105" s="394"/>
      <c r="ZA105" s="394"/>
      <c r="ZB105" s="394"/>
      <c r="ZC105" s="394"/>
      <c r="ZD105" s="394"/>
      <c r="ZE105" s="394"/>
      <c r="ZF105" s="394"/>
      <c r="ZG105" s="394"/>
      <c r="ZH105" s="394"/>
      <c r="ZI105" s="394"/>
      <c r="ZJ105" s="394"/>
      <c r="ZK105" s="394"/>
      <c r="ZL105" s="394"/>
      <c r="ZM105" s="394"/>
      <c r="ZN105" s="394"/>
      <c r="ZO105" s="394"/>
      <c r="ZP105" s="394"/>
      <c r="ZQ105" s="394"/>
      <c r="ZR105" s="394"/>
      <c r="ZS105" s="394"/>
      <c r="ZT105" s="394"/>
      <c r="ZU105" s="394"/>
      <c r="ZV105" s="394"/>
      <c r="ZW105" s="394"/>
      <c r="ZX105" s="394"/>
      <c r="ZY105" s="394"/>
      <c r="ZZ105" s="394"/>
      <c r="AAA105" s="394"/>
      <c r="AAB105" s="394"/>
      <c r="AAC105" s="394"/>
      <c r="AAD105" s="394"/>
      <c r="AAE105" s="394"/>
      <c r="AAF105" s="394"/>
      <c r="AAG105" s="394"/>
      <c r="AAH105" s="394"/>
      <c r="AAI105" s="394"/>
      <c r="AAJ105" s="394"/>
      <c r="AAK105" s="394"/>
      <c r="AAL105" s="394"/>
      <c r="AAM105" s="394"/>
      <c r="AAN105" s="394"/>
      <c r="AAO105" s="394"/>
      <c r="AAP105" s="394"/>
      <c r="AAQ105" s="394"/>
      <c r="AAR105" s="394"/>
      <c r="AAS105" s="394"/>
      <c r="AAT105" s="394"/>
      <c r="AAU105" s="394"/>
      <c r="AAV105" s="394"/>
      <c r="AAW105" s="394"/>
      <c r="AAX105" s="394"/>
      <c r="AAY105" s="394"/>
      <c r="AAZ105" s="394"/>
      <c r="ABA105" s="394"/>
      <c r="ABB105" s="394"/>
      <c r="ABC105" s="394"/>
      <c r="ABD105" s="394"/>
      <c r="ABE105" s="394"/>
      <c r="ABF105" s="394"/>
      <c r="ABG105" s="394"/>
      <c r="ABH105" s="394"/>
      <c r="ABI105" s="394"/>
      <c r="ABJ105" s="394"/>
      <c r="ABK105" s="394"/>
      <c r="ABL105" s="394"/>
      <c r="ABM105" s="394"/>
      <c r="ABN105" s="394"/>
      <c r="ABO105" s="394"/>
      <c r="ABP105" s="394"/>
      <c r="ABQ105" s="394"/>
      <c r="ABR105" s="394"/>
      <c r="ABS105" s="394"/>
      <c r="ABT105" s="394"/>
      <c r="ABU105" s="394"/>
      <c r="ABV105" s="394"/>
      <c r="ABW105" s="394"/>
      <c r="ABX105" s="394"/>
      <c r="ABY105" s="394"/>
      <c r="ABZ105" s="394"/>
      <c r="ACA105" s="394"/>
      <c r="ACB105" s="394"/>
      <c r="ACC105" s="394"/>
      <c r="ACD105" s="394"/>
      <c r="ACE105" s="394"/>
      <c r="ACF105" s="394"/>
      <c r="ACG105" s="394"/>
      <c r="ACH105" s="394"/>
      <c r="ACI105" s="394"/>
      <c r="ACJ105" s="394"/>
      <c r="ACK105" s="394"/>
      <c r="ACL105" s="394"/>
      <c r="ACM105" s="394"/>
      <c r="ACN105" s="394"/>
      <c r="ACO105" s="394"/>
      <c r="ACP105" s="394"/>
      <c r="ACQ105" s="394"/>
      <c r="ACR105" s="394"/>
      <c r="ACS105" s="394"/>
      <c r="ACT105" s="394"/>
      <c r="ACU105" s="394"/>
      <c r="ACV105" s="394"/>
      <c r="ACW105" s="394"/>
      <c r="ACX105" s="394"/>
      <c r="ACY105" s="394"/>
      <c r="ACZ105" s="394"/>
      <c r="ADA105" s="394"/>
      <c r="ADB105" s="394"/>
      <c r="ADC105" s="394"/>
      <c r="ADD105" s="394"/>
      <c r="ADE105" s="394"/>
      <c r="ADF105" s="394"/>
      <c r="ADG105" s="394"/>
      <c r="ADH105" s="394"/>
      <c r="ADI105" s="394"/>
      <c r="ADJ105" s="394"/>
      <c r="ADK105" s="394"/>
      <c r="ADL105" s="394"/>
      <c r="ADM105" s="394"/>
      <c r="ADN105" s="394"/>
      <c r="ADO105" s="394"/>
      <c r="ADP105" s="394"/>
      <c r="ADQ105" s="394"/>
      <c r="ADR105" s="394"/>
      <c r="ADS105" s="394"/>
      <c r="ADT105" s="394"/>
      <c r="ADU105" s="394"/>
      <c r="ADV105" s="394"/>
      <c r="ADW105" s="394"/>
      <c r="ADX105" s="394"/>
      <c r="ADY105" s="394"/>
      <c r="ADZ105" s="394"/>
      <c r="AEA105" s="394"/>
      <c r="AEB105" s="394"/>
      <c r="AEC105" s="394"/>
      <c r="AED105" s="394"/>
      <c r="AEE105" s="394"/>
      <c r="AEF105" s="394"/>
      <c r="AEG105" s="394"/>
      <c r="AEH105" s="394"/>
      <c r="AEI105" s="394"/>
      <c r="AEJ105" s="394"/>
      <c r="AEK105" s="394"/>
      <c r="AEL105" s="394"/>
      <c r="AEM105" s="394"/>
      <c r="AEN105" s="394"/>
      <c r="AEO105" s="394"/>
      <c r="AEP105" s="394"/>
      <c r="AEQ105" s="394"/>
      <c r="AER105" s="394"/>
      <c r="AES105" s="394"/>
      <c r="AET105" s="394"/>
      <c r="AEU105" s="394"/>
      <c r="AEV105" s="394"/>
      <c r="AEW105" s="394"/>
      <c r="AEX105" s="394"/>
      <c r="AEY105" s="394"/>
      <c r="AEZ105" s="394"/>
      <c r="AFA105" s="394"/>
      <c r="AFB105" s="394"/>
      <c r="AFC105" s="394"/>
      <c r="AFD105" s="394"/>
      <c r="AFE105" s="394"/>
      <c r="AFF105" s="394"/>
      <c r="AFG105" s="394"/>
      <c r="AFH105" s="394"/>
      <c r="AFI105" s="394"/>
      <c r="AFJ105" s="394"/>
      <c r="AFK105" s="394"/>
      <c r="AFL105" s="394"/>
      <c r="AFM105" s="394"/>
      <c r="AFN105" s="394"/>
      <c r="AFO105" s="394"/>
      <c r="AFP105" s="394"/>
      <c r="AFQ105" s="394"/>
      <c r="AFR105" s="394"/>
      <c r="AFS105" s="394"/>
      <c r="AFT105" s="394"/>
      <c r="AFU105" s="394"/>
      <c r="AFV105" s="394"/>
      <c r="AFW105" s="394"/>
      <c r="AFX105" s="394"/>
      <c r="AFY105" s="394"/>
      <c r="AFZ105" s="394"/>
      <c r="AGA105" s="394"/>
      <c r="AGB105" s="394"/>
      <c r="AGC105" s="394"/>
      <c r="AGD105" s="394"/>
      <c r="AGE105" s="394"/>
      <c r="AGF105" s="394"/>
      <c r="AGG105" s="394"/>
      <c r="AGH105" s="394"/>
      <c r="AGI105" s="394"/>
      <c r="AGJ105" s="394"/>
      <c r="AGK105" s="394"/>
      <c r="AGL105" s="394"/>
      <c r="AGM105" s="394"/>
      <c r="AGN105" s="394"/>
      <c r="AGO105" s="394"/>
      <c r="AGP105" s="394"/>
      <c r="AGQ105" s="394"/>
      <c r="AGR105" s="394"/>
      <c r="AGS105" s="394"/>
      <c r="AGT105" s="394"/>
      <c r="AGU105" s="394"/>
      <c r="AGV105" s="394"/>
      <c r="AGW105" s="394"/>
      <c r="AGX105" s="394"/>
      <c r="AGY105" s="394"/>
      <c r="AGZ105" s="394"/>
      <c r="AHA105" s="394"/>
      <c r="AHB105" s="394"/>
      <c r="AHC105" s="394"/>
      <c r="AHD105" s="394"/>
      <c r="AHE105" s="394"/>
      <c r="AHF105" s="394"/>
      <c r="AHG105" s="394"/>
      <c r="AHH105" s="394"/>
      <c r="AHI105" s="394"/>
      <c r="AHJ105" s="394"/>
      <c r="AHK105" s="394"/>
      <c r="AHL105" s="394"/>
      <c r="AHM105" s="394"/>
      <c r="AHN105" s="394"/>
      <c r="AHO105" s="394"/>
      <c r="AHP105" s="394"/>
      <c r="AHQ105" s="394"/>
      <c r="AHR105" s="394"/>
      <c r="AHS105" s="394"/>
      <c r="AHT105" s="394"/>
      <c r="AHU105" s="394"/>
      <c r="AHV105" s="394"/>
      <c r="AHW105" s="394"/>
      <c r="AHX105" s="394"/>
      <c r="AHY105" s="394"/>
      <c r="AHZ105" s="394"/>
      <c r="AIA105" s="394"/>
      <c r="AIB105" s="394"/>
      <c r="AIC105" s="394"/>
      <c r="AID105" s="394"/>
      <c r="AIE105" s="394"/>
      <c r="AIF105" s="394"/>
      <c r="AIG105" s="394"/>
      <c r="AIH105" s="394"/>
      <c r="AII105" s="394"/>
      <c r="AIJ105" s="394"/>
      <c r="AIK105" s="394"/>
      <c r="AIL105" s="394"/>
      <c r="AIM105" s="394"/>
      <c r="AIN105" s="394"/>
      <c r="AIO105" s="394"/>
      <c r="AIP105" s="394"/>
      <c r="AIQ105" s="394"/>
      <c r="AIR105" s="394"/>
      <c r="AIS105" s="394"/>
      <c r="AIT105" s="394"/>
      <c r="AIU105" s="394"/>
      <c r="AIV105" s="394"/>
      <c r="AIW105" s="394"/>
      <c r="AIX105" s="394"/>
      <c r="AIY105" s="394"/>
      <c r="AIZ105" s="394"/>
      <c r="AJA105" s="394"/>
      <c r="AJB105" s="394"/>
      <c r="AJC105" s="394"/>
      <c r="AJD105" s="394"/>
      <c r="AJE105" s="394"/>
      <c r="AJF105" s="394"/>
      <c r="AJG105" s="394"/>
      <c r="AJH105" s="394"/>
      <c r="AJI105" s="394"/>
      <c r="AJJ105" s="394"/>
      <c r="AJK105" s="394"/>
      <c r="AJL105" s="394"/>
      <c r="AJM105" s="394"/>
      <c r="AJN105" s="394"/>
      <c r="AJO105" s="394"/>
      <c r="AJP105" s="394"/>
      <c r="AJQ105" s="394"/>
      <c r="AJR105" s="394"/>
      <c r="AJS105" s="394"/>
      <c r="AJT105" s="394"/>
      <c r="AJU105" s="394"/>
      <c r="AJV105" s="394"/>
      <c r="AJW105" s="394"/>
      <c r="AJX105" s="394"/>
      <c r="AJY105" s="394"/>
      <c r="AJZ105" s="394"/>
      <c r="AKA105" s="394"/>
      <c r="AKB105" s="394"/>
      <c r="AKC105" s="394"/>
      <c r="AKD105" s="394"/>
      <c r="AKE105" s="394"/>
      <c r="AKF105" s="394"/>
      <c r="AKG105" s="394"/>
      <c r="AKH105" s="394"/>
      <c r="AKI105" s="394"/>
      <c r="AKJ105" s="394"/>
      <c r="AKK105" s="394"/>
      <c r="AKL105" s="394"/>
      <c r="AKM105" s="394"/>
      <c r="AKN105" s="394"/>
      <c r="AKO105" s="394"/>
      <c r="AKP105" s="394"/>
      <c r="AKQ105" s="394"/>
      <c r="AKR105" s="394"/>
      <c r="AKS105" s="394"/>
      <c r="AKT105" s="394"/>
      <c r="AKU105" s="394"/>
      <c r="AKV105" s="394"/>
      <c r="AKW105" s="394"/>
      <c r="AKX105" s="394"/>
      <c r="AKY105" s="394"/>
      <c r="AKZ105" s="394"/>
      <c r="ALA105" s="394"/>
      <c r="ALB105" s="394"/>
      <c r="ALC105" s="394"/>
      <c r="ALD105" s="394"/>
      <c r="ALE105" s="394"/>
      <c r="ALF105" s="394"/>
      <c r="ALG105" s="394"/>
      <c r="ALH105" s="394"/>
      <c r="ALI105" s="394"/>
      <c r="ALJ105" s="394"/>
      <c r="ALK105" s="394"/>
      <c r="ALL105" s="394"/>
      <c r="ALM105" s="394"/>
      <c r="ALN105" s="394"/>
      <c r="ALO105" s="394"/>
      <c r="ALP105" s="394"/>
      <c r="ALQ105" s="394"/>
      <c r="ALR105" s="394"/>
      <c r="ALS105" s="394"/>
      <c r="ALT105" s="394"/>
      <c r="ALU105" s="394"/>
      <c r="ALV105" s="394"/>
      <c r="ALW105" s="394"/>
      <c r="ALX105" s="394"/>
      <c r="ALY105" s="394"/>
      <c r="ALZ105" s="394"/>
      <c r="AMA105" s="394"/>
      <c r="AMB105" s="394"/>
      <c r="AMC105" s="394"/>
      <c r="AMD105" s="394"/>
      <c r="AME105" s="394"/>
      <c r="AMF105" s="394"/>
      <c r="AMG105" s="394"/>
      <c r="AMH105" s="394"/>
      <c r="AMI105" s="394"/>
      <c r="AMJ105" s="394"/>
      <c r="AMK105" s="394"/>
      <c r="AML105" s="394"/>
      <c r="AMM105" s="394"/>
      <c r="AMN105" s="394"/>
      <c r="AMO105" s="394"/>
      <c r="AMP105" s="394"/>
      <c r="AMQ105" s="394"/>
      <c r="AMR105" s="394"/>
      <c r="AMS105" s="394"/>
      <c r="AMT105" s="394"/>
      <c r="AMU105" s="394"/>
      <c r="AMV105" s="394"/>
      <c r="AMW105" s="394"/>
      <c r="AMX105" s="394"/>
      <c r="AMY105" s="394"/>
      <c r="AMZ105" s="394"/>
      <c r="ANA105" s="394"/>
      <c r="ANB105" s="394"/>
      <c r="ANC105" s="394"/>
      <c r="AND105" s="394"/>
      <c r="ANE105" s="394"/>
      <c r="ANF105" s="394"/>
      <c r="ANG105" s="394"/>
      <c r="ANH105" s="394"/>
      <c r="ANI105" s="394"/>
      <c r="ANJ105" s="394"/>
      <c r="ANK105" s="394"/>
      <c r="ANL105" s="394"/>
      <c r="ANM105" s="394"/>
      <c r="ANN105" s="394"/>
      <c r="ANO105" s="394"/>
      <c r="ANP105" s="394"/>
      <c r="ANQ105" s="394"/>
      <c r="ANR105" s="394"/>
      <c r="ANS105" s="394"/>
      <c r="ANT105" s="394"/>
      <c r="ANU105" s="394"/>
      <c r="ANV105" s="394"/>
      <c r="ANW105" s="394"/>
      <c r="ANX105" s="394"/>
      <c r="ANY105" s="394"/>
      <c r="ANZ105" s="394"/>
      <c r="AOA105" s="394"/>
      <c r="AOB105" s="394"/>
      <c r="AOC105" s="394"/>
      <c r="AOD105" s="394"/>
      <c r="AOE105" s="394"/>
      <c r="AOF105" s="394"/>
      <c r="AOG105" s="394"/>
      <c r="AOH105" s="394"/>
      <c r="AOI105" s="394"/>
      <c r="AOJ105" s="394"/>
      <c r="AOK105" s="394"/>
      <c r="AOL105" s="394"/>
      <c r="AOM105" s="394"/>
      <c r="AON105" s="394"/>
      <c r="AOO105" s="394"/>
      <c r="AOP105" s="394"/>
      <c r="AOQ105" s="394"/>
      <c r="AOR105" s="394"/>
      <c r="AOS105" s="394"/>
      <c r="AOT105" s="394"/>
      <c r="AOU105" s="394"/>
      <c r="AOV105" s="394"/>
      <c r="AOW105" s="394"/>
      <c r="AOX105" s="394"/>
      <c r="AOY105" s="394"/>
      <c r="AOZ105" s="394"/>
      <c r="APA105" s="394"/>
      <c r="APB105" s="394"/>
      <c r="APC105" s="394"/>
      <c r="APD105" s="394"/>
      <c r="APE105" s="394"/>
      <c r="APF105" s="394"/>
      <c r="APG105" s="394"/>
      <c r="APH105" s="394"/>
      <c r="API105" s="394"/>
      <c r="APJ105" s="394"/>
      <c r="APK105" s="394"/>
      <c r="APL105" s="394"/>
      <c r="APM105" s="394"/>
      <c r="APN105" s="394"/>
      <c r="APO105" s="394"/>
      <c r="APP105" s="394"/>
      <c r="APQ105" s="394"/>
      <c r="APR105" s="394"/>
      <c r="APS105" s="394"/>
      <c r="APT105" s="394"/>
      <c r="APU105" s="394"/>
      <c r="APV105" s="394"/>
      <c r="APW105" s="394"/>
      <c r="APX105" s="394"/>
      <c r="APY105" s="394"/>
      <c r="APZ105" s="394"/>
      <c r="AQA105" s="394"/>
      <c r="AQB105" s="394"/>
      <c r="AQC105" s="394"/>
      <c r="AQD105" s="394"/>
      <c r="AQE105" s="394"/>
      <c r="AQF105" s="394"/>
      <c r="AQG105" s="394"/>
      <c r="AQH105" s="394"/>
      <c r="AQI105" s="394"/>
      <c r="AQJ105" s="394"/>
      <c r="AQK105" s="394"/>
      <c r="AQL105" s="394"/>
      <c r="AQM105" s="394"/>
      <c r="AQN105" s="394"/>
      <c r="AQO105" s="394"/>
      <c r="AQP105" s="394"/>
      <c r="AQQ105" s="394"/>
      <c r="AQR105" s="394"/>
      <c r="AQS105" s="394"/>
      <c r="AQT105" s="394"/>
      <c r="AQU105" s="394"/>
      <c r="AQV105" s="394"/>
      <c r="AQW105" s="394"/>
      <c r="AQX105" s="394"/>
      <c r="AQY105" s="394"/>
      <c r="AQZ105" s="394"/>
      <c r="ARA105" s="394"/>
      <c r="ARB105" s="394"/>
      <c r="ARC105" s="394"/>
      <c r="ARD105" s="394"/>
      <c r="ARE105" s="394"/>
      <c r="ARF105" s="394"/>
      <c r="ARG105" s="394"/>
      <c r="ARH105" s="394"/>
      <c r="ARI105" s="394"/>
      <c r="ARJ105" s="394"/>
      <c r="ARK105" s="394"/>
      <c r="ARL105" s="394"/>
      <c r="ARM105" s="394"/>
      <c r="ARN105" s="394"/>
      <c r="ARO105" s="394"/>
      <c r="ARP105" s="394"/>
      <c r="ARQ105" s="394"/>
      <c r="ARR105" s="394"/>
      <c r="ARS105" s="394"/>
      <c r="ART105" s="394"/>
      <c r="ARU105" s="394"/>
      <c r="ARV105" s="394"/>
      <c r="ARW105" s="394"/>
      <c r="ARX105" s="394"/>
      <c r="ARY105" s="394"/>
      <c r="ARZ105" s="394"/>
      <c r="ASA105" s="394"/>
      <c r="ASB105" s="394"/>
      <c r="ASC105" s="394"/>
      <c r="ASD105" s="394"/>
      <c r="ASE105" s="394"/>
      <c r="ASF105" s="394"/>
      <c r="ASG105" s="394"/>
      <c r="ASH105" s="394"/>
      <c r="ASI105" s="394"/>
      <c r="ASJ105" s="394"/>
      <c r="ASK105" s="394"/>
      <c r="ASL105" s="394"/>
      <c r="ASM105" s="394"/>
      <c r="ASN105" s="394"/>
      <c r="ASO105" s="394"/>
      <c r="ASP105" s="394"/>
      <c r="ASQ105" s="394"/>
      <c r="ASR105" s="394"/>
      <c r="ASS105" s="394"/>
      <c r="AST105" s="394"/>
      <c r="ASU105" s="394"/>
      <c r="ASV105" s="394"/>
      <c r="ASW105" s="394"/>
      <c r="ASX105" s="394"/>
      <c r="ASY105" s="394"/>
      <c r="ASZ105" s="394"/>
      <c r="ATA105" s="394"/>
      <c r="ATB105" s="394"/>
      <c r="ATC105" s="394"/>
      <c r="ATD105" s="394"/>
      <c r="ATE105" s="394"/>
      <c r="ATF105" s="394"/>
      <c r="ATG105" s="394"/>
      <c r="ATH105" s="394"/>
      <c r="ATI105" s="394"/>
      <c r="ATJ105" s="394"/>
      <c r="ATK105" s="394"/>
      <c r="ATL105" s="394"/>
      <c r="ATM105" s="394"/>
      <c r="ATN105" s="394"/>
      <c r="ATO105" s="394"/>
      <c r="ATP105" s="394"/>
      <c r="ATQ105" s="394"/>
      <c r="ATR105" s="394"/>
      <c r="ATS105" s="394"/>
      <c r="ATT105" s="394"/>
      <c r="ATU105" s="394"/>
      <c r="ATV105" s="394"/>
      <c r="ATW105" s="394"/>
      <c r="ATX105" s="394"/>
      <c r="ATY105" s="394"/>
      <c r="ATZ105" s="394"/>
      <c r="AUA105" s="394"/>
      <c r="AUB105" s="394"/>
      <c r="AUC105" s="394"/>
      <c r="AUD105" s="394"/>
      <c r="AUE105" s="394"/>
      <c r="AUF105" s="394"/>
      <c r="AUG105" s="394"/>
      <c r="AUH105" s="394"/>
      <c r="AUI105" s="394"/>
      <c r="AUJ105" s="394"/>
      <c r="AUK105" s="394"/>
      <c r="AUL105" s="394"/>
      <c r="AUM105" s="394"/>
      <c r="AUN105" s="394"/>
      <c r="AUO105" s="394"/>
      <c r="AUP105" s="394"/>
      <c r="AUQ105" s="394"/>
      <c r="AUR105" s="394"/>
      <c r="AUS105" s="394"/>
      <c r="AUT105" s="394"/>
      <c r="AUU105" s="394"/>
      <c r="AUV105" s="394"/>
      <c r="AUW105" s="394"/>
      <c r="AUX105" s="394"/>
      <c r="AUY105" s="394"/>
      <c r="AUZ105" s="394"/>
      <c r="AVA105" s="394"/>
      <c r="AVB105" s="394"/>
      <c r="AVC105" s="394"/>
      <c r="AVD105" s="394"/>
      <c r="AVE105" s="394"/>
      <c r="AVF105" s="394"/>
      <c r="AVG105" s="394"/>
      <c r="AVH105" s="394"/>
      <c r="AVI105" s="394"/>
      <c r="AVJ105" s="394"/>
      <c r="AVK105" s="394"/>
      <c r="AVL105" s="394"/>
      <c r="AVM105" s="394"/>
      <c r="AVN105" s="394"/>
      <c r="AVO105" s="394"/>
      <c r="AVP105" s="394"/>
      <c r="AVQ105" s="394"/>
      <c r="AVR105" s="394"/>
      <c r="AVS105" s="394"/>
      <c r="AVT105" s="394"/>
      <c r="AVU105" s="394"/>
      <c r="AVV105" s="394"/>
      <c r="AVW105" s="394"/>
      <c r="AVX105" s="394"/>
      <c r="AVY105" s="394"/>
      <c r="AVZ105" s="394"/>
      <c r="AWA105" s="394"/>
      <c r="AWB105" s="394"/>
      <c r="AWC105" s="394"/>
      <c r="AWD105" s="394"/>
      <c r="AWE105" s="394"/>
      <c r="AWF105" s="394"/>
      <c r="AWG105" s="394"/>
      <c r="AWH105" s="394"/>
      <c r="AWI105" s="394"/>
      <c r="AWJ105" s="394"/>
      <c r="AWK105" s="394"/>
      <c r="AWL105" s="394"/>
      <c r="AWM105" s="394"/>
      <c r="AWN105" s="394"/>
      <c r="AWO105" s="394"/>
      <c r="AWP105" s="394"/>
      <c r="AWQ105" s="394"/>
      <c r="AWR105" s="394"/>
      <c r="AWS105" s="394"/>
      <c r="AWT105" s="394"/>
      <c r="AWU105" s="394"/>
      <c r="AWV105" s="394"/>
      <c r="AWW105" s="394"/>
      <c r="AWX105" s="394"/>
      <c r="AWY105" s="394"/>
      <c r="AWZ105" s="394"/>
      <c r="AXA105" s="394"/>
      <c r="AXB105" s="394"/>
      <c r="AXC105" s="394"/>
      <c r="AXD105" s="394"/>
      <c r="AXE105" s="394"/>
      <c r="AXF105" s="394"/>
      <c r="AXG105" s="394"/>
      <c r="AXH105" s="394"/>
      <c r="AXI105" s="394"/>
      <c r="AXJ105" s="394"/>
      <c r="AXK105" s="394"/>
      <c r="AXL105" s="394"/>
      <c r="AXM105" s="394"/>
      <c r="AXN105" s="394"/>
      <c r="AXO105" s="394"/>
      <c r="AXP105" s="394"/>
      <c r="AXQ105" s="394"/>
      <c r="AXR105" s="394"/>
      <c r="AXS105" s="394"/>
      <c r="AXT105" s="394"/>
      <c r="AXU105" s="394"/>
      <c r="AXV105" s="394"/>
      <c r="AXW105" s="394"/>
      <c r="AXX105" s="394"/>
      <c r="AXY105" s="394"/>
      <c r="AXZ105" s="394"/>
      <c r="AYA105" s="394"/>
      <c r="AYB105" s="394"/>
      <c r="AYC105" s="394"/>
      <c r="AYD105" s="394"/>
      <c r="AYE105" s="394"/>
      <c r="AYF105" s="394"/>
      <c r="AYG105" s="394"/>
      <c r="AYH105" s="394"/>
      <c r="AYI105" s="394"/>
      <c r="AYJ105" s="394"/>
      <c r="AYK105" s="394"/>
      <c r="AYL105" s="394"/>
      <c r="AYM105" s="394"/>
      <c r="AYN105" s="394"/>
      <c r="AYO105" s="394"/>
      <c r="AYP105" s="394"/>
      <c r="AYQ105" s="394"/>
      <c r="AYR105" s="394"/>
      <c r="AYS105" s="394"/>
      <c r="AYT105" s="394"/>
      <c r="AYU105" s="394"/>
      <c r="AYV105" s="394"/>
      <c r="AYW105" s="394"/>
      <c r="AYX105" s="394"/>
      <c r="AYY105" s="394"/>
      <c r="AYZ105" s="394"/>
      <c r="AZA105" s="394"/>
      <c r="AZB105" s="394"/>
      <c r="AZC105" s="394"/>
      <c r="AZD105" s="394"/>
      <c r="AZE105" s="394"/>
      <c r="AZF105" s="394"/>
      <c r="AZG105" s="394"/>
      <c r="AZH105" s="394"/>
      <c r="AZI105" s="394"/>
      <c r="AZJ105" s="394"/>
      <c r="AZK105" s="394"/>
      <c r="AZL105" s="394"/>
      <c r="AZM105" s="394"/>
      <c r="AZN105" s="394"/>
      <c r="AZO105" s="394"/>
      <c r="AZP105" s="394"/>
      <c r="AZQ105" s="394"/>
      <c r="AZR105" s="394"/>
      <c r="AZS105" s="394"/>
      <c r="AZT105" s="394"/>
      <c r="AZU105" s="394"/>
      <c r="AZV105" s="394"/>
      <c r="AZW105" s="394"/>
      <c r="AZX105" s="394"/>
      <c r="AZY105" s="394"/>
      <c r="AZZ105" s="394"/>
      <c r="BAA105" s="394"/>
      <c r="BAB105" s="394"/>
      <c r="BAC105" s="394"/>
      <c r="BAD105" s="394"/>
      <c r="BAE105" s="394"/>
      <c r="BAF105" s="394"/>
      <c r="BAG105" s="394"/>
      <c r="BAH105" s="394"/>
      <c r="BAI105" s="394"/>
      <c r="BAJ105" s="394"/>
      <c r="BAK105" s="394"/>
      <c r="BAL105" s="394"/>
      <c r="BAM105" s="394"/>
      <c r="BAN105" s="394"/>
      <c r="BAO105" s="394"/>
      <c r="BAP105" s="394"/>
      <c r="BAQ105" s="394"/>
      <c r="BAR105" s="394"/>
      <c r="BAS105" s="394"/>
      <c r="BAT105" s="394"/>
      <c r="BAU105" s="394"/>
      <c r="BAV105" s="394"/>
      <c r="BAW105" s="394"/>
      <c r="BAX105" s="394"/>
      <c r="BAY105" s="394"/>
      <c r="BAZ105" s="394"/>
      <c r="BBA105" s="394"/>
      <c r="BBB105" s="394"/>
      <c r="BBC105" s="394"/>
      <c r="BBD105" s="394"/>
      <c r="BBE105" s="394"/>
      <c r="BBF105" s="394"/>
      <c r="BBG105" s="394"/>
      <c r="BBH105" s="394"/>
      <c r="BBI105" s="394"/>
      <c r="BBJ105" s="394"/>
      <c r="BBK105" s="394"/>
      <c r="BBL105" s="394"/>
      <c r="BBM105" s="394"/>
      <c r="BBN105" s="394"/>
      <c r="BBO105" s="394"/>
      <c r="BBP105" s="394"/>
      <c r="BBQ105" s="394"/>
      <c r="BBR105" s="394"/>
      <c r="BBS105" s="394"/>
      <c r="BBT105" s="394"/>
      <c r="BBU105" s="394"/>
      <c r="BBV105" s="394"/>
      <c r="BBW105" s="394"/>
      <c r="BBX105" s="394"/>
      <c r="BBY105" s="394"/>
      <c r="BBZ105" s="394"/>
      <c r="BCA105" s="394"/>
      <c r="BCB105" s="394"/>
      <c r="BCC105" s="394"/>
      <c r="BCD105" s="394"/>
      <c r="BCE105" s="394"/>
      <c r="BCF105" s="394"/>
      <c r="BCG105" s="394"/>
      <c r="BCH105" s="394"/>
      <c r="BCI105" s="394"/>
      <c r="BCJ105" s="394"/>
      <c r="BCK105" s="394"/>
      <c r="BCL105" s="394"/>
      <c r="BCM105" s="394"/>
      <c r="BCN105" s="394"/>
      <c r="BCO105" s="394"/>
      <c r="BCP105" s="394"/>
      <c r="BCQ105" s="394"/>
      <c r="BCR105" s="394"/>
      <c r="BCS105" s="394"/>
      <c r="BCT105" s="394"/>
      <c r="BCU105" s="394"/>
      <c r="BCV105" s="394"/>
      <c r="BCW105" s="394"/>
      <c r="BCX105" s="394"/>
      <c r="BCY105" s="394"/>
      <c r="BCZ105" s="394"/>
      <c r="BDA105" s="394"/>
      <c r="BDB105" s="394"/>
      <c r="BDC105" s="394"/>
      <c r="BDD105" s="394"/>
      <c r="BDE105" s="394"/>
      <c r="BDF105" s="394"/>
      <c r="BDG105" s="394"/>
      <c r="BDH105" s="394"/>
      <c r="BDI105" s="394"/>
      <c r="BDJ105" s="394"/>
      <c r="BDK105" s="394"/>
      <c r="BDL105" s="394"/>
      <c r="BDM105" s="394"/>
      <c r="BDN105" s="394"/>
      <c r="BDO105" s="394"/>
      <c r="BDP105" s="394"/>
      <c r="BDQ105" s="394"/>
      <c r="BDR105" s="394"/>
      <c r="BDS105" s="394"/>
      <c r="BDT105" s="394"/>
      <c r="BDU105" s="394"/>
      <c r="BDV105" s="394"/>
      <c r="BDW105" s="394"/>
      <c r="BDX105" s="394"/>
      <c r="BDY105" s="394"/>
      <c r="BDZ105" s="394"/>
      <c r="BEA105" s="394"/>
      <c r="BEB105" s="394"/>
      <c r="BEC105" s="394"/>
      <c r="BED105" s="394"/>
      <c r="BEE105" s="394"/>
      <c r="BEF105" s="394"/>
      <c r="BEG105" s="394"/>
      <c r="BEH105" s="394"/>
      <c r="BEI105" s="394"/>
      <c r="BEJ105" s="394"/>
      <c r="BEK105" s="394"/>
      <c r="BEL105" s="394"/>
      <c r="BEM105" s="394"/>
      <c r="BEN105" s="394"/>
      <c r="BEO105" s="394"/>
      <c r="BEP105" s="394"/>
      <c r="BEQ105" s="394"/>
      <c r="BER105" s="394"/>
      <c r="BES105" s="394"/>
      <c r="BET105" s="394"/>
      <c r="BEU105" s="394"/>
      <c r="BEV105" s="394"/>
      <c r="BEW105" s="394"/>
      <c r="BEX105" s="394"/>
      <c r="BEY105" s="394"/>
      <c r="BEZ105" s="394"/>
      <c r="BFA105" s="394"/>
      <c r="BFB105" s="394"/>
      <c r="BFC105" s="394"/>
      <c r="BFD105" s="394"/>
      <c r="BFE105" s="394"/>
      <c r="BFF105" s="394"/>
      <c r="BFG105" s="394"/>
      <c r="BFH105" s="394"/>
      <c r="BFI105" s="394"/>
      <c r="BFJ105" s="394"/>
      <c r="BFK105" s="394"/>
      <c r="BFL105" s="394"/>
      <c r="BFM105" s="394"/>
      <c r="BFN105" s="394"/>
      <c r="BFO105" s="394"/>
      <c r="BFP105" s="394"/>
      <c r="BFQ105" s="394"/>
      <c r="BFR105" s="394"/>
      <c r="BFS105" s="394"/>
      <c r="BFT105" s="394"/>
      <c r="BFU105" s="394"/>
      <c r="BFV105" s="394"/>
      <c r="BFW105" s="394"/>
      <c r="BFX105" s="394"/>
      <c r="BFY105" s="394"/>
      <c r="BFZ105" s="394"/>
      <c r="BGA105" s="394"/>
      <c r="BGB105" s="394"/>
      <c r="BGC105" s="394"/>
      <c r="BGD105" s="394"/>
      <c r="BGE105" s="394"/>
      <c r="BGF105" s="394"/>
      <c r="BGG105" s="394"/>
      <c r="BGH105" s="394"/>
      <c r="BGI105" s="394"/>
      <c r="BGJ105" s="394"/>
      <c r="BGK105" s="394"/>
      <c r="BGL105" s="394"/>
      <c r="BGM105" s="394"/>
      <c r="BGN105" s="394"/>
      <c r="BGO105" s="394"/>
      <c r="BGP105" s="394"/>
      <c r="BGQ105" s="394"/>
      <c r="BGR105" s="394"/>
      <c r="BGS105" s="394"/>
      <c r="BGT105" s="394"/>
      <c r="BGU105" s="394"/>
      <c r="BGV105" s="394"/>
      <c r="BGW105" s="394"/>
      <c r="BGX105" s="394"/>
      <c r="BGY105" s="394"/>
      <c r="BGZ105" s="394"/>
      <c r="BHA105" s="394"/>
      <c r="BHB105" s="394"/>
      <c r="BHC105" s="394"/>
      <c r="BHD105" s="394"/>
      <c r="BHE105" s="394"/>
      <c r="BHF105" s="394"/>
      <c r="BHG105" s="394"/>
      <c r="BHH105" s="394"/>
      <c r="BHI105" s="394"/>
      <c r="BHJ105" s="394"/>
      <c r="BHK105" s="394"/>
      <c r="BHL105" s="394"/>
      <c r="BHM105" s="394"/>
      <c r="BHN105" s="394"/>
      <c r="BHO105" s="394"/>
      <c r="BHP105" s="394"/>
      <c r="BHQ105" s="394"/>
      <c r="BHR105" s="394"/>
      <c r="BHS105" s="394"/>
      <c r="BHT105" s="394"/>
      <c r="BHU105" s="394"/>
      <c r="BHV105" s="394"/>
      <c r="BHW105" s="394"/>
      <c r="BHX105" s="394"/>
      <c r="BHY105" s="394"/>
      <c r="BHZ105" s="394"/>
      <c r="BIA105" s="394"/>
      <c r="BIB105" s="394"/>
      <c r="BIC105" s="394"/>
      <c r="BID105" s="394"/>
      <c r="BIE105" s="394"/>
      <c r="BIF105" s="394"/>
      <c r="BIG105" s="394"/>
      <c r="BIH105" s="394"/>
      <c r="BII105" s="394"/>
      <c r="BIJ105" s="394"/>
      <c r="BIK105" s="394"/>
      <c r="BIL105" s="394"/>
      <c r="BIM105" s="394"/>
      <c r="BIN105" s="394"/>
      <c r="BIO105" s="394"/>
      <c r="BIP105" s="394"/>
      <c r="BIQ105" s="394"/>
      <c r="BIR105" s="394"/>
      <c r="BIS105" s="394"/>
      <c r="BIT105" s="394"/>
      <c r="BIU105" s="394"/>
      <c r="BIV105" s="394"/>
      <c r="BIW105" s="394"/>
      <c r="BIX105" s="394"/>
      <c r="BIY105" s="394"/>
      <c r="BIZ105" s="394"/>
      <c r="BJA105" s="394"/>
      <c r="BJB105" s="394"/>
      <c r="BJC105" s="394"/>
      <c r="BJD105" s="394"/>
      <c r="BJE105" s="394"/>
      <c r="BJF105" s="394"/>
      <c r="BJG105" s="394"/>
      <c r="BJH105" s="394"/>
      <c r="BJI105" s="394"/>
      <c r="BJJ105" s="394"/>
      <c r="BJK105" s="394"/>
      <c r="BJL105" s="394"/>
      <c r="BJM105" s="394"/>
      <c r="BJN105" s="394"/>
      <c r="BJO105" s="394"/>
      <c r="BJP105" s="394"/>
      <c r="BJQ105" s="394"/>
      <c r="BJR105" s="394"/>
      <c r="BJS105" s="394"/>
      <c r="BJT105" s="394"/>
      <c r="BJU105" s="394"/>
      <c r="BJV105" s="394"/>
      <c r="BJW105" s="394"/>
      <c r="BJX105" s="394"/>
      <c r="BJY105" s="394"/>
      <c r="BJZ105" s="394"/>
      <c r="BKA105" s="394"/>
      <c r="BKB105" s="394"/>
      <c r="BKC105" s="394"/>
      <c r="BKD105" s="394"/>
      <c r="BKE105" s="394"/>
      <c r="BKF105" s="394"/>
      <c r="BKG105" s="394"/>
      <c r="BKH105" s="394"/>
      <c r="BKI105" s="394"/>
      <c r="BKJ105" s="394"/>
      <c r="BKK105" s="394"/>
      <c r="BKL105" s="394"/>
      <c r="BKM105" s="394"/>
      <c r="BKN105" s="394"/>
      <c r="BKO105" s="394"/>
      <c r="BKP105" s="394"/>
      <c r="BKQ105" s="394"/>
      <c r="BKR105" s="394"/>
      <c r="BKS105" s="394"/>
      <c r="BKT105" s="394"/>
      <c r="BKU105" s="394"/>
      <c r="BKV105" s="394"/>
      <c r="BKW105" s="394"/>
      <c r="BKX105" s="394"/>
      <c r="BKY105" s="394"/>
      <c r="BKZ105" s="394"/>
      <c r="BLA105" s="394"/>
      <c r="BLB105" s="394"/>
      <c r="BLC105" s="394"/>
      <c r="BLD105" s="394"/>
      <c r="BLE105" s="394"/>
      <c r="BLF105" s="394"/>
      <c r="BLG105" s="394"/>
      <c r="BLH105" s="394"/>
      <c r="BLI105" s="394"/>
      <c r="BLJ105" s="394"/>
      <c r="BLK105" s="394"/>
      <c r="BLL105" s="394"/>
      <c r="BLM105" s="394"/>
      <c r="BLN105" s="394"/>
      <c r="BLO105" s="394"/>
      <c r="BLP105" s="394"/>
      <c r="BLQ105" s="394"/>
      <c r="BLR105" s="394"/>
      <c r="BLS105" s="394"/>
      <c r="BLT105" s="394"/>
      <c r="BLU105" s="394"/>
      <c r="BLV105" s="394"/>
      <c r="BLW105" s="394"/>
      <c r="BLX105" s="394"/>
      <c r="BLY105" s="394"/>
      <c r="BLZ105" s="394"/>
      <c r="BMA105" s="394"/>
      <c r="BMB105" s="394"/>
      <c r="BMC105" s="394"/>
      <c r="BMD105" s="394"/>
      <c r="BME105" s="394"/>
      <c r="BMF105" s="394"/>
      <c r="BMG105" s="394"/>
      <c r="BMH105" s="394"/>
      <c r="BMI105" s="394"/>
      <c r="BMJ105" s="394"/>
      <c r="BMK105" s="394"/>
      <c r="BML105" s="394"/>
      <c r="BMM105" s="394"/>
      <c r="BMN105" s="394"/>
      <c r="BMO105" s="394"/>
      <c r="BMP105" s="394"/>
      <c r="BMQ105" s="394"/>
      <c r="BMR105" s="394"/>
      <c r="BMS105" s="394"/>
      <c r="BMT105" s="394"/>
      <c r="BMU105" s="394"/>
      <c r="BMV105" s="394"/>
      <c r="BMW105" s="394"/>
      <c r="BMX105" s="394"/>
      <c r="BMY105" s="394"/>
      <c r="BMZ105" s="394"/>
      <c r="BNA105" s="394"/>
      <c r="BNB105" s="394"/>
      <c r="BNC105" s="394"/>
      <c r="BND105" s="394"/>
      <c r="BNE105" s="394"/>
      <c r="BNF105" s="394"/>
      <c r="BNG105" s="394"/>
      <c r="BNH105" s="394"/>
      <c r="BNI105" s="394"/>
      <c r="BNJ105" s="394"/>
      <c r="BNK105" s="394"/>
      <c r="BNL105" s="394"/>
      <c r="BNM105" s="394"/>
      <c r="BNN105" s="394"/>
      <c r="BNO105" s="394"/>
      <c r="BNP105" s="394"/>
      <c r="BNQ105" s="394"/>
      <c r="BNR105" s="394"/>
      <c r="BNS105" s="394"/>
      <c r="BNT105" s="394"/>
      <c r="BNU105" s="394"/>
      <c r="BNV105" s="394"/>
      <c r="BNW105" s="394"/>
      <c r="BNX105" s="394"/>
      <c r="BNY105" s="394"/>
      <c r="BNZ105" s="394"/>
      <c r="BOA105" s="394"/>
      <c r="BOB105" s="394"/>
      <c r="BOC105" s="394"/>
      <c r="BOD105" s="394"/>
      <c r="BOE105" s="394"/>
      <c r="BOF105" s="394"/>
      <c r="BOG105" s="394"/>
      <c r="BOH105" s="394"/>
      <c r="BOI105" s="394"/>
      <c r="BOJ105" s="394"/>
      <c r="BOK105" s="394"/>
      <c r="BOL105" s="394"/>
      <c r="BOM105" s="394"/>
      <c r="BON105" s="394"/>
      <c r="BOO105" s="394"/>
      <c r="BOP105" s="394"/>
      <c r="BOQ105" s="394"/>
      <c r="BOR105" s="394"/>
      <c r="BOS105" s="394"/>
      <c r="BOT105" s="394"/>
      <c r="BOU105" s="394"/>
      <c r="BOV105" s="394"/>
      <c r="BOW105" s="394"/>
      <c r="BOX105" s="394"/>
      <c r="BOY105" s="394"/>
      <c r="BOZ105" s="394"/>
      <c r="BPA105" s="394"/>
      <c r="BPB105" s="394"/>
      <c r="BPC105" s="394"/>
      <c r="BPD105" s="394"/>
      <c r="BPE105" s="394"/>
      <c r="BPF105" s="394"/>
      <c r="BPG105" s="394"/>
      <c r="BPH105" s="394"/>
      <c r="BPI105" s="394"/>
      <c r="BPJ105" s="394"/>
      <c r="BPK105" s="394"/>
      <c r="BPL105" s="394"/>
      <c r="BPM105" s="394"/>
      <c r="BPN105" s="394"/>
      <c r="BPO105" s="394"/>
      <c r="BPP105" s="394"/>
      <c r="BPQ105" s="394"/>
      <c r="BPR105" s="394"/>
      <c r="BPS105" s="394"/>
      <c r="BPT105" s="394"/>
      <c r="BPU105" s="394"/>
      <c r="BPV105" s="394"/>
      <c r="BPW105" s="394"/>
      <c r="BPX105" s="394"/>
      <c r="BPY105" s="394"/>
      <c r="BPZ105" s="394"/>
      <c r="BQA105" s="394"/>
      <c r="BQB105" s="394"/>
      <c r="BQC105" s="394"/>
      <c r="BQD105" s="394"/>
      <c r="BQE105" s="394"/>
      <c r="BQF105" s="394"/>
      <c r="BQG105" s="394"/>
      <c r="BQH105" s="394"/>
      <c r="BQI105" s="394"/>
      <c r="BQJ105" s="394"/>
      <c r="BQK105" s="394"/>
      <c r="BQL105" s="394"/>
      <c r="BQM105" s="394"/>
      <c r="BQN105" s="394"/>
      <c r="BQO105" s="394"/>
      <c r="BQP105" s="394"/>
      <c r="BQQ105" s="394"/>
      <c r="BQR105" s="394"/>
      <c r="BQS105" s="394"/>
      <c r="BQT105" s="394"/>
      <c r="BQU105" s="394"/>
      <c r="BQV105" s="394"/>
      <c r="BQW105" s="394"/>
      <c r="BQX105" s="394"/>
      <c r="BQY105" s="394"/>
      <c r="BQZ105" s="394"/>
      <c r="BRA105" s="394"/>
      <c r="BRB105" s="394"/>
      <c r="BRC105" s="394"/>
      <c r="BRD105" s="394"/>
      <c r="BRE105" s="394"/>
      <c r="BRF105" s="394"/>
      <c r="BRG105" s="394"/>
      <c r="BRH105" s="394"/>
      <c r="BRI105" s="394"/>
      <c r="BRJ105" s="394"/>
      <c r="BRK105" s="394"/>
      <c r="BRL105" s="394"/>
      <c r="BRM105" s="394"/>
      <c r="BRN105" s="394"/>
      <c r="BRO105" s="394"/>
      <c r="BRP105" s="394"/>
      <c r="BRQ105" s="394"/>
      <c r="BRR105" s="394"/>
      <c r="BRS105" s="394"/>
      <c r="BRT105" s="394"/>
      <c r="BRU105" s="394"/>
      <c r="BRV105" s="394"/>
      <c r="BRW105" s="394"/>
      <c r="BRX105" s="394"/>
      <c r="BRY105" s="394"/>
      <c r="BRZ105" s="394"/>
      <c r="BSA105" s="394"/>
      <c r="BSB105" s="394"/>
      <c r="BSC105" s="394"/>
      <c r="BSD105" s="394"/>
      <c r="BSE105" s="394"/>
      <c r="BSF105" s="394"/>
      <c r="BSG105" s="394"/>
      <c r="BSH105" s="394"/>
      <c r="BSI105" s="394"/>
      <c r="BSJ105" s="394"/>
      <c r="BSK105" s="394"/>
      <c r="BSL105" s="394"/>
      <c r="BSM105" s="394"/>
      <c r="BSN105" s="394"/>
      <c r="BSO105" s="394"/>
      <c r="BSP105" s="394"/>
      <c r="BSQ105" s="394"/>
      <c r="BSR105" s="394"/>
      <c r="BSS105" s="394"/>
      <c r="BST105" s="394"/>
      <c r="BSU105" s="394"/>
      <c r="BSV105" s="394"/>
      <c r="BSW105" s="394"/>
      <c r="BSX105" s="394"/>
      <c r="BSY105" s="394"/>
      <c r="BSZ105" s="394"/>
      <c r="BTA105" s="394"/>
      <c r="BTB105" s="394"/>
      <c r="BTC105" s="394"/>
      <c r="BTD105" s="394"/>
      <c r="BTE105" s="394"/>
      <c r="BTF105" s="394"/>
      <c r="BTG105" s="394"/>
      <c r="BTH105" s="394"/>
      <c r="BTI105" s="394"/>
    </row>
    <row r="106" spans="1:1881" s="378" customFormat="1" ht="64.5" customHeight="1" x14ac:dyDescent="0.25">
      <c r="A106" s="405">
        <v>360</v>
      </c>
      <c r="B106" s="399" t="s">
        <v>63</v>
      </c>
      <c r="C106" s="402" t="s">
        <v>183</v>
      </c>
      <c r="D106" s="403" t="s">
        <v>179</v>
      </c>
      <c r="E106" s="398" t="e">
        <f>HLOOKUP($D$2,'2019 Data(H)'!$C$1:$CP$300,121,FALSE)</f>
        <v>#N/A</v>
      </c>
      <c r="F106" s="624"/>
      <c r="G106" s="395"/>
      <c r="H106" s="396"/>
      <c r="I106" s="397"/>
      <c r="J106" s="394"/>
      <c r="K106" s="394"/>
      <c r="L106" s="394"/>
      <c r="M106" s="394"/>
      <c r="N106"/>
      <c r="O106" s="394"/>
      <c r="P106" s="394"/>
      <c r="Q106" s="394"/>
      <c r="R106" s="394"/>
      <c r="S106" s="394"/>
      <c r="T106" s="394"/>
      <c r="U106" s="394"/>
      <c r="V106" s="394"/>
      <c r="W106" s="394"/>
      <c r="X106" s="394"/>
      <c r="Y106" s="394"/>
      <c r="Z106" s="394"/>
      <c r="AA106" s="394"/>
      <c r="AB106" s="394"/>
      <c r="AC106" s="394"/>
      <c r="AD106" s="394"/>
      <c r="AE106" s="394"/>
      <c r="AF106" s="394"/>
      <c r="AG106" s="394"/>
      <c r="AH106" s="394"/>
      <c r="AI106" s="394"/>
      <c r="AJ106" s="394"/>
      <c r="AK106" s="394"/>
      <c r="AL106" s="394"/>
      <c r="AM106" s="394"/>
      <c r="AN106" s="394"/>
      <c r="AO106" s="394"/>
      <c r="AP106" s="394"/>
      <c r="AQ106" s="394"/>
      <c r="AR106" s="394"/>
      <c r="AS106" s="394"/>
      <c r="AT106" s="394"/>
      <c r="AU106" s="394"/>
      <c r="AV106" s="394"/>
      <c r="AW106" s="394"/>
      <c r="AX106" s="394"/>
      <c r="AY106" s="394"/>
      <c r="AZ106" s="394"/>
      <c r="BA106" s="394"/>
      <c r="BB106" s="394"/>
      <c r="BC106" s="394"/>
      <c r="BD106" s="394"/>
      <c r="BE106" s="394"/>
      <c r="BF106" s="394"/>
      <c r="BG106" s="394"/>
      <c r="BH106" s="394"/>
      <c r="BI106" s="394"/>
      <c r="BJ106" s="394"/>
      <c r="BK106" s="394"/>
      <c r="BL106" s="394"/>
      <c r="BM106" s="394"/>
      <c r="BN106" s="394"/>
      <c r="BO106" s="394"/>
      <c r="BP106" s="394"/>
      <c r="BQ106" s="394"/>
      <c r="BR106" s="394"/>
      <c r="BS106" s="394"/>
      <c r="BT106" s="394"/>
      <c r="BU106" s="394"/>
      <c r="BV106" s="394"/>
      <c r="BW106" s="394"/>
      <c r="BX106" s="394"/>
      <c r="BY106" s="394"/>
      <c r="BZ106" s="394"/>
      <c r="CA106" s="394"/>
      <c r="CB106" s="394"/>
      <c r="CC106" s="394"/>
      <c r="CD106" s="394"/>
      <c r="CE106" s="394"/>
      <c r="CF106" s="394"/>
      <c r="CG106" s="394"/>
      <c r="CH106" s="394"/>
      <c r="CI106" s="394"/>
      <c r="CJ106" s="394"/>
      <c r="CK106" s="394"/>
      <c r="CL106" s="394"/>
      <c r="CM106" s="394"/>
      <c r="CN106" s="394"/>
      <c r="CO106" s="394"/>
      <c r="CP106" s="394"/>
      <c r="CQ106" s="394"/>
      <c r="CR106" s="394"/>
      <c r="CS106" s="394"/>
      <c r="CT106" s="394"/>
      <c r="CU106" s="394"/>
      <c r="CV106" s="394"/>
      <c r="CW106" s="394"/>
      <c r="CX106" s="394"/>
      <c r="CY106" s="394"/>
      <c r="CZ106" s="394"/>
      <c r="DA106" s="394"/>
      <c r="DB106" s="394"/>
      <c r="DC106" s="394"/>
      <c r="DD106" s="394"/>
      <c r="DE106" s="394"/>
      <c r="DF106" s="394"/>
      <c r="DG106" s="394"/>
      <c r="DH106" s="394"/>
      <c r="DI106" s="394"/>
      <c r="DJ106" s="394"/>
      <c r="DK106" s="394"/>
      <c r="DL106" s="394"/>
      <c r="DM106" s="394"/>
      <c r="DN106" s="394"/>
      <c r="DO106" s="394"/>
      <c r="DP106" s="394"/>
      <c r="DQ106" s="394"/>
      <c r="DR106" s="394"/>
      <c r="DS106" s="394"/>
      <c r="DT106" s="394"/>
      <c r="DU106" s="394"/>
      <c r="DV106" s="394"/>
      <c r="DW106" s="394"/>
      <c r="DX106" s="394"/>
      <c r="DY106" s="394"/>
      <c r="DZ106" s="394"/>
      <c r="EA106" s="394"/>
      <c r="EB106" s="394"/>
      <c r="EC106" s="394"/>
      <c r="ED106" s="394"/>
      <c r="EE106" s="394"/>
      <c r="EF106" s="394"/>
      <c r="EG106" s="394"/>
      <c r="EH106" s="394"/>
      <c r="EI106" s="394"/>
      <c r="EJ106" s="394"/>
      <c r="EK106" s="394"/>
      <c r="EL106" s="394"/>
      <c r="EM106" s="394"/>
      <c r="EN106" s="394"/>
      <c r="EO106" s="394"/>
      <c r="EP106" s="394"/>
      <c r="EQ106" s="394"/>
      <c r="ER106" s="394"/>
      <c r="ES106" s="394"/>
      <c r="ET106" s="394"/>
      <c r="EU106" s="394"/>
      <c r="EV106" s="394"/>
      <c r="EW106" s="394"/>
      <c r="EX106" s="394"/>
      <c r="EY106" s="394"/>
      <c r="EZ106" s="394"/>
      <c r="FA106" s="394"/>
      <c r="FB106" s="394"/>
      <c r="FC106" s="394"/>
      <c r="FD106" s="394"/>
      <c r="FE106" s="394"/>
      <c r="FF106" s="394"/>
      <c r="FG106" s="394"/>
      <c r="FH106" s="394"/>
      <c r="FI106" s="394"/>
      <c r="FJ106" s="394"/>
      <c r="FK106" s="394"/>
      <c r="FL106" s="394"/>
      <c r="FM106" s="394"/>
      <c r="FN106" s="394"/>
      <c r="FO106" s="394"/>
      <c r="FP106" s="394"/>
      <c r="FQ106" s="394"/>
      <c r="FR106" s="394"/>
      <c r="FS106" s="394"/>
      <c r="FT106" s="394"/>
      <c r="FU106" s="394"/>
      <c r="FV106" s="394"/>
      <c r="FW106" s="394"/>
      <c r="FX106" s="394"/>
      <c r="FY106" s="394"/>
      <c r="FZ106" s="394"/>
      <c r="GA106" s="394"/>
      <c r="GB106" s="394"/>
      <c r="GC106" s="394"/>
      <c r="GD106" s="394"/>
      <c r="GE106" s="394"/>
      <c r="GF106" s="394"/>
      <c r="GG106" s="394"/>
      <c r="GH106" s="394"/>
      <c r="GI106" s="394"/>
      <c r="GJ106" s="394"/>
      <c r="GK106" s="394"/>
      <c r="GL106" s="394"/>
      <c r="GM106" s="394"/>
      <c r="GN106" s="394"/>
      <c r="GO106" s="394"/>
      <c r="GP106" s="394"/>
      <c r="GQ106" s="394"/>
      <c r="GR106" s="394"/>
      <c r="GS106" s="394"/>
      <c r="GT106" s="394"/>
      <c r="GU106" s="394"/>
      <c r="GV106" s="394"/>
      <c r="GW106" s="394"/>
      <c r="GX106" s="394"/>
      <c r="GY106" s="394"/>
      <c r="GZ106" s="394"/>
      <c r="HA106" s="394"/>
      <c r="HB106" s="394"/>
      <c r="HC106" s="394"/>
      <c r="HD106" s="394"/>
      <c r="HE106" s="394"/>
      <c r="HF106" s="394"/>
      <c r="HG106" s="394"/>
      <c r="HH106" s="394"/>
      <c r="HI106" s="394"/>
      <c r="HJ106" s="394"/>
      <c r="HK106" s="394"/>
      <c r="HL106" s="394"/>
      <c r="HM106" s="394"/>
      <c r="HN106" s="394"/>
      <c r="HO106" s="394"/>
      <c r="HP106" s="394"/>
      <c r="HQ106" s="394"/>
      <c r="HR106" s="394"/>
      <c r="HS106" s="394"/>
      <c r="HT106" s="394"/>
      <c r="HU106" s="394"/>
      <c r="HV106" s="394"/>
      <c r="HW106" s="394"/>
      <c r="HX106" s="394"/>
      <c r="HY106" s="394"/>
      <c r="HZ106" s="394"/>
      <c r="IA106" s="394"/>
      <c r="IB106" s="394"/>
      <c r="IC106" s="394"/>
      <c r="ID106" s="394"/>
      <c r="IE106" s="394"/>
      <c r="IF106" s="394"/>
      <c r="IG106" s="394"/>
      <c r="IH106" s="394"/>
      <c r="II106" s="394"/>
      <c r="IJ106" s="394"/>
      <c r="IK106" s="394"/>
      <c r="IL106" s="394"/>
      <c r="IM106" s="394"/>
      <c r="IN106" s="394"/>
      <c r="IO106" s="394"/>
      <c r="IP106" s="394"/>
      <c r="IQ106" s="394"/>
      <c r="IR106" s="394"/>
      <c r="IS106" s="394"/>
      <c r="IT106" s="394"/>
      <c r="IU106" s="394"/>
      <c r="IV106" s="394"/>
      <c r="IW106" s="394"/>
      <c r="IX106" s="394"/>
      <c r="IY106" s="394"/>
      <c r="IZ106" s="394"/>
      <c r="JA106" s="394"/>
      <c r="JB106" s="394"/>
      <c r="JC106" s="394"/>
      <c r="JD106" s="394"/>
      <c r="JE106" s="394"/>
      <c r="JF106" s="394"/>
      <c r="JG106" s="394"/>
      <c r="JH106" s="394"/>
      <c r="JI106" s="394"/>
      <c r="JJ106" s="394"/>
      <c r="JK106" s="394"/>
      <c r="JL106" s="394"/>
      <c r="JM106" s="394"/>
      <c r="JN106" s="394"/>
      <c r="JO106" s="394"/>
      <c r="JP106" s="394"/>
      <c r="JQ106" s="394"/>
      <c r="JR106" s="394"/>
      <c r="JS106" s="394"/>
      <c r="JT106" s="394"/>
      <c r="JU106" s="394"/>
      <c r="JV106" s="394"/>
      <c r="JW106" s="394"/>
      <c r="JX106" s="394"/>
      <c r="JY106" s="394"/>
      <c r="JZ106" s="394"/>
      <c r="KA106" s="394"/>
      <c r="KB106" s="394"/>
      <c r="KC106" s="394"/>
      <c r="KD106" s="394"/>
      <c r="KE106" s="394"/>
      <c r="KF106" s="394"/>
      <c r="KG106" s="394"/>
      <c r="KH106" s="394"/>
      <c r="KI106" s="394"/>
      <c r="KJ106" s="394"/>
      <c r="KK106" s="394"/>
      <c r="KL106" s="394"/>
      <c r="KM106" s="394"/>
      <c r="KN106" s="394"/>
      <c r="KO106" s="394"/>
      <c r="KP106" s="394"/>
      <c r="KQ106" s="394"/>
      <c r="KR106" s="394"/>
      <c r="KS106" s="394"/>
      <c r="KT106" s="394"/>
      <c r="KU106" s="394"/>
      <c r="KV106" s="394"/>
      <c r="KW106" s="394"/>
      <c r="KX106" s="394"/>
      <c r="KY106" s="394"/>
      <c r="KZ106" s="394"/>
      <c r="LA106" s="394"/>
      <c r="LB106" s="394"/>
      <c r="LC106" s="394"/>
      <c r="LD106" s="394"/>
      <c r="LE106" s="394"/>
      <c r="LF106" s="394"/>
      <c r="LG106" s="394"/>
      <c r="LH106" s="394"/>
      <c r="LI106" s="394"/>
      <c r="LJ106" s="394"/>
      <c r="LK106" s="394"/>
      <c r="LL106" s="394"/>
      <c r="LM106" s="394"/>
      <c r="LN106" s="394"/>
      <c r="LO106" s="394"/>
      <c r="LP106" s="394"/>
      <c r="LQ106" s="394"/>
      <c r="LR106" s="394"/>
      <c r="LS106" s="394"/>
      <c r="LT106" s="394"/>
      <c r="LU106" s="394"/>
      <c r="LV106" s="394"/>
      <c r="LW106" s="394"/>
      <c r="LX106" s="394"/>
      <c r="LY106" s="394"/>
      <c r="LZ106" s="394"/>
      <c r="MA106" s="394"/>
      <c r="MB106" s="394"/>
      <c r="MC106" s="394"/>
      <c r="MD106" s="394"/>
      <c r="ME106" s="394"/>
      <c r="MF106" s="394"/>
      <c r="MG106" s="394"/>
      <c r="MH106" s="394"/>
      <c r="MI106" s="394"/>
      <c r="MJ106" s="394"/>
      <c r="MK106" s="394"/>
      <c r="ML106" s="394"/>
      <c r="MM106" s="394"/>
      <c r="MN106" s="394"/>
      <c r="MO106" s="394"/>
      <c r="MP106" s="394"/>
      <c r="MQ106" s="394"/>
      <c r="MR106" s="394"/>
      <c r="MS106" s="394"/>
      <c r="MT106" s="394"/>
      <c r="MU106" s="394"/>
      <c r="MV106" s="394"/>
      <c r="MW106" s="394"/>
      <c r="MX106" s="394"/>
      <c r="MY106" s="394"/>
      <c r="MZ106" s="394"/>
      <c r="NA106" s="394"/>
      <c r="NB106" s="394"/>
      <c r="NC106" s="394"/>
      <c r="ND106" s="394"/>
      <c r="NE106" s="394"/>
      <c r="NF106" s="394"/>
      <c r="NG106" s="394"/>
      <c r="NH106" s="394"/>
      <c r="NI106" s="394"/>
      <c r="NJ106" s="394"/>
      <c r="NK106" s="394"/>
      <c r="NL106" s="394"/>
      <c r="NM106" s="394"/>
      <c r="NN106" s="394"/>
      <c r="NO106" s="394"/>
      <c r="NP106" s="394"/>
      <c r="NQ106" s="394"/>
      <c r="NR106" s="394"/>
      <c r="NS106" s="394"/>
      <c r="NT106" s="394"/>
      <c r="NU106" s="394"/>
      <c r="NV106" s="394"/>
      <c r="NW106" s="394"/>
      <c r="NX106" s="394"/>
      <c r="NY106" s="394"/>
      <c r="NZ106" s="394"/>
      <c r="OA106" s="394"/>
      <c r="OB106" s="394"/>
      <c r="OC106" s="394"/>
      <c r="OD106" s="394"/>
      <c r="OE106" s="394"/>
      <c r="OF106" s="394"/>
      <c r="OG106" s="394"/>
      <c r="OH106" s="394"/>
      <c r="OI106" s="394"/>
      <c r="OJ106" s="394"/>
      <c r="OK106" s="394"/>
      <c r="OL106" s="394"/>
      <c r="OM106" s="394"/>
      <c r="ON106" s="394"/>
      <c r="OO106" s="394"/>
      <c r="OP106" s="394"/>
      <c r="OQ106" s="394"/>
      <c r="OR106" s="394"/>
      <c r="OS106" s="394"/>
      <c r="OT106" s="394"/>
      <c r="OU106" s="394"/>
      <c r="OV106" s="394"/>
      <c r="OW106" s="394"/>
      <c r="OX106" s="394"/>
      <c r="OY106" s="394"/>
      <c r="OZ106" s="394"/>
      <c r="PA106" s="394"/>
      <c r="PB106" s="394"/>
      <c r="PC106" s="394"/>
      <c r="PD106" s="394"/>
      <c r="PE106" s="394"/>
      <c r="PF106" s="394"/>
      <c r="PG106" s="394"/>
      <c r="PH106" s="394"/>
      <c r="PI106" s="394"/>
      <c r="PJ106" s="394"/>
      <c r="PK106" s="394"/>
      <c r="PL106" s="394"/>
      <c r="PM106" s="394"/>
      <c r="PN106" s="394"/>
      <c r="PO106" s="394"/>
      <c r="PP106" s="394"/>
      <c r="PQ106" s="394"/>
      <c r="PR106" s="394"/>
      <c r="PS106" s="394"/>
      <c r="PT106" s="394"/>
      <c r="PU106" s="394"/>
      <c r="PV106" s="394"/>
      <c r="PW106" s="394"/>
      <c r="PX106" s="394"/>
      <c r="PY106" s="394"/>
      <c r="PZ106" s="394"/>
      <c r="QA106" s="394"/>
      <c r="QB106" s="394"/>
      <c r="QC106" s="394"/>
      <c r="QD106" s="394"/>
      <c r="QE106" s="394"/>
      <c r="QF106" s="394"/>
      <c r="QG106" s="394"/>
      <c r="QH106" s="394"/>
      <c r="QI106" s="394"/>
      <c r="QJ106" s="394"/>
      <c r="QK106" s="394"/>
      <c r="QL106" s="394"/>
      <c r="QM106" s="394"/>
      <c r="QN106" s="394"/>
      <c r="QO106" s="394"/>
      <c r="QP106" s="394"/>
      <c r="QQ106" s="394"/>
      <c r="QR106" s="394"/>
      <c r="QS106" s="394"/>
      <c r="QT106" s="394"/>
      <c r="QU106" s="394"/>
      <c r="QV106" s="394"/>
      <c r="QW106" s="394"/>
      <c r="QX106" s="394"/>
      <c r="QY106" s="394"/>
      <c r="QZ106" s="394"/>
      <c r="RA106" s="394"/>
      <c r="RB106" s="394"/>
      <c r="RC106" s="394"/>
      <c r="RD106" s="394"/>
      <c r="RE106" s="394"/>
      <c r="RF106" s="394"/>
      <c r="RG106" s="394"/>
      <c r="RH106" s="394"/>
      <c r="RI106" s="394"/>
      <c r="RJ106" s="394"/>
      <c r="RK106" s="394"/>
      <c r="RL106" s="394"/>
      <c r="RM106" s="394"/>
      <c r="RN106" s="394"/>
      <c r="RO106" s="394"/>
      <c r="RP106" s="394"/>
      <c r="RQ106" s="394"/>
      <c r="RR106" s="394"/>
      <c r="RS106" s="394"/>
      <c r="RT106" s="394"/>
      <c r="RU106" s="394"/>
      <c r="RV106" s="394"/>
      <c r="RW106" s="394"/>
      <c r="RX106" s="394"/>
      <c r="RY106" s="394"/>
      <c r="RZ106" s="394"/>
      <c r="SA106" s="394"/>
      <c r="SB106" s="394"/>
      <c r="SC106" s="394"/>
      <c r="SD106" s="394"/>
      <c r="SE106" s="394"/>
      <c r="SF106" s="394"/>
      <c r="SG106" s="394"/>
      <c r="SH106" s="394"/>
      <c r="SI106" s="394"/>
      <c r="SJ106" s="394"/>
      <c r="SK106" s="394"/>
      <c r="SL106" s="394"/>
      <c r="SM106" s="394"/>
      <c r="SN106" s="394"/>
      <c r="SO106" s="394"/>
      <c r="SP106" s="394"/>
      <c r="SQ106" s="394"/>
      <c r="SR106" s="394"/>
      <c r="SS106" s="394"/>
      <c r="ST106" s="394"/>
      <c r="SU106" s="394"/>
      <c r="SV106" s="394"/>
      <c r="SW106" s="394"/>
      <c r="SX106" s="394"/>
      <c r="SY106" s="394"/>
      <c r="SZ106" s="394"/>
      <c r="TA106" s="394"/>
      <c r="TB106" s="394"/>
      <c r="TC106" s="394"/>
      <c r="TD106" s="394"/>
      <c r="TE106" s="394"/>
      <c r="TF106" s="394"/>
      <c r="TG106" s="394"/>
      <c r="TH106" s="394"/>
      <c r="TI106" s="394"/>
      <c r="TJ106" s="394"/>
      <c r="TK106" s="394"/>
      <c r="TL106" s="394"/>
      <c r="TM106" s="394"/>
      <c r="TN106" s="394"/>
      <c r="TO106" s="394"/>
      <c r="TP106" s="394"/>
      <c r="TQ106" s="394"/>
      <c r="TR106" s="394"/>
      <c r="TS106" s="394"/>
      <c r="TT106" s="394"/>
      <c r="TU106" s="394"/>
      <c r="TV106" s="394"/>
      <c r="TW106" s="394"/>
      <c r="TX106" s="394"/>
      <c r="TY106" s="394"/>
      <c r="TZ106" s="394"/>
      <c r="UA106" s="394"/>
      <c r="UB106" s="394"/>
      <c r="UC106" s="394"/>
      <c r="UD106" s="394"/>
      <c r="UE106" s="394"/>
      <c r="UF106" s="394"/>
      <c r="UG106" s="394"/>
      <c r="UH106" s="394"/>
      <c r="UI106" s="394"/>
      <c r="UJ106" s="394"/>
      <c r="UK106" s="394"/>
      <c r="UL106" s="394"/>
      <c r="UM106" s="394"/>
      <c r="UN106" s="394"/>
      <c r="UO106" s="394"/>
      <c r="UP106" s="394"/>
      <c r="UQ106" s="394"/>
      <c r="UR106" s="394"/>
      <c r="US106" s="394"/>
      <c r="UT106" s="394"/>
      <c r="UU106" s="394"/>
      <c r="UV106" s="394"/>
      <c r="UW106" s="394"/>
      <c r="UX106" s="394"/>
      <c r="UY106" s="394"/>
      <c r="UZ106" s="394"/>
      <c r="VA106" s="394"/>
      <c r="VB106" s="394"/>
      <c r="VC106" s="394"/>
      <c r="VD106" s="394"/>
      <c r="VE106" s="394"/>
      <c r="VF106" s="394"/>
      <c r="VG106" s="394"/>
      <c r="VH106" s="394"/>
      <c r="VI106" s="394"/>
      <c r="VJ106" s="394"/>
      <c r="VK106" s="394"/>
      <c r="VL106" s="394"/>
      <c r="VM106" s="394"/>
      <c r="VN106" s="394"/>
      <c r="VO106" s="394"/>
      <c r="VP106" s="394"/>
      <c r="VQ106" s="394"/>
      <c r="VR106" s="394"/>
      <c r="VS106" s="394"/>
      <c r="VT106" s="394"/>
      <c r="VU106" s="394"/>
      <c r="VV106" s="394"/>
      <c r="VW106" s="394"/>
      <c r="VX106" s="394"/>
      <c r="VY106" s="394"/>
      <c r="VZ106" s="394"/>
      <c r="WA106" s="394"/>
      <c r="WB106" s="394"/>
      <c r="WC106" s="394"/>
      <c r="WD106" s="394"/>
      <c r="WE106" s="394"/>
      <c r="WF106" s="394"/>
      <c r="WG106" s="394"/>
      <c r="WH106" s="394"/>
      <c r="WI106" s="394"/>
      <c r="WJ106" s="394"/>
      <c r="WK106" s="394"/>
      <c r="WL106" s="394"/>
      <c r="WM106" s="394"/>
      <c r="WN106" s="394"/>
      <c r="WO106" s="394"/>
      <c r="WP106" s="394"/>
      <c r="WQ106" s="394"/>
      <c r="WR106" s="394"/>
      <c r="WS106" s="394"/>
      <c r="WT106" s="394"/>
      <c r="WU106" s="394"/>
      <c r="WV106" s="394"/>
      <c r="WW106" s="394"/>
      <c r="WX106" s="394"/>
      <c r="WY106" s="394"/>
      <c r="WZ106" s="394"/>
      <c r="XA106" s="394"/>
      <c r="XB106" s="394"/>
      <c r="XC106" s="394"/>
      <c r="XD106" s="394"/>
      <c r="XE106" s="394"/>
      <c r="XF106" s="394"/>
      <c r="XG106" s="394"/>
      <c r="XH106" s="394"/>
      <c r="XI106" s="394"/>
      <c r="XJ106" s="394"/>
      <c r="XK106" s="394"/>
      <c r="XL106" s="394"/>
      <c r="XM106" s="394"/>
      <c r="XN106" s="394"/>
      <c r="XO106" s="394"/>
      <c r="XP106" s="394"/>
      <c r="XQ106" s="394"/>
      <c r="XR106" s="394"/>
      <c r="XS106" s="394"/>
      <c r="XT106" s="394"/>
      <c r="XU106" s="394"/>
      <c r="XV106" s="394"/>
      <c r="XW106" s="394"/>
      <c r="XX106" s="394"/>
      <c r="XY106" s="394"/>
      <c r="XZ106" s="394"/>
      <c r="YA106" s="394"/>
      <c r="YB106" s="394"/>
      <c r="YC106" s="394"/>
      <c r="YD106" s="394"/>
      <c r="YE106" s="394"/>
      <c r="YF106" s="394"/>
      <c r="YG106" s="394"/>
      <c r="YH106" s="394"/>
      <c r="YI106" s="394"/>
      <c r="YJ106" s="394"/>
      <c r="YK106" s="394"/>
      <c r="YL106" s="394"/>
      <c r="YM106" s="394"/>
      <c r="YN106" s="394"/>
      <c r="YO106" s="394"/>
      <c r="YP106" s="394"/>
      <c r="YQ106" s="394"/>
      <c r="YR106" s="394"/>
      <c r="YS106" s="394"/>
      <c r="YT106" s="394"/>
      <c r="YU106" s="394"/>
      <c r="YV106" s="394"/>
      <c r="YW106" s="394"/>
      <c r="YX106" s="394"/>
      <c r="YY106" s="394"/>
      <c r="YZ106" s="394"/>
      <c r="ZA106" s="394"/>
      <c r="ZB106" s="394"/>
      <c r="ZC106" s="394"/>
      <c r="ZD106" s="394"/>
      <c r="ZE106" s="394"/>
      <c r="ZF106" s="394"/>
      <c r="ZG106" s="394"/>
      <c r="ZH106" s="394"/>
      <c r="ZI106" s="394"/>
      <c r="ZJ106" s="394"/>
      <c r="ZK106" s="394"/>
      <c r="ZL106" s="394"/>
      <c r="ZM106" s="394"/>
      <c r="ZN106" s="394"/>
      <c r="ZO106" s="394"/>
      <c r="ZP106" s="394"/>
      <c r="ZQ106" s="394"/>
      <c r="ZR106" s="394"/>
      <c r="ZS106" s="394"/>
      <c r="ZT106" s="394"/>
      <c r="ZU106" s="394"/>
      <c r="ZV106" s="394"/>
      <c r="ZW106" s="394"/>
      <c r="ZX106" s="394"/>
      <c r="ZY106" s="394"/>
      <c r="ZZ106" s="394"/>
      <c r="AAA106" s="394"/>
      <c r="AAB106" s="394"/>
      <c r="AAC106" s="394"/>
      <c r="AAD106" s="394"/>
      <c r="AAE106" s="394"/>
      <c r="AAF106" s="394"/>
      <c r="AAG106" s="394"/>
      <c r="AAH106" s="394"/>
      <c r="AAI106" s="394"/>
      <c r="AAJ106" s="394"/>
      <c r="AAK106" s="394"/>
      <c r="AAL106" s="394"/>
      <c r="AAM106" s="394"/>
      <c r="AAN106" s="394"/>
      <c r="AAO106" s="394"/>
      <c r="AAP106" s="394"/>
      <c r="AAQ106" s="394"/>
      <c r="AAR106" s="394"/>
      <c r="AAS106" s="394"/>
      <c r="AAT106" s="394"/>
      <c r="AAU106" s="394"/>
      <c r="AAV106" s="394"/>
      <c r="AAW106" s="394"/>
      <c r="AAX106" s="394"/>
      <c r="AAY106" s="394"/>
      <c r="AAZ106" s="394"/>
      <c r="ABA106" s="394"/>
      <c r="ABB106" s="394"/>
      <c r="ABC106" s="394"/>
      <c r="ABD106" s="394"/>
      <c r="ABE106" s="394"/>
      <c r="ABF106" s="394"/>
      <c r="ABG106" s="394"/>
      <c r="ABH106" s="394"/>
      <c r="ABI106" s="394"/>
      <c r="ABJ106" s="394"/>
      <c r="ABK106" s="394"/>
      <c r="ABL106" s="394"/>
      <c r="ABM106" s="394"/>
      <c r="ABN106" s="394"/>
      <c r="ABO106" s="394"/>
      <c r="ABP106" s="394"/>
      <c r="ABQ106" s="394"/>
      <c r="ABR106" s="394"/>
      <c r="ABS106" s="394"/>
      <c r="ABT106" s="394"/>
      <c r="ABU106" s="394"/>
      <c r="ABV106" s="394"/>
      <c r="ABW106" s="394"/>
      <c r="ABX106" s="394"/>
      <c r="ABY106" s="394"/>
      <c r="ABZ106" s="394"/>
      <c r="ACA106" s="394"/>
      <c r="ACB106" s="394"/>
      <c r="ACC106" s="394"/>
      <c r="ACD106" s="394"/>
      <c r="ACE106" s="394"/>
      <c r="ACF106" s="394"/>
      <c r="ACG106" s="394"/>
      <c r="ACH106" s="394"/>
      <c r="ACI106" s="394"/>
      <c r="ACJ106" s="394"/>
      <c r="ACK106" s="394"/>
      <c r="ACL106" s="394"/>
      <c r="ACM106" s="394"/>
      <c r="ACN106" s="394"/>
      <c r="ACO106" s="394"/>
      <c r="ACP106" s="394"/>
      <c r="ACQ106" s="394"/>
      <c r="ACR106" s="394"/>
      <c r="ACS106" s="394"/>
      <c r="ACT106" s="394"/>
      <c r="ACU106" s="394"/>
      <c r="ACV106" s="394"/>
      <c r="ACW106" s="394"/>
      <c r="ACX106" s="394"/>
      <c r="ACY106" s="394"/>
      <c r="ACZ106" s="394"/>
      <c r="ADA106" s="394"/>
      <c r="ADB106" s="394"/>
      <c r="ADC106" s="394"/>
      <c r="ADD106" s="394"/>
      <c r="ADE106" s="394"/>
      <c r="ADF106" s="394"/>
      <c r="ADG106" s="394"/>
      <c r="ADH106" s="394"/>
      <c r="ADI106" s="394"/>
      <c r="ADJ106" s="394"/>
      <c r="ADK106" s="394"/>
      <c r="ADL106" s="394"/>
      <c r="ADM106" s="394"/>
      <c r="ADN106" s="394"/>
      <c r="ADO106" s="394"/>
      <c r="ADP106" s="394"/>
      <c r="ADQ106" s="394"/>
      <c r="ADR106" s="394"/>
      <c r="ADS106" s="394"/>
      <c r="ADT106" s="394"/>
      <c r="ADU106" s="394"/>
      <c r="ADV106" s="394"/>
      <c r="ADW106" s="394"/>
      <c r="ADX106" s="394"/>
      <c r="ADY106" s="394"/>
      <c r="ADZ106" s="394"/>
      <c r="AEA106" s="394"/>
      <c r="AEB106" s="394"/>
      <c r="AEC106" s="394"/>
      <c r="AED106" s="394"/>
      <c r="AEE106" s="394"/>
      <c r="AEF106" s="394"/>
      <c r="AEG106" s="394"/>
      <c r="AEH106" s="394"/>
      <c r="AEI106" s="394"/>
      <c r="AEJ106" s="394"/>
      <c r="AEK106" s="394"/>
      <c r="AEL106" s="394"/>
      <c r="AEM106" s="394"/>
      <c r="AEN106" s="394"/>
      <c r="AEO106" s="394"/>
      <c r="AEP106" s="394"/>
      <c r="AEQ106" s="394"/>
      <c r="AER106" s="394"/>
      <c r="AES106" s="394"/>
      <c r="AET106" s="394"/>
      <c r="AEU106" s="394"/>
      <c r="AEV106" s="394"/>
      <c r="AEW106" s="394"/>
      <c r="AEX106" s="394"/>
      <c r="AEY106" s="394"/>
      <c r="AEZ106" s="394"/>
      <c r="AFA106" s="394"/>
      <c r="AFB106" s="394"/>
      <c r="AFC106" s="394"/>
      <c r="AFD106" s="394"/>
      <c r="AFE106" s="394"/>
      <c r="AFF106" s="394"/>
      <c r="AFG106" s="394"/>
      <c r="AFH106" s="394"/>
      <c r="AFI106" s="394"/>
      <c r="AFJ106" s="394"/>
      <c r="AFK106" s="394"/>
      <c r="AFL106" s="394"/>
      <c r="AFM106" s="394"/>
      <c r="AFN106" s="394"/>
      <c r="AFO106" s="394"/>
      <c r="AFP106" s="394"/>
      <c r="AFQ106" s="394"/>
      <c r="AFR106" s="394"/>
      <c r="AFS106" s="394"/>
      <c r="AFT106" s="394"/>
      <c r="AFU106" s="394"/>
      <c r="AFV106" s="394"/>
      <c r="AFW106" s="394"/>
      <c r="AFX106" s="394"/>
      <c r="AFY106" s="394"/>
      <c r="AFZ106" s="394"/>
      <c r="AGA106" s="394"/>
      <c r="AGB106" s="394"/>
      <c r="AGC106" s="394"/>
      <c r="AGD106" s="394"/>
      <c r="AGE106" s="394"/>
      <c r="AGF106" s="394"/>
      <c r="AGG106" s="394"/>
      <c r="AGH106" s="394"/>
      <c r="AGI106" s="394"/>
      <c r="AGJ106" s="394"/>
      <c r="AGK106" s="394"/>
      <c r="AGL106" s="394"/>
      <c r="AGM106" s="394"/>
      <c r="AGN106" s="394"/>
      <c r="AGO106" s="394"/>
      <c r="AGP106" s="394"/>
      <c r="AGQ106" s="394"/>
      <c r="AGR106" s="394"/>
      <c r="AGS106" s="394"/>
      <c r="AGT106" s="394"/>
      <c r="AGU106" s="394"/>
      <c r="AGV106" s="394"/>
      <c r="AGW106" s="394"/>
      <c r="AGX106" s="394"/>
      <c r="AGY106" s="394"/>
      <c r="AGZ106" s="394"/>
      <c r="AHA106" s="394"/>
      <c r="AHB106" s="394"/>
      <c r="AHC106" s="394"/>
      <c r="AHD106" s="394"/>
      <c r="AHE106" s="394"/>
      <c r="AHF106" s="394"/>
      <c r="AHG106" s="394"/>
      <c r="AHH106" s="394"/>
      <c r="AHI106" s="394"/>
      <c r="AHJ106" s="394"/>
      <c r="AHK106" s="394"/>
      <c r="AHL106" s="394"/>
      <c r="AHM106" s="394"/>
      <c r="AHN106" s="394"/>
      <c r="AHO106" s="394"/>
      <c r="AHP106" s="394"/>
      <c r="AHQ106" s="394"/>
      <c r="AHR106" s="394"/>
      <c r="AHS106" s="394"/>
      <c r="AHT106" s="394"/>
      <c r="AHU106" s="394"/>
      <c r="AHV106" s="394"/>
      <c r="AHW106" s="394"/>
      <c r="AHX106" s="394"/>
      <c r="AHY106" s="394"/>
      <c r="AHZ106" s="394"/>
      <c r="AIA106" s="394"/>
      <c r="AIB106" s="394"/>
      <c r="AIC106" s="394"/>
      <c r="AID106" s="394"/>
      <c r="AIE106" s="394"/>
      <c r="AIF106" s="394"/>
      <c r="AIG106" s="394"/>
      <c r="AIH106" s="394"/>
      <c r="AII106" s="394"/>
      <c r="AIJ106" s="394"/>
      <c r="AIK106" s="394"/>
      <c r="AIL106" s="394"/>
      <c r="AIM106" s="394"/>
      <c r="AIN106" s="394"/>
      <c r="AIO106" s="394"/>
      <c r="AIP106" s="394"/>
      <c r="AIQ106" s="394"/>
      <c r="AIR106" s="394"/>
      <c r="AIS106" s="394"/>
      <c r="AIT106" s="394"/>
      <c r="AIU106" s="394"/>
      <c r="AIV106" s="394"/>
      <c r="AIW106" s="394"/>
      <c r="AIX106" s="394"/>
      <c r="AIY106" s="394"/>
      <c r="AIZ106" s="394"/>
      <c r="AJA106" s="394"/>
      <c r="AJB106" s="394"/>
      <c r="AJC106" s="394"/>
      <c r="AJD106" s="394"/>
      <c r="AJE106" s="394"/>
      <c r="AJF106" s="394"/>
      <c r="AJG106" s="394"/>
      <c r="AJH106" s="394"/>
      <c r="AJI106" s="394"/>
      <c r="AJJ106" s="394"/>
      <c r="AJK106" s="394"/>
      <c r="AJL106" s="394"/>
      <c r="AJM106" s="394"/>
      <c r="AJN106" s="394"/>
      <c r="AJO106" s="394"/>
      <c r="AJP106" s="394"/>
      <c r="AJQ106" s="394"/>
      <c r="AJR106" s="394"/>
      <c r="AJS106" s="394"/>
      <c r="AJT106" s="394"/>
      <c r="AJU106" s="394"/>
      <c r="AJV106" s="394"/>
      <c r="AJW106" s="394"/>
      <c r="AJX106" s="394"/>
      <c r="AJY106" s="394"/>
      <c r="AJZ106" s="394"/>
      <c r="AKA106" s="394"/>
      <c r="AKB106" s="394"/>
      <c r="AKC106" s="394"/>
      <c r="AKD106" s="394"/>
      <c r="AKE106" s="394"/>
      <c r="AKF106" s="394"/>
      <c r="AKG106" s="394"/>
      <c r="AKH106" s="394"/>
      <c r="AKI106" s="394"/>
      <c r="AKJ106" s="394"/>
      <c r="AKK106" s="394"/>
      <c r="AKL106" s="394"/>
      <c r="AKM106" s="394"/>
      <c r="AKN106" s="394"/>
      <c r="AKO106" s="394"/>
      <c r="AKP106" s="394"/>
      <c r="AKQ106" s="394"/>
      <c r="AKR106" s="394"/>
      <c r="AKS106" s="394"/>
      <c r="AKT106" s="394"/>
      <c r="AKU106" s="394"/>
      <c r="AKV106" s="394"/>
      <c r="AKW106" s="394"/>
      <c r="AKX106" s="394"/>
      <c r="AKY106" s="394"/>
      <c r="AKZ106" s="394"/>
      <c r="ALA106" s="394"/>
      <c r="ALB106" s="394"/>
      <c r="ALC106" s="394"/>
      <c r="ALD106" s="394"/>
      <c r="ALE106" s="394"/>
      <c r="ALF106" s="394"/>
      <c r="ALG106" s="394"/>
      <c r="ALH106" s="394"/>
      <c r="ALI106" s="394"/>
      <c r="ALJ106" s="394"/>
      <c r="ALK106" s="394"/>
      <c r="ALL106" s="394"/>
      <c r="ALM106" s="394"/>
      <c r="ALN106" s="394"/>
      <c r="ALO106" s="394"/>
      <c r="ALP106" s="394"/>
      <c r="ALQ106" s="394"/>
      <c r="ALR106" s="394"/>
      <c r="ALS106" s="394"/>
      <c r="ALT106" s="394"/>
      <c r="ALU106" s="394"/>
      <c r="ALV106" s="394"/>
      <c r="ALW106" s="394"/>
      <c r="ALX106" s="394"/>
      <c r="ALY106" s="394"/>
      <c r="ALZ106" s="394"/>
      <c r="AMA106" s="394"/>
      <c r="AMB106" s="394"/>
      <c r="AMC106" s="394"/>
      <c r="AMD106" s="394"/>
      <c r="AME106" s="394"/>
      <c r="AMF106" s="394"/>
      <c r="AMG106" s="394"/>
      <c r="AMH106" s="394"/>
      <c r="AMI106" s="394"/>
      <c r="AMJ106" s="394"/>
      <c r="AMK106" s="394"/>
      <c r="AML106" s="394"/>
      <c r="AMM106" s="394"/>
      <c r="AMN106" s="394"/>
      <c r="AMO106" s="394"/>
      <c r="AMP106" s="394"/>
      <c r="AMQ106" s="394"/>
      <c r="AMR106" s="394"/>
      <c r="AMS106" s="394"/>
      <c r="AMT106" s="394"/>
      <c r="AMU106" s="394"/>
      <c r="AMV106" s="394"/>
      <c r="AMW106" s="394"/>
      <c r="AMX106" s="394"/>
      <c r="AMY106" s="394"/>
      <c r="AMZ106" s="394"/>
      <c r="ANA106" s="394"/>
      <c r="ANB106" s="394"/>
      <c r="ANC106" s="394"/>
      <c r="AND106" s="394"/>
      <c r="ANE106" s="394"/>
      <c r="ANF106" s="394"/>
      <c r="ANG106" s="394"/>
      <c r="ANH106" s="394"/>
      <c r="ANI106" s="394"/>
      <c r="ANJ106" s="394"/>
      <c r="ANK106" s="394"/>
      <c r="ANL106" s="394"/>
      <c r="ANM106" s="394"/>
      <c r="ANN106" s="394"/>
      <c r="ANO106" s="394"/>
      <c r="ANP106" s="394"/>
      <c r="ANQ106" s="394"/>
      <c r="ANR106" s="394"/>
      <c r="ANS106" s="394"/>
      <c r="ANT106" s="394"/>
      <c r="ANU106" s="394"/>
      <c r="ANV106" s="394"/>
      <c r="ANW106" s="394"/>
      <c r="ANX106" s="394"/>
      <c r="ANY106" s="394"/>
      <c r="ANZ106" s="394"/>
      <c r="AOA106" s="394"/>
      <c r="AOB106" s="394"/>
      <c r="AOC106" s="394"/>
      <c r="AOD106" s="394"/>
      <c r="AOE106" s="394"/>
      <c r="AOF106" s="394"/>
      <c r="AOG106" s="394"/>
      <c r="AOH106" s="394"/>
      <c r="AOI106" s="394"/>
      <c r="AOJ106" s="394"/>
      <c r="AOK106" s="394"/>
      <c r="AOL106" s="394"/>
      <c r="AOM106" s="394"/>
      <c r="AON106" s="394"/>
      <c r="AOO106" s="394"/>
      <c r="AOP106" s="394"/>
      <c r="AOQ106" s="394"/>
      <c r="AOR106" s="394"/>
      <c r="AOS106" s="394"/>
      <c r="AOT106" s="394"/>
      <c r="AOU106" s="394"/>
      <c r="AOV106" s="394"/>
      <c r="AOW106" s="394"/>
      <c r="AOX106" s="394"/>
      <c r="AOY106" s="394"/>
      <c r="AOZ106" s="394"/>
      <c r="APA106" s="394"/>
      <c r="APB106" s="394"/>
      <c r="APC106" s="394"/>
      <c r="APD106" s="394"/>
      <c r="APE106" s="394"/>
      <c r="APF106" s="394"/>
      <c r="APG106" s="394"/>
      <c r="APH106" s="394"/>
      <c r="API106" s="394"/>
      <c r="APJ106" s="394"/>
      <c r="APK106" s="394"/>
      <c r="APL106" s="394"/>
      <c r="APM106" s="394"/>
      <c r="APN106" s="394"/>
      <c r="APO106" s="394"/>
      <c r="APP106" s="394"/>
      <c r="APQ106" s="394"/>
      <c r="APR106" s="394"/>
      <c r="APS106" s="394"/>
      <c r="APT106" s="394"/>
      <c r="APU106" s="394"/>
      <c r="APV106" s="394"/>
      <c r="APW106" s="394"/>
      <c r="APX106" s="394"/>
      <c r="APY106" s="394"/>
      <c r="APZ106" s="394"/>
      <c r="AQA106" s="394"/>
      <c r="AQB106" s="394"/>
      <c r="AQC106" s="394"/>
      <c r="AQD106" s="394"/>
      <c r="AQE106" s="394"/>
      <c r="AQF106" s="394"/>
      <c r="AQG106" s="394"/>
      <c r="AQH106" s="394"/>
      <c r="AQI106" s="394"/>
      <c r="AQJ106" s="394"/>
      <c r="AQK106" s="394"/>
      <c r="AQL106" s="394"/>
      <c r="AQM106" s="394"/>
      <c r="AQN106" s="394"/>
      <c r="AQO106" s="394"/>
      <c r="AQP106" s="394"/>
      <c r="AQQ106" s="394"/>
      <c r="AQR106" s="394"/>
      <c r="AQS106" s="394"/>
      <c r="AQT106" s="394"/>
      <c r="AQU106" s="394"/>
      <c r="AQV106" s="394"/>
      <c r="AQW106" s="394"/>
      <c r="AQX106" s="394"/>
      <c r="AQY106" s="394"/>
      <c r="AQZ106" s="394"/>
      <c r="ARA106" s="394"/>
      <c r="ARB106" s="394"/>
      <c r="ARC106" s="394"/>
      <c r="ARD106" s="394"/>
      <c r="ARE106" s="394"/>
      <c r="ARF106" s="394"/>
      <c r="ARG106" s="394"/>
      <c r="ARH106" s="394"/>
      <c r="ARI106" s="394"/>
      <c r="ARJ106" s="394"/>
      <c r="ARK106" s="394"/>
      <c r="ARL106" s="394"/>
      <c r="ARM106" s="394"/>
      <c r="ARN106" s="394"/>
      <c r="ARO106" s="394"/>
      <c r="ARP106" s="394"/>
      <c r="ARQ106" s="394"/>
      <c r="ARR106" s="394"/>
      <c r="ARS106" s="394"/>
      <c r="ART106" s="394"/>
      <c r="ARU106" s="394"/>
      <c r="ARV106" s="394"/>
      <c r="ARW106" s="394"/>
      <c r="ARX106" s="394"/>
      <c r="ARY106" s="394"/>
      <c r="ARZ106" s="394"/>
      <c r="ASA106" s="394"/>
      <c r="ASB106" s="394"/>
      <c r="ASC106" s="394"/>
      <c r="ASD106" s="394"/>
      <c r="ASE106" s="394"/>
      <c r="ASF106" s="394"/>
      <c r="ASG106" s="394"/>
      <c r="ASH106" s="394"/>
      <c r="ASI106" s="394"/>
      <c r="ASJ106" s="394"/>
      <c r="ASK106" s="394"/>
      <c r="ASL106" s="394"/>
      <c r="ASM106" s="394"/>
      <c r="ASN106" s="394"/>
      <c r="ASO106" s="394"/>
      <c r="ASP106" s="394"/>
      <c r="ASQ106" s="394"/>
      <c r="ASR106" s="394"/>
      <c r="ASS106" s="394"/>
      <c r="AST106" s="394"/>
      <c r="ASU106" s="394"/>
      <c r="ASV106" s="394"/>
      <c r="ASW106" s="394"/>
      <c r="ASX106" s="394"/>
      <c r="ASY106" s="394"/>
      <c r="ASZ106" s="394"/>
      <c r="ATA106" s="394"/>
      <c r="ATB106" s="394"/>
      <c r="ATC106" s="394"/>
      <c r="ATD106" s="394"/>
      <c r="ATE106" s="394"/>
      <c r="ATF106" s="394"/>
      <c r="ATG106" s="394"/>
      <c r="ATH106" s="394"/>
      <c r="ATI106" s="394"/>
      <c r="ATJ106" s="394"/>
      <c r="ATK106" s="394"/>
      <c r="ATL106" s="394"/>
      <c r="ATM106" s="394"/>
      <c r="ATN106" s="394"/>
      <c r="ATO106" s="394"/>
      <c r="ATP106" s="394"/>
      <c r="ATQ106" s="394"/>
      <c r="ATR106" s="394"/>
      <c r="ATS106" s="394"/>
      <c r="ATT106" s="394"/>
      <c r="ATU106" s="394"/>
      <c r="ATV106" s="394"/>
      <c r="ATW106" s="394"/>
      <c r="ATX106" s="394"/>
      <c r="ATY106" s="394"/>
      <c r="ATZ106" s="394"/>
      <c r="AUA106" s="394"/>
      <c r="AUB106" s="394"/>
      <c r="AUC106" s="394"/>
      <c r="AUD106" s="394"/>
      <c r="AUE106" s="394"/>
      <c r="AUF106" s="394"/>
      <c r="AUG106" s="394"/>
      <c r="AUH106" s="394"/>
      <c r="AUI106" s="394"/>
      <c r="AUJ106" s="394"/>
      <c r="AUK106" s="394"/>
      <c r="AUL106" s="394"/>
      <c r="AUM106" s="394"/>
      <c r="AUN106" s="394"/>
      <c r="AUO106" s="394"/>
      <c r="AUP106" s="394"/>
      <c r="AUQ106" s="394"/>
      <c r="AUR106" s="394"/>
      <c r="AUS106" s="394"/>
      <c r="AUT106" s="394"/>
      <c r="AUU106" s="394"/>
      <c r="AUV106" s="394"/>
      <c r="AUW106" s="394"/>
      <c r="AUX106" s="394"/>
      <c r="AUY106" s="394"/>
      <c r="AUZ106" s="394"/>
      <c r="AVA106" s="394"/>
      <c r="AVB106" s="394"/>
      <c r="AVC106" s="394"/>
      <c r="AVD106" s="394"/>
      <c r="AVE106" s="394"/>
      <c r="AVF106" s="394"/>
      <c r="AVG106" s="394"/>
      <c r="AVH106" s="394"/>
      <c r="AVI106" s="394"/>
      <c r="AVJ106" s="394"/>
      <c r="AVK106" s="394"/>
      <c r="AVL106" s="394"/>
      <c r="AVM106" s="394"/>
      <c r="AVN106" s="394"/>
      <c r="AVO106" s="394"/>
      <c r="AVP106" s="394"/>
      <c r="AVQ106" s="394"/>
      <c r="AVR106" s="394"/>
      <c r="AVS106" s="394"/>
      <c r="AVT106" s="394"/>
      <c r="AVU106" s="394"/>
      <c r="AVV106" s="394"/>
      <c r="AVW106" s="394"/>
      <c r="AVX106" s="394"/>
      <c r="AVY106" s="394"/>
      <c r="AVZ106" s="394"/>
      <c r="AWA106" s="394"/>
      <c r="AWB106" s="394"/>
      <c r="AWC106" s="394"/>
      <c r="AWD106" s="394"/>
      <c r="AWE106" s="394"/>
      <c r="AWF106" s="394"/>
      <c r="AWG106" s="394"/>
      <c r="AWH106" s="394"/>
      <c r="AWI106" s="394"/>
      <c r="AWJ106" s="394"/>
      <c r="AWK106" s="394"/>
      <c r="AWL106" s="394"/>
      <c r="AWM106" s="394"/>
      <c r="AWN106" s="394"/>
      <c r="AWO106" s="394"/>
      <c r="AWP106" s="394"/>
      <c r="AWQ106" s="394"/>
      <c r="AWR106" s="394"/>
      <c r="AWS106" s="394"/>
      <c r="AWT106" s="394"/>
      <c r="AWU106" s="394"/>
      <c r="AWV106" s="394"/>
      <c r="AWW106" s="394"/>
      <c r="AWX106" s="394"/>
      <c r="AWY106" s="394"/>
      <c r="AWZ106" s="394"/>
      <c r="AXA106" s="394"/>
      <c r="AXB106" s="394"/>
      <c r="AXC106" s="394"/>
      <c r="AXD106" s="394"/>
      <c r="AXE106" s="394"/>
      <c r="AXF106" s="394"/>
      <c r="AXG106" s="394"/>
      <c r="AXH106" s="394"/>
      <c r="AXI106" s="394"/>
      <c r="AXJ106" s="394"/>
      <c r="AXK106" s="394"/>
      <c r="AXL106" s="394"/>
      <c r="AXM106" s="394"/>
      <c r="AXN106" s="394"/>
      <c r="AXO106" s="394"/>
      <c r="AXP106" s="394"/>
      <c r="AXQ106" s="394"/>
      <c r="AXR106" s="394"/>
      <c r="AXS106" s="394"/>
      <c r="AXT106" s="394"/>
      <c r="AXU106" s="394"/>
      <c r="AXV106" s="394"/>
      <c r="AXW106" s="394"/>
      <c r="AXX106" s="394"/>
      <c r="AXY106" s="394"/>
      <c r="AXZ106" s="394"/>
      <c r="AYA106" s="394"/>
      <c r="AYB106" s="394"/>
      <c r="AYC106" s="394"/>
      <c r="AYD106" s="394"/>
      <c r="AYE106" s="394"/>
      <c r="AYF106" s="394"/>
      <c r="AYG106" s="394"/>
      <c r="AYH106" s="394"/>
      <c r="AYI106" s="394"/>
      <c r="AYJ106" s="394"/>
      <c r="AYK106" s="394"/>
      <c r="AYL106" s="394"/>
      <c r="AYM106" s="394"/>
      <c r="AYN106" s="394"/>
      <c r="AYO106" s="394"/>
      <c r="AYP106" s="394"/>
      <c r="AYQ106" s="394"/>
      <c r="AYR106" s="394"/>
      <c r="AYS106" s="394"/>
      <c r="AYT106" s="394"/>
      <c r="AYU106" s="394"/>
      <c r="AYV106" s="394"/>
      <c r="AYW106" s="394"/>
      <c r="AYX106" s="394"/>
      <c r="AYY106" s="394"/>
      <c r="AYZ106" s="394"/>
      <c r="AZA106" s="394"/>
      <c r="AZB106" s="394"/>
      <c r="AZC106" s="394"/>
      <c r="AZD106" s="394"/>
      <c r="AZE106" s="394"/>
      <c r="AZF106" s="394"/>
      <c r="AZG106" s="394"/>
      <c r="AZH106" s="394"/>
      <c r="AZI106" s="394"/>
      <c r="AZJ106" s="394"/>
      <c r="AZK106" s="394"/>
      <c r="AZL106" s="394"/>
      <c r="AZM106" s="394"/>
      <c r="AZN106" s="394"/>
      <c r="AZO106" s="394"/>
      <c r="AZP106" s="394"/>
      <c r="AZQ106" s="394"/>
      <c r="AZR106" s="394"/>
      <c r="AZS106" s="394"/>
      <c r="AZT106" s="394"/>
      <c r="AZU106" s="394"/>
      <c r="AZV106" s="394"/>
      <c r="AZW106" s="394"/>
      <c r="AZX106" s="394"/>
      <c r="AZY106" s="394"/>
      <c r="AZZ106" s="394"/>
      <c r="BAA106" s="394"/>
      <c r="BAB106" s="394"/>
      <c r="BAC106" s="394"/>
      <c r="BAD106" s="394"/>
      <c r="BAE106" s="394"/>
      <c r="BAF106" s="394"/>
      <c r="BAG106" s="394"/>
      <c r="BAH106" s="394"/>
      <c r="BAI106" s="394"/>
      <c r="BAJ106" s="394"/>
      <c r="BAK106" s="394"/>
      <c r="BAL106" s="394"/>
      <c r="BAM106" s="394"/>
      <c r="BAN106" s="394"/>
      <c r="BAO106" s="394"/>
      <c r="BAP106" s="394"/>
      <c r="BAQ106" s="394"/>
      <c r="BAR106" s="394"/>
      <c r="BAS106" s="394"/>
      <c r="BAT106" s="394"/>
      <c r="BAU106" s="394"/>
      <c r="BAV106" s="394"/>
      <c r="BAW106" s="394"/>
      <c r="BAX106" s="394"/>
      <c r="BAY106" s="394"/>
      <c r="BAZ106" s="394"/>
      <c r="BBA106" s="394"/>
      <c r="BBB106" s="394"/>
      <c r="BBC106" s="394"/>
      <c r="BBD106" s="394"/>
      <c r="BBE106" s="394"/>
      <c r="BBF106" s="394"/>
      <c r="BBG106" s="394"/>
      <c r="BBH106" s="394"/>
      <c r="BBI106" s="394"/>
      <c r="BBJ106" s="394"/>
      <c r="BBK106" s="394"/>
      <c r="BBL106" s="394"/>
      <c r="BBM106" s="394"/>
      <c r="BBN106" s="394"/>
      <c r="BBO106" s="394"/>
      <c r="BBP106" s="394"/>
      <c r="BBQ106" s="394"/>
      <c r="BBR106" s="394"/>
      <c r="BBS106" s="394"/>
      <c r="BBT106" s="394"/>
      <c r="BBU106" s="394"/>
      <c r="BBV106" s="394"/>
      <c r="BBW106" s="394"/>
      <c r="BBX106" s="394"/>
      <c r="BBY106" s="394"/>
      <c r="BBZ106" s="394"/>
      <c r="BCA106" s="394"/>
      <c r="BCB106" s="394"/>
      <c r="BCC106" s="394"/>
      <c r="BCD106" s="394"/>
      <c r="BCE106" s="394"/>
      <c r="BCF106" s="394"/>
      <c r="BCG106" s="394"/>
      <c r="BCH106" s="394"/>
      <c r="BCI106" s="394"/>
      <c r="BCJ106" s="394"/>
      <c r="BCK106" s="394"/>
      <c r="BCL106" s="394"/>
      <c r="BCM106" s="394"/>
      <c r="BCN106" s="394"/>
      <c r="BCO106" s="394"/>
      <c r="BCP106" s="394"/>
      <c r="BCQ106" s="394"/>
      <c r="BCR106" s="394"/>
      <c r="BCS106" s="394"/>
      <c r="BCT106" s="394"/>
      <c r="BCU106" s="394"/>
      <c r="BCV106" s="394"/>
      <c r="BCW106" s="394"/>
      <c r="BCX106" s="394"/>
      <c r="BCY106" s="394"/>
      <c r="BCZ106" s="394"/>
      <c r="BDA106" s="394"/>
      <c r="BDB106" s="394"/>
      <c r="BDC106" s="394"/>
      <c r="BDD106" s="394"/>
      <c r="BDE106" s="394"/>
      <c r="BDF106" s="394"/>
      <c r="BDG106" s="394"/>
      <c r="BDH106" s="394"/>
      <c r="BDI106" s="394"/>
      <c r="BDJ106" s="394"/>
      <c r="BDK106" s="394"/>
      <c r="BDL106" s="394"/>
      <c r="BDM106" s="394"/>
      <c r="BDN106" s="394"/>
      <c r="BDO106" s="394"/>
      <c r="BDP106" s="394"/>
      <c r="BDQ106" s="394"/>
      <c r="BDR106" s="394"/>
      <c r="BDS106" s="394"/>
      <c r="BDT106" s="394"/>
      <c r="BDU106" s="394"/>
      <c r="BDV106" s="394"/>
      <c r="BDW106" s="394"/>
      <c r="BDX106" s="394"/>
      <c r="BDY106" s="394"/>
      <c r="BDZ106" s="394"/>
      <c r="BEA106" s="394"/>
      <c r="BEB106" s="394"/>
      <c r="BEC106" s="394"/>
      <c r="BED106" s="394"/>
      <c r="BEE106" s="394"/>
      <c r="BEF106" s="394"/>
      <c r="BEG106" s="394"/>
      <c r="BEH106" s="394"/>
      <c r="BEI106" s="394"/>
      <c r="BEJ106" s="394"/>
      <c r="BEK106" s="394"/>
      <c r="BEL106" s="394"/>
      <c r="BEM106" s="394"/>
      <c r="BEN106" s="394"/>
      <c r="BEO106" s="394"/>
      <c r="BEP106" s="394"/>
      <c r="BEQ106" s="394"/>
      <c r="BER106" s="394"/>
      <c r="BES106" s="394"/>
      <c r="BET106" s="394"/>
      <c r="BEU106" s="394"/>
      <c r="BEV106" s="394"/>
      <c r="BEW106" s="394"/>
      <c r="BEX106" s="394"/>
      <c r="BEY106" s="394"/>
      <c r="BEZ106" s="394"/>
      <c r="BFA106" s="394"/>
      <c r="BFB106" s="394"/>
      <c r="BFC106" s="394"/>
      <c r="BFD106" s="394"/>
      <c r="BFE106" s="394"/>
      <c r="BFF106" s="394"/>
      <c r="BFG106" s="394"/>
      <c r="BFH106" s="394"/>
      <c r="BFI106" s="394"/>
      <c r="BFJ106" s="394"/>
      <c r="BFK106" s="394"/>
      <c r="BFL106" s="394"/>
      <c r="BFM106" s="394"/>
      <c r="BFN106" s="394"/>
      <c r="BFO106" s="394"/>
      <c r="BFP106" s="394"/>
      <c r="BFQ106" s="394"/>
      <c r="BFR106" s="394"/>
      <c r="BFS106" s="394"/>
      <c r="BFT106" s="394"/>
      <c r="BFU106" s="394"/>
      <c r="BFV106" s="394"/>
      <c r="BFW106" s="394"/>
      <c r="BFX106" s="394"/>
      <c r="BFY106" s="394"/>
      <c r="BFZ106" s="394"/>
      <c r="BGA106" s="394"/>
      <c r="BGB106" s="394"/>
      <c r="BGC106" s="394"/>
      <c r="BGD106" s="394"/>
      <c r="BGE106" s="394"/>
      <c r="BGF106" s="394"/>
      <c r="BGG106" s="394"/>
      <c r="BGH106" s="394"/>
      <c r="BGI106" s="394"/>
      <c r="BGJ106" s="394"/>
      <c r="BGK106" s="394"/>
      <c r="BGL106" s="394"/>
      <c r="BGM106" s="394"/>
      <c r="BGN106" s="394"/>
      <c r="BGO106" s="394"/>
      <c r="BGP106" s="394"/>
      <c r="BGQ106" s="394"/>
      <c r="BGR106" s="394"/>
      <c r="BGS106" s="394"/>
      <c r="BGT106" s="394"/>
      <c r="BGU106" s="394"/>
      <c r="BGV106" s="394"/>
      <c r="BGW106" s="394"/>
      <c r="BGX106" s="394"/>
      <c r="BGY106" s="394"/>
      <c r="BGZ106" s="394"/>
      <c r="BHA106" s="394"/>
      <c r="BHB106" s="394"/>
      <c r="BHC106" s="394"/>
      <c r="BHD106" s="394"/>
      <c r="BHE106" s="394"/>
      <c r="BHF106" s="394"/>
      <c r="BHG106" s="394"/>
      <c r="BHH106" s="394"/>
      <c r="BHI106" s="394"/>
      <c r="BHJ106" s="394"/>
      <c r="BHK106" s="394"/>
      <c r="BHL106" s="394"/>
      <c r="BHM106" s="394"/>
      <c r="BHN106" s="394"/>
      <c r="BHO106" s="394"/>
      <c r="BHP106" s="394"/>
      <c r="BHQ106" s="394"/>
      <c r="BHR106" s="394"/>
      <c r="BHS106" s="394"/>
      <c r="BHT106" s="394"/>
      <c r="BHU106" s="394"/>
      <c r="BHV106" s="394"/>
      <c r="BHW106" s="394"/>
      <c r="BHX106" s="394"/>
      <c r="BHY106" s="394"/>
      <c r="BHZ106" s="394"/>
      <c r="BIA106" s="394"/>
      <c r="BIB106" s="394"/>
      <c r="BIC106" s="394"/>
      <c r="BID106" s="394"/>
      <c r="BIE106" s="394"/>
      <c r="BIF106" s="394"/>
      <c r="BIG106" s="394"/>
      <c r="BIH106" s="394"/>
      <c r="BII106" s="394"/>
      <c r="BIJ106" s="394"/>
      <c r="BIK106" s="394"/>
      <c r="BIL106" s="394"/>
      <c r="BIM106" s="394"/>
      <c r="BIN106" s="394"/>
      <c r="BIO106" s="394"/>
      <c r="BIP106" s="394"/>
      <c r="BIQ106" s="394"/>
      <c r="BIR106" s="394"/>
      <c r="BIS106" s="394"/>
      <c r="BIT106" s="394"/>
      <c r="BIU106" s="394"/>
      <c r="BIV106" s="394"/>
      <c r="BIW106" s="394"/>
      <c r="BIX106" s="394"/>
      <c r="BIY106" s="394"/>
      <c r="BIZ106" s="394"/>
      <c r="BJA106" s="394"/>
      <c r="BJB106" s="394"/>
      <c r="BJC106" s="394"/>
      <c r="BJD106" s="394"/>
      <c r="BJE106" s="394"/>
      <c r="BJF106" s="394"/>
      <c r="BJG106" s="394"/>
      <c r="BJH106" s="394"/>
      <c r="BJI106" s="394"/>
      <c r="BJJ106" s="394"/>
      <c r="BJK106" s="394"/>
      <c r="BJL106" s="394"/>
      <c r="BJM106" s="394"/>
      <c r="BJN106" s="394"/>
      <c r="BJO106" s="394"/>
      <c r="BJP106" s="394"/>
      <c r="BJQ106" s="394"/>
      <c r="BJR106" s="394"/>
      <c r="BJS106" s="394"/>
      <c r="BJT106" s="394"/>
      <c r="BJU106" s="394"/>
      <c r="BJV106" s="394"/>
      <c r="BJW106" s="394"/>
      <c r="BJX106" s="394"/>
      <c r="BJY106" s="394"/>
      <c r="BJZ106" s="394"/>
      <c r="BKA106" s="394"/>
      <c r="BKB106" s="394"/>
      <c r="BKC106" s="394"/>
      <c r="BKD106" s="394"/>
      <c r="BKE106" s="394"/>
      <c r="BKF106" s="394"/>
      <c r="BKG106" s="394"/>
      <c r="BKH106" s="394"/>
      <c r="BKI106" s="394"/>
      <c r="BKJ106" s="394"/>
      <c r="BKK106" s="394"/>
      <c r="BKL106" s="394"/>
      <c r="BKM106" s="394"/>
      <c r="BKN106" s="394"/>
      <c r="BKO106" s="394"/>
      <c r="BKP106" s="394"/>
      <c r="BKQ106" s="394"/>
      <c r="BKR106" s="394"/>
      <c r="BKS106" s="394"/>
      <c r="BKT106" s="394"/>
      <c r="BKU106" s="394"/>
      <c r="BKV106" s="394"/>
      <c r="BKW106" s="394"/>
      <c r="BKX106" s="394"/>
      <c r="BKY106" s="394"/>
      <c r="BKZ106" s="394"/>
      <c r="BLA106" s="394"/>
      <c r="BLB106" s="394"/>
      <c r="BLC106" s="394"/>
      <c r="BLD106" s="394"/>
      <c r="BLE106" s="394"/>
      <c r="BLF106" s="394"/>
      <c r="BLG106" s="394"/>
      <c r="BLH106" s="394"/>
      <c r="BLI106" s="394"/>
      <c r="BLJ106" s="394"/>
      <c r="BLK106" s="394"/>
      <c r="BLL106" s="394"/>
      <c r="BLM106" s="394"/>
      <c r="BLN106" s="394"/>
      <c r="BLO106" s="394"/>
      <c r="BLP106" s="394"/>
      <c r="BLQ106" s="394"/>
      <c r="BLR106" s="394"/>
      <c r="BLS106" s="394"/>
      <c r="BLT106" s="394"/>
      <c r="BLU106" s="394"/>
      <c r="BLV106" s="394"/>
      <c r="BLW106" s="394"/>
      <c r="BLX106" s="394"/>
      <c r="BLY106" s="394"/>
      <c r="BLZ106" s="394"/>
      <c r="BMA106" s="394"/>
      <c r="BMB106" s="394"/>
      <c r="BMC106" s="394"/>
      <c r="BMD106" s="394"/>
      <c r="BME106" s="394"/>
      <c r="BMF106" s="394"/>
      <c r="BMG106" s="394"/>
      <c r="BMH106" s="394"/>
      <c r="BMI106" s="394"/>
      <c r="BMJ106" s="394"/>
      <c r="BMK106" s="394"/>
      <c r="BML106" s="394"/>
      <c r="BMM106" s="394"/>
      <c r="BMN106" s="394"/>
      <c r="BMO106" s="394"/>
      <c r="BMP106" s="394"/>
      <c r="BMQ106" s="394"/>
      <c r="BMR106" s="394"/>
      <c r="BMS106" s="394"/>
      <c r="BMT106" s="394"/>
      <c r="BMU106" s="394"/>
      <c r="BMV106" s="394"/>
      <c r="BMW106" s="394"/>
      <c r="BMX106" s="394"/>
      <c r="BMY106" s="394"/>
      <c r="BMZ106" s="394"/>
      <c r="BNA106" s="394"/>
      <c r="BNB106" s="394"/>
      <c r="BNC106" s="394"/>
      <c r="BND106" s="394"/>
      <c r="BNE106" s="394"/>
      <c r="BNF106" s="394"/>
      <c r="BNG106" s="394"/>
      <c r="BNH106" s="394"/>
      <c r="BNI106" s="394"/>
      <c r="BNJ106" s="394"/>
      <c r="BNK106" s="394"/>
      <c r="BNL106" s="394"/>
      <c r="BNM106" s="394"/>
      <c r="BNN106" s="394"/>
      <c r="BNO106" s="394"/>
      <c r="BNP106" s="394"/>
      <c r="BNQ106" s="394"/>
      <c r="BNR106" s="394"/>
      <c r="BNS106" s="394"/>
      <c r="BNT106" s="394"/>
      <c r="BNU106" s="394"/>
      <c r="BNV106" s="394"/>
      <c r="BNW106" s="394"/>
      <c r="BNX106" s="394"/>
      <c r="BNY106" s="394"/>
      <c r="BNZ106" s="394"/>
      <c r="BOA106" s="394"/>
      <c r="BOB106" s="394"/>
      <c r="BOC106" s="394"/>
      <c r="BOD106" s="394"/>
      <c r="BOE106" s="394"/>
      <c r="BOF106" s="394"/>
      <c r="BOG106" s="394"/>
      <c r="BOH106" s="394"/>
      <c r="BOI106" s="394"/>
      <c r="BOJ106" s="394"/>
      <c r="BOK106" s="394"/>
      <c r="BOL106" s="394"/>
      <c r="BOM106" s="394"/>
      <c r="BON106" s="394"/>
      <c r="BOO106" s="394"/>
      <c r="BOP106" s="394"/>
      <c r="BOQ106" s="394"/>
      <c r="BOR106" s="394"/>
      <c r="BOS106" s="394"/>
      <c r="BOT106" s="394"/>
      <c r="BOU106" s="394"/>
      <c r="BOV106" s="394"/>
      <c r="BOW106" s="394"/>
      <c r="BOX106" s="394"/>
      <c r="BOY106" s="394"/>
      <c r="BOZ106" s="394"/>
      <c r="BPA106" s="394"/>
      <c r="BPB106" s="394"/>
      <c r="BPC106" s="394"/>
      <c r="BPD106" s="394"/>
      <c r="BPE106" s="394"/>
      <c r="BPF106" s="394"/>
      <c r="BPG106" s="394"/>
      <c r="BPH106" s="394"/>
      <c r="BPI106" s="394"/>
      <c r="BPJ106" s="394"/>
      <c r="BPK106" s="394"/>
      <c r="BPL106" s="394"/>
      <c r="BPM106" s="394"/>
      <c r="BPN106" s="394"/>
      <c r="BPO106" s="394"/>
      <c r="BPP106" s="394"/>
      <c r="BPQ106" s="394"/>
      <c r="BPR106" s="394"/>
      <c r="BPS106" s="394"/>
      <c r="BPT106" s="394"/>
      <c r="BPU106" s="394"/>
      <c r="BPV106" s="394"/>
      <c r="BPW106" s="394"/>
      <c r="BPX106" s="394"/>
      <c r="BPY106" s="394"/>
      <c r="BPZ106" s="394"/>
      <c r="BQA106" s="394"/>
      <c r="BQB106" s="394"/>
      <c r="BQC106" s="394"/>
      <c r="BQD106" s="394"/>
      <c r="BQE106" s="394"/>
      <c r="BQF106" s="394"/>
      <c r="BQG106" s="394"/>
      <c r="BQH106" s="394"/>
      <c r="BQI106" s="394"/>
      <c r="BQJ106" s="394"/>
      <c r="BQK106" s="394"/>
      <c r="BQL106" s="394"/>
      <c r="BQM106" s="394"/>
      <c r="BQN106" s="394"/>
      <c r="BQO106" s="394"/>
      <c r="BQP106" s="394"/>
      <c r="BQQ106" s="394"/>
      <c r="BQR106" s="394"/>
      <c r="BQS106" s="394"/>
      <c r="BQT106" s="394"/>
      <c r="BQU106" s="394"/>
      <c r="BQV106" s="394"/>
      <c r="BQW106" s="394"/>
      <c r="BQX106" s="394"/>
      <c r="BQY106" s="394"/>
      <c r="BQZ106" s="394"/>
      <c r="BRA106" s="394"/>
      <c r="BRB106" s="394"/>
      <c r="BRC106" s="394"/>
      <c r="BRD106" s="394"/>
      <c r="BRE106" s="394"/>
      <c r="BRF106" s="394"/>
      <c r="BRG106" s="394"/>
      <c r="BRH106" s="394"/>
      <c r="BRI106" s="394"/>
      <c r="BRJ106" s="394"/>
      <c r="BRK106" s="394"/>
      <c r="BRL106" s="394"/>
      <c r="BRM106" s="394"/>
      <c r="BRN106" s="394"/>
      <c r="BRO106" s="394"/>
      <c r="BRP106" s="394"/>
      <c r="BRQ106" s="394"/>
      <c r="BRR106" s="394"/>
      <c r="BRS106" s="394"/>
      <c r="BRT106" s="394"/>
      <c r="BRU106" s="394"/>
      <c r="BRV106" s="394"/>
      <c r="BRW106" s="394"/>
      <c r="BRX106" s="394"/>
      <c r="BRY106" s="394"/>
      <c r="BRZ106" s="394"/>
      <c r="BSA106" s="394"/>
      <c r="BSB106" s="394"/>
      <c r="BSC106" s="394"/>
      <c r="BSD106" s="394"/>
      <c r="BSE106" s="394"/>
      <c r="BSF106" s="394"/>
      <c r="BSG106" s="394"/>
      <c r="BSH106" s="394"/>
      <c r="BSI106" s="394"/>
      <c r="BSJ106" s="394"/>
      <c r="BSK106" s="394"/>
      <c r="BSL106" s="394"/>
      <c r="BSM106" s="394"/>
      <c r="BSN106" s="394"/>
      <c r="BSO106" s="394"/>
      <c r="BSP106" s="394"/>
      <c r="BSQ106" s="394"/>
      <c r="BSR106" s="394"/>
      <c r="BSS106" s="394"/>
      <c r="BST106" s="394"/>
      <c r="BSU106" s="394"/>
      <c r="BSV106" s="394"/>
      <c r="BSW106" s="394"/>
      <c r="BSX106" s="394"/>
      <c r="BSY106" s="394"/>
      <c r="BSZ106" s="394"/>
      <c r="BTA106" s="394"/>
      <c r="BTB106" s="394"/>
      <c r="BTC106" s="394"/>
      <c r="BTD106" s="394"/>
      <c r="BTE106" s="394"/>
      <c r="BTF106" s="394"/>
      <c r="BTG106" s="394"/>
      <c r="BTH106" s="394"/>
      <c r="BTI106" s="394"/>
    </row>
    <row r="107" spans="1:1881" s="378" customFormat="1" ht="75" customHeight="1" x14ac:dyDescent="0.25">
      <c r="A107" s="405">
        <v>580</v>
      </c>
      <c r="B107" s="401" t="s">
        <v>652</v>
      </c>
      <c r="C107" s="404" t="s">
        <v>183</v>
      </c>
      <c r="D107" s="413" t="s">
        <v>657</v>
      </c>
      <c r="E107" s="398" t="e">
        <f>HLOOKUP($D$2,'2019 Data(H)'!$C$1:$CP$300,230,FALSE)</f>
        <v>#N/A</v>
      </c>
      <c r="F107" s="624"/>
      <c r="G107" s="395"/>
      <c r="H107" s="396"/>
      <c r="I107" s="397"/>
      <c r="J107" s="394"/>
      <c r="K107" s="394"/>
      <c r="L107" s="394"/>
      <c r="M107" s="394"/>
      <c r="N107"/>
      <c r="O107" s="394"/>
      <c r="P107" s="394"/>
      <c r="Q107" s="394"/>
      <c r="R107" s="394"/>
      <c r="S107" s="394"/>
      <c r="T107" s="394"/>
      <c r="U107" s="394"/>
      <c r="V107" s="394"/>
      <c r="W107" s="394"/>
      <c r="X107" s="394"/>
      <c r="Y107" s="394"/>
      <c r="Z107" s="394"/>
      <c r="AA107" s="394"/>
      <c r="AB107" s="394"/>
      <c r="AC107" s="394"/>
      <c r="AD107" s="394"/>
      <c r="AE107" s="394"/>
      <c r="AF107" s="394"/>
      <c r="AG107" s="394"/>
      <c r="AH107" s="394"/>
      <c r="AI107" s="394"/>
      <c r="AJ107" s="394"/>
      <c r="AK107" s="394"/>
      <c r="AL107" s="394"/>
      <c r="AM107" s="394"/>
      <c r="AN107" s="394"/>
      <c r="AO107" s="394"/>
      <c r="AP107" s="394"/>
      <c r="AQ107" s="394"/>
      <c r="AR107" s="394"/>
      <c r="AS107" s="394"/>
      <c r="AT107" s="394"/>
      <c r="AU107" s="394"/>
      <c r="AV107" s="394"/>
      <c r="AW107" s="394"/>
      <c r="AX107" s="394"/>
      <c r="AY107" s="394"/>
      <c r="AZ107" s="394"/>
      <c r="BA107" s="394"/>
      <c r="BB107" s="394"/>
      <c r="BC107" s="394"/>
      <c r="BD107" s="394"/>
      <c r="BE107" s="394"/>
      <c r="BF107" s="394"/>
      <c r="BG107" s="394"/>
      <c r="BH107" s="394"/>
      <c r="BI107" s="394"/>
      <c r="BJ107" s="394"/>
      <c r="BK107" s="394"/>
      <c r="BL107" s="394"/>
      <c r="BM107" s="394"/>
      <c r="BN107" s="394"/>
      <c r="BO107" s="394"/>
      <c r="BP107" s="394"/>
      <c r="BQ107" s="394"/>
      <c r="BR107" s="394"/>
      <c r="BS107" s="394"/>
      <c r="BT107" s="394"/>
      <c r="BU107" s="394"/>
      <c r="BV107" s="394"/>
      <c r="BW107" s="394"/>
      <c r="BX107" s="394"/>
      <c r="BY107" s="394"/>
      <c r="BZ107" s="394"/>
      <c r="CA107" s="394"/>
      <c r="CB107" s="394"/>
      <c r="CC107" s="394"/>
      <c r="CD107" s="394"/>
      <c r="CE107" s="394"/>
      <c r="CF107" s="394"/>
      <c r="CG107" s="394"/>
      <c r="CH107" s="394"/>
      <c r="CI107" s="394"/>
      <c r="CJ107" s="394"/>
      <c r="CK107" s="394"/>
      <c r="CL107" s="394"/>
      <c r="CM107" s="394"/>
      <c r="CN107" s="394"/>
      <c r="CO107" s="394"/>
      <c r="CP107" s="394"/>
      <c r="CQ107" s="394"/>
      <c r="CR107" s="394"/>
      <c r="CS107" s="394"/>
      <c r="CT107" s="394"/>
      <c r="CU107" s="394"/>
      <c r="CV107" s="394"/>
      <c r="CW107" s="394"/>
      <c r="CX107" s="394"/>
      <c r="CY107" s="394"/>
      <c r="CZ107" s="394"/>
      <c r="DA107" s="394"/>
      <c r="DB107" s="394"/>
      <c r="DC107" s="394"/>
      <c r="DD107" s="394"/>
      <c r="DE107" s="394"/>
      <c r="DF107" s="394"/>
      <c r="DG107" s="394"/>
      <c r="DH107" s="394"/>
      <c r="DI107" s="394"/>
      <c r="DJ107" s="394"/>
      <c r="DK107" s="394"/>
      <c r="DL107" s="394"/>
      <c r="DM107" s="394"/>
      <c r="DN107" s="394"/>
      <c r="DO107" s="394"/>
      <c r="DP107" s="394"/>
      <c r="DQ107" s="394"/>
      <c r="DR107" s="394"/>
      <c r="DS107" s="394"/>
      <c r="DT107" s="394"/>
      <c r="DU107" s="394"/>
      <c r="DV107" s="394"/>
      <c r="DW107" s="394"/>
      <c r="DX107" s="394"/>
      <c r="DY107" s="394"/>
      <c r="DZ107" s="394"/>
      <c r="EA107" s="394"/>
      <c r="EB107" s="394"/>
      <c r="EC107" s="394"/>
      <c r="ED107" s="394"/>
      <c r="EE107" s="394"/>
      <c r="EF107" s="394"/>
      <c r="EG107" s="394"/>
      <c r="EH107" s="394"/>
      <c r="EI107" s="394"/>
      <c r="EJ107" s="394"/>
      <c r="EK107" s="394"/>
      <c r="EL107" s="394"/>
      <c r="EM107" s="394"/>
      <c r="EN107" s="394"/>
      <c r="EO107" s="394"/>
      <c r="EP107" s="394"/>
      <c r="EQ107" s="394"/>
      <c r="ER107" s="394"/>
      <c r="ES107" s="394"/>
      <c r="ET107" s="394"/>
      <c r="EU107" s="394"/>
      <c r="EV107" s="394"/>
      <c r="EW107" s="394"/>
      <c r="EX107" s="394"/>
      <c r="EY107" s="394"/>
      <c r="EZ107" s="394"/>
      <c r="FA107" s="394"/>
      <c r="FB107" s="394"/>
      <c r="FC107" s="394"/>
      <c r="FD107" s="394"/>
      <c r="FE107" s="394"/>
      <c r="FF107" s="394"/>
      <c r="FG107" s="394"/>
      <c r="FH107" s="394"/>
      <c r="FI107" s="394"/>
      <c r="FJ107" s="394"/>
      <c r="FK107" s="394"/>
      <c r="FL107" s="394"/>
      <c r="FM107" s="394"/>
      <c r="FN107" s="394"/>
      <c r="FO107" s="394"/>
      <c r="FP107" s="394"/>
      <c r="FQ107" s="394"/>
      <c r="FR107" s="394"/>
      <c r="FS107" s="394"/>
      <c r="FT107" s="394"/>
      <c r="FU107" s="394"/>
      <c r="FV107" s="394"/>
      <c r="FW107" s="394"/>
      <c r="FX107" s="394"/>
      <c r="FY107" s="394"/>
      <c r="FZ107" s="394"/>
      <c r="GA107" s="394"/>
      <c r="GB107" s="394"/>
      <c r="GC107" s="394"/>
      <c r="GD107" s="394"/>
      <c r="GE107" s="394"/>
      <c r="GF107" s="394"/>
      <c r="GG107" s="394"/>
      <c r="GH107" s="394"/>
      <c r="GI107" s="394"/>
      <c r="GJ107" s="394"/>
      <c r="GK107" s="394"/>
      <c r="GL107" s="394"/>
      <c r="GM107" s="394"/>
      <c r="GN107" s="394"/>
      <c r="GO107" s="394"/>
      <c r="GP107" s="394"/>
      <c r="GQ107" s="394"/>
      <c r="GR107" s="394"/>
      <c r="GS107" s="394"/>
      <c r="GT107" s="394"/>
      <c r="GU107" s="394"/>
      <c r="GV107" s="394"/>
      <c r="GW107" s="394"/>
      <c r="GX107" s="394"/>
      <c r="GY107" s="394"/>
      <c r="GZ107" s="394"/>
      <c r="HA107" s="394"/>
      <c r="HB107" s="394"/>
      <c r="HC107" s="394"/>
      <c r="HD107" s="394"/>
      <c r="HE107" s="394"/>
      <c r="HF107" s="394"/>
      <c r="HG107" s="394"/>
      <c r="HH107" s="394"/>
      <c r="HI107" s="394"/>
      <c r="HJ107" s="394"/>
      <c r="HK107" s="394"/>
      <c r="HL107" s="394"/>
      <c r="HM107" s="394"/>
      <c r="HN107" s="394"/>
      <c r="HO107" s="394"/>
      <c r="HP107" s="394"/>
      <c r="HQ107" s="394"/>
      <c r="HR107" s="394"/>
      <c r="HS107" s="394"/>
      <c r="HT107" s="394"/>
      <c r="HU107" s="394"/>
      <c r="HV107" s="394"/>
      <c r="HW107" s="394"/>
      <c r="HX107" s="394"/>
      <c r="HY107" s="394"/>
      <c r="HZ107" s="394"/>
      <c r="IA107" s="394"/>
      <c r="IB107" s="394"/>
      <c r="IC107" s="394"/>
      <c r="ID107" s="394"/>
      <c r="IE107" s="394"/>
      <c r="IF107" s="394"/>
      <c r="IG107" s="394"/>
      <c r="IH107" s="394"/>
      <c r="II107" s="394"/>
      <c r="IJ107" s="394"/>
      <c r="IK107" s="394"/>
      <c r="IL107" s="394"/>
      <c r="IM107" s="394"/>
      <c r="IN107" s="394"/>
      <c r="IO107" s="394"/>
      <c r="IP107" s="394"/>
      <c r="IQ107" s="394"/>
      <c r="IR107" s="394"/>
      <c r="IS107" s="394"/>
      <c r="IT107" s="394"/>
      <c r="IU107" s="394"/>
      <c r="IV107" s="394"/>
      <c r="IW107" s="394"/>
      <c r="IX107" s="394"/>
      <c r="IY107" s="394"/>
      <c r="IZ107" s="394"/>
      <c r="JA107" s="394"/>
      <c r="JB107" s="394"/>
      <c r="JC107" s="394"/>
      <c r="JD107" s="394"/>
      <c r="JE107" s="394"/>
      <c r="JF107" s="394"/>
      <c r="JG107" s="394"/>
      <c r="JH107" s="394"/>
      <c r="JI107" s="394"/>
      <c r="JJ107" s="394"/>
      <c r="JK107" s="394"/>
      <c r="JL107" s="394"/>
      <c r="JM107" s="394"/>
      <c r="JN107" s="394"/>
      <c r="JO107" s="394"/>
      <c r="JP107" s="394"/>
      <c r="JQ107" s="394"/>
      <c r="JR107" s="394"/>
      <c r="JS107" s="394"/>
      <c r="JT107" s="394"/>
      <c r="JU107" s="394"/>
      <c r="JV107" s="394"/>
      <c r="JW107" s="394"/>
      <c r="JX107" s="394"/>
      <c r="JY107" s="394"/>
      <c r="JZ107" s="394"/>
      <c r="KA107" s="394"/>
      <c r="KB107" s="394"/>
      <c r="KC107" s="394"/>
      <c r="KD107" s="394"/>
      <c r="KE107" s="394"/>
      <c r="KF107" s="394"/>
      <c r="KG107" s="394"/>
      <c r="KH107" s="394"/>
      <c r="KI107" s="394"/>
      <c r="KJ107" s="394"/>
      <c r="KK107" s="394"/>
      <c r="KL107" s="394"/>
      <c r="KM107" s="394"/>
      <c r="KN107" s="394"/>
      <c r="KO107" s="394"/>
      <c r="KP107" s="394"/>
      <c r="KQ107" s="394"/>
      <c r="KR107" s="394"/>
      <c r="KS107" s="394"/>
      <c r="KT107" s="394"/>
      <c r="KU107" s="394"/>
      <c r="KV107" s="394"/>
      <c r="KW107" s="394"/>
      <c r="KX107" s="394"/>
      <c r="KY107" s="394"/>
      <c r="KZ107" s="394"/>
      <c r="LA107" s="394"/>
      <c r="LB107" s="394"/>
      <c r="LC107" s="394"/>
      <c r="LD107" s="394"/>
      <c r="LE107" s="394"/>
      <c r="LF107" s="394"/>
      <c r="LG107" s="394"/>
      <c r="LH107" s="394"/>
      <c r="LI107" s="394"/>
      <c r="LJ107" s="394"/>
      <c r="LK107" s="394"/>
      <c r="LL107" s="394"/>
      <c r="LM107" s="394"/>
      <c r="LN107" s="394"/>
      <c r="LO107" s="394"/>
      <c r="LP107" s="394"/>
      <c r="LQ107" s="394"/>
      <c r="LR107" s="394"/>
      <c r="LS107" s="394"/>
      <c r="LT107" s="394"/>
      <c r="LU107" s="394"/>
      <c r="LV107" s="394"/>
      <c r="LW107" s="394"/>
      <c r="LX107" s="394"/>
      <c r="LY107" s="394"/>
      <c r="LZ107" s="394"/>
      <c r="MA107" s="394"/>
      <c r="MB107" s="394"/>
      <c r="MC107" s="394"/>
      <c r="MD107" s="394"/>
      <c r="ME107" s="394"/>
      <c r="MF107" s="394"/>
      <c r="MG107" s="394"/>
      <c r="MH107" s="394"/>
      <c r="MI107" s="394"/>
      <c r="MJ107" s="394"/>
      <c r="MK107" s="394"/>
      <c r="ML107" s="394"/>
      <c r="MM107" s="394"/>
      <c r="MN107" s="394"/>
      <c r="MO107" s="394"/>
      <c r="MP107" s="394"/>
      <c r="MQ107" s="394"/>
      <c r="MR107" s="394"/>
      <c r="MS107" s="394"/>
      <c r="MT107" s="394"/>
      <c r="MU107" s="394"/>
      <c r="MV107" s="394"/>
      <c r="MW107" s="394"/>
      <c r="MX107" s="394"/>
      <c r="MY107" s="394"/>
      <c r="MZ107" s="394"/>
      <c r="NA107" s="394"/>
      <c r="NB107" s="394"/>
      <c r="NC107" s="394"/>
      <c r="ND107" s="394"/>
      <c r="NE107" s="394"/>
      <c r="NF107" s="394"/>
      <c r="NG107" s="394"/>
      <c r="NH107" s="394"/>
      <c r="NI107" s="394"/>
      <c r="NJ107" s="394"/>
      <c r="NK107" s="394"/>
      <c r="NL107" s="394"/>
      <c r="NM107" s="394"/>
      <c r="NN107" s="394"/>
      <c r="NO107" s="394"/>
      <c r="NP107" s="394"/>
      <c r="NQ107" s="394"/>
      <c r="NR107" s="394"/>
      <c r="NS107" s="394"/>
      <c r="NT107" s="394"/>
      <c r="NU107" s="394"/>
      <c r="NV107" s="394"/>
      <c r="NW107" s="394"/>
      <c r="NX107" s="394"/>
      <c r="NY107" s="394"/>
      <c r="NZ107" s="394"/>
      <c r="OA107" s="394"/>
      <c r="OB107" s="394"/>
      <c r="OC107" s="394"/>
      <c r="OD107" s="394"/>
      <c r="OE107" s="394"/>
      <c r="OF107" s="394"/>
      <c r="OG107" s="394"/>
      <c r="OH107" s="394"/>
      <c r="OI107" s="394"/>
      <c r="OJ107" s="394"/>
      <c r="OK107" s="394"/>
      <c r="OL107" s="394"/>
      <c r="OM107" s="394"/>
      <c r="ON107" s="394"/>
      <c r="OO107" s="394"/>
      <c r="OP107" s="394"/>
      <c r="OQ107" s="394"/>
      <c r="OR107" s="394"/>
      <c r="OS107" s="394"/>
      <c r="OT107" s="394"/>
      <c r="OU107" s="394"/>
      <c r="OV107" s="394"/>
      <c r="OW107" s="394"/>
      <c r="OX107" s="394"/>
      <c r="OY107" s="394"/>
      <c r="OZ107" s="394"/>
      <c r="PA107" s="394"/>
      <c r="PB107" s="394"/>
      <c r="PC107" s="394"/>
      <c r="PD107" s="394"/>
      <c r="PE107" s="394"/>
      <c r="PF107" s="394"/>
      <c r="PG107" s="394"/>
      <c r="PH107" s="394"/>
      <c r="PI107" s="394"/>
      <c r="PJ107" s="394"/>
      <c r="PK107" s="394"/>
      <c r="PL107" s="394"/>
      <c r="PM107" s="394"/>
      <c r="PN107" s="394"/>
      <c r="PO107" s="394"/>
      <c r="PP107" s="394"/>
      <c r="PQ107" s="394"/>
      <c r="PR107" s="394"/>
      <c r="PS107" s="394"/>
      <c r="PT107" s="394"/>
      <c r="PU107" s="394"/>
      <c r="PV107" s="394"/>
      <c r="PW107" s="394"/>
      <c r="PX107" s="394"/>
      <c r="PY107" s="394"/>
      <c r="PZ107" s="394"/>
      <c r="QA107" s="394"/>
      <c r="QB107" s="394"/>
      <c r="QC107" s="394"/>
      <c r="QD107" s="394"/>
      <c r="QE107" s="394"/>
      <c r="QF107" s="394"/>
      <c r="QG107" s="394"/>
      <c r="QH107" s="394"/>
      <c r="QI107" s="394"/>
      <c r="QJ107" s="394"/>
      <c r="QK107" s="394"/>
      <c r="QL107" s="394"/>
      <c r="QM107" s="394"/>
      <c r="QN107" s="394"/>
      <c r="QO107" s="394"/>
      <c r="QP107" s="394"/>
      <c r="QQ107" s="394"/>
      <c r="QR107" s="394"/>
      <c r="QS107" s="394"/>
      <c r="QT107" s="394"/>
      <c r="QU107" s="394"/>
      <c r="QV107" s="394"/>
      <c r="QW107" s="394"/>
      <c r="QX107" s="394"/>
      <c r="QY107" s="394"/>
      <c r="QZ107" s="394"/>
      <c r="RA107" s="394"/>
      <c r="RB107" s="394"/>
      <c r="RC107" s="394"/>
      <c r="RD107" s="394"/>
      <c r="RE107" s="394"/>
      <c r="RF107" s="394"/>
      <c r="RG107" s="394"/>
      <c r="RH107" s="394"/>
      <c r="RI107" s="394"/>
      <c r="RJ107" s="394"/>
      <c r="RK107" s="394"/>
      <c r="RL107" s="394"/>
      <c r="RM107" s="394"/>
      <c r="RN107" s="394"/>
      <c r="RO107" s="394"/>
      <c r="RP107" s="394"/>
      <c r="RQ107" s="394"/>
      <c r="RR107" s="394"/>
      <c r="RS107" s="394"/>
      <c r="RT107" s="394"/>
      <c r="RU107" s="394"/>
      <c r="RV107" s="394"/>
      <c r="RW107" s="394"/>
      <c r="RX107" s="394"/>
      <c r="RY107" s="394"/>
      <c r="RZ107" s="394"/>
      <c r="SA107" s="394"/>
      <c r="SB107" s="394"/>
      <c r="SC107" s="394"/>
      <c r="SD107" s="394"/>
      <c r="SE107" s="394"/>
      <c r="SF107" s="394"/>
      <c r="SG107" s="394"/>
      <c r="SH107" s="394"/>
      <c r="SI107" s="394"/>
      <c r="SJ107" s="394"/>
      <c r="SK107" s="394"/>
      <c r="SL107" s="394"/>
      <c r="SM107" s="394"/>
      <c r="SN107" s="394"/>
      <c r="SO107" s="394"/>
      <c r="SP107" s="394"/>
      <c r="SQ107" s="394"/>
      <c r="SR107" s="394"/>
      <c r="SS107" s="394"/>
      <c r="ST107" s="394"/>
      <c r="SU107" s="394"/>
      <c r="SV107" s="394"/>
      <c r="SW107" s="394"/>
      <c r="SX107" s="394"/>
      <c r="SY107" s="394"/>
      <c r="SZ107" s="394"/>
      <c r="TA107" s="394"/>
      <c r="TB107" s="394"/>
      <c r="TC107" s="394"/>
      <c r="TD107" s="394"/>
      <c r="TE107" s="394"/>
      <c r="TF107" s="394"/>
      <c r="TG107" s="394"/>
      <c r="TH107" s="394"/>
      <c r="TI107" s="394"/>
      <c r="TJ107" s="394"/>
      <c r="TK107" s="394"/>
      <c r="TL107" s="394"/>
      <c r="TM107" s="394"/>
      <c r="TN107" s="394"/>
      <c r="TO107" s="394"/>
      <c r="TP107" s="394"/>
      <c r="TQ107" s="394"/>
      <c r="TR107" s="394"/>
      <c r="TS107" s="394"/>
      <c r="TT107" s="394"/>
      <c r="TU107" s="394"/>
      <c r="TV107" s="394"/>
      <c r="TW107" s="394"/>
      <c r="TX107" s="394"/>
      <c r="TY107" s="394"/>
      <c r="TZ107" s="394"/>
      <c r="UA107" s="394"/>
      <c r="UB107" s="394"/>
      <c r="UC107" s="394"/>
      <c r="UD107" s="394"/>
      <c r="UE107" s="394"/>
      <c r="UF107" s="394"/>
      <c r="UG107" s="394"/>
      <c r="UH107" s="394"/>
      <c r="UI107" s="394"/>
      <c r="UJ107" s="394"/>
      <c r="UK107" s="394"/>
      <c r="UL107" s="394"/>
      <c r="UM107" s="394"/>
      <c r="UN107" s="394"/>
      <c r="UO107" s="394"/>
      <c r="UP107" s="394"/>
      <c r="UQ107" s="394"/>
      <c r="UR107" s="394"/>
      <c r="US107" s="394"/>
      <c r="UT107" s="394"/>
      <c r="UU107" s="394"/>
      <c r="UV107" s="394"/>
      <c r="UW107" s="394"/>
      <c r="UX107" s="394"/>
      <c r="UY107" s="394"/>
      <c r="UZ107" s="394"/>
      <c r="VA107" s="394"/>
      <c r="VB107" s="394"/>
      <c r="VC107" s="394"/>
      <c r="VD107" s="394"/>
      <c r="VE107" s="394"/>
      <c r="VF107" s="394"/>
      <c r="VG107" s="394"/>
      <c r="VH107" s="394"/>
      <c r="VI107" s="394"/>
      <c r="VJ107" s="394"/>
      <c r="VK107" s="394"/>
      <c r="VL107" s="394"/>
      <c r="VM107" s="394"/>
      <c r="VN107" s="394"/>
      <c r="VO107" s="394"/>
      <c r="VP107" s="394"/>
      <c r="VQ107" s="394"/>
      <c r="VR107" s="394"/>
      <c r="VS107" s="394"/>
      <c r="VT107" s="394"/>
      <c r="VU107" s="394"/>
      <c r="VV107" s="394"/>
      <c r="VW107" s="394"/>
      <c r="VX107" s="394"/>
      <c r="VY107" s="394"/>
      <c r="VZ107" s="394"/>
      <c r="WA107" s="394"/>
      <c r="WB107" s="394"/>
      <c r="WC107" s="394"/>
      <c r="WD107" s="394"/>
      <c r="WE107" s="394"/>
      <c r="WF107" s="394"/>
      <c r="WG107" s="394"/>
      <c r="WH107" s="394"/>
      <c r="WI107" s="394"/>
      <c r="WJ107" s="394"/>
      <c r="WK107" s="394"/>
      <c r="WL107" s="394"/>
      <c r="WM107" s="394"/>
      <c r="WN107" s="394"/>
      <c r="WO107" s="394"/>
      <c r="WP107" s="394"/>
      <c r="WQ107" s="394"/>
      <c r="WR107" s="394"/>
      <c r="WS107" s="394"/>
      <c r="WT107" s="394"/>
      <c r="WU107" s="394"/>
      <c r="WV107" s="394"/>
      <c r="WW107" s="394"/>
      <c r="WX107" s="394"/>
      <c r="WY107" s="394"/>
      <c r="WZ107" s="394"/>
      <c r="XA107" s="394"/>
      <c r="XB107" s="394"/>
      <c r="XC107" s="394"/>
      <c r="XD107" s="394"/>
      <c r="XE107" s="394"/>
      <c r="XF107" s="394"/>
      <c r="XG107" s="394"/>
      <c r="XH107" s="394"/>
      <c r="XI107" s="394"/>
      <c r="XJ107" s="394"/>
      <c r="XK107" s="394"/>
      <c r="XL107" s="394"/>
      <c r="XM107" s="394"/>
      <c r="XN107" s="394"/>
      <c r="XO107" s="394"/>
      <c r="XP107" s="394"/>
      <c r="XQ107" s="394"/>
      <c r="XR107" s="394"/>
      <c r="XS107" s="394"/>
      <c r="XT107" s="394"/>
      <c r="XU107" s="394"/>
      <c r="XV107" s="394"/>
      <c r="XW107" s="394"/>
      <c r="XX107" s="394"/>
      <c r="XY107" s="394"/>
      <c r="XZ107" s="394"/>
      <c r="YA107" s="394"/>
      <c r="YB107" s="394"/>
      <c r="YC107" s="394"/>
      <c r="YD107" s="394"/>
      <c r="YE107" s="394"/>
      <c r="YF107" s="394"/>
      <c r="YG107" s="394"/>
      <c r="YH107" s="394"/>
      <c r="YI107" s="394"/>
      <c r="YJ107" s="394"/>
      <c r="YK107" s="394"/>
      <c r="YL107" s="394"/>
      <c r="YM107" s="394"/>
      <c r="YN107" s="394"/>
      <c r="YO107" s="394"/>
      <c r="YP107" s="394"/>
      <c r="YQ107" s="394"/>
      <c r="YR107" s="394"/>
      <c r="YS107" s="394"/>
      <c r="YT107" s="394"/>
      <c r="YU107" s="394"/>
      <c r="YV107" s="394"/>
      <c r="YW107" s="394"/>
      <c r="YX107" s="394"/>
      <c r="YY107" s="394"/>
      <c r="YZ107" s="394"/>
      <c r="ZA107" s="394"/>
      <c r="ZB107" s="394"/>
      <c r="ZC107" s="394"/>
      <c r="ZD107" s="394"/>
      <c r="ZE107" s="394"/>
      <c r="ZF107" s="394"/>
      <c r="ZG107" s="394"/>
      <c r="ZH107" s="394"/>
      <c r="ZI107" s="394"/>
      <c r="ZJ107" s="394"/>
      <c r="ZK107" s="394"/>
      <c r="ZL107" s="394"/>
      <c r="ZM107" s="394"/>
      <c r="ZN107" s="394"/>
      <c r="ZO107" s="394"/>
      <c r="ZP107" s="394"/>
      <c r="ZQ107" s="394"/>
      <c r="ZR107" s="394"/>
      <c r="ZS107" s="394"/>
      <c r="ZT107" s="394"/>
      <c r="ZU107" s="394"/>
      <c r="ZV107" s="394"/>
      <c r="ZW107" s="394"/>
      <c r="ZX107" s="394"/>
      <c r="ZY107" s="394"/>
      <c r="ZZ107" s="394"/>
      <c r="AAA107" s="394"/>
      <c r="AAB107" s="394"/>
      <c r="AAC107" s="394"/>
      <c r="AAD107" s="394"/>
      <c r="AAE107" s="394"/>
      <c r="AAF107" s="394"/>
      <c r="AAG107" s="394"/>
      <c r="AAH107" s="394"/>
      <c r="AAI107" s="394"/>
      <c r="AAJ107" s="394"/>
      <c r="AAK107" s="394"/>
      <c r="AAL107" s="394"/>
      <c r="AAM107" s="394"/>
      <c r="AAN107" s="394"/>
      <c r="AAO107" s="394"/>
      <c r="AAP107" s="394"/>
      <c r="AAQ107" s="394"/>
      <c r="AAR107" s="394"/>
      <c r="AAS107" s="394"/>
      <c r="AAT107" s="394"/>
      <c r="AAU107" s="394"/>
      <c r="AAV107" s="394"/>
      <c r="AAW107" s="394"/>
      <c r="AAX107" s="394"/>
      <c r="AAY107" s="394"/>
      <c r="AAZ107" s="394"/>
      <c r="ABA107" s="394"/>
      <c r="ABB107" s="394"/>
      <c r="ABC107" s="394"/>
      <c r="ABD107" s="394"/>
      <c r="ABE107" s="394"/>
      <c r="ABF107" s="394"/>
      <c r="ABG107" s="394"/>
      <c r="ABH107" s="394"/>
      <c r="ABI107" s="394"/>
      <c r="ABJ107" s="394"/>
      <c r="ABK107" s="394"/>
      <c r="ABL107" s="394"/>
      <c r="ABM107" s="394"/>
      <c r="ABN107" s="394"/>
      <c r="ABO107" s="394"/>
      <c r="ABP107" s="394"/>
      <c r="ABQ107" s="394"/>
      <c r="ABR107" s="394"/>
      <c r="ABS107" s="394"/>
      <c r="ABT107" s="394"/>
      <c r="ABU107" s="394"/>
      <c r="ABV107" s="394"/>
      <c r="ABW107" s="394"/>
      <c r="ABX107" s="394"/>
      <c r="ABY107" s="394"/>
      <c r="ABZ107" s="394"/>
      <c r="ACA107" s="394"/>
      <c r="ACB107" s="394"/>
      <c r="ACC107" s="394"/>
      <c r="ACD107" s="394"/>
      <c r="ACE107" s="394"/>
      <c r="ACF107" s="394"/>
      <c r="ACG107" s="394"/>
      <c r="ACH107" s="394"/>
      <c r="ACI107" s="394"/>
      <c r="ACJ107" s="394"/>
      <c r="ACK107" s="394"/>
      <c r="ACL107" s="394"/>
      <c r="ACM107" s="394"/>
      <c r="ACN107" s="394"/>
      <c r="ACO107" s="394"/>
      <c r="ACP107" s="394"/>
      <c r="ACQ107" s="394"/>
      <c r="ACR107" s="394"/>
      <c r="ACS107" s="394"/>
      <c r="ACT107" s="394"/>
      <c r="ACU107" s="394"/>
      <c r="ACV107" s="394"/>
      <c r="ACW107" s="394"/>
      <c r="ACX107" s="394"/>
      <c r="ACY107" s="394"/>
      <c r="ACZ107" s="394"/>
      <c r="ADA107" s="394"/>
      <c r="ADB107" s="394"/>
      <c r="ADC107" s="394"/>
      <c r="ADD107" s="394"/>
      <c r="ADE107" s="394"/>
      <c r="ADF107" s="394"/>
      <c r="ADG107" s="394"/>
      <c r="ADH107" s="394"/>
      <c r="ADI107" s="394"/>
      <c r="ADJ107" s="394"/>
      <c r="ADK107" s="394"/>
      <c r="ADL107" s="394"/>
      <c r="ADM107" s="394"/>
      <c r="ADN107" s="394"/>
      <c r="ADO107" s="394"/>
      <c r="ADP107" s="394"/>
      <c r="ADQ107" s="394"/>
      <c r="ADR107" s="394"/>
      <c r="ADS107" s="394"/>
      <c r="ADT107" s="394"/>
      <c r="ADU107" s="394"/>
      <c r="ADV107" s="394"/>
      <c r="ADW107" s="394"/>
      <c r="ADX107" s="394"/>
      <c r="ADY107" s="394"/>
      <c r="ADZ107" s="394"/>
      <c r="AEA107" s="394"/>
      <c r="AEB107" s="394"/>
      <c r="AEC107" s="394"/>
      <c r="AED107" s="394"/>
      <c r="AEE107" s="394"/>
      <c r="AEF107" s="394"/>
      <c r="AEG107" s="394"/>
      <c r="AEH107" s="394"/>
      <c r="AEI107" s="394"/>
      <c r="AEJ107" s="394"/>
      <c r="AEK107" s="394"/>
      <c r="AEL107" s="394"/>
      <c r="AEM107" s="394"/>
      <c r="AEN107" s="394"/>
      <c r="AEO107" s="394"/>
      <c r="AEP107" s="394"/>
      <c r="AEQ107" s="394"/>
      <c r="AER107" s="394"/>
      <c r="AES107" s="394"/>
      <c r="AET107" s="394"/>
      <c r="AEU107" s="394"/>
      <c r="AEV107" s="394"/>
      <c r="AEW107" s="394"/>
      <c r="AEX107" s="394"/>
      <c r="AEY107" s="394"/>
      <c r="AEZ107" s="394"/>
      <c r="AFA107" s="394"/>
      <c r="AFB107" s="394"/>
      <c r="AFC107" s="394"/>
      <c r="AFD107" s="394"/>
      <c r="AFE107" s="394"/>
      <c r="AFF107" s="394"/>
      <c r="AFG107" s="394"/>
      <c r="AFH107" s="394"/>
      <c r="AFI107" s="394"/>
      <c r="AFJ107" s="394"/>
      <c r="AFK107" s="394"/>
      <c r="AFL107" s="394"/>
      <c r="AFM107" s="394"/>
      <c r="AFN107" s="394"/>
      <c r="AFO107" s="394"/>
      <c r="AFP107" s="394"/>
      <c r="AFQ107" s="394"/>
      <c r="AFR107" s="394"/>
      <c r="AFS107" s="394"/>
      <c r="AFT107" s="394"/>
      <c r="AFU107" s="394"/>
      <c r="AFV107" s="394"/>
      <c r="AFW107" s="394"/>
      <c r="AFX107" s="394"/>
      <c r="AFY107" s="394"/>
      <c r="AFZ107" s="394"/>
      <c r="AGA107" s="394"/>
      <c r="AGB107" s="394"/>
      <c r="AGC107" s="394"/>
      <c r="AGD107" s="394"/>
      <c r="AGE107" s="394"/>
      <c r="AGF107" s="394"/>
      <c r="AGG107" s="394"/>
      <c r="AGH107" s="394"/>
      <c r="AGI107" s="394"/>
      <c r="AGJ107" s="394"/>
      <c r="AGK107" s="394"/>
      <c r="AGL107" s="394"/>
      <c r="AGM107" s="394"/>
      <c r="AGN107" s="394"/>
      <c r="AGO107" s="394"/>
      <c r="AGP107" s="394"/>
      <c r="AGQ107" s="394"/>
      <c r="AGR107" s="394"/>
      <c r="AGS107" s="394"/>
      <c r="AGT107" s="394"/>
      <c r="AGU107" s="394"/>
      <c r="AGV107" s="394"/>
      <c r="AGW107" s="394"/>
      <c r="AGX107" s="394"/>
      <c r="AGY107" s="394"/>
      <c r="AGZ107" s="394"/>
      <c r="AHA107" s="394"/>
      <c r="AHB107" s="394"/>
      <c r="AHC107" s="394"/>
      <c r="AHD107" s="394"/>
      <c r="AHE107" s="394"/>
      <c r="AHF107" s="394"/>
      <c r="AHG107" s="394"/>
      <c r="AHH107" s="394"/>
      <c r="AHI107" s="394"/>
      <c r="AHJ107" s="394"/>
      <c r="AHK107" s="394"/>
      <c r="AHL107" s="394"/>
      <c r="AHM107" s="394"/>
      <c r="AHN107" s="394"/>
      <c r="AHO107" s="394"/>
      <c r="AHP107" s="394"/>
      <c r="AHQ107" s="394"/>
      <c r="AHR107" s="394"/>
      <c r="AHS107" s="394"/>
      <c r="AHT107" s="394"/>
      <c r="AHU107" s="394"/>
      <c r="AHV107" s="394"/>
      <c r="AHW107" s="394"/>
      <c r="AHX107" s="394"/>
      <c r="AHY107" s="394"/>
      <c r="AHZ107" s="394"/>
      <c r="AIA107" s="394"/>
      <c r="AIB107" s="394"/>
      <c r="AIC107" s="394"/>
      <c r="AID107" s="394"/>
      <c r="AIE107" s="394"/>
      <c r="AIF107" s="394"/>
      <c r="AIG107" s="394"/>
      <c r="AIH107" s="394"/>
      <c r="AII107" s="394"/>
      <c r="AIJ107" s="394"/>
      <c r="AIK107" s="394"/>
      <c r="AIL107" s="394"/>
      <c r="AIM107" s="394"/>
      <c r="AIN107" s="394"/>
      <c r="AIO107" s="394"/>
      <c r="AIP107" s="394"/>
      <c r="AIQ107" s="394"/>
      <c r="AIR107" s="394"/>
      <c r="AIS107" s="394"/>
      <c r="AIT107" s="394"/>
      <c r="AIU107" s="394"/>
      <c r="AIV107" s="394"/>
      <c r="AIW107" s="394"/>
      <c r="AIX107" s="394"/>
      <c r="AIY107" s="394"/>
      <c r="AIZ107" s="394"/>
      <c r="AJA107" s="394"/>
      <c r="AJB107" s="394"/>
      <c r="AJC107" s="394"/>
      <c r="AJD107" s="394"/>
      <c r="AJE107" s="394"/>
      <c r="AJF107" s="394"/>
      <c r="AJG107" s="394"/>
      <c r="AJH107" s="394"/>
      <c r="AJI107" s="394"/>
      <c r="AJJ107" s="394"/>
      <c r="AJK107" s="394"/>
      <c r="AJL107" s="394"/>
      <c r="AJM107" s="394"/>
      <c r="AJN107" s="394"/>
      <c r="AJO107" s="394"/>
      <c r="AJP107" s="394"/>
      <c r="AJQ107" s="394"/>
      <c r="AJR107" s="394"/>
      <c r="AJS107" s="394"/>
      <c r="AJT107" s="394"/>
      <c r="AJU107" s="394"/>
      <c r="AJV107" s="394"/>
      <c r="AJW107" s="394"/>
      <c r="AJX107" s="394"/>
      <c r="AJY107" s="394"/>
      <c r="AJZ107" s="394"/>
      <c r="AKA107" s="394"/>
      <c r="AKB107" s="394"/>
      <c r="AKC107" s="394"/>
      <c r="AKD107" s="394"/>
      <c r="AKE107" s="394"/>
      <c r="AKF107" s="394"/>
      <c r="AKG107" s="394"/>
      <c r="AKH107" s="394"/>
      <c r="AKI107" s="394"/>
      <c r="AKJ107" s="394"/>
      <c r="AKK107" s="394"/>
      <c r="AKL107" s="394"/>
      <c r="AKM107" s="394"/>
      <c r="AKN107" s="394"/>
      <c r="AKO107" s="394"/>
      <c r="AKP107" s="394"/>
      <c r="AKQ107" s="394"/>
      <c r="AKR107" s="394"/>
      <c r="AKS107" s="394"/>
      <c r="AKT107" s="394"/>
      <c r="AKU107" s="394"/>
      <c r="AKV107" s="394"/>
      <c r="AKW107" s="394"/>
      <c r="AKX107" s="394"/>
      <c r="AKY107" s="394"/>
      <c r="AKZ107" s="394"/>
      <c r="ALA107" s="394"/>
      <c r="ALB107" s="394"/>
      <c r="ALC107" s="394"/>
      <c r="ALD107" s="394"/>
      <c r="ALE107" s="394"/>
      <c r="ALF107" s="394"/>
      <c r="ALG107" s="394"/>
      <c r="ALH107" s="394"/>
      <c r="ALI107" s="394"/>
      <c r="ALJ107" s="394"/>
      <c r="ALK107" s="394"/>
      <c r="ALL107" s="394"/>
      <c r="ALM107" s="394"/>
      <c r="ALN107" s="394"/>
      <c r="ALO107" s="394"/>
      <c r="ALP107" s="394"/>
      <c r="ALQ107" s="394"/>
      <c r="ALR107" s="394"/>
      <c r="ALS107" s="394"/>
      <c r="ALT107" s="394"/>
      <c r="ALU107" s="394"/>
      <c r="ALV107" s="394"/>
      <c r="ALW107" s="394"/>
      <c r="ALX107" s="394"/>
      <c r="ALY107" s="394"/>
      <c r="ALZ107" s="394"/>
      <c r="AMA107" s="394"/>
      <c r="AMB107" s="394"/>
      <c r="AMC107" s="394"/>
      <c r="AMD107" s="394"/>
      <c r="AME107" s="394"/>
      <c r="AMF107" s="394"/>
      <c r="AMG107" s="394"/>
      <c r="AMH107" s="394"/>
      <c r="AMI107" s="394"/>
      <c r="AMJ107" s="394"/>
      <c r="AMK107" s="394"/>
      <c r="AML107" s="394"/>
      <c r="AMM107" s="394"/>
      <c r="AMN107" s="394"/>
      <c r="AMO107" s="394"/>
      <c r="AMP107" s="394"/>
      <c r="AMQ107" s="394"/>
      <c r="AMR107" s="394"/>
      <c r="AMS107" s="394"/>
      <c r="AMT107" s="394"/>
      <c r="AMU107" s="394"/>
      <c r="AMV107" s="394"/>
      <c r="AMW107" s="394"/>
      <c r="AMX107" s="394"/>
      <c r="AMY107" s="394"/>
      <c r="AMZ107" s="394"/>
      <c r="ANA107" s="394"/>
      <c r="ANB107" s="394"/>
      <c r="ANC107" s="394"/>
      <c r="AND107" s="394"/>
      <c r="ANE107" s="394"/>
      <c r="ANF107" s="394"/>
      <c r="ANG107" s="394"/>
      <c r="ANH107" s="394"/>
      <c r="ANI107" s="394"/>
      <c r="ANJ107" s="394"/>
      <c r="ANK107" s="394"/>
      <c r="ANL107" s="394"/>
      <c r="ANM107" s="394"/>
      <c r="ANN107" s="394"/>
      <c r="ANO107" s="394"/>
      <c r="ANP107" s="394"/>
      <c r="ANQ107" s="394"/>
      <c r="ANR107" s="394"/>
      <c r="ANS107" s="394"/>
      <c r="ANT107" s="394"/>
      <c r="ANU107" s="394"/>
      <c r="ANV107" s="394"/>
      <c r="ANW107" s="394"/>
      <c r="ANX107" s="394"/>
      <c r="ANY107" s="394"/>
      <c r="ANZ107" s="394"/>
      <c r="AOA107" s="394"/>
      <c r="AOB107" s="394"/>
      <c r="AOC107" s="394"/>
      <c r="AOD107" s="394"/>
      <c r="AOE107" s="394"/>
      <c r="AOF107" s="394"/>
      <c r="AOG107" s="394"/>
      <c r="AOH107" s="394"/>
      <c r="AOI107" s="394"/>
      <c r="AOJ107" s="394"/>
      <c r="AOK107" s="394"/>
      <c r="AOL107" s="394"/>
      <c r="AOM107" s="394"/>
      <c r="AON107" s="394"/>
      <c r="AOO107" s="394"/>
      <c r="AOP107" s="394"/>
      <c r="AOQ107" s="394"/>
      <c r="AOR107" s="394"/>
      <c r="AOS107" s="394"/>
      <c r="AOT107" s="394"/>
      <c r="AOU107" s="394"/>
      <c r="AOV107" s="394"/>
      <c r="AOW107" s="394"/>
      <c r="AOX107" s="394"/>
      <c r="AOY107" s="394"/>
      <c r="AOZ107" s="394"/>
      <c r="APA107" s="394"/>
      <c r="APB107" s="394"/>
      <c r="APC107" s="394"/>
      <c r="APD107" s="394"/>
      <c r="APE107" s="394"/>
      <c r="APF107" s="394"/>
      <c r="APG107" s="394"/>
      <c r="APH107" s="394"/>
      <c r="API107" s="394"/>
      <c r="APJ107" s="394"/>
      <c r="APK107" s="394"/>
      <c r="APL107" s="394"/>
      <c r="APM107" s="394"/>
      <c r="APN107" s="394"/>
      <c r="APO107" s="394"/>
      <c r="APP107" s="394"/>
      <c r="APQ107" s="394"/>
      <c r="APR107" s="394"/>
      <c r="APS107" s="394"/>
      <c r="APT107" s="394"/>
      <c r="APU107" s="394"/>
      <c r="APV107" s="394"/>
      <c r="APW107" s="394"/>
      <c r="APX107" s="394"/>
      <c r="APY107" s="394"/>
      <c r="APZ107" s="394"/>
      <c r="AQA107" s="394"/>
      <c r="AQB107" s="394"/>
      <c r="AQC107" s="394"/>
      <c r="AQD107" s="394"/>
      <c r="AQE107" s="394"/>
      <c r="AQF107" s="394"/>
      <c r="AQG107" s="394"/>
      <c r="AQH107" s="394"/>
      <c r="AQI107" s="394"/>
      <c r="AQJ107" s="394"/>
      <c r="AQK107" s="394"/>
      <c r="AQL107" s="394"/>
      <c r="AQM107" s="394"/>
      <c r="AQN107" s="394"/>
      <c r="AQO107" s="394"/>
      <c r="AQP107" s="394"/>
      <c r="AQQ107" s="394"/>
      <c r="AQR107" s="394"/>
      <c r="AQS107" s="394"/>
      <c r="AQT107" s="394"/>
      <c r="AQU107" s="394"/>
      <c r="AQV107" s="394"/>
      <c r="AQW107" s="394"/>
      <c r="AQX107" s="394"/>
      <c r="AQY107" s="394"/>
      <c r="AQZ107" s="394"/>
      <c r="ARA107" s="394"/>
      <c r="ARB107" s="394"/>
      <c r="ARC107" s="394"/>
      <c r="ARD107" s="394"/>
      <c r="ARE107" s="394"/>
      <c r="ARF107" s="394"/>
      <c r="ARG107" s="394"/>
      <c r="ARH107" s="394"/>
      <c r="ARI107" s="394"/>
      <c r="ARJ107" s="394"/>
      <c r="ARK107" s="394"/>
      <c r="ARL107" s="394"/>
      <c r="ARM107" s="394"/>
      <c r="ARN107" s="394"/>
      <c r="ARO107" s="394"/>
      <c r="ARP107" s="394"/>
      <c r="ARQ107" s="394"/>
      <c r="ARR107" s="394"/>
      <c r="ARS107" s="394"/>
      <c r="ART107" s="394"/>
      <c r="ARU107" s="394"/>
      <c r="ARV107" s="394"/>
      <c r="ARW107" s="394"/>
      <c r="ARX107" s="394"/>
      <c r="ARY107" s="394"/>
      <c r="ARZ107" s="394"/>
      <c r="ASA107" s="394"/>
      <c r="ASB107" s="394"/>
      <c r="ASC107" s="394"/>
      <c r="ASD107" s="394"/>
      <c r="ASE107" s="394"/>
      <c r="ASF107" s="394"/>
      <c r="ASG107" s="394"/>
      <c r="ASH107" s="394"/>
      <c r="ASI107" s="394"/>
      <c r="ASJ107" s="394"/>
      <c r="ASK107" s="394"/>
      <c r="ASL107" s="394"/>
      <c r="ASM107" s="394"/>
      <c r="ASN107" s="394"/>
      <c r="ASO107" s="394"/>
      <c r="ASP107" s="394"/>
      <c r="ASQ107" s="394"/>
      <c r="ASR107" s="394"/>
      <c r="ASS107" s="394"/>
      <c r="AST107" s="394"/>
      <c r="ASU107" s="394"/>
      <c r="ASV107" s="394"/>
      <c r="ASW107" s="394"/>
      <c r="ASX107" s="394"/>
      <c r="ASY107" s="394"/>
      <c r="ASZ107" s="394"/>
      <c r="ATA107" s="394"/>
      <c r="ATB107" s="394"/>
      <c r="ATC107" s="394"/>
      <c r="ATD107" s="394"/>
      <c r="ATE107" s="394"/>
      <c r="ATF107" s="394"/>
      <c r="ATG107" s="394"/>
      <c r="ATH107" s="394"/>
      <c r="ATI107" s="394"/>
      <c r="ATJ107" s="394"/>
      <c r="ATK107" s="394"/>
      <c r="ATL107" s="394"/>
      <c r="ATM107" s="394"/>
      <c r="ATN107" s="394"/>
      <c r="ATO107" s="394"/>
      <c r="ATP107" s="394"/>
      <c r="ATQ107" s="394"/>
      <c r="ATR107" s="394"/>
      <c r="ATS107" s="394"/>
      <c r="ATT107" s="394"/>
      <c r="ATU107" s="394"/>
      <c r="ATV107" s="394"/>
      <c r="ATW107" s="394"/>
      <c r="ATX107" s="394"/>
      <c r="ATY107" s="394"/>
      <c r="ATZ107" s="394"/>
      <c r="AUA107" s="394"/>
      <c r="AUB107" s="394"/>
      <c r="AUC107" s="394"/>
      <c r="AUD107" s="394"/>
      <c r="AUE107" s="394"/>
      <c r="AUF107" s="394"/>
      <c r="AUG107" s="394"/>
      <c r="AUH107" s="394"/>
      <c r="AUI107" s="394"/>
      <c r="AUJ107" s="394"/>
      <c r="AUK107" s="394"/>
      <c r="AUL107" s="394"/>
      <c r="AUM107" s="394"/>
      <c r="AUN107" s="394"/>
      <c r="AUO107" s="394"/>
      <c r="AUP107" s="394"/>
      <c r="AUQ107" s="394"/>
      <c r="AUR107" s="394"/>
      <c r="AUS107" s="394"/>
      <c r="AUT107" s="394"/>
      <c r="AUU107" s="394"/>
      <c r="AUV107" s="394"/>
      <c r="AUW107" s="394"/>
      <c r="AUX107" s="394"/>
      <c r="AUY107" s="394"/>
      <c r="AUZ107" s="394"/>
      <c r="AVA107" s="394"/>
      <c r="AVB107" s="394"/>
      <c r="AVC107" s="394"/>
      <c r="AVD107" s="394"/>
      <c r="AVE107" s="394"/>
      <c r="AVF107" s="394"/>
      <c r="AVG107" s="394"/>
      <c r="AVH107" s="394"/>
      <c r="AVI107" s="394"/>
      <c r="AVJ107" s="394"/>
      <c r="AVK107" s="394"/>
      <c r="AVL107" s="394"/>
      <c r="AVM107" s="394"/>
      <c r="AVN107" s="394"/>
      <c r="AVO107" s="394"/>
      <c r="AVP107" s="394"/>
      <c r="AVQ107" s="394"/>
      <c r="AVR107" s="394"/>
      <c r="AVS107" s="394"/>
      <c r="AVT107" s="394"/>
      <c r="AVU107" s="394"/>
      <c r="AVV107" s="394"/>
      <c r="AVW107" s="394"/>
      <c r="AVX107" s="394"/>
      <c r="AVY107" s="394"/>
      <c r="AVZ107" s="394"/>
      <c r="AWA107" s="394"/>
      <c r="AWB107" s="394"/>
      <c r="AWC107" s="394"/>
      <c r="AWD107" s="394"/>
      <c r="AWE107" s="394"/>
      <c r="AWF107" s="394"/>
      <c r="AWG107" s="394"/>
      <c r="AWH107" s="394"/>
      <c r="AWI107" s="394"/>
      <c r="AWJ107" s="394"/>
      <c r="AWK107" s="394"/>
      <c r="AWL107" s="394"/>
      <c r="AWM107" s="394"/>
      <c r="AWN107" s="394"/>
      <c r="AWO107" s="394"/>
      <c r="AWP107" s="394"/>
      <c r="AWQ107" s="394"/>
      <c r="AWR107" s="394"/>
      <c r="AWS107" s="394"/>
      <c r="AWT107" s="394"/>
      <c r="AWU107" s="394"/>
      <c r="AWV107" s="394"/>
      <c r="AWW107" s="394"/>
      <c r="AWX107" s="394"/>
      <c r="AWY107" s="394"/>
      <c r="AWZ107" s="394"/>
      <c r="AXA107" s="394"/>
      <c r="AXB107" s="394"/>
      <c r="AXC107" s="394"/>
      <c r="AXD107" s="394"/>
      <c r="AXE107" s="394"/>
      <c r="AXF107" s="394"/>
      <c r="AXG107" s="394"/>
      <c r="AXH107" s="394"/>
      <c r="AXI107" s="394"/>
      <c r="AXJ107" s="394"/>
      <c r="AXK107" s="394"/>
      <c r="AXL107" s="394"/>
      <c r="AXM107" s="394"/>
      <c r="AXN107" s="394"/>
      <c r="AXO107" s="394"/>
      <c r="AXP107" s="394"/>
      <c r="AXQ107" s="394"/>
      <c r="AXR107" s="394"/>
      <c r="AXS107" s="394"/>
      <c r="AXT107" s="394"/>
      <c r="AXU107" s="394"/>
      <c r="AXV107" s="394"/>
      <c r="AXW107" s="394"/>
      <c r="AXX107" s="394"/>
      <c r="AXY107" s="394"/>
      <c r="AXZ107" s="394"/>
      <c r="AYA107" s="394"/>
      <c r="AYB107" s="394"/>
      <c r="AYC107" s="394"/>
      <c r="AYD107" s="394"/>
      <c r="AYE107" s="394"/>
      <c r="AYF107" s="394"/>
      <c r="AYG107" s="394"/>
      <c r="AYH107" s="394"/>
      <c r="AYI107" s="394"/>
      <c r="AYJ107" s="394"/>
      <c r="AYK107" s="394"/>
      <c r="AYL107" s="394"/>
      <c r="AYM107" s="394"/>
      <c r="AYN107" s="394"/>
      <c r="AYO107" s="394"/>
      <c r="AYP107" s="394"/>
      <c r="AYQ107" s="394"/>
      <c r="AYR107" s="394"/>
      <c r="AYS107" s="394"/>
      <c r="AYT107" s="394"/>
      <c r="AYU107" s="394"/>
      <c r="AYV107" s="394"/>
      <c r="AYW107" s="394"/>
      <c r="AYX107" s="394"/>
      <c r="AYY107" s="394"/>
      <c r="AYZ107" s="394"/>
      <c r="AZA107" s="394"/>
      <c r="AZB107" s="394"/>
      <c r="AZC107" s="394"/>
      <c r="AZD107" s="394"/>
      <c r="AZE107" s="394"/>
      <c r="AZF107" s="394"/>
      <c r="AZG107" s="394"/>
      <c r="AZH107" s="394"/>
      <c r="AZI107" s="394"/>
      <c r="AZJ107" s="394"/>
      <c r="AZK107" s="394"/>
      <c r="AZL107" s="394"/>
      <c r="AZM107" s="394"/>
      <c r="AZN107" s="394"/>
      <c r="AZO107" s="394"/>
      <c r="AZP107" s="394"/>
      <c r="AZQ107" s="394"/>
      <c r="AZR107" s="394"/>
      <c r="AZS107" s="394"/>
      <c r="AZT107" s="394"/>
      <c r="AZU107" s="394"/>
      <c r="AZV107" s="394"/>
      <c r="AZW107" s="394"/>
      <c r="AZX107" s="394"/>
      <c r="AZY107" s="394"/>
      <c r="AZZ107" s="394"/>
      <c r="BAA107" s="394"/>
      <c r="BAB107" s="394"/>
      <c r="BAC107" s="394"/>
      <c r="BAD107" s="394"/>
      <c r="BAE107" s="394"/>
      <c r="BAF107" s="394"/>
      <c r="BAG107" s="394"/>
      <c r="BAH107" s="394"/>
      <c r="BAI107" s="394"/>
      <c r="BAJ107" s="394"/>
      <c r="BAK107" s="394"/>
      <c r="BAL107" s="394"/>
      <c r="BAM107" s="394"/>
      <c r="BAN107" s="394"/>
      <c r="BAO107" s="394"/>
      <c r="BAP107" s="394"/>
      <c r="BAQ107" s="394"/>
      <c r="BAR107" s="394"/>
      <c r="BAS107" s="394"/>
      <c r="BAT107" s="394"/>
      <c r="BAU107" s="394"/>
      <c r="BAV107" s="394"/>
      <c r="BAW107" s="394"/>
      <c r="BAX107" s="394"/>
      <c r="BAY107" s="394"/>
      <c r="BAZ107" s="394"/>
      <c r="BBA107" s="394"/>
      <c r="BBB107" s="394"/>
      <c r="BBC107" s="394"/>
      <c r="BBD107" s="394"/>
      <c r="BBE107" s="394"/>
      <c r="BBF107" s="394"/>
      <c r="BBG107" s="394"/>
      <c r="BBH107" s="394"/>
      <c r="BBI107" s="394"/>
      <c r="BBJ107" s="394"/>
      <c r="BBK107" s="394"/>
      <c r="BBL107" s="394"/>
      <c r="BBM107" s="394"/>
      <c r="BBN107" s="394"/>
      <c r="BBO107" s="394"/>
      <c r="BBP107" s="394"/>
      <c r="BBQ107" s="394"/>
      <c r="BBR107" s="394"/>
      <c r="BBS107" s="394"/>
      <c r="BBT107" s="394"/>
      <c r="BBU107" s="394"/>
      <c r="BBV107" s="394"/>
      <c r="BBW107" s="394"/>
      <c r="BBX107" s="394"/>
      <c r="BBY107" s="394"/>
      <c r="BBZ107" s="394"/>
      <c r="BCA107" s="394"/>
      <c r="BCB107" s="394"/>
      <c r="BCC107" s="394"/>
      <c r="BCD107" s="394"/>
      <c r="BCE107" s="394"/>
      <c r="BCF107" s="394"/>
      <c r="BCG107" s="394"/>
      <c r="BCH107" s="394"/>
      <c r="BCI107" s="394"/>
      <c r="BCJ107" s="394"/>
      <c r="BCK107" s="394"/>
      <c r="BCL107" s="394"/>
      <c r="BCM107" s="394"/>
      <c r="BCN107" s="394"/>
      <c r="BCO107" s="394"/>
      <c r="BCP107" s="394"/>
      <c r="BCQ107" s="394"/>
      <c r="BCR107" s="394"/>
      <c r="BCS107" s="394"/>
      <c r="BCT107" s="394"/>
      <c r="BCU107" s="394"/>
      <c r="BCV107" s="394"/>
      <c r="BCW107" s="394"/>
      <c r="BCX107" s="394"/>
      <c r="BCY107" s="394"/>
      <c r="BCZ107" s="394"/>
      <c r="BDA107" s="394"/>
      <c r="BDB107" s="394"/>
      <c r="BDC107" s="394"/>
      <c r="BDD107" s="394"/>
      <c r="BDE107" s="394"/>
      <c r="BDF107" s="394"/>
      <c r="BDG107" s="394"/>
      <c r="BDH107" s="394"/>
      <c r="BDI107" s="394"/>
      <c r="BDJ107" s="394"/>
      <c r="BDK107" s="394"/>
      <c r="BDL107" s="394"/>
      <c r="BDM107" s="394"/>
      <c r="BDN107" s="394"/>
      <c r="BDO107" s="394"/>
      <c r="BDP107" s="394"/>
      <c r="BDQ107" s="394"/>
      <c r="BDR107" s="394"/>
      <c r="BDS107" s="394"/>
      <c r="BDT107" s="394"/>
      <c r="BDU107" s="394"/>
      <c r="BDV107" s="394"/>
      <c r="BDW107" s="394"/>
      <c r="BDX107" s="394"/>
      <c r="BDY107" s="394"/>
      <c r="BDZ107" s="394"/>
      <c r="BEA107" s="394"/>
      <c r="BEB107" s="394"/>
      <c r="BEC107" s="394"/>
      <c r="BED107" s="394"/>
      <c r="BEE107" s="394"/>
      <c r="BEF107" s="394"/>
      <c r="BEG107" s="394"/>
      <c r="BEH107" s="394"/>
      <c r="BEI107" s="394"/>
      <c r="BEJ107" s="394"/>
      <c r="BEK107" s="394"/>
      <c r="BEL107" s="394"/>
      <c r="BEM107" s="394"/>
      <c r="BEN107" s="394"/>
      <c r="BEO107" s="394"/>
      <c r="BEP107" s="394"/>
      <c r="BEQ107" s="394"/>
      <c r="BER107" s="394"/>
      <c r="BES107" s="394"/>
      <c r="BET107" s="394"/>
      <c r="BEU107" s="394"/>
      <c r="BEV107" s="394"/>
      <c r="BEW107" s="394"/>
      <c r="BEX107" s="394"/>
      <c r="BEY107" s="394"/>
      <c r="BEZ107" s="394"/>
      <c r="BFA107" s="394"/>
      <c r="BFB107" s="394"/>
      <c r="BFC107" s="394"/>
      <c r="BFD107" s="394"/>
      <c r="BFE107" s="394"/>
      <c r="BFF107" s="394"/>
      <c r="BFG107" s="394"/>
      <c r="BFH107" s="394"/>
      <c r="BFI107" s="394"/>
      <c r="BFJ107" s="394"/>
      <c r="BFK107" s="394"/>
      <c r="BFL107" s="394"/>
      <c r="BFM107" s="394"/>
      <c r="BFN107" s="394"/>
      <c r="BFO107" s="394"/>
      <c r="BFP107" s="394"/>
      <c r="BFQ107" s="394"/>
      <c r="BFR107" s="394"/>
      <c r="BFS107" s="394"/>
      <c r="BFT107" s="394"/>
      <c r="BFU107" s="394"/>
      <c r="BFV107" s="394"/>
      <c r="BFW107" s="394"/>
      <c r="BFX107" s="394"/>
      <c r="BFY107" s="394"/>
      <c r="BFZ107" s="394"/>
      <c r="BGA107" s="394"/>
      <c r="BGB107" s="394"/>
      <c r="BGC107" s="394"/>
      <c r="BGD107" s="394"/>
      <c r="BGE107" s="394"/>
      <c r="BGF107" s="394"/>
      <c r="BGG107" s="394"/>
      <c r="BGH107" s="394"/>
      <c r="BGI107" s="394"/>
      <c r="BGJ107" s="394"/>
      <c r="BGK107" s="394"/>
      <c r="BGL107" s="394"/>
      <c r="BGM107" s="394"/>
      <c r="BGN107" s="394"/>
      <c r="BGO107" s="394"/>
      <c r="BGP107" s="394"/>
      <c r="BGQ107" s="394"/>
      <c r="BGR107" s="394"/>
      <c r="BGS107" s="394"/>
      <c r="BGT107" s="394"/>
      <c r="BGU107" s="394"/>
      <c r="BGV107" s="394"/>
      <c r="BGW107" s="394"/>
      <c r="BGX107" s="394"/>
      <c r="BGY107" s="394"/>
      <c r="BGZ107" s="394"/>
      <c r="BHA107" s="394"/>
      <c r="BHB107" s="394"/>
      <c r="BHC107" s="394"/>
      <c r="BHD107" s="394"/>
      <c r="BHE107" s="394"/>
      <c r="BHF107" s="394"/>
      <c r="BHG107" s="394"/>
      <c r="BHH107" s="394"/>
      <c r="BHI107" s="394"/>
      <c r="BHJ107" s="394"/>
      <c r="BHK107" s="394"/>
      <c r="BHL107" s="394"/>
      <c r="BHM107" s="394"/>
      <c r="BHN107" s="394"/>
      <c r="BHO107" s="394"/>
      <c r="BHP107" s="394"/>
      <c r="BHQ107" s="394"/>
      <c r="BHR107" s="394"/>
      <c r="BHS107" s="394"/>
      <c r="BHT107" s="394"/>
      <c r="BHU107" s="394"/>
      <c r="BHV107" s="394"/>
      <c r="BHW107" s="394"/>
      <c r="BHX107" s="394"/>
      <c r="BHY107" s="394"/>
      <c r="BHZ107" s="394"/>
      <c r="BIA107" s="394"/>
      <c r="BIB107" s="394"/>
      <c r="BIC107" s="394"/>
      <c r="BID107" s="394"/>
      <c r="BIE107" s="394"/>
      <c r="BIF107" s="394"/>
      <c r="BIG107" s="394"/>
      <c r="BIH107" s="394"/>
      <c r="BII107" s="394"/>
      <c r="BIJ107" s="394"/>
      <c r="BIK107" s="394"/>
      <c r="BIL107" s="394"/>
      <c r="BIM107" s="394"/>
      <c r="BIN107" s="394"/>
      <c r="BIO107" s="394"/>
      <c r="BIP107" s="394"/>
      <c r="BIQ107" s="394"/>
      <c r="BIR107" s="394"/>
      <c r="BIS107" s="394"/>
      <c r="BIT107" s="394"/>
      <c r="BIU107" s="394"/>
      <c r="BIV107" s="394"/>
      <c r="BIW107" s="394"/>
      <c r="BIX107" s="394"/>
      <c r="BIY107" s="394"/>
      <c r="BIZ107" s="394"/>
      <c r="BJA107" s="394"/>
      <c r="BJB107" s="394"/>
      <c r="BJC107" s="394"/>
      <c r="BJD107" s="394"/>
      <c r="BJE107" s="394"/>
      <c r="BJF107" s="394"/>
      <c r="BJG107" s="394"/>
      <c r="BJH107" s="394"/>
      <c r="BJI107" s="394"/>
      <c r="BJJ107" s="394"/>
      <c r="BJK107" s="394"/>
      <c r="BJL107" s="394"/>
      <c r="BJM107" s="394"/>
      <c r="BJN107" s="394"/>
      <c r="BJO107" s="394"/>
      <c r="BJP107" s="394"/>
      <c r="BJQ107" s="394"/>
      <c r="BJR107" s="394"/>
      <c r="BJS107" s="394"/>
      <c r="BJT107" s="394"/>
      <c r="BJU107" s="394"/>
      <c r="BJV107" s="394"/>
      <c r="BJW107" s="394"/>
      <c r="BJX107" s="394"/>
      <c r="BJY107" s="394"/>
      <c r="BJZ107" s="394"/>
      <c r="BKA107" s="394"/>
      <c r="BKB107" s="394"/>
      <c r="BKC107" s="394"/>
      <c r="BKD107" s="394"/>
      <c r="BKE107" s="394"/>
      <c r="BKF107" s="394"/>
      <c r="BKG107" s="394"/>
      <c r="BKH107" s="394"/>
      <c r="BKI107" s="394"/>
      <c r="BKJ107" s="394"/>
      <c r="BKK107" s="394"/>
      <c r="BKL107" s="394"/>
      <c r="BKM107" s="394"/>
      <c r="BKN107" s="394"/>
      <c r="BKO107" s="394"/>
      <c r="BKP107" s="394"/>
      <c r="BKQ107" s="394"/>
      <c r="BKR107" s="394"/>
      <c r="BKS107" s="394"/>
      <c r="BKT107" s="394"/>
      <c r="BKU107" s="394"/>
      <c r="BKV107" s="394"/>
      <c r="BKW107" s="394"/>
      <c r="BKX107" s="394"/>
      <c r="BKY107" s="394"/>
      <c r="BKZ107" s="394"/>
      <c r="BLA107" s="394"/>
      <c r="BLB107" s="394"/>
      <c r="BLC107" s="394"/>
      <c r="BLD107" s="394"/>
      <c r="BLE107" s="394"/>
      <c r="BLF107" s="394"/>
      <c r="BLG107" s="394"/>
      <c r="BLH107" s="394"/>
      <c r="BLI107" s="394"/>
      <c r="BLJ107" s="394"/>
      <c r="BLK107" s="394"/>
      <c r="BLL107" s="394"/>
      <c r="BLM107" s="394"/>
      <c r="BLN107" s="394"/>
      <c r="BLO107" s="394"/>
      <c r="BLP107" s="394"/>
      <c r="BLQ107" s="394"/>
      <c r="BLR107" s="394"/>
      <c r="BLS107" s="394"/>
      <c r="BLT107" s="394"/>
      <c r="BLU107" s="394"/>
      <c r="BLV107" s="394"/>
      <c r="BLW107" s="394"/>
      <c r="BLX107" s="394"/>
      <c r="BLY107" s="394"/>
      <c r="BLZ107" s="394"/>
      <c r="BMA107" s="394"/>
      <c r="BMB107" s="394"/>
      <c r="BMC107" s="394"/>
      <c r="BMD107" s="394"/>
      <c r="BME107" s="394"/>
      <c r="BMF107" s="394"/>
      <c r="BMG107" s="394"/>
      <c r="BMH107" s="394"/>
      <c r="BMI107" s="394"/>
      <c r="BMJ107" s="394"/>
      <c r="BMK107" s="394"/>
      <c r="BML107" s="394"/>
      <c r="BMM107" s="394"/>
      <c r="BMN107" s="394"/>
      <c r="BMO107" s="394"/>
      <c r="BMP107" s="394"/>
      <c r="BMQ107" s="394"/>
      <c r="BMR107" s="394"/>
      <c r="BMS107" s="394"/>
      <c r="BMT107" s="394"/>
      <c r="BMU107" s="394"/>
      <c r="BMV107" s="394"/>
      <c r="BMW107" s="394"/>
      <c r="BMX107" s="394"/>
      <c r="BMY107" s="394"/>
      <c r="BMZ107" s="394"/>
      <c r="BNA107" s="394"/>
      <c r="BNB107" s="394"/>
      <c r="BNC107" s="394"/>
      <c r="BND107" s="394"/>
      <c r="BNE107" s="394"/>
      <c r="BNF107" s="394"/>
      <c r="BNG107" s="394"/>
      <c r="BNH107" s="394"/>
      <c r="BNI107" s="394"/>
      <c r="BNJ107" s="394"/>
      <c r="BNK107" s="394"/>
      <c r="BNL107" s="394"/>
      <c r="BNM107" s="394"/>
      <c r="BNN107" s="394"/>
      <c r="BNO107" s="394"/>
      <c r="BNP107" s="394"/>
      <c r="BNQ107" s="394"/>
      <c r="BNR107" s="394"/>
      <c r="BNS107" s="394"/>
      <c r="BNT107" s="394"/>
      <c r="BNU107" s="394"/>
      <c r="BNV107" s="394"/>
      <c r="BNW107" s="394"/>
      <c r="BNX107" s="394"/>
      <c r="BNY107" s="394"/>
      <c r="BNZ107" s="394"/>
      <c r="BOA107" s="394"/>
      <c r="BOB107" s="394"/>
      <c r="BOC107" s="394"/>
      <c r="BOD107" s="394"/>
      <c r="BOE107" s="394"/>
      <c r="BOF107" s="394"/>
      <c r="BOG107" s="394"/>
      <c r="BOH107" s="394"/>
      <c r="BOI107" s="394"/>
      <c r="BOJ107" s="394"/>
      <c r="BOK107" s="394"/>
      <c r="BOL107" s="394"/>
      <c r="BOM107" s="394"/>
      <c r="BON107" s="394"/>
      <c r="BOO107" s="394"/>
      <c r="BOP107" s="394"/>
      <c r="BOQ107" s="394"/>
      <c r="BOR107" s="394"/>
      <c r="BOS107" s="394"/>
      <c r="BOT107" s="394"/>
      <c r="BOU107" s="394"/>
      <c r="BOV107" s="394"/>
      <c r="BOW107" s="394"/>
      <c r="BOX107" s="394"/>
      <c r="BOY107" s="394"/>
      <c r="BOZ107" s="394"/>
      <c r="BPA107" s="394"/>
      <c r="BPB107" s="394"/>
      <c r="BPC107" s="394"/>
      <c r="BPD107" s="394"/>
      <c r="BPE107" s="394"/>
      <c r="BPF107" s="394"/>
      <c r="BPG107" s="394"/>
      <c r="BPH107" s="394"/>
      <c r="BPI107" s="394"/>
      <c r="BPJ107" s="394"/>
      <c r="BPK107" s="394"/>
      <c r="BPL107" s="394"/>
      <c r="BPM107" s="394"/>
      <c r="BPN107" s="394"/>
      <c r="BPO107" s="394"/>
      <c r="BPP107" s="394"/>
      <c r="BPQ107" s="394"/>
      <c r="BPR107" s="394"/>
      <c r="BPS107" s="394"/>
      <c r="BPT107" s="394"/>
      <c r="BPU107" s="394"/>
      <c r="BPV107" s="394"/>
      <c r="BPW107" s="394"/>
      <c r="BPX107" s="394"/>
      <c r="BPY107" s="394"/>
      <c r="BPZ107" s="394"/>
      <c r="BQA107" s="394"/>
      <c r="BQB107" s="394"/>
      <c r="BQC107" s="394"/>
      <c r="BQD107" s="394"/>
      <c r="BQE107" s="394"/>
      <c r="BQF107" s="394"/>
      <c r="BQG107" s="394"/>
      <c r="BQH107" s="394"/>
      <c r="BQI107" s="394"/>
      <c r="BQJ107" s="394"/>
      <c r="BQK107" s="394"/>
      <c r="BQL107" s="394"/>
      <c r="BQM107" s="394"/>
      <c r="BQN107" s="394"/>
      <c r="BQO107" s="394"/>
      <c r="BQP107" s="394"/>
      <c r="BQQ107" s="394"/>
      <c r="BQR107" s="394"/>
      <c r="BQS107" s="394"/>
      <c r="BQT107" s="394"/>
      <c r="BQU107" s="394"/>
      <c r="BQV107" s="394"/>
      <c r="BQW107" s="394"/>
      <c r="BQX107" s="394"/>
      <c r="BQY107" s="394"/>
      <c r="BQZ107" s="394"/>
      <c r="BRA107" s="394"/>
      <c r="BRB107" s="394"/>
      <c r="BRC107" s="394"/>
      <c r="BRD107" s="394"/>
      <c r="BRE107" s="394"/>
      <c r="BRF107" s="394"/>
      <c r="BRG107" s="394"/>
      <c r="BRH107" s="394"/>
      <c r="BRI107" s="394"/>
      <c r="BRJ107" s="394"/>
      <c r="BRK107" s="394"/>
      <c r="BRL107" s="394"/>
      <c r="BRM107" s="394"/>
      <c r="BRN107" s="394"/>
      <c r="BRO107" s="394"/>
      <c r="BRP107" s="394"/>
      <c r="BRQ107" s="394"/>
      <c r="BRR107" s="394"/>
      <c r="BRS107" s="394"/>
      <c r="BRT107" s="394"/>
      <c r="BRU107" s="394"/>
      <c r="BRV107" s="394"/>
      <c r="BRW107" s="394"/>
      <c r="BRX107" s="394"/>
      <c r="BRY107" s="394"/>
      <c r="BRZ107" s="394"/>
      <c r="BSA107" s="394"/>
      <c r="BSB107" s="394"/>
      <c r="BSC107" s="394"/>
      <c r="BSD107" s="394"/>
      <c r="BSE107" s="394"/>
      <c r="BSF107" s="394"/>
      <c r="BSG107" s="394"/>
      <c r="BSH107" s="394"/>
      <c r="BSI107" s="394"/>
      <c r="BSJ107" s="394"/>
      <c r="BSK107" s="394"/>
      <c r="BSL107" s="394"/>
      <c r="BSM107" s="394"/>
      <c r="BSN107" s="394"/>
      <c r="BSO107" s="394"/>
      <c r="BSP107" s="394"/>
      <c r="BSQ107" s="394"/>
      <c r="BSR107" s="394"/>
      <c r="BSS107" s="394"/>
      <c r="BST107" s="394"/>
      <c r="BSU107" s="394"/>
      <c r="BSV107" s="394"/>
      <c r="BSW107" s="394"/>
      <c r="BSX107" s="394"/>
      <c r="BSY107" s="394"/>
      <c r="BSZ107" s="394"/>
      <c r="BTA107" s="394"/>
      <c r="BTB107" s="394"/>
      <c r="BTC107" s="394"/>
      <c r="BTD107" s="394"/>
      <c r="BTE107" s="394"/>
      <c r="BTF107" s="394"/>
      <c r="BTG107" s="394"/>
      <c r="BTH107" s="394"/>
      <c r="BTI107" s="394"/>
    </row>
    <row r="108" spans="1:1881" ht="91.5" customHeight="1" x14ac:dyDescent="0.25">
      <c r="A108" s="450">
        <v>639</v>
      </c>
      <c r="B108" s="451" t="s">
        <v>1204</v>
      </c>
      <c r="C108" s="452" t="s">
        <v>183</v>
      </c>
      <c r="D108" s="453" t="s">
        <v>1222</v>
      </c>
      <c r="E108" s="454" t="s">
        <v>832</v>
      </c>
      <c r="F108" s="624"/>
      <c r="G108" s="437">
        <f>IF(F108&lt;0,"Error: Enter as positive.",)</f>
        <v>0</v>
      </c>
      <c r="H108" s="438"/>
      <c r="I108" s="439"/>
    </row>
    <row r="109" spans="1:1881" ht="87" customHeight="1" x14ac:dyDescent="0.25">
      <c r="A109" s="455">
        <v>640</v>
      </c>
      <c r="B109" s="456" t="s">
        <v>830</v>
      </c>
      <c r="C109" s="452" t="s">
        <v>183</v>
      </c>
      <c r="D109" s="453" t="s">
        <v>1075</v>
      </c>
      <c r="E109" s="454" t="s">
        <v>832</v>
      </c>
      <c r="F109" s="624"/>
      <c r="G109" s="395">
        <f>IF(F109&gt;F108,"Error: Please review components of current liabilities above. Account numbers 640&gt;639",)</f>
        <v>0</v>
      </c>
      <c r="H109" s="438"/>
      <c r="I109" s="498"/>
    </row>
    <row r="110" spans="1:1881" ht="91.5" customHeight="1" x14ac:dyDescent="0.25">
      <c r="A110" s="455">
        <v>641</v>
      </c>
      <c r="B110" s="456" t="s">
        <v>830</v>
      </c>
      <c r="C110" s="452" t="s">
        <v>183</v>
      </c>
      <c r="D110" s="453" t="s">
        <v>1076</v>
      </c>
      <c r="E110" s="454" t="s">
        <v>832</v>
      </c>
      <c r="F110" s="624"/>
      <c r="G110" s="395">
        <f>IF(F110&gt;F108,"Error: Please review components of current liabilities above. Account numbers 641&gt;639",)</f>
        <v>0</v>
      </c>
      <c r="H110" s="438"/>
      <c r="I110" s="439"/>
    </row>
    <row r="111" spans="1:1881" ht="90.75" customHeight="1" x14ac:dyDescent="0.25">
      <c r="A111" s="455">
        <v>642</v>
      </c>
      <c r="B111" s="456" t="s">
        <v>830</v>
      </c>
      <c r="C111" s="452" t="s">
        <v>183</v>
      </c>
      <c r="D111" s="453" t="s">
        <v>1077</v>
      </c>
      <c r="E111" s="454" t="s">
        <v>832</v>
      </c>
      <c r="F111" s="624"/>
      <c r="G111" s="395">
        <f>IF(F111&gt;F108,"Error: Please review components of current liabilities above. Account numbers  642&gt;639",)</f>
        <v>0</v>
      </c>
      <c r="H111" s="438"/>
      <c r="I111" s="439"/>
    </row>
    <row r="112" spans="1:1881" ht="81.75" customHeight="1" x14ac:dyDescent="0.25">
      <c r="A112" s="455">
        <v>643</v>
      </c>
      <c r="B112" s="456" t="s">
        <v>830</v>
      </c>
      <c r="C112" s="452" t="s">
        <v>183</v>
      </c>
      <c r="D112" s="453" t="s">
        <v>1078</v>
      </c>
      <c r="E112" s="454" t="s">
        <v>832</v>
      </c>
      <c r="F112" s="624"/>
      <c r="G112" s="395">
        <f>IF(F112&gt;F108,"Error: Please review components of current liabilities above. Account numbers 643&gt;639",)</f>
        <v>0</v>
      </c>
      <c r="H112" s="438"/>
      <c r="I112" s="439"/>
    </row>
    <row r="113" spans="1:1881" ht="90.75" customHeight="1" x14ac:dyDescent="0.25">
      <c r="A113" s="455">
        <v>644</v>
      </c>
      <c r="B113" s="456" t="s">
        <v>830</v>
      </c>
      <c r="C113" s="452" t="s">
        <v>183</v>
      </c>
      <c r="D113" s="453" t="s">
        <v>1079</v>
      </c>
      <c r="E113" s="454" t="s">
        <v>832</v>
      </c>
      <c r="F113" s="624"/>
      <c r="G113" s="395">
        <f>IF(F113&gt;F108,"Error: Please review components of current liabilities above. Account number 644&gt;639",)</f>
        <v>0</v>
      </c>
      <c r="H113" s="438"/>
      <c r="I113" s="439"/>
    </row>
    <row r="114" spans="1:1881" ht="73.5" customHeight="1" x14ac:dyDescent="0.25">
      <c r="A114" s="188">
        <v>384</v>
      </c>
      <c r="B114" s="64" t="s">
        <v>70</v>
      </c>
      <c r="C114" s="159" t="s">
        <v>183</v>
      </c>
      <c r="D114" s="175" t="s">
        <v>1080</v>
      </c>
      <c r="E114" s="32" t="e">
        <f>HLOOKUP($D$2,'2019 Data(H)'!$C$1:$CP$300,143,FALSE)</f>
        <v>#N/A</v>
      </c>
      <c r="F114" s="586"/>
      <c r="G114" s="395">
        <f>IF(F114&gt;F108,"Error: Please review components of current liabilities above. Account number 384&gt;639",)</f>
        <v>0</v>
      </c>
      <c r="I114" s="31"/>
    </row>
    <row r="115" spans="1:1881" ht="86.25" customHeight="1" x14ac:dyDescent="0.25">
      <c r="A115" s="188">
        <v>361</v>
      </c>
      <c r="B115" s="64" t="s">
        <v>63</v>
      </c>
      <c r="C115" s="159" t="s">
        <v>183</v>
      </c>
      <c r="D115" s="141" t="s">
        <v>180</v>
      </c>
      <c r="E115" s="32" t="e">
        <f>HLOOKUP($D$2,'2019 Data(H)'!$C$1:$CP$300,122,FALSE)</f>
        <v>#N/A</v>
      </c>
      <c r="F115" s="624"/>
      <c r="G115" s="316"/>
      <c r="H115" s="13"/>
      <c r="I115" s="31"/>
    </row>
    <row r="116" spans="1:1881" ht="62.25" customHeight="1" x14ac:dyDescent="0.25">
      <c r="A116" s="188">
        <v>362</v>
      </c>
      <c r="B116" s="64" t="s">
        <v>63</v>
      </c>
      <c r="C116" s="159" t="s">
        <v>183</v>
      </c>
      <c r="D116" s="174" t="s">
        <v>181</v>
      </c>
      <c r="E116" s="32" t="e">
        <f>HLOOKUP($D$2,'2019 Data(H)'!$C$1:$CP$300,123,FALSE)</f>
        <v>#N/A</v>
      </c>
      <c r="F116" s="624"/>
      <c r="G116" s="395">
        <f>IF(H116=0,,"Error: Total assets less total liabilities do not equal total net position. Account numbers 382-360-362=0  The amount of the formula is in the cell to the right")</f>
        <v>0</v>
      </c>
      <c r="H116" s="192">
        <f>F105-F106-F116</f>
        <v>0</v>
      </c>
      <c r="I116" s="31"/>
    </row>
    <row r="117" spans="1:1881" ht="26.25" customHeight="1" x14ac:dyDescent="0.25">
      <c r="A117" s="189"/>
      <c r="B117" s="126" t="s">
        <v>247</v>
      </c>
      <c r="C117" s="126"/>
      <c r="D117" s="133"/>
      <c r="E117" s="143"/>
      <c r="F117" s="725"/>
      <c r="G117" s="553"/>
      <c r="H117" s="13"/>
      <c r="I117" s="31"/>
    </row>
    <row r="118" spans="1:1881" s="4" customFormat="1" ht="96" customHeight="1" x14ac:dyDescent="0.3">
      <c r="A118" s="189"/>
      <c r="B118" s="933" t="s">
        <v>864</v>
      </c>
      <c r="C118" s="933"/>
      <c r="D118" s="933"/>
      <c r="E118" s="155"/>
      <c r="F118" s="727"/>
      <c r="G118" s="555"/>
      <c r="H118" s="13"/>
      <c r="I118" s="31"/>
      <c r="J118" s="394"/>
      <c r="K118" s="394"/>
      <c r="L118" s="394"/>
      <c r="M118" s="394"/>
      <c r="N118"/>
      <c r="O118" s="394"/>
      <c r="P118" s="394"/>
      <c r="Q118" s="394"/>
      <c r="R118" s="394"/>
      <c r="S118" s="394"/>
      <c r="T118" s="394"/>
      <c r="U118" s="394"/>
      <c r="V118" s="394"/>
      <c r="W118" s="394"/>
      <c r="X118" s="394"/>
      <c r="Y118" s="394"/>
      <c r="Z118" s="394"/>
      <c r="AA118" s="394"/>
      <c r="AB118" s="394"/>
      <c r="AC118" s="394"/>
      <c r="AD118" s="394"/>
      <c r="AE118" s="394"/>
      <c r="AF118" s="394"/>
      <c r="AG118" s="394"/>
      <c r="AH118" s="394"/>
      <c r="AI118" s="394"/>
      <c r="AJ118" s="394"/>
      <c r="AK118" s="394"/>
      <c r="AL118" s="394"/>
      <c r="AM118" s="394"/>
      <c r="AN118" s="394"/>
      <c r="AO118" s="394"/>
      <c r="AP118" s="394"/>
      <c r="AQ118" s="394"/>
      <c r="AR118" s="394"/>
      <c r="AS118" s="394"/>
      <c r="AT118" s="394"/>
      <c r="AU118" s="394"/>
      <c r="AV118" s="394"/>
      <c r="AW118" s="394"/>
      <c r="AX118" s="394"/>
      <c r="AY118" s="394"/>
      <c r="AZ118" s="394"/>
      <c r="BA118" s="394"/>
      <c r="BB118" s="394"/>
      <c r="BC118" s="394"/>
      <c r="BD118" s="394"/>
      <c r="BE118" s="394"/>
      <c r="BF118" s="394"/>
      <c r="BG118" s="394"/>
      <c r="BH118" s="394"/>
      <c r="BI118" s="394"/>
      <c r="BJ118" s="394"/>
      <c r="BK118" s="394"/>
      <c r="BL118" s="394"/>
      <c r="BM118" s="394"/>
      <c r="BN118" s="394"/>
      <c r="BO118" s="394"/>
      <c r="BP118" s="394"/>
      <c r="BQ118" s="394"/>
      <c r="BR118" s="394"/>
      <c r="BS118" s="394"/>
      <c r="BT118" s="394"/>
      <c r="BU118" s="394"/>
      <c r="BV118" s="394"/>
      <c r="BW118" s="394"/>
      <c r="BX118" s="394"/>
      <c r="BY118" s="394"/>
      <c r="BZ118" s="394"/>
      <c r="CA118" s="394"/>
      <c r="CB118" s="394"/>
      <c r="CC118" s="394"/>
      <c r="CD118" s="394"/>
      <c r="CE118" s="394"/>
      <c r="CF118" s="394"/>
      <c r="CG118" s="394"/>
      <c r="CH118" s="394"/>
      <c r="CI118" s="394"/>
      <c r="CJ118" s="394"/>
      <c r="CK118" s="394"/>
      <c r="CL118" s="394"/>
      <c r="CM118" s="394"/>
      <c r="CN118" s="394"/>
      <c r="CO118" s="394"/>
      <c r="CP118" s="394"/>
      <c r="CQ118" s="394"/>
      <c r="CR118" s="394"/>
      <c r="CS118" s="394"/>
      <c r="CT118" s="394"/>
      <c r="CU118" s="394"/>
      <c r="CV118" s="394"/>
      <c r="CW118" s="394"/>
      <c r="CX118" s="394"/>
      <c r="CY118" s="394"/>
      <c r="CZ118" s="394"/>
      <c r="DA118" s="394"/>
      <c r="DB118" s="394"/>
      <c r="DC118" s="394"/>
      <c r="DD118" s="394"/>
      <c r="DE118" s="394"/>
      <c r="DF118" s="394"/>
      <c r="DG118" s="394"/>
      <c r="DH118" s="394"/>
      <c r="DI118" s="394"/>
      <c r="DJ118" s="394"/>
      <c r="DK118" s="394"/>
      <c r="DL118" s="394"/>
      <c r="DM118" s="394"/>
      <c r="DN118" s="394"/>
      <c r="DO118" s="394"/>
      <c r="DP118" s="394"/>
      <c r="DQ118" s="394"/>
      <c r="DR118" s="394"/>
      <c r="DS118" s="394"/>
      <c r="DT118" s="394"/>
      <c r="DU118" s="394"/>
      <c r="DV118" s="394"/>
      <c r="DW118" s="394"/>
      <c r="DX118" s="394"/>
      <c r="DY118" s="394"/>
      <c r="DZ118" s="394"/>
      <c r="EA118" s="394"/>
      <c r="EB118" s="394"/>
      <c r="EC118" s="394"/>
      <c r="ED118" s="394"/>
      <c r="EE118" s="394"/>
      <c r="EF118" s="394"/>
      <c r="EG118" s="394"/>
      <c r="EH118" s="394"/>
      <c r="EI118" s="394"/>
      <c r="EJ118" s="394"/>
      <c r="EK118" s="394"/>
      <c r="EL118" s="394"/>
      <c r="EM118" s="394"/>
      <c r="EN118" s="394"/>
      <c r="EO118" s="394"/>
      <c r="EP118" s="394"/>
      <c r="EQ118" s="394"/>
      <c r="ER118" s="394"/>
      <c r="ES118" s="394"/>
      <c r="ET118" s="394"/>
      <c r="EU118" s="394"/>
      <c r="EV118" s="394"/>
      <c r="EW118" s="394"/>
      <c r="EX118" s="394"/>
      <c r="EY118" s="394"/>
      <c r="EZ118" s="394"/>
      <c r="FA118" s="394"/>
      <c r="FB118" s="394"/>
      <c r="FC118" s="394"/>
      <c r="FD118" s="394"/>
      <c r="FE118" s="394"/>
      <c r="FF118" s="394"/>
      <c r="FG118" s="394"/>
      <c r="FH118" s="394"/>
      <c r="FI118" s="394"/>
      <c r="FJ118" s="394"/>
      <c r="FK118" s="394"/>
      <c r="FL118" s="394"/>
      <c r="FM118" s="394"/>
      <c r="FN118" s="394"/>
      <c r="FO118" s="394"/>
      <c r="FP118" s="394"/>
      <c r="FQ118" s="394"/>
      <c r="FR118" s="394"/>
      <c r="FS118" s="394"/>
      <c r="FT118" s="394"/>
      <c r="FU118" s="394"/>
      <c r="FV118" s="394"/>
      <c r="FW118" s="394"/>
      <c r="FX118" s="394"/>
      <c r="FY118" s="394"/>
      <c r="FZ118" s="394"/>
      <c r="GA118" s="394"/>
      <c r="GB118" s="394"/>
      <c r="GC118" s="394"/>
      <c r="GD118" s="394"/>
      <c r="GE118" s="394"/>
      <c r="GF118" s="394"/>
      <c r="GG118" s="394"/>
      <c r="GH118" s="394"/>
      <c r="GI118" s="394"/>
      <c r="GJ118" s="394"/>
      <c r="GK118" s="394"/>
      <c r="GL118" s="394"/>
      <c r="GM118" s="394"/>
      <c r="GN118" s="394"/>
      <c r="GO118" s="394"/>
      <c r="GP118" s="394"/>
      <c r="GQ118" s="394"/>
      <c r="GR118" s="394"/>
      <c r="GS118" s="394"/>
      <c r="GT118" s="394"/>
      <c r="GU118" s="394"/>
      <c r="GV118" s="394"/>
      <c r="GW118" s="394"/>
      <c r="GX118" s="394"/>
      <c r="GY118" s="394"/>
      <c r="GZ118" s="394"/>
      <c r="HA118" s="394"/>
      <c r="HB118" s="394"/>
      <c r="HC118" s="394"/>
      <c r="HD118" s="394"/>
      <c r="HE118" s="394"/>
      <c r="HF118" s="394"/>
      <c r="HG118" s="394"/>
      <c r="HH118" s="394"/>
      <c r="HI118" s="394"/>
      <c r="HJ118" s="394"/>
      <c r="HK118" s="394"/>
      <c r="HL118" s="394"/>
      <c r="HM118" s="394"/>
      <c r="HN118" s="394"/>
      <c r="HO118" s="394"/>
      <c r="HP118" s="394"/>
      <c r="HQ118" s="394"/>
      <c r="HR118" s="394"/>
      <c r="HS118" s="394"/>
      <c r="HT118" s="394"/>
      <c r="HU118" s="394"/>
      <c r="HV118" s="394"/>
      <c r="HW118" s="394"/>
      <c r="HX118" s="394"/>
      <c r="HY118" s="394"/>
      <c r="HZ118" s="394"/>
      <c r="IA118" s="394"/>
      <c r="IB118" s="394"/>
      <c r="IC118" s="394"/>
      <c r="ID118" s="394"/>
      <c r="IE118" s="394"/>
      <c r="IF118" s="394"/>
      <c r="IG118" s="394"/>
      <c r="IH118" s="394"/>
      <c r="II118" s="394"/>
      <c r="IJ118" s="394"/>
      <c r="IK118" s="394"/>
      <c r="IL118" s="394"/>
      <c r="IM118" s="394"/>
      <c r="IN118" s="394"/>
      <c r="IO118" s="394"/>
      <c r="IP118" s="394"/>
      <c r="IQ118" s="394"/>
      <c r="IR118" s="394"/>
      <c r="IS118" s="394"/>
      <c r="IT118" s="394"/>
      <c r="IU118" s="394"/>
      <c r="IV118" s="394"/>
      <c r="IW118" s="394"/>
      <c r="IX118" s="394"/>
      <c r="IY118" s="394"/>
      <c r="IZ118" s="394"/>
      <c r="JA118" s="394"/>
      <c r="JB118" s="394"/>
      <c r="JC118" s="394"/>
      <c r="JD118" s="394"/>
      <c r="JE118" s="394"/>
      <c r="JF118" s="394"/>
      <c r="JG118" s="394"/>
      <c r="JH118" s="394"/>
      <c r="JI118" s="394"/>
      <c r="JJ118" s="394"/>
      <c r="JK118" s="394"/>
      <c r="JL118" s="394"/>
      <c r="JM118" s="394"/>
      <c r="JN118" s="394"/>
      <c r="JO118" s="394"/>
      <c r="JP118" s="394"/>
      <c r="JQ118" s="394"/>
      <c r="JR118" s="394"/>
      <c r="JS118" s="394"/>
      <c r="JT118" s="394"/>
      <c r="JU118" s="394"/>
      <c r="JV118" s="394"/>
      <c r="JW118" s="394"/>
      <c r="JX118" s="394"/>
      <c r="JY118" s="394"/>
      <c r="JZ118" s="394"/>
      <c r="KA118" s="394"/>
      <c r="KB118" s="394"/>
      <c r="KC118" s="394"/>
      <c r="KD118" s="394"/>
      <c r="KE118" s="394"/>
      <c r="KF118" s="394"/>
      <c r="KG118" s="394"/>
      <c r="KH118" s="394"/>
      <c r="KI118" s="394"/>
      <c r="KJ118" s="394"/>
      <c r="KK118" s="394"/>
      <c r="KL118" s="394"/>
      <c r="KM118" s="394"/>
      <c r="KN118" s="394"/>
      <c r="KO118" s="394"/>
      <c r="KP118" s="394"/>
      <c r="KQ118" s="394"/>
      <c r="KR118" s="394"/>
      <c r="KS118" s="394"/>
      <c r="KT118" s="394"/>
      <c r="KU118" s="394"/>
      <c r="KV118" s="394"/>
      <c r="KW118" s="394"/>
      <c r="KX118" s="394"/>
      <c r="KY118" s="394"/>
      <c r="KZ118" s="394"/>
      <c r="LA118" s="394"/>
      <c r="LB118" s="394"/>
      <c r="LC118" s="394"/>
      <c r="LD118" s="394"/>
      <c r="LE118" s="394"/>
      <c r="LF118" s="394"/>
      <c r="LG118" s="394"/>
      <c r="LH118" s="394"/>
      <c r="LI118" s="394"/>
      <c r="LJ118" s="394"/>
      <c r="LK118" s="394"/>
      <c r="LL118" s="394"/>
      <c r="LM118" s="394"/>
      <c r="LN118" s="394"/>
      <c r="LO118" s="394"/>
      <c r="LP118" s="394"/>
      <c r="LQ118" s="394"/>
      <c r="LR118" s="394"/>
      <c r="LS118" s="394"/>
      <c r="LT118" s="394"/>
      <c r="LU118" s="394"/>
      <c r="LV118" s="394"/>
      <c r="LW118" s="394"/>
      <c r="LX118" s="394"/>
      <c r="LY118" s="394"/>
      <c r="LZ118" s="394"/>
      <c r="MA118" s="394"/>
      <c r="MB118" s="394"/>
      <c r="MC118" s="394"/>
      <c r="MD118" s="394"/>
      <c r="ME118" s="394"/>
      <c r="MF118" s="394"/>
      <c r="MG118" s="394"/>
      <c r="MH118" s="394"/>
      <c r="MI118" s="394"/>
      <c r="MJ118" s="394"/>
      <c r="MK118" s="394"/>
      <c r="ML118" s="394"/>
      <c r="MM118" s="394"/>
      <c r="MN118" s="394"/>
      <c r="MO118" s="394"/>
      <c r="MP118" s="394"/>
      <c r="MQ118" s="394"/>
      <c r="MR118" s="394"/>
      <c r="MS118" s="394"/>
      <c r="MT118" s="394"/>
      <c r="MU118" s="394"/>
      <c r="MV118" s="394"/>
      <c r="MW118" s="394"/>
      <c r="MX118" s="394"/>
      <c r="MY118" s="394"/>
      <c r="MZ118" s="394"/>
      <c r="NA118" s="394"/>
      <c r="NB118" s="394"/>
      <c r="NC118" s="394"/>
      <c r="ND118" s="394"/>
      <c r="NE118" s="394"/>
      <c r="NF118" s="394"/>
      <c r="NG118" s="394"/>
      <c r="NH118" s="394"/>
      <c r="NI118" s="394"/>
      <c r="NJ118" s="394"/>
      <c r="NK118" s="394"/>
      <c r="NL118" s="394"/>
      <c r="NM118" s="394"/>
      <c r="NN118" s="394"/>
      <c r="NO118" s="394"/>
      <c r="NP118" s="394"/>
      <c r="NQ118" s="394"/>
      <c r="NR118" s="394"/>
      <c r="NS118" s="394"/>
      <c r="NT118" s="394"/>
      <c r="NU118" s="394"/>
      <c r="NV118" s="394"/>
      <c r="NW118" s="394"/>
      <c r="NX118" s="394"/>
      <c r="NY118" s="394"/>
      <c r="NZ118" s="394"/>
      <c r="OA118" s="394"/>
      <c r="OB118" s="394"/>
      <c r="OC118" s="394"/>
      <c r="OD118" s="394"/>
      <c r="OE118" s="394"/>
      <c r="OF118" s="394"/>
      <c r="OG118" s="394"/>
      <c r="OH118" s="394"/>
      <c r="OI118" s="394"/>
      <c r="OJ118" s="394"/>
      <c r="OK118" s="394"/>
      <c r="OL118" s="394"/>
      <c r="OM118" s="394"/>
      <c r="ON118" s="394"/>
      <c r="OO118" s="394"/>
      <c r="OP118" s="394"/>
      <c r="OQ118" s="394"/>
      <c r="OR118" s="394"/>
      <c r="OS118" s="394"/>
      <c r="OT118" s="394"/>
      <c r="OU118" s="394"/>
      <c r="OV118" s="394"/>
      <c r="OW118" s="394"/>
      <c r="OX118" s="394"/>
      <c r="OY118" s="394"/>
      <c r="OZ118" s="394"/>
      <c r="PA118" s="394"/>
      <c r="PB118" s="394"/>
      <c r="PC118" s="394"/>
      <c r="PD118" s="394"/>
      <c r="PE118" s="394"/>
      <c r="PF118" s="394"/>
      <c r="PG118" s="394"/>
      <c r="PH118" s="394"/>
      <c r="PI118" s="394"/>
      <c r="PJ118" s="394"/>
      <c r="PK118" s="394"/>
      <c r="PL118" s="394"/>
      <c r="PM118" s="394"/>
      <c r="PN118" s="394"/>
      <c r="PO118" s="394"/>
      <c r="PP118" s="394"/>
      <c r="PQ118" s="394"/>
      <c r="PR118" s="394"/>
      <c r="PS118" s="394"/>
      <c r="PT118" s="394"/>
      <c r="PU118" s="394"/>
      <c r="PV118" s="394"/>
      <c r="PW118" s="394"/>
      <c r="PX118" s="394"/>
      <c r="PY118" s="394"/>
      <c r="PZ118" s="394"/>
      <c r="QA118" s="394"/>
      <c r="QB118" s="394"/>
      <c r="QC118" s="394"/>
      <c r="QD118" s="394"/>
      <c r="QE118" s="394"/>
      <c r="QF118" s="394"/>
      <c r="QG118" s="394"/>
      <c r="QH118" s="394"/>
      <c r="QI118" s="394"/>
      <c r="QJ118" s="394"/>
      <c r="QK118" s="394"/>
      <c r="QL118" s="394"/>
      <c r="QM118" s="394"/>
      <c r="QN118" s="394"/>
      <c r="QO118" s="394"/>
      <c r="QP118" s="394"/>
      <c r="QQ118" s="394"/>
      <c r="QR118" s="394"/>
      <c r="QS118" s="394"/>
      <c r="QT118" s="394"/>
      <c r="QU118" s="394"/>
      <c r="QV118" s="394"/>
      <c r="QW118" s="394"/>
      <c r="QX118" s="394"/>
      <c r="QY118" s="394"/>
      <c r="QZ118" s="394"/>
      <c r="RA118" s="394"/>
      <c r="RB118" s="394"/>
      <c r="RC118" s="394"/>
      <c r="RD118" s="394"/>
      <c r="RE118" s="394"/>
      <c r="RF118" s="394"/>
      <c r="RG118" s="394"/>
      <c r="RH118" s="394"/>
      <c r="RI118" s="394"/>
      <c r="RJ118" s="394"/>
      <c r="RK118" s="394"/>
      <c r="RL118" s="394"/>
      <c r="RM118" s="394"/>
      <c r="RN118" s="394"/>
      <c r="RO118" s="394"/>
      <c r="RP118" s="394"/>
      <c r="RQ118" s="394"/>
      <c r="RR118" s="394"/>
      <c r="RS118" s="394"/>
      <c r="RT118" s="394"/>
      <c r="RU118" s="394"/>
      <c r="RV118" s="394"/>
      <c r="RW118" s="394"/>
      <c r="RX118" s="394"/>
      <c r="RY118" s="394"/>
      <c r="RZ118" s="394"/>
      <c r="SA118" s="394"/>
      <c r="SB118" s="394"/>
      <c r="SC118" s="394"/>
      <c r="SD118" s="394"/>
      <c r="SE118" s="394"/>
      <c r="SF118" s="394"/>
      <c r="SG118" s="394"/>
      <c r="SH118" s="394"/>
      <c r="SI118" s="394"/>
      <c r="SJ118" s="394"/>
      <c r="SK118" s="394"/>
      <c r="SL118" s="394"/>
      <c r="SM118" s="394"/>
      <c r="SN118" s="394"/>
      <c r="SO118" s="394"/>
      <c r="SP118" s="394"/>
      <c r="SQ118" s="394"/>
      <c r="SR118" s="394"/>
      <c r="SS118" s="394"/>
      <c r="ST118" s="394"/>
      <c r="SU118" s="394"/>
      <c r="SV118" s="394"/>
      <c r="SW118" s="394"/>
      <c r="SX118" s="394"/>
      <c r="SY118" s="394"/>
      <c r="SZ118" s="394"/>
      <c r="TA118" s="394"/>
      <c r="TB118" s="394"/>
      <c r="TC118" s="394"/>
      <c r="TD118" s="394"/>
      <c r="TE118" s="394"/>
      <c r="TF118" s="394"/>
      <c r="TG118" s="394"/>
      <c r="TH118" s="394"/>
      <c r="TI118" s="394"/>
      <c r="TJ118" s="394"/>
      <c r="TK118" s="394"/>
      <c r="TL118" s="394"/>
      <c r="TM118" s="394"/>
      <c r="TN118" s="394"/>
      <c r="TO118" s="394"/>
      <c r="TP118" s="394"/>
      <c r="TQ118" s="394"/>
      <c r="TR118" s="394"/>
      <c r="TS118" s="394"/>
      <c r="TT118" s="394"/>
      <c r="TU118" s="394"/>
      <c r="TV118" s="394"/>
      <c r="TW118" s="394"/>
      <c r="TX118" s="394"/>
      <c r="TY118" s="394"/>
      <c r="TZ118" s="394"/>
      <c r="UA118" s="394"/>
      <c r="UB118" s="394"/>
      <c r="UC118" s="394"/>
      <c r="UD118" s="394"/>
      <c r="UE118" s="394"/>
      <c r="UF118" s="394"/>
      <c r="UG118" s="394"/>
      <c r="UH118" s="394"/>
      <c r="UI118" s="394"/>
      <c r="UJ118" s="394"/>
      <c r="UK118" s="394"/>
      <c r="UL118" s="394"/>
      <c r="UM118" s="394"/>
      <c r="UN118" s="394"/>
      <c r="UO118" s="394"/>
      <c r="UP118" s="394"/>
      <c r="UQ118" s="394"/>
      <c r="UR118" s="394"/>
      <c r="US118" s="394"/>
      <c r="UT118" s="394"/>
      <c r="UU118" s="394"/>
      <c r="UV118" s="394"/>
      <c r="UW118" s="394"/>
      <c r="UX118" s="394"/>
      <c r="UY118" s="394"/>
      <c r="UZ118" s="394"/>
      <c r="VA118" s="394"/>
      <c r="VB118" s="394"/>
      <c r="VC118" s="394"/>
      <c r="VD118" s="394"/>
      <c r="VE118" s="394"/>
      <c r="VF118" s="394"/>
      <c r="VG118" s="394"/>
      <c r="VH118" s="394"/>
      <c r="VI118" s="394"/>
      <c r="VJ118" s="394"/>
      <c r="VK118" s="394"/>
      <c r="VL118" s="394"/>
      <c r="VM118" s="394"/>
      <c r="VN118" s="394"/>
      <c r="VO118" s="394"/>
      <c r="VP118" s="394"/>
      <c r="VQ118" s="394"/>
      <c r="VR118" s="394"/>
      <c r="VS118" s="394"/>
      <c r="VT118" s="394"/>
      <c r="VU118" s="394"/>
      <c r="VV118" s="394"/>
      <c r="VW118" s="394"/>
      <c r="VX118" s="394"/>
      <c r="VY118" s="394"/>
      <c r="VZ118" s="394"/>
      <c r="WA118" s="394"/>
      <c r="WB118" s="394"/>
      <c r="WC118" s="394"/>
      <c r="WD118" s="394"/>
      <c r="WE118" s="394"/>
      <c r="WF118" s="394"/>
      <c r="WG118" s="394"/>
      <c r="WH118" s="394"/>
      <c r="WI118" s="394"/>
      <c r="WJ118" s="394"/>
      <c r="WK118" s="394"/>
      <c r="WL118" s="394"/>
      <c r="WM118" s="394"/>
      <c r="WN118" s="394"/>
      <c r="WO118" s="394"/>
      <c r="WP118" s="394"/>
      <c r="WQ118" s="394"/>
      <c r="WR118" s="394"/>
      <c r="WS118" s="394"/>
      <c r="WT118" s="394"/>
      <c r="WU118" s="394"/>
      <c r="WV118" s="394"/>
      <c r="WW118" s="394"/>
      <c r="WX118" s="394"/>
      <c r="WY118" s="394"/>
      <c r="WZ118" s="394"/>
      <c r="XA118" s="394"/>
      <c r="XB118" s="394"/>
      <c r="XC118" s="394"/>
      <c r="XD118" s="394"/>
      <c r="XE118" s="394"/>
      <c r="XF118" s="394"/>
      <c r="XG118" s="394"/>
      <c r="XH118" s="394"/>
      <c r="XI118" s="394"/>
      <c r="XJ118" s="394"/>
      <c r="XK118" s="394"/>
      <c r="XL118" s="394"/>
      <c r="XM118" s="394"/>
      <c r="XN118" s="394"/>
      <c r="XO118" s="394"/>
      <c r="XP118" s="394"/>
      <c r="XQ118" s="394"/>
      <c r="XR118" s="394"/>
      <c r="XS118" s="394"/>
      <c r="XT118" s="394"/>
      <c r="XU118" s="394"/>
      <c r="XV118" s="394"/>
      <c r="XW118" s="394"/>
      <c r="XX118" s="394"/>
      <c r="XY118" s="394"/>
      <c r="XZ118" s="394"/>
      <c r="YA118" s="394"/>
      <c r="YB118" s="394"/>
      <c r="YC118" s="394"/>
      <c r="YD118" s="394"/>
      <c r="YE118" s="394"/>
      <c r="YF118" s="394"/>
      <c r="YG118" s="394"/>
      <c r="YH118" s="394"/>
      <c r="YI118" s="394"/>
      <c r="YJ118" s="394"/>
      <c r="YK118" s="394"/>
      <c r="YL118" s="394"/>
      <c r="YM118" s="394"/>
      <c r="YN118" s="394"/>
      <c r="YO118" s="394"/>
      <c r="YP118" s="394"/>
      <c r="YQ118" s="394"/>
      <c r="YR118" s="394"/>
      <c r="YS118" s="394"/>
      <c r="YT118" s="394"/>
      <c r="YU118" s="394"/>
      <c r="YV118" s="394"/>
      <c r="YW118" s="394"/>
      <c r="YX118" s="394"/>
      <c r="YY118" s="394"/>
      <c r="YZ118" s="394"/>
      <c r="ZA118" s="394"/>
      <c r="ZB118" s="394"/>
      <c r="ZC118" s="394"/>
      <c r="ZD118" s="394"/>
      <c r="ZE118" s="394"/>
      <c r="ZF118" s="394"/>
      <c r="ZG118" s="394"/>
      <c r="ZH118" s="394"/>
      <c r="ZI118" s="394"/>
      <c r="ZJ118" s="394"/>
      <c r="ZK118" s="394"/>
      <c r="ZL118" s="394"/>
      <c r="ZM118" s="394"/>
      <c r="ZN118" s="394"/>
      <c r="ZO118" s="394"/>
      <c r="ZP118" s="394"/>
      <c r="ZQ118" s="394"/>
      <c r="ZR118" s="394"/>
      <c r="ZS118" s="394"/>
      <c r="ZT118" s="394"/>
      <c r="ZU118" s="394"/>
      <c r="ZV118" s="394"/>
      <c r="ZW118" s="394"/>
      <c r="ZX118" s="394"/>
      <c r="ZY118" s="394"/>
      <c r="ZZ118" s="394"/>
      <c r="AAA118" s="394"/>
      <c r="AAB118" s="394"/>
      <c r="AAC118" s="394"/>
      <c r="AAD118" s="394"/>
      <c r="AAE118" s="394"/>
      <c r="AAF118" s="394"/>
      <c r="AAG118" s="394"/>
      <c r="AAH118" s="394"/>
      <c r="AAI118" s="394"/>
      <c r="AAJ118" s="394"/>
      <c r="AAK118" s="394"/>
      <c r="AAL118" s="394"/>
      <c r="AAM118" s="394"/>
      <c r="AAN118" s="394"/>
      <c r="AAO118" s="394"/>
      <c r="AAP118" s="394"/>
      <c r="AAQ118" s="394"/>
      <c r="AAR118" s="394"/>
      <c r="AAS118" s="394"/>
      <c r="AAT118" s="394"/>
      <c r="AAU118" s="394"/>
      <c r="AAV118" s="394"/>
      <c r="AAW118" s="394"/>
      <c r="AAX118" s="394"/>
      <c r="AAY118" s="394"/>
      <c r="AAZ118" s="394"/>
      <c r="ABA118" s="394"/>
      <c r="ABB118" s="394"/>
      <c r="ABC118" s="394"/>
      <c r="ABD118" s="394"/>
      <c r="ABE118" s="394"/>
      <c r="ABF118" s="394"/>
      <c r="ABG118" s="394"/>
      <c r="ABH118" s="394"/>
      <c r="ABI118" s="394"/>
      <c r="ABJ118" s="394"/>
      <c r="ABK118" s="394"/>
      <c r="ABL118" s="394"/>
      <c r="ABM118" s="394"/>
      <c r="ABN118" s="394"/>
      <c r="ABO118" s="394"/>
      <c r="ABP118" s="394"/>
      <c r="ABQ118" s="394"/>
      <c r="ABR118" s="394"/>
      <c r="ABS118" s="394"/>
      <c r="ABT118" s="394"/>
      <c r="ABU118" s="394"/>
      <c r="ABV118" s="394"/>
      <c r="ABW118" s="394"/>
      <c r="ABX118" s="394"/>
      <c r="ABY118" s="394"/>
      <c r="ABZ118" s="394"/>
      <c r="ACA118" s="394"/>
      <c r="ACB118" s="394"/>
      <c r="ACC118" s="394"/>
      <c r="ACD118" s="394"/>
      <c r="ACE118" s="394"/>
      <c r="ACF118" s="394"/>
      <c r="ACG118" s="394"/>
      <c r="ACH118" s="394"/>
      <c r="ACI118" s="394"/>
      <c r="ACJ118" s="394"/>
      <c r="ACK118" s="394"/>
      <c r="ACL118" s="394"/>
      <c r="ACM118" s="394"/>
      <c r="ACN118" s="394"/>
      <c r="ACO118" s="394"/>
      <c r="ACP118" s="394"/>
      <c r="ACQ118" s="394"/>
      <c r="ACR118" s="394"/>
      <c r="ACS118" s="394"/>
      <c r="ACT118" s="394"/>
      <c r="ACU118" s="394"/>
      <c r="ACV118" s="394"/>
      <c r="ACW118" s="394"/>
      <c r="ACX118" s="394"/>
      <c r="ACY118" s="394"/>
      <c r="ACZ118" s="394"/>
      <c r="ADA118" s="394"/>
      <c r="ADB118" s="394"/>
      <c r="ADC118" s="394"/>
      <c r="ADD118" s="394"/>
      <c r="ADE118" s="394"/>
      <c r="ADF118" s="394"/>
      <c r="ADG118" s="394"/>
      <c r="ADH118" s="394"/>
      <c r="ADI118" s="394"/>
      <c r="ADJ118" s="394"/>
      <c r="ADK118" s="394"/>
      <c r="ADL118" s="394"/>
      <c r="ADM118" s="394"/>
      <c r="ADN118" s="394"/>
      <c r="ADO118" s="394"/>
      <c r="ADP118" s="394"/>
      <c r="ADQ118" s="394"/>
      <c r="ADR118" s="394"/>
      <c r="ADS118" s="394"/>
      <c r="ADT118" s="394"/>
      <c r="ADU118" s="394"/>
      <c r="ADV118" s="394"/>
      <c r="ADW118" s="394"/>
      <c r="ADX118" s="394"/>
      <c r="ADY118" s="394"/>
      <c r="ADZ118" s="394"/>
      <c r="AEA118" s="394"/>
      <c r="AEB118" s="394"/>
      <c r="AEC118" s="394"/>
      <c r="AED118" s="394"/>
      <c r="AEE118" s="394"/>
      <c r="AEF118" s="394"/>
      <c r="AEG118" s="394"/>
      <c r="AEH118" s="394"/>
      <c r="AEI118" s="394"/>
      <c r="AEJ118" s="394"/>
      <c r="AEK118" s="394"/>
      <c r="AEL118" s="394"/>
      <c r="AEM118" s="394"/>
      <c r="AEN118" s="394"/>
      <c r="AEO118" s="394"/>
      <c r="AEP118" s="394"/>
      <c r="AEQ118" s="394"/>
      <c r="AER118" s="394"/>
      <c r="AES118" s="394"/>
      <c r="AET118" s="394"/>
      <c r="AEU118" s="394"/>
      <c r="AEV118" s="394"/>
      <c r="AEW118" s="394"/>
      <c r="AEX118" s="394"/>
      <c r="AEY118" s="394"/>
      <c r="AEZ118" s="394"/>
      <c r="AFA118" s="394"/>
      <c r="AFB118" s="394"/>
      <c r="AFC118" s="394"/>
      <c r="AFD118" s="394"/>
      <c r="AFE118" s="394"/>
      <c r="AFF118" s="394"/>
      <c r="AFG118" s="394"/>
      <c r="AFH118" s="394"/>
      <c r="AFI118" s="394"/>
      <c r="AFJ118" s="394"/>
      <c r="AFK118" s="394"/>
      <c r="AFL118" s="394"/>
      <c r="AFM118" s="394"/>
      <c r="AFN118" s="394"/>
      <c r="AFO118" s="394"/>
      <c r="AFP118" s="394"/>
      <c r="AFQ118" s="394"/>
      <c r="AFR118" s="394"/>
      <c r="AFS118" s="394"/>
      <c r="AFT118" s="394"/>
      <c r="AFU118" s="394"/>
      <c r="AFV118" s="394"/>
      <c r="AFW118" s="394"/>
      <c r="AFX118" s="394"/>
      <c r="AFY118" s="394"/>
      <c r="AFZ118" s="394"/>
      <c r="AGA118" s="394"/>
      <c r="AGB118" s="394"/>
      <c r="AGC118" s="394"/>
      <c r="AGD118" s="394"/>
      <c r="AGE118" s="394"/>
      <c r="AGF118" s="394"/>
      <c r="AGG118" s="394"/>
      <c r="AGH118" s="394"/>
      <c r="AGI118" s="394"/>
      <c r="AGJ118" s="394"/>
      <c r="AGK118" s="394"/>
      <c r="AGL118" s="394"/>
      <c r="AGM118" s="394"/>
      <c r="AGN118" s="394"/>
      <c r="AGO118" s="394"/>
      <c r="AGP118" s="394"/>
      <c r="AGQ118" s="394"/>
      <c r="AGR118" s="394"/>
      <c r="AGS118" s="394"/>
      <c r="AGT118" s="394"/>
      <c r="AGU118" s="394"/>
      <c r="AGV118" s="394"/>
      <c r="AGW118" s="394"/>
      <c r="AGX118" s="394"/>
      <c r="AGY118" s="394"/>
      <c r="AGZ118" s="394"/>
      <c r="AHA118" s="394"/>
      <c r="AHB118" s="394"/>
      <c r="AHC118" s="394"/>
      <c r="AHD118" s="394"/>
      <c r="AHE118" s="394"/>
      <c r="AHF118" s="394"/>
      <c r="AHG118" s="394"/>
      <c r="AHH118" s="394"/>
      <c r="AHI118" s="394"/>
      <c r="AHJ118" s="394"/>
      <c r="AHK118" s="394"/>
      <c r="AHL118" s="394"/>
      <c r="AHM118" s="394"/>
      <c r="AHN118" s="394"/>
      <c r="AHO118" s="394"/>
      <c r="AHP118" s="394"/>
      <c r="AHQ118" s="394"/>
      <c r="AHR118" s="394"/>
      <c r="AHS118" s="394"/>
      <c r="AHT118" s="394"/>
      <c r="AHU118" s="394"/>
      <c r="AHV118" s="394"/>
      <c r="AHW118" s="394"/>
      <c r="AHX118" s="394"/>
      <c r="AHY118" s="394"/>
      <c r="AHZ118" s="394"/>
      <c r="AIA118" s="394"/>
      <c r="AIB118" s="394"/>
      <c r="AIC118" s="394"/>
      <c r="AID118" s="394"/>
      <c r="AIE118" s="394"/>
      <c r="AIF118" s="394"/>
      <c r="AIG118" s="394"/>
      <c r="AIH118" s="394"/>
      <c r="AII118" s="394"/>
      <c r="AIJ118" s="394"/>
      <c r="AIK118" s="394"/>
      <c r="AIL118" s="394"/>
      <c r="AIM118" s="394"/>
      <c r="AIN118" s="394"/>
      <c r="AIO118" s="394"/>
      <c r="AIP118" s="394"/>
      <c r="AIQ118" s="394"/>
      <c r="AIR118" s="394"/>
      <c r="AIS118" s="394"/>
      <c r="AIT118" s="394"/>
      <c r="AIU118" s="394"/>
      <c r="AIV118" s="394"/>
      <c r="AIW118" s="394"/>
      <c r="AIX118" s="394"/>
      <c r="AIY118" s="394"/>
      <c r="AIZ118" s="394"/>
      <c r="AJA118" s="394"/>
      <c r="AJB118" s="394"/>
      <c r="AJC118" s="394"/>
      <c r="AJD118" s="394"/>
      <c r="AJE118" s="394"/>
      <c r="AJF118" s="394"/>
      <c r="AJG118" s="394"/>
      <c r="AJH118" s="394"/>
      <c r="AJI118" s="394"/>
      <c r="AJJ118" s="394"/>
      <c r="AJK118" s="394"/>
      <c r="AJL118" s="394"/>
      <c r="AJM118" s="394"/>
      <c r="AJN118" s="394"/>
      <c r="AJO118" s="394"/>
      <c r="AJP118" s="394"/>
      <c r="AJQ118" s="394"/>
      <c r="AJR118" s="394"/>
      <c r="AJS118" s="394"/>
      <c r="AJT118" s="394"/>
      <c r="AJU118" s="394"/>
      <c r="AJV118" s="394"/>
      <c r="AJW118" s="394"/>
      <c r="AJX118" s="394"/>
      <c r="AJY118" s="394"/>
      <c r="AJZ118" s="394"/>
      <c r="AKA118" s="394"/>
      <c r="AKB118" s="394"/>
      <c r="AKC118" s="394"/>
      <c r="AKD118" s="394"/>
      <c r="AKE118" s="394"/>
      <c r="AKF118" s="394"/>
      <c r="AKG118" s="394"/>
      <c r="AKH118" s="394"/>
      <c r="AKI118" s="394"/>
      <c r="AKJ118" s="394"/>
      <c r="AKK118" s="394"/>
      <c r="AKL118" s="394"/>
      <c r="AKM118" s="394"/>
      <c r="AKN118" s="394"/>
      <c r="AKO118" s="394"/>
      <c r="AKP118" s="394"/>
      <c r="AKQ118" s="394"/>
      <c r="AKR118" s="394"/>
      <c r="AKS118" s="394"/>
      <c r="AKT118" s="394"/>
      <c r="AKU118" s="394"/>
      <c r="AKV118" s="394"/>
      <c r="AKW118" s="394"/>
      <c r="AKX118" s="394"/>
      <c r="AKY118" s="394"/>
      <c r="AKZ118" s="394"/>
      <c r="ALA118" s="394"/>
      <c r="ALB118" s="394"/>
      <c r="ALC118" s="394"/>
      <c r="ALD118" s="394"/>
      <c r="ALE118" s="394"/>
      <c r="ALF118" s="394"/>
      <c r="ALG118" s="394"/>
      <c r="ALH118" s="394"/>
      <c r="ALI118" s="394"/>
      <c r="ALJ118" s="394"/>
      <c r="ALK118" s="394"/>
      <c r="ALL118" s="394"/>
      <c r="ALM118" s="394"/>
      <c r="ALN118" s="394"/>
      <c r="ALO118" s="394"/>
      <c r="ALP118" s="394"/>
      <c r="ALQ118" s="394"/>
      <c r="ALR118" s="394"/>
      <c r="ALS118" s="394"/>
      <c r="ALT118" s="394"/>
      <c r="ALU118" s="394"/>
      <c r="ALV118" s="394"/>
      <c r="ALW118" s="394"/>
      <c r="ALX118" s="394"/>
      <c r="ALY118" s="394"/>
      <c r="ALZ118" s="394"/>
      <c r="AMA118" s="394"/>
      <c r="AMB118" s="394"/>
      <c r="AMC118" s="394"/>
      <c r="AMD118" s="394"/>
      <c r="AME118" s="394"/>
      <c r="AMF118" s="394"/>
      <c r="AMG118" s="394"/>
      <c r="AMH118" s="394"/>
      <c r="AMI118" s="394"/>
      <c r="AMJ118" s="394"/>
      <c r="AMK118" s="394"/>
      <c r="AML118" s="394"/>
      <c r="AMM118" s="394"/>
      <c r="AMN118" s="394"/>
      <c r="AMO118" s="394"/>
      <c r="AMP118" s="394"/>
      <c r="AMQ118" s="394"/>
      <c r="AMR118" s="394"/>
      <c r="AMS118" s="394"/>
      <c r="AMT118" s="394"/>
      <c r="AMU118" s="394"/>
      <c r="AMV118" s="394"/>
      <c r="AMW118" s="394"/>
      <c r="AMX118" s="394"/>
      <c r="AMY118" s="394"/>
      <c r="AMZ118" s="394"/>
      <c r="ANA118" s="394"/>
      <c r="ANB118" s="394"/>
      <c r="ANC118" s="394"/>
      <c r="AND118" s="394"/>
      <c r="ANE118" s="394"/>
      <c r="ANF118" s="394"/>
      <c r="ANG118" s="394"/>
      <c r="ANH118" s="394"/>
      <c r="ANI118" s="394"/>
      <c r="ANJ118" s="394"/>
      <c r="ANK118" s="394"/>
      <c r="ANL118" s="394"/>
      <c r="ANM118" s="394"/>
      <c r="ANN118" s="394"/>
      <c r="ANO118" s="394"/>
      <c r="ANP118" s="394"/>
      <c r="ANQ118" s="394"/>
      <c r="ANR118" s="394"/>
      <c r="ANS118" s="394"/>
      <c r="ANT118" s="394"/>
      <c r="ANU118" s="394"/>
      <c r="ANV118" s="394"/>
      <c r="ANW118" s="394"/>
      <c r="ANX118" s="394"/>
      <c r="ANY118" s="394"/>
      <c r="ANZ118" s="394"/>
      <c r="AOA118" s="394"/>
      <c r="AOB118" s="394"/>
      <c r="AOC118" s="394"/>
      <c r="AOD118" s="394"/>
      <c r="AOE118" s="394"/>
      <c r="AOF118" s="394"/>
      <c r="AOG118" s="394"/>
      <c r="AOH118" s="394"/>
      <c r="AOI118" s="394"/>
      <c r="AOJ118" s="394"/>
      <c r="AOK118" s="394"/>
      <c r="AOL118" s="394"/>
      <c r="AOM118" s="394"/>
      <c r="AON118" s="394"/>
      <c r="AOO118" s="394"/>
      <c r="AOP118" s="394"/>
      <c r="AOQ118" s="394"/>
      <c r="AOR118" s="394"/>
      <c r="AOS118" s="394"/>
      <c r="AOT118" s="394"/>
      <c r="AOU118" s="394"/>
      <c r="AOV118" s="394"/>
      <c r="AOW118" s="394"/>
      <c r="AOX118" s="394"/>
      <c r="AOY118" s="394"/>
      <c r="AOZ118" s="394"/>
      <c r="APA118" s="394"/>
      <c r="APB118" s="394"/>
      <c r="APC118" s="394"/>
      <c r="APD118" s="394"/>
      <c r="APE118" s="394"/>
      <c r="APF118" s="394"/>
      <c r="APG118" s="394"/>
      <c r="APH118" s="394"/>
      <c r="API118" s="394"/>
      <c r="APJ118" s="394"/>
      <c r="APK118" s="394"/>
      <c r="APL118" s="394"/>
      <c r="APM118" s="394"/>
      <c r="APN118" s="394"/>
      <c r="APO118" s="394"/>
      <c r="APP118" s="394"/>
      <c r="APQ118" s="394"/>
      <c r="APR118" s="394"/>
      <c r="APS118" s="394"/>
      <c r="APT118" s="394"/>
      <c r="APU118" s="394"/>
      <c r="APV118" s="394"/>
      <c r="APW118" s="394"/>
      <c r="APX118" s="394"/>
      <c r="APY118" s="394"/>
      <c r="APZ118" s="394"/>
      <c r="AQA118" s="394"/>
      <c r="AQB118" s="394"/>
      <c r="AQC118" s="394"/>
      <c r="AQD118" s="394"/>
      <c r="AQE118" s="394"/>
      <c r="AQF118" s="394"/>
      <c r="AQG118" s="394"/>
      <c r="AQH118" s="394"/>
      <c r="AQI118" s="394"/>
      <c r="AQJ118" s="394"/>
      <c r="AQK118" s="394"/>
      <c r="AQL118" s="394"/>
      <c r="AQM118" s="394"/>
      <c r="AQN118" s="394"/>
      <c r="AQO118" s="394"/>
      <c r="AQP118" s="394"/>
      <c r="AQQ118" s="394"/>
      <c r="AQR118" s="394"/>
      <c r="AQS118" s="394"/>
      <c r="AQT118" s="394"/>
      <c r="AQU118" s="394"/>
      <c r="AQV118" s="394"/>
      <c r="AQW118" s="394"/>
      <c r="AQX118" s="394"/>
      <c r="AQY118" s="394"/>
      <c r="AQZ118" s="394"/>
      <c r="ARA118" s="394"/>
      <c r="ARB118" s="394"/>
      <c r="ARC118" s="394"/>
      <c r="ARD118" s="394"/>
      <c r="ARE118" s="394"/>
      <c r="ARF118" s="394"/>
      <c r="ARG118" s="394"/>
      <c r="ARH118" s="394"/>
      <c r="ARI118" s="394"/>
      <c r="ARJ118" s="394"/>
      <c r="ARK118" s="394"/>
      <c r="ARL118" s="394"/>
      <c r="ARM118" s="394"/>
      <c r="ARN118" s="394"/>
      <c r="ARO118" s="394"/>
      <c r="ARP118" s="394"/>
      <c r="ARQ118" s="394"/>
      <c r="ARR118" s="394"/>
      <c r="ARS118" s="394"/>
      <c r="ART118" s="394"/>
      <c r="ARU118" s="394"/>
      <c r="ARV118" s="394"/>
      <c r="ARW118" s="394"/>
      <c r="ARX118" s="394"/>
      <c r="ARY118" s="394"/>
      <c r="ARZ118" s="394"/>
      <c r="ASA118" s="394"/>
      <c r="ASB118" s="394"/>
      <c r="ASC118" s="394"/>
      <c r="ASD118" s="394"/>
      <c r="ASE118" s="394"/>
      <c r="ASF118" s="394"/>
      <c r="ASG118" s="394"/>
      <c r="ASH118" s="394"/>
      <c r="ASI118" s="394"/>
      <c r="ASJ118" s="394"/>
      <c r="ASK118" s="394"/>
      <c r="ASL118" s="394"/>
      <c r="ASM118" s="394"/>
      <c r="ASN118" s="394"/>
      <c r="ASO118" s="394"/>
      <c r="ASP118" s="394"/>
      <c r="ASQ118" s="394"/>
      <c r="ASR118" s="394"/>
      <c r="ASS118" s="394"/>
      <c r="AST118" s="394"/>
      <c r="ASU118" s="394"/>
      <c r="ASV118" s="394"/>
      <c r="ASW118" s="394"/>
      <c r="ASX118" s="394"/>
      <c r="ASY118" s="394"/>
      <c r="ASZ118" s="394"/>
      <c r="ATA118" s="394"/>
      <c r="ATB118" s="394"/>
      <c r="ATC118" s="394"/>
      <c r="ATD118" s="394"/>
      <c r="ATE118" s="394"/>
      <c r="ATF118" s="394"/>
      <c r="ATG118" s="394"/>
      <c r="ATH118" s="394"/>
      <c r="ATI118" s="394"/>
      <c r="ATJ118" s="394"/>
      <c r="ATK118" s="394"/>
      <c r="ATL118" s="394"/>
      <c r="ATM118" s="394"/>
      <c r="ATN118" s="394"/>
      <c r="ATO118" s="394"/>
      <c r="ATP118" s="394"/>
      <c r="ATQ118" s="394"/>
      <c r="ATR118" s="394"/>
      <c r="ATS118" s="394"/>
      <c r="ATT118" s="394"/>
      <c r="ATU118" s="394"/>
      <c r="ATV118" s="394"/>
      <c r="ATW118" s="394"/>
      <c r="ATX118" s="394"/>
      <c r="ATY118" s="394"/>
      <c r="ATZ118" s="394"/>
      <c r="AUA118" s="394"/>
      <c r="AUB118" s="394"/>
      <c r="AUC118" s="394"/>
      <c r="AUD118" s="394"/>
      <c r="AUE118" s="394"/>
      <c r="AUF118" s="394"/>
      <c r="AUG118" s="394"/>
      <c r="AUH118" s="394"/>
      <c r="AUI118" s="394"/>
      <c r="AUJ118" s="394"/>
      <c r="AUK118" s="394"/>
      <c r="AUL118" s="394"/>
      <c r="AUM118" s="394"/>
      <c r="AUN118" s="394"/>
      <c r="AUO118" s="394"/>
      <c r="AUP118" s="394"/>
      <c r="AUQ118" s="394"/>
      <c r="AUR118" s="394"/>
      <c r="AUS118" s="394"/>
      <c r="AUT118" s="394"/>
      <c r="AUU118" s="394"/>
      <c r="AUV118" s="394"/>
      <c r="AUW118" s="394"/>
      <c r="AUX118" s="394"/>
      <c r="AUY118" s="394"/>
      <c r="AUZ118" s="394"/>
      <c r="AVA118" s="394"/>
      <c r="AVB118" s="394"/>
      <c r="AVC118" s="394"/>
      <c r="AVD118" s="394"/>
      <c r="AVE118" s="394"/>
      <c r="AVF118" s="394"/>
      <c r="AVG118" s="394"/>
      <c r="AVH118" s="394"/>
      <c r="AVI118" s="394"/>
      <c r="AVJ118" s="394"/>
      <c r="AVK118" s="394"/>
      <c r="AVL118" s="394"/>
      <c r="AVM118" s="394"/>
      <c r="AVN118" s="394"/>
      <c r="AVO118" s="394"/>
      <c r="AVP118" s="394"/>
      <c r="AVQ118" s="394"/>
      <c r="AVR118" s="394"/>
      <c r="AVS118" s="394"/>
      <c r="AVT118" s="394"/>
      <c r="AVU118" s="394"/>
      <c r="AVV118" s="394"/>
      <c r="AVW118" s="394"/>
      <c r="AVX118" s="394"/>
      <c r="AVY118" s="394"/>
      <c r="AVZ118" s="394"/>
      <c r="AWA118" s="394"/>
      <c r="AWB118" s="394"/>
      <c r="AWC118" s="394"/>
      <c r="AWD118" s="394"/>
      <c r="AWE118" s="394"/>
      <c r="AWF118" s="394"/>
      <c r="AWG118" s="394"/>
      <c r="AWH118" s="394"/>
      <c r="AWI118" s="394"/>
      <c r="AWJ118" s="394"/>
      <c r="AWK118" s="394"/>
      <c r="AWL118" s="394"/>
      <c r="AWM118" s="394"/>
      <c r="AWN118" s="394"/>
      <c r="AWO118" s="394"/>
      <c r="AWP118" s="394"/>
      <c r="AWQ118" s="394"/>
      <c r="AWR118" s="394"/>
      <c r="AWS118" s="394"/>
      <c r="AWT118" s="394"/>
      <c r="AWU118" s="394"/>
      <c r="AWV118" s="394"/>
      <c r="AWW118" s="394"/>
      <c r="AWX118" s="394"/>
      <c r="AWY118" s="394"/>
      <c r="AWZ118" s="394"/>
      <c r="AXA118" s="394"/>
      <c r="AXB118" s="394"/>
      <c r="AXC118" s="394"/>
      <c r="AXD118" s="394"/>
      <c r="AXE118" s="394"/>
      <c r="AXF118" s="394"/>
      <c r="AXG118" s="394"/>
      <c r="AXH118" s="394"/>
      <c r="AXI118" s="394"/>
      <c r="AXJ118" s="394"/>
      <c r="AXK118" s="394"/>
      <c r="AXL118" s="394"/>
      <c r="AXM118" s="394"/>
      <c r="AXN118" s="394"/>
      <c r="AXO118" s="394"/>
      <c r="AXP118" s="394"/>
      <c r="AXQ118" s="394"/>
      <c r="AXR118" s="394"/>
      <c r="AXS118" s="394"/>
      <c r="AXT118" s="394"/>
      <c r="AXU118" s="394"/>
      <c r="AXV118" s="394"/>
      <c r="AXW118" s="394"/>
      <c r="AXX118" s="394"/>
      <c r="AXY118" s="394"/>
      <c r="AXZ118" s="394"/>
      <c r="AYA118" s="394"/>
      <c r="AYB118" s="394"/>
      <c r="AYC118" s="394"/>
      <c r="AYD118" s="394"/>
      <c r="AYE118" s="394"/>
      <c r="AYF118" s="394"/>
      <c r="AYG118" s="394"/>
      <c r="AYH118" s="394"/>
      <c r="AYI118" s="394"/>
      <c r="AYJ118" s="394"/>
      <c r="AYK118" s="394"/>
      <c r="AYL118" s="394"/>
      <c r="AYM118" s="394"/>
      <c r="AYN118" s="394"/>
      <c r="AYO118" s="394"/>
      <c r="AYP118" s="394"/>
      <c r="AYQ118" s="394"/>
      <c r="AYR118" s="394"/>
      <c r="AYS118" s="394"/>
      <c r="AYT118" s="394"/>
      <c r="AYU118" s="394"/>
      <c r="AYV118" s="394"/>
      <c r="AYW118" s="394"/>
      <c r="AYX118" s="394"/>
      <c r="AYY118" s="394"/>
      <c r="AYZ118" s="394"/>
      <c r="AZA118" s="394"/>
      <c r="AZB118" s="394"/>
      <c r="AZC118" s="394"/>
      <c r="AZD118" s="394"/>
      <c r="AZE118" s="394"/>
      <c r="AZF118" s="394"/>
      <c r="AZG118" s="394"/>
      <c r="AZH118" s="394"/>
      <c r="AZI118" s="394"/>
      <c r="AZJ118" s="394"/>
      <c r="AZK118" s="394"/>
      <c r="AZL118" s="394"/>
      <c r="AZM118" s="394"/>
      <c r="AZN118" s="394"/>
      <c r="AZO118" s="394"/>
      <c r="AZP118" s="394"/>
      <c r="AZQ118" s="394"/>
      <c r="AZR118" s="394"/>
      <c r="AZS118" s="394"/>
      <c r="AZT118" s="394"/>
      <c r="AZU118" s="394"/>
      <c r="AZV118" s="394"/>
      <c r="AZW118" s="394"/>
      <c r="AZX118" s="394"/>
      <c r="AZY118" s="394"/>
      <c r="AZZ118" s="394"/>
      <c r="BAA118" s="394"/>
      <c r="BAB118" s="394"/>
      <c r="BAC118" s="394"/>
      <c r="BAD118" s="394"/>
      <c r="BAE118" s="394"/>
      <c r="BAF118" s="394"/>
      <c r="BAG118" s="394"/>
      <c r="BAH118" s="394"/>
      <c r="BAI118" s="394"/>
      <c r="BAJ118" s="394"/>
      <c r="BAK118" s="394"/>
      <c r="BAL118" s="394"/>
      <c r="BAM118" s="394"/>
      <c r="BAN118" s="394"/>
      <c r="BAO118" s="394"/>
      <c r="BAP118" s="394"/>
      <c r="BAQ118" s="394"/>
      <c r="BAR118" s="394"/>
      <c r="BAS118" s="394"/>
      <c r="BAT118" s="394"/>
      <c r="BAU118" s="394"/>
      <c r="BAV118" s="394"/>
      <c r="BAW118" s="394"/>
      <c r="BAX118" s="394"/>
      <c r="BAY118" s="394"/>
      <c r="BAZ118" s="394"/>
      <c r="BBA118" s="394"/>
      <c r="BBB118" s="394"/>
      <c r="BBC118" s="394"/>
      <c r="BBD118" s="394"/>
      <c r="BBE118" s="394"/>
      <c r="BBF118" s="394"/>
      <c r="BBG118" s="394"/>
      <c r="BBH118" s="394"/>
      <c r="BBI118" s="394"/>
      <c r="BBJ118" s="394"/>
      <c r="BBK118" s="394"/>
      <c r="BBL118" s="394"/>
      <c r="BBM118" s="394"/>
      <c r="BBN118" s="394"/>
      <c r="BBO118" s="394"/>
      <c r="BBP118" s="394"/>
      <c r="BBQ118" s="394"/>
      <c r="BBR118" s="394"/>
      <c r="BBS118" s="394"/>
      <c r="BBT118" s="394"/>
      <c r="BBU118" s="394"/>
      <c r="BBV118" s="394"/>
      <c r="BBW118" s="394"/>
      <c r="BBX118" s="394"/>
      <c r="BBY118" s="394"/>
      <c r="BBZ118" s="394"/>
      <c r="BCA118" s="394"/>
      <c r="BCB118" s="394"/>
      <c r="BCC118" s="394"/>
      <c r="BCD118" s="394"/>
      <c r="BCE118" s="394"/>
      <c r="BCF118" s="394"/>
      <c r="BCG118" s="394"/>
      <c r="BCH118" s="394"/>
      <c r="BCI118" s="394"/>
      <c r="BCJ118" s="394"/>
      <c r="BCK118" s="394"/>
      <c r="BCL118" s="394"/>
      <c r="BCM118" s="394"/>
      <c r="BCN118" s="394"/>
      <c r="BCO118" s="394"/>
      <c r="BCP118" s="394"/>
      <c r="BCQ118" s="394"/>
      <c r="BCR118" s="394"/>
      <c r="BCS118" s="394"/>
      <c r="BCT118" s="394"/>
      <c r="BCU118" s="394"/>
      <c r="BCV118" s="394"/>
      <c r="BCW118" s="394"/>
      <c r="BCX118" s="394"/>
      <c r="BCY118" s="394"/>
      <c r="BCZ118" s="394"/>
      <c r="BDA118" s="394"/>
      <c r="BDB118" s="394"/>
      <c r="BDC118" s="394"/>
      <c r="BDD118" s="394"/>
      <c r="BDE118" s="394"/>
      <c r="BDF118" s="394"/>
      <c r="BDG118" s="394"/>
      <c r="BDH118" s="394"/>
      <c r="BDI118" s="394"/>
      <c r="BDJ118" s="394"/>
      <c r="BDK118" s="394"/>
      <c r="BDL118" s="394"/>
      <c r="BDM118" s="394"/>
      <c r="BDN118" s="394"/>
      <c r="BDO118" s="394"/>
      <c r="BDP118" s="394"/>
      <c r="BDQ118" s="394"/>
      <c r="BDR118" s="394"/>
      <c r="BDS118" s="394"/>
      <c r="BDT118" s="394"/>
      <c r="BDU118" s="394"/>
      <c r="BDV118" s="394"/>
      <c r="BDW118" s="394"/>
      <c r="BDX118" s="394"/>
      <c r="BDY118" s="394"/>
      <c r="BDZ118" s="394"/>
      <c r="BEA118" s="394"/>
      <c r="BEB118" s="394"/>
      <c r="BEC118" s="394"/>
      <c r="BED118" s="394"/>
      <c r="BEE118" s="394"/>
      <c r="BEF118" s="394"/>
      <c r="BEG118" s="394"/>
      <c r="BEH118" s="394"/>
      <c r="BEI118" s="394"/>
      <c r="BEJ118" s="394"/>
      <c r="BEK118" s="394"/>
      <c r="BEL118" s="394"/>
      <c r="BEM118" s="394"/>
      <c r="BEN118" s="394"/>
      <c r="BEO118" s="394"/>
      <c r="BEP118" s="394"/>
      <c r="BEQ118" s="394"/>
      <c r="BER118" s="394"/>
      <c r="BES118" s="394"/>
      <c r="BET118" s="394"/>
      <c r="BEU118" s="394"/>
      <c r="BEV118" s="394"/>
      <c r="BEW118" s="394"/>
      <c r="BEX118" s="394"/>
      <c r="BEY118" s="394"/>
      <c r="BEZ118" s="394"/>
      <c r="BFA118" s="394"/>
      <c r="BFB118" s="394"/>
      <c r="BFC118" s="394"/>
      <c r="BFD118" s="394"/>
      <c r="BFE118" s="394"/>
      <c r="BFF118" s="394"/>
      <c r="BFG118" s="394"/>
      <c r="BFH118" s="394"/>
      <c r="BFI118" s="394"/>
      <c r="BFJ118" s="394"/>
      <c r="BFK118" s="394"/>
      <c r="BFL118" s="394"/>
      <c r="BFM118" s="394"/>
      <c r="BFN118" s="394"/>
      <c r="BFO118" s="394"/>
      <c r="BFP118" s="394"/>
      <c r="BFQ118" s="394"/>
      <c r="BFR118" s="394"/>
      <c r="BFS118" s="394"/>
      <c r="BFT118" s="394"/>
      <c r="BFU118" s="394"/>
      <c r="BFV118" s="394"/>
      <c r="BFW118" s="394"/>
      <c r="BFX118" s="394"/>
      <c r="BFY118" s="394"/>
      <c r="BFZ118" s="394"/>
      <c r="BGA118" s="394"/>
      <c r="BGB118" s="394"/>
      <c r="BGC118" s="394"/>
      <c r="BGD118" s="394"/>
      <c r="BGE118" s="394"/>
      <c r="BGF118" s="394"/>
      <c r="BGG118" s="394"/>
      <c r="BGH118" s="394"/>
      <c r="BGI118" s="394"/>
      <c r="BGJ118" s="394"/>
      <c r="BGK118" s="394"/>
      <c r="BGL118" s="394"/>
      <c r="BGM118" s="394"/>
      <c r="BGN118" s="394"/>
      <c r="BGO118" s="394"/>
      <c r="BGP118" s="394"/>
      <c r="BGQ118" s="394"/>
      <c r="BGR118" s="394"/>
      <c r="BGS118" s="394"/>
      <c r="BGT118" s="394"/>
      <c r="BGU118" s="394"/>
      <c r="BGV118" s="394"/>
      <c r="BGW118" s="394"/>
      <c r="BGX118" s="394"/>
      <c r="BGY118" s="394"/>
      <c r="BGZ118" s="394"/>
      <c r="BHA118" s="394"/>
      <c r="BHB118" s="394"/>
      <c r="BHC118" s="394"/>
      <c r="BHD118" s="394"/>
      <c r="BHE118" s="394"/>
      <c r="BHF118" s="394"/>
      <c r="BHG118" s="394"/>
      <c r="BHH118" s="394"/>
      <c r="BHI118" s="394"/>
      <c r="BHJ118" s="394"/>
      <c r="BHK118" s="394"/>
      <c r="BHL118" s="394"/>
      <c r="BHM118" s="394"/>
      <c r="BHN118" s="394"/>
      <c r="BHO118" s="394"/>
      <c r="BHP118" s="394"/>
      <c r="BHQ118" s="394"/>
      <c r="BHR118" s="394"/>
      <c r="BHS118" s="394"/>
      <c r="BHT118" s="394"/>
      <c r="BHU118" s="394"/>
      <c r="BHV118" s="394"/>
      <c r="BHW118" s="394"/>
      <c r="BHX118" s="394"/>
      <c r="BHY118" s="394"/>
      <c r="BHZ118" s="394"/>
      <c r="BIA118" s="394"/>
      <c r="BIB118" s="394"/>
      <c r="BIC118" s="394"/>
      <c r="BID118" s="394"/>
      <c r="BIE118" s="394"/>
      <c r="BIF118" s="394"/>
      <c r="BIG118" s="394"/>
      <c r="BIH118" s="394"/>
      <c r="BII118" s="394"/>
      <c r="BIJ118" s="394"/>
      <c r="BIK118" s="394"/>
      <c r="BIL118" s="394"/>
      <c r="BIM118" s="394"/>
      <c r="BIN118" s="394"/>
      <c r="BIO118" s="394"/>
      <c r="BIP118" s="394"/>
      <c r="BIQ118" s="394"/>
      <c r="BIR118" s="394"/>
      <c r="BIS118" s="394"/>
      <c r="BIT118" s="394"/>
      <c r="BIU118" s="394"/>
      <c r="BIV118" s="394"/>
      <c r="BIW118" s="394"/>
      <c r="BIX118" s="394"/>
      <c r="BIY118" s="394"/>
      <c r="BIZ118" s="394"/>
      <c r="BJA118" s="394"/>
      <c r="BJB118" s="394"/>
      <c r="BJC118" s="394"/>
      <c r="BJD118" s="394"/>
      <c r="BJE118" s="394"/>
      <c r="BJF118" s="394"/>
      <c r="BJG118" s="394"/>
      <c r="BJH118" s="394"/>
      <c r="BJI118" s="394"/>
      <c r="BJJ118" s="394"/>
      <c r="BJK118" s="394"/>
      <c r="BJL118" s="394"/>
      <c r="BJM118" s="394"/>
      <c r="BJN118" s="394"/>
      <c r="BJO118" s="394"/>
      <c r="BJP118" s="394"/>
      <c r="BJQ118" s="394"/>
      <c r="BJR118" s="394"/>
      <c r="BJS118" s="394"/>
      <c r="BJT118" s="394"/>
      <c r="BJU118" s="394"/>
      <c r="BJV118" s="394"/>
      <c r="BJW118" s="394"/>
      <c r="BJX118" s="394"/>
      <c r="BJY118" s="394"/>
      <c r="BJZ118" s="394"/>
      <c r="BKA118" s="394"/>
      <c r="BKB118" s="394"/>
      <c r="BKC118" s="394"/>
      <c r="BKD118" s="394"/>
      <c r="BKE118" s="394"/>
      <c r="BKF118" s="394"/>
      <c r="BKG118" s="394"/>
      <c r="BKH118" s="394"/>
      <c r="BKI118" s="394"/>
      <c r="BKJ118" s="394"/>
      <c r="BKK118" s="394"/>
      <c r="BKL118" s="394"/>
      <c r="BKM118" s="394"/>
      <c r="BKN118" s="394"/>
      <c r="BKO118" s="394"/>
      <c r="BKP118" s="394"/>
      <c r="BKQ118" s="394"/>
      <c r="BKR118" s="394"/>
      <c r="BKS118" s="394"/>
      <c r="BKT118" s="394"/>
      <c r="BKU118" s="394"/>
      <c r="BKV118" s="394"/>
      <c r="BKW118" s="394"/>
      <c r="BKX118" s="394"/>
      <c r="BKY118" s="394"/>
      <c r="BKZ118" s="394"/>
      <c r="BLA118" s="394"/>
      <c r="BLB118" s="394"/>
      <c r="BLC118" s="394"/>
      <c r="BLD118" s="394"/>
      <c r="BLE118" s="394"/>
      <c r="BLF118" s="394"/>
      <c r="BLG118" s="394"/>
      <c r="BLH118" s="394"/>
      <c r="BLI118" s="394"/>
      <c r="BLJ118" s="394"/>
      <c r="BLK118" s="394"/>
      <c r="BLL118" s="394"/>
      <c r="BLM118" s="394"/>
      <c r="BLN118" s="394"/>
      <c r="BLO118" s="394"/>
      <c r="BLP118" s="394"/>
      <c r="BLQ118" s="394"/>
      <c r="BLR118" s="394"/>
      <c r="BLS118" s="394"/>
      <c r="BLT118" s="394"/>
      <c r="BLU118" s="394"/>
      <c r="BLV118" s="394"/>
      <c r="BLW118" s="394"/>
      <c r="BLX118" s="394"/>
      <c r="BLY118" s="394"/>
      <c r="BLZ118" s="394"/>
      <c r="BMA118" s="394"/>
      <c r="BMB118" s="394"/>
      <c r="BMC118" s="394"/>
      <c r="BMD118" s="394"/>
      <c r="BME118" s="394"/>
      <c r="BMF118" s="394"/>
      <c r="BMG118" s="394"/>
      <c r="BMH118" s="394"/>
      <c r="BMI118" s="394"/>
      <c r="BMJ118" s="394"/>
      <c r="BMK118" s="394"/>
      <c r="BML118" s="394"/>
      <c r="BMM118" s="394"/>
      <c r="BMN118" s="394"/>
      <c r="BMO118" s="394"/>
      <c r="BMP118" s="394"/>
      <c r="BMQ118" s="394"/>
      <c r="BMR118" s="394"/>
      <c r="BMS118" s="394"/>
      <c r="BMT118" s="394"/>
      <c r="BMU118" s="394"/>
      <c r="BMV118" s="394"/>
      <c r="BMW118" s="394"/>
      <c r="BMX118" s="394"/>
      <c r="BMY118" s="394"/>
      <c r="BMZ118" s="394"/>
      <c r="BNA118" s="394"/>
      <c r="BNB118" s="394"/>
      <c r="BNC118" s="394"/>
      <c r="BND118" s="394"/>
      <c r="BNE118" s="394"/>
      <c r="BNF118" s="394"/>
      <c r="BNG118" s="394"/>
      <c r="BNH118" s="394"/>
      <c r="BNI118" s="394"/>
      <c r="BNJ118" s="394"/>
      <c r="BNK118" s="394"/>
      <c r="BNL118" s="394"/>
      <c r="BNM118" s="394"/>
      <c r="BNN118" s="394"/>
      <c r="BNO118" s="394"/>
      <c r="BNP118" s="394"/>
      <c r="BNQ118" s="394"/>
      <c r="BNR118" s="394"/>
      <c r="BNS118" s="394"/>
      <c r="BNT118" s="394"/>
      <c r="BNU118" s="394"/>
      <c r="BNV118" s="394"/>
      <c r="BNW118" s="394"/>
      <c r="BNX118" s="394"/>
      <c r="BNY118" s="394"/>
      <c r="BNZ118" s="394"/>
      <c r="BOA118" s="394"/>
      <c r="BOB118" s="394"/>
      <c r="BOC118" s="394"/>
      <c r="BOD118" s="394"/>
      <c r="BOE118" s="394"/>
      <c r="BOF118" s="394"/>
      <c r="BOG118" s="394"/>
      <c r="BOH118" s="394"/>
      <c r="BOI118" s="394"/>
      <c r="BOJ118" s="394"/>
      <c r="BOK118" s="394"/>
      <c r="BOL118" s="394"/>
      <c r="BOM118" s="394"/>
      <c r="BON118" s="394"/>
      <c r="BOO118" s="394"/>
      <c r="BOP118" s="394"/>
      <c r="BOQ118" s="394"/>
      <c r="BOR118" s="394"/>
      <c r="BOS118" s="394"/>
      <c r="BOT118" s="394"/>
      <c r="BOU118" s="394"/>
      <c r="BOV118" s="394"/>
      <c r="BOW118" s="394"/>
      <c r="BOX118" s="394"/>
      <c r="BOY118" s="394"/>
      <c r="BOZ118" s="394"/>
      <c r="BPA118" s="394"/>
      <c r="BPB118" s="394"/>
      <c r="BPC118" s="394"/>
      <c r="BPD118" s="394"/>
      <c r="BPE118" s="394"/>
      <c r="BPF118" s="394"/>
      <c r="BPG118" s="394"/>
      <c r="BPH118" s="394"/>
      <c r="BPI118" s="394"/>
      <c r="BPJ118" s="394"/>
      <c r="BPK118" s="394"/>
      <c r="BPL118" s="394"/>
      <c r="BPM118" s="394"/>
      <c r="BPN118" s="394"/>
      <c r="BPO118" s="394"/>
      <c r="BPP118" s="394"/>
      <c r="BPQ118" s="394"/>
      <c r="BPR118" s="394"/>
      <c r="BPS118" s="394"/>
      <c r="BPT118" s="394"/>
      <c r="BPU118" s="394"/>
      <c r="BPV118" s="394"/>
      <c r="BPW118" s="394"/>
      <c r="BPX118" s="394"/>
      <c r="BPY118" s="394"/>
      <c r="BPZ118" s="394"/>
      <c r="BQA118" s="394"/>
      <c r="BQB118" s="394"/>
      <c r="BQC118" s="394"/>
      <c r="BQD118" s="394"/>
      <c r="BQE118" s="394"/>
      <c r="BQF118" s="394"/>
      <c r="BQG118" s="394"/>
      <c r="BQH118" s="394"/>
      <c r="BQI118" s="394"/>
      <c r="BQJ118" s="394"/>
      <c r="BQK118" s="394"/>
      <c r="BQL118" s="394"/>
      <c r="BQM118" s="394"/>
      <c r="BQN118" s="394"/>
      <c r="BQO118" s="394"/>
      <c r="BQP118" s="394"/>
      <c r="BQQ118" s="394"/>
      <c r="BQR118" s="394"/>
      <c r="BQS118" s="394"/>
      <c r="BQT118" s="394"/>
      <c r="BQU118" s="394"/>
      <c r="BQV118" s="394"/>
      <c r="BQW118" s="394"/>
      <c r="BQX118" s="394"/>
      <c r="BQY118" s="394"/>
      <c r="BQZ118" s="394"/>
      <c r="BRA118" s="394"/>
      <c r="BRB118" s="394"/>
      <c r="BRC118" s="394"/>
      <c r="BRD118" s="394"/>
      <c r="BRE118" s="394"/>
      <c r="BRF118" s="394"/>
      <c r="BRG118" s="394"/>
      <c r="BRH118" s="394"/>
      <c r="BRI118" s="394"/>
      <c r="BRJ118" s="394"/>
      <c r="BRK118" s="394"/>
      <c r="BRL118" s="394"/>
      <c r="BRM118" s="394"/>
      <c r="BRN118" s="394"/>
      <c r="BRO118" s="394"/>
      <c r="BRP118" s="394"/>
      <c r="BRQ118" s="394"/>
      <c r="BRR118" s="394"/>
      <c r="BRS118" s="394"/>
      <c r="BRT118" s="394"/>
      <c r="BRU118" s="394"/>
      <c r="BRV118" s="394"/>
      <c r="BRW118" s="394"/>
      <c r="BRX118" s="394"/>
      <c r="BRY118" s="394"/>
      <c r="BRZ118" s="394"/>
      <c r="BSA118" s="394"/>
      <c r="BSB118" s="394"/>
      <c r="BSC118" s="394"/>
      <c r="BSD118" s="394"/>
      <c r="BSE118" s="394"/>
      <c r="BSF118" s="394"/>
      <c r="BSG118" s="394"/>
      <c r="BSH118" s="394"/>
      <c r="BSI118" s="394"/>
      <c r="BSJ118" s="394"/>
      <c r="BSK118" s="394"/>
      <c r="BSL118" s="394"/>
      <c r="BSM118" s="394"/>
      <c r="BSN118" s="394"/>
      <c r="BSO118" s="394"/>
      <c r="BSP118" s="394"/>
      <c r="BSQ118" s="394"/>
      <c r="BSR118" s="394"/>
      <c r="BSS118" s="394"/>
      <c r="BST118" s="394"/>
      <c r="BSU118" s="394"/>
      <c r="BSV118" s="394"/>
      <c r="BSW118" s="394"/>
      <c r="BSX118" s="394"/>
      <c r="BSY118" s="394"/>
      <c r="BSZ118" s="394"/>
      <c r="BTA118" s="394"/>
      <c r="BTB118" s="394"/>
      <c r="BTC118" s="394"/>
      <c r="BTD118" s="394"/>
      <c r="BTE118" s="394"/>
      <c r="BTF118" s="394"/>
      <c r="BTG118" s="394"/>
      <c r="BTH118" s="394"/>
      <c r="BTI118" s="394"/>
    </row>
    <row r="119" spans="1:1881" ht="77.25" customHeight="1" x14ac:dyDescent="0.25">
      <c r="A119" s="188">
        <v>88</v>
      </c>
      <c r="B119" s="64" t="s">
        <v>68</v>
      </c>
      <c r="C119" s="159" t="s">
        <v>182</v>
      </c>
      <c r="D119" s="165" t="s">
        <v>632</v>
      </c>
      <c r="E119" s="32" t="e">
        <f>HLOOKUP($D$2,'2019 Data(H)'!$C$1:$CP$300,50,FALSE)</f>
        <v>#N/A</v>
      </c>
      <c r="F119" s="624"/>
      <c r="G119" s="316"/>
      <c r="H119" s="13"/>
      <c r="I119" s="31"/>
    </row>
    <row r="120" spans="1:1881" ht="77.25" customHeight="1" x14ac:dyDescent="0.25">
      <c r="A120" s="188">
        <v>84</v>
      </c>
      <c r="B120" s="64" t="s">
        <v>68</v>
      </c>
      <c r="C120" s="159" t="s">
        <v>182</v>
      </c>
      <c r="D120" s="175" t="s">
        <v>185</v>
      </c>
      <c r="E120" s="32" t="e">
        <f>HLOOKUP($D$2,'2019 Data(H)'!$C$1:$CP$300,48,FALSE)</f>
        <v>#N/A</v>
      </c>
      <c r="F120" s="624"/>
      <c r="G120" s="395">
        <f>IF(120&gt;=119,,"Error: Charges for services exceed total operating revenues. Account numbers 84&gt;=88")</f>
        <v>0</v>
      </c>
      <c r="H120" s="13"/>
      <c r="I120" s="31"/>
    </row>
    <row r="121" spans="1:1881" ht="77.25" customHeight="1" x14ac:dyDescent="0.25">
      <c r="A121" s="188">
        <v>49</v>
      </c>
      <c r="B121" s="64" t="s">
        <v>64</v>
      </c>
      <c r="C121" s="159" t="s">
        <v>182</v>
      </c>
      <c r="D121" s="175" t="s">
        <v>186</v>
      </c>
      <c r="E121" s="32" t="e">
        <f>HLOOKUP($D$2,'2019 Data(H)'!$C$1:$CP$300,36,FALSE)</f>
        <v>#N/A</v>
      </c>
      <c r="F121" s="624"/>
      <c r="G121" s="395">
        <f>IF(F121&lt;0,"Error: Enter as positive.",)</f>
        <v>0</v>
      </c>
      <c r="H121" s="13"/>
      <c r="I121" s="31"/>
    </row>
    <row r="122" spans="1:1881" ht="77.25" customHeight="1" x14ac:dyDescent="0.25">
      <c r="A122" s="188">
        <v>85</v>
      </c>
      <c r="B122" s="64" t="s">
        <v>75</v>
      </c>
      <c r="C122" s="159" t="s">
        <v>182</v>
      </c>
      <c r="D122" s="175" t="s">
        <v>187</v>
      </c>
      <c r="E122" s="32" t="e">
        <f>HLOOKUP($D$2,'2019 Data(H)'!$C$1:$CP$300,49,FALSE)</f>
        <v>#N/A</v>
      </c>
      <c r="F122" s="624"/>
      <c r="G122" s="395">
        <f>IF(F122&lt;0,"Error: Enter as positive.",)</f>
        <v>0</v>
      </c>
      <c r="H122" s="13"/>
      <c r="I122" s="31"/>
    </row>
    <row r="123" spans="1:1881" ht="77.25" customHeight="1" x14ac:dyDescent="0.25">
      <c r="A123" s="188">
        <v>89</v>
      </c>
      <c r="B123" s="64" t="s">
        <v>63</v>
      </c>
      <c r="C123" s="159" t="s">
        <v>182</v>
      </c>
      <c r="D123" s="175" t="s">
        <v>188</v>
      </c>
      <c r="E123" s="32" t="e">
        <f>HLOOKUP($D$2,'2019 Data(H)'!$C$1:$CP$300,51,FALSE)</f>
        <v>#N/A</v>
      </c>
      <c r="F123" s="624"/>
      <c r="G123" s="395">
        <f>IF(F123&lt;0,"Error: Enter as positive.",)</f>
        <v>0</v>
      </c>
      <c r="H123" s="13"/>
      <c r="I123" s="31"/>
    </row>
    <row r="124" spans="1:1881" ht="68.25" customHeight="1" x14ac:dyDescent="0.25">
      <c r="A124" s="188">
        <v>350</v>
      </c>
      <c r="B124" s="64" t="s">
        <v>63</v>
      </c>
      <c r="C124" s="159" t="s">
        <v>182</v>
      </c>
      <c r="D124" s="165" t="s">
        <v>189</v>
      </c>
      <c r="E124" s="32" t="e">
        <f>HLOOKUP($D$2,'2019 Data(H)'!$C$1:$CP$300,114,FALSE)</f>
        <v>#N/A</v>
      </c>
      <c r="F124" s="624"/>
      <c r="G124" s="584"/>
      <c r="H124" s="13"/>
      <c r="I124" s="31"/>
    </row>
    <row r="125" spans="1:1881" ht="72" customHeight="1" x14ac:dyDescent="0.25">
      <c r="A125" s="188">
        <v>351</v>
      </c>
      <c r="B125" s="64" t="s">
        <v>63</v>
      </c>
      <c r="C125" s="159" t="s">
        <v>182</v>
      </c>
      <c r="D125" s="165" t="s">
        <v>615</v>
      </c>
      <c r="E125" s="32" t="e">
        <f>HLOOKUP($D$2,'2019 Data(H)'!$C$1:$CP$300,115,FALSE)</f>
        <v>#N/A</v>
      </c>
      <c r="F125" s="624"/>
      <c r="G125" s="395">
        <f>IF(F125&lt;0,"Error: Enter as positive.",)</f>
        <v>0</v>
      </c>
      <c r="H125" s="13"/>
      <c r="I125" s="31"/>
    </row>
    <row r="126" spans="1:1881" ht="72" customHeight="1" x14ac:dyDescent="0.25">
      <c r="A126" s="188">
        <v>191</v>
      </c>
      <c r="B126" s="64" t="s">
        <v>64</v>
      </c>
      <c r="C126" s="159" t="s">
        <v>182</v>
      </c>
      <c r="D126" s="165" t="s">
        <v>190</v>
      </c>
      <c r="E126" s="32" t="e">
        <f>HLOOKUP($D$2,'2019 Data(H)'!$C$1:$CP$300,72,FALSE)</f>
        <v>#N/A</v>
      </c>
      <c r="F126" s="624"/>
      <c r="G126" s="395">
        <f>IF(F126&lt;0,"Error: Enter as positive.",)</f>
        <v>0</v>
      </c>
      <c r="H126" s="13"/>
      <c r="I126" s="31"/>
    </row>
    <row r="127" spans="1:1881" ht="72" customHeight="1" x14ac:dyDescent="0.25">
      <c r="A127" s="188">
        <v>352</v>
      </c>
      <c r="B127" s="64" t="s">
        <v>75</v>
      </c>
      <c r="C127" s="159" t="s">
        <v>182</v>
      </c>
      <c r="D127" s="175" t="s">
        <v>152</v>
      </c>
      <c r="E127" s="32" t="e">
        <f>HLOOKUP($D$2,'2019 Data(H)'!$C$1:$CP$300,116,FALSE)</f>
        <v>#N/A</v>
      </c>
      <c r="F127" s="624"/>
      <c r="G127" s="395">
        <f>IF(F127&lt;0,"Error: Enter as positive.",)</f>
        <v>0</v>
      </c>
      <c r="H127" s="13"/>
      <c r="I127" s="31"/>
    </row>
    <row r="128" spans="1:1881" ht="72" customHeight="1" x14ac:dyDescent="0.25">
      <c r="A128" s="188">
        <v>353</v>
      </c>
      <c r="B128" s="64" t="s">
        <v>75</v>
      </c>
      <c r="C128" s="159" t="s">
        <v>182</v>
      </c>
      <c r="D128" s="175" t="s">
        <v>153</v>
      </c>
      <c r="E128" s="32" t="e">
        <f>HLOOKUP($D$2,'2019 Data(H)'!$C$1:$CP$300,117,FALSE)</f>
        <v>#N/A</v>
      </c>
      <c r="F128" s="624"/>
      <c r="G128" s="581">
        <f>IF(F128&lt;0,"Error: Enter as positive.",)</f>
        <v>0</v>
      </c>
      <c r="H128" s="13"/>
      <c r="I128" s="31"/>
    </row>
    <row r="129" spans="1:9" ht="69" customHeight="1" x14ac:dyDescent="0.25">
      <c r="A129" s="188">
        <v>50</v>
      </c>
      <c r="B129" s="64" t="s">
        <v>71</v>
      </c>
      <c r="C129" s="159" t="s">
        <v>182</v>
      </c>
      <c r="D129" s="141" t="s">
        <v>191</v>
      </c>
      <c r="E129" s="32" t="e">
        <f>HLOOKUP($D$2,'2019 Data(H)'!$C$1:$CP$300,37,FALSE)</f>
        <v>#N/A</v>
      </c>
      <c r="F129" s="722"/>
      <c r="G129" s="395">
        <f>IF(H129=0,,"Error: Total revenues less total expenses do not equal total change in net position. Account number 84-85+350-351+191+352-353-50=0  The amount of the formula is in the cell to the right")</f>
        <v>0</v>
      </c>
      <c r="H129" s="192">
        <f>F120-F122+F124-F125+F126+F127-F128-F129</f>
        <v>0</v>
      </c>
      <c r="I129" s="31"/>
    </row>
    <row r="130" spans="1:9" ht="108.75" customHeight="1" x14ac:dyDescent="0.25">
      <c r="A130" s="188">
        <v>377</v>
      </c>
      <c r="B130" s="64" t="s">
        <v>75</v>
      </c>
      <c r="C130" s="159" t="s">
        <v>182</v>
      </c>
      <c r="D130" s="141" t="s">
        <v>194</v>
      </c>
      <c r="E130" s="32" t="e">
        <f>HLOOKUP($D$2,'2019 Data(H)'!$C$1:$CP$300,136,FALSE)</f>
        <v>#N/A</v>
      </c>
      <c r="F130" s="722"/>
      <c r="G130" s="395" t="e">
        <f>IF(F97-F129-F130=E97,,"Error: Beginning Balance does not agree with our records.  Cell F97-F129-F130=E97  The amount of the formula is in the cell to the right")</f>
        <v>#N/A</v>
      </c>
      <c r="H130" s="192" t="e">
        <f>+F97-F129-F130-E97</f>
        <v>#N/A</v>
      </c>
      <c r="I130" s="31"/>
    </row>
    <row r="131" spans="1:9" ht="71.25" customHeight="1" x14ac:dyDescent="0.25">
      <c r="A131" s="188">
        <v>537</v>
      </c>
      <c r="B131" s="150" t="s">
        <v>66</v>
      </c>
      <c r="C131" s="182" t="s">
        <v>182</v>
      </c>
      <c r="D131" s="243" t="s">
        <v>192</v>
      </c>
      <c r="E131" s="248" t="e">
        <f>HLOOKUP($D$2,'2019 Data(H)'!$C$1:$CP$300,250,FALSE)</f>
        <v>#N/A</v>
      </c>
      <c r="F131" s="624"/>
      <c r="G131" s="395"/>
      <c r="H131" s="17"/>
      <c r="I131" s="297"/>
    </row>
    <row r="132" spans="1:9" ht="71.25" customHeight="1" x14ac:dyDescent="0.25">
      <c r="A132" s="188">
        <v>538</v>
      </c>
      <c r="B132" s="150" t="s">
        <v>66</v>
      </c>
      <c r="C132" s="182" t="s">
        <v>182</v>
      </c>
      <c r="D132" s="243" t="s">
        <v>193</v>
      </c>
      <c r="E132" s="32" t="e">
        <f>HLOOKUP($D$2,'2019 Data(H)'!$C$1:$CP$300,251,FALSE)</f>
        <v>#N/A</v>
      </c>
      <c r="F132" s="624"/>
      <c r="G132" s="395"/>
      <c r="H132" s="17"/>
      <c r="I132" s="297"/>
    </row>
    <row r="133" spans="1:9" ht="26.25" customHeight="1" x14ac:dyDescent="0.3">
      <c r="A133" s="189"/>
      <c r="B133" s="161" t="s">
        <v>6</v>
      </c>
      <c r="C133" s="160"/>
      <c r="D133" s="155"/>
      <c r="E133" s="155"/>
      <c r="F133" s="727"/>
      <c r="G133" s="555"/>
      <c r="H133" s="13"/>
      <c r="I133" s="31"/>
    </row>
    <row r="134" spans="1:9" ht="70.5" customHeight="1" x14ac:dyDescent="0.25">
      <c r="A134" s="188">
        <v>97</v>
      </c>
      <c r="B134" s="64" t="s">
        <v>75</v>
      </c>
      <c r="C134" s="159" t="s">
        <v>195</v>
      </c>
      <c r="D134" s="175" t="s">
        <v>196</v>
      </c>
      <c r="E134" s="32" t="e">
        <f>HLOOKUP($D$2,'2019 Data(H)'!$C$1:$CP$300,57,FALSE)</f>
        <v>#N/A</v>
      </c>
      <c r="F134" s="589"/>
      <c r="G134" s="316"/>
      <c r="H134" s="13"/>
      <c r="I134" s="31"/>
    </row>
    <row r="135" spans="1:9" ht="65.25" customHeight="1" x14ac:dyDescent="0.25">
      <c r="A135" s="188">
        <v>93</v>
      </c>
      <c r="B135" s="64" t="s">
        <v>73</v>
      </c>
      <c r="C135" s="159" t="s">
        <v>195</v>
      </c>
      <c r="D135" s="175" t="s">
        <v>185</v>
      </c>
      <c r="E135" s="32" t="e">
        <f>HLOOKUP($D$2,'2019 Data(H)'!$C$1:$CP$300,55,FALSE)</f>
        <v>#N/A</v>
      </c>
      <c r="F135" s="589"/>
      <c r="G135" s="395">
        <f>IF(F134&gt;F135,"Error: Charges for services exceed total operating revenues. Account number 97&gt;93",)</f>
        <v>0</v>
      </c>
      <c r="H135" s="13"/>
      <c r="I135" s="31"/>
    </row>
    <row r="136" spans="1:9" ht="82.5" customHeight="1" x14ac:dyDescent="0.25">
      <c r="A136" s="188">
        <v>99</v>
      </c>
      <c r="B136" s="64" t="s">
        <v>65</v>
      </c>
      <c r="C136" s="159" t="s">
        <v>195</v>
      </c>
      <c r="D136" s="175" t="s">
        <v>197</v>
      </c>
      <c r="E136" s="32" t="e">
        <f>HLOOKUP($D$2,'2019 Data(H)'!$C$1:$CP$300,59,FALSE)</f>
        <v>#N/A</v>
      </c>
      <c r="F136" s="589"/>
      <c r="G136" s="581">
        <f t="shared" ref="G136:G144" si="2">IF(F136&lt;0,"Error: Enter as positive.",)</f>
        <v>0</v>
      </c>
      <c r="H136" s="13"/>
      <c r="I136" s="31"/>
    </row>
    <row r="137" spans="1:9" ht="69.75" customHeight="1" x14ac:dyDescent="0.25">
      <c r="A137" s="188">
        <v>52</v>
      </c>
      <c r="B137" s="64" t="s">
        <v>65</v>
      </c>
      <c r="C137" s="159" t="s">
        <v>195</v>
      </c>
      <c r="D137" s="175" t="s">
        <v>186</v>
      </c>
      <c r="E137" s="32" t="e">
        <f>HLOOKUP($D$2,'2019 Data(H)'!$C$1:$CP$300,39,FALSE)</f>
        <v>#N/A</v>
      </c>
      <c r="F137" s="589"/>
      <c r="G137" s="581">
        <f t="shared" si="2"/>
        <v>0</v>
      </c>
      <c r="H137" s="13"/>
      <c r="I137" s="31"/>
    </row>
    <row r="138" spans="1:9" ht="69.75" customHeight="1" x14ac:dyDescent="0.25">
      <c r="A138" s="188">
        <v>94</v>
      </c>
      <c r="B138" s="64" t="s">
        <v>73</v>
      </c>
      <c r="C138" s="159" t="s">
        <v>195</v>
      </c>
      <c r="D138" s="175" t="s">
        <v>187</v>
      </c>
      <c r="E138" s="32" t="e">
        <f>HLOOKUP($D$2,'2019 Data(H)'!$C$1:$CP$300,56,FALSE)</f>
        <v>#N/A</v>
      </c>
      <c r="F138" s="589"/>
      <c r="G138" s="581">
        <f t="shared" si="2"/>
        <v>0</v>
      </c>
      <c r="H138" s="13"/>
      <c r="I138" s="31"/>
    </row>
    <row r="139" spans="1:9" ht="69.75" customHeight="1" x14ac:dyDescent="0.25">
      <c r="A139" s="188">
        <v>98</v>
      </c>
      <c r="B139" s="64" t="s">
        <v>73</v>
      </c>
      <c r="C139" s="159" t="s">
        <v>195</v>
      </c>
      <c r="D139" s="175" t="s">
        <v>188</v>
      </c>
      <c r="E139" s="32" t="e">
        <f>HLOOKUP($D$2,'2019 Data(H)'!$C$1:$CP$300,58,FALSE)</f>
        <v>#N/A</v>
      </c>
      <c r="F139" s="589"/>
      <c r="G139" s="581">
        <f t="shared" si="2"/>
        <v>0</v>
      </c>
      <c r="H139" s="13"/>
      <c r="I139" s="31"/>
    </row>
    <row r="140" spans="1:9" ht="73.5" customHeight="1" x14ac:dyDescent="0.25">
      <c r="A140" s="188">
        <v>363</v>
      </c>
      <c r="B140" s="64" t="s">
        <v>63</v>
      </c>
      <c r="C140" s="159" t="s">
        <v>195</v>
      </c>
      <c r="D140" s="165" t="s">
        <v>599</v>
      </c>
      <c r="E140" s="32" t="e">
        <f>HLOOKUP($D$2,'2019 Data(H)'!$C$1:$CP$300,124,FALSE)</f>
        <v>#N/A</v>
      </c>
      <c r="F140" s="589"/>
      <c r="G140" s="581">
        <f t="shared" si="2"/>
        <v>0</v>
      </c>
      <c r="H140" s="13"/>
      <c r="I140" s="31"/>
    </row>
    <row r="141" spans="1:9" ht="71.25" customHeight="1" x14ac:dyDescent="0.25">
      <c r="A141" s="188">
        <v>364</v>
      </c>
      <c r="B141" s="64" t="s">
        <v>63</v>
      </c>
      <c r="C141" s="159" t="s">
        <v>195</v>
      </c>
      <c r="D141" s="165" t="s">
        <v>616</v>
      </c>
      <c r="E141" s="32" t="e">
        <f>HLOOKUP($D$2,'2019 Data(H)'!$C$1:$CP$300,125,FALSE)</f>
        <v>#N/A</v>
      </c>
      <c r="F141" s="589"/>
      <c r="G141" s="581">
        <f t="shared" si="2"/>
        <v>0</v>
      </c>
      <c r="H141" s="13"/>
      <c r="I141" s="31"/>
    </row>
    <row r="142" spans="1:9" ht="70.5" customHeight="1" x14ac:dyDescent="0.25">
      <c r="A142" s="188">
        <v>192</v>
      </c>
      <c r="B142" s="64" t="s">
        <v>65</v>
      </c>
      <c r="C142" s="159" t="s">
        <v>195</v>
      </c>
      <c r="D142" s="165" t="s">
        <v>198</v>
      </c>
      <c r="E142" s="32" t="e">
        <f>HLOOKUP($D$2,'2019 Data(H)'!$C$1:$CP$300,73,FALSE)</f>
        <v>#N/A</v>
      </c>
      <c r="F142" s="589"/>
      <c r="G142" s="581">
        <f t="shared" si="2"/>
        <v>0</v>
      </c>
      <c r="H142" s="13"/>
      <c r="I142" s="31"/>
    </row>
    <row r="143" spans="1:9" ht="66" customHeight="1" x14ac:dyDescent="0.25">
      <c r="A143" s="188">
        <v>365</v>
      </c>
      <c r="B143" s="64" t="s">
        <v>73</v>
      </c>
      <c r="C143" s="159" t="s">
        <v>195</v>
      </c>
      <c r="D143" s="165" t="s">
        <v>200</v>
      </c>
      <c r="E143" s="32" t="e">
        <f>HLOOKUP($D$2,'2019 Data(H)'!$C$1:$CP$300,126,FALSE)</f>
        <v>#N/A</v>
      </c>
      <c r="F143" s="589"/>
      <c r="G143" s="581">
        <f t="shared" si="2"/>
        <v>0</v>
      </c>
      <c r="H143" s="13"/>
      <c r="I143" s="31"/>
    </row>
    <row r="144" spans="1:9" ht="67.5" customHeight="1" x14ac:dyDescent="0.25">
      <c r="A144" s="188">
        <v>366</v>
      </c>
      <c r="B144" s="64" t="s">
        <v>73</v>
      </c>
      <c r="C144" s="159" t="s">
        <v>195</v>
      </c>
      <c r="D144" s="165" t="s">
        <v>201</v>
      </c>
      <c r="E144" s="32" t="e">
        <f>HLOOKUP($D$2,'2019 Data(H)'!$C$1:$CP$300,127,FALSE)</f>
        <v>#N/A</v>
      </c>
      <c r="F144" s="589"/>
      <c r="G144" s="581">
        <f t="shared" si="2"/>
        <v>0</v>
      </c>
      <c r="H144" s="13"/>
      <c r="I144" s="31"/>
    </row>
    <row r="145" spans="1:1881" s="4" customFormat="1" ht="69" customHeight="1" x14ac:dyDescent="0.25">
      <c r="A145" s="188">
        <v>53</v>
      </c>
      <c r="B145" s="150" t="s">
        <v>73</v>
      </c>
      <c r="C145" s="182" t="s">
        <v>195</v>
      </c>
      <c r="D145" s="141" t="s">
        <v>199</v>
      </c>
      <c r="E145" s="32" t="e">
        <f>HLOOKUP($D$2,'2019 Data(H)'!$C$1:$CP$300,40,FALSE)</f>
        <v>#N/A</v>
      </c>
      <c r="F145" s="589"/>
      <c r="G145" s="395">
        <f>IF(H145=0,,"Error: Total revenues less total expenses do not equal total change in net position. Account number 93-94+363-364+192+365-366-53=0  The amount of the formula is in the cell to the right")</f>
        <v>0</v>
      </c>
      <c r="H145" s="192">
        <f>+F135-F138+F140-F141+F142+F143-F144-F145</f>
        <v>0</v>
      </c>
      <c r="I145" s="31"/>
      <c r="J145" s="394"/>
      <c r="K145" s="394"/>
      <c r="L145" s="394"/>
      <c r="M145" s="394"/>
      <c r="N145"/>
      <c r="O145" s="394"/>
      <c r="P145" s="394"/>
      <c r="Q145" s="394"/>
      <c r="R145" s="394"/>
      <c r="S145" s="394"/>
      <c r="T145" s="394"/>
      <c r="U145" s="394"/>
      <c r="V145" s="394"/>
      <c r="W145" s="394"/>
      <c r="X145" s="394"/>
      <c r="Y145" s="394"/>
      <c r="Z145" s="394"/>
      <c r="AA145" s="394"/>
      <c r="AB145" s="394"/>
      <c r="AC145" s="394"/>
      <c r="AD145" s="394"/>
      <c r="AE145" s="394"/>
      <c r="AF145" s="394"/>
      <c r="AG145" s="394"/>
      <c r="AH145" s="394"/>
      <c r="AI145" s="394"/>
      <c r="AJ145" s="394"/>
      <c r="AK145" s="394"/>
      <c r="AL145" s="394"/>
      <c r="AM145" s="394"/>
      <c r="AN145" s="394"/>
      <c r="AO145" s="394"/>
      <c r="AP145" s="394"/>
      <c r="AQ145" s="394"/>
      <c r="AR145" s="394"/>
      <c r="AS145" s="394"/>
      <c r="AT145" s="394"/>
      <c r="AU145" s="394"/>
      <c r="AV145" s="394"/>
      <c r="AW145" s="394"/>
      <c r="AX145" s="394"/>
      <c r="AY145" s="394"/>
      <c r="AZ145" s="394"/>
      <c r="BA145" s="394"/>
      <c r="BB145" s="394"/>
      <c r="BC145" s="394"/>
      <c r="BD145" s="394"/>
      <c r="BE145" s="394"/>
      <c r="BF145" s="394"/>
      <c r="BG145" s="394"/>
      <c r="BH145" s="394"/>
      <c r="BI145" s="394"/>
      <c r="BJ145" s="394"/>
      <c r="BK145" s="394"/>
      <c r="BL145" s="394"/>
      <c r="BM145" s="394"/>
      <c r="BN145" s="394"/>
      <c r="BO145" s="394"/>
      <c r="BP145" s="394"/>
      <c r="BQ145" s="394"/>
      <c r="BR145" s="394"/>
      <c r="BS145" s="394"/>
      <c r="BT145" s="394"/>
      <c r="BU145" s="394"/>
      <c r="BV145" s="394"/>
      <c r="BW145" s="394"/>
      <c r="BX145" s="394"/>
      <c r="BY145" s="394"/>
      <c r="BZ145" s="394"/>
      <c r="CA145" s="394"/>
      <c r="CB145" s="394"/>
      <c r="CC145" s="394"/>
      <c r="CD145" s="394"/>
      <c r="CE145" s="394"/>
      <c r="CF145" s="394"/>
      <c r="CG145" s="394"/>
      <c r="CH145" s="394"/>
      <c r="CI145" s="394"/>
      <c r="CJ145" s="394"/>
      <c r="CK145" s="394"/>
      <c r="CL145" s="394"/>
      <c r="CM145" s="394"/>
      <c r="CN145" s="394"/>
      <c r="CO145" s="394"/>
      <c r="CP145" s="394"/>
      <c r="CQ145" s="394"/>
      <c r="CR145" s="394"/>
      <c r="CS145" s="394"/>
      <c r="CT145" s="394"/>
      <c r="CU145" s="394"/>
      <c r="CV145" s="394"/>
      <c r="CW145" s="394"/>
      <c r="CX145" s="394"/>
      <c r="CY145" s="394"/>
      <c r="CZ145" s="394"/>
      <c r="DA145" s="394"/>
      <c r="DB145" s="394"/>
      <c r="DC145" s="394"/>
      <c r="DD145" s="394"/>
      <c r="DE145" s="394"/>
      <c r="DF145" s="394"/>
      <c r="DG145" s="394"/>
      <c r="DH145" s="394"/>
      <c r="DI145" s="394"/>
      <c r="DJ145" s="394"/>
      <c r="DK145" s="394"/>
      <c r="DL145" s="394"/>
      <c r="DM145" s="394"/>
      <c r="DN145" s="394"/>
      <c r="DO145" s="394"/>
      <c r="DP145" s="394"/>
      <c r="DQ145" s="394"/>
      <c r="DR145" s="394"/>
      <c r="DS145" s="394"/>
      <c r="DT145" s="394"/>
      <c r="DU145" s="394"/>
      <c r="DV145" s="394"/>
      <c r="DW145" s="394"/>
      <c r="DX145" s="394"/>
      <c r="DY145" s="394"/>
      <c r="DZ145" s="394"/>
      <c r="EA145" s="394"/>
      <c r="EB145" s="394"/>
      <c r="EC145" s="394"/>
      <c r="ED145" s="394"/>
      <c r="EE145" s="394"/>
      <c r="EF145" s="394"/>
      <c r="EG145" s="394"/>
      <c r="EH145" s="394"/>
      <c r="EI145" s="394"/>
      <c r="EJ145" s="394"/>
      <c r="EK145" s="394"/>
      <c r="EL145" s="394"/>
      <c r="EM145" s="394"/>
      <c r="EN145" s="394"/>
      <c r="EO145" s="394"/>
      <c r="EP145" s="394"/>
      <c r="EQ145" s="394"/>
      <c r="ER145" s="394"/>
      <c r="ES145" s="394"/>
      <c r="ET145" s="394"/>
      <c r="EU145" s="394"/>
      <c r="EV145" s="394"/>
      <c r="EW145" s="394"/>
      <c r="EX145" s="394"/>
      <c r="EY145" s="394"/>
      <c r="EZ145" s="394"/>
      <c r="FA145" s="394"/>
      <c r="FB145" s="394"/>
      <c r="FC145" s="394"/>
      <c r="FD145" s="394"/>
      <c r="FE145" s="394"/>
      <c r="FF145" s="394"/>
      <c r="FG145" s="394"/>
      <c r="FH145" s="394"/>
      <c r="FI145" s="394"/>
      <c r="FJ145" s="394"/>
      <c r="FK145" s="394"/>
      <c r="FL145" s="394"/>
      <c r="FM145" s="394"/>
      <c r="FN145" s="394"/>
      <c r="FO145" s="394"/>
      <c r="FP145" s="394"/>
      <c r="FQ145" s="394"/>
      <c r="FR145" s="394"/>
      <c r="FS145" s="394"/>
      <c r="FT145" s="394"/>
      <c r="FU145" s="394"/>
      <c r="FV145" s="394"/>
      <c r="FW145" s="394"/>
      <c r="FX145" s="394"/>
      <c r="FY145" s="394"/>
      <c r="FZ145" s="394"/>
      <c r="GA145" s="394"/>
      <c r="GB145" s="394"/>
      <c r="GC145" s="394"/>
      <c r="GD145" s="394"/>
      <c r="GE145" s="394"/>
      <c r="GF145" s="394"/>
      <c r="GG145" s="394"/>
      <c r="GH145" s="394"/>
      <c r="GI145" s="394"/>
      <c r="GJ145" s="394"/>
      <c r="GK145" s="394"/>
      <c r="GL145" s="394"/>
      <c r="GM145" s="394"/>
      <c r="GN145" s="394"/>
      <c r="GO145" s="394"/>
      <c r="GP145" s="394"/>
      <c r="GQ145" s="394"/>
      <c r="GR145" s="394"/>
      <c r="GS145" s="394"/>
      <c r="GT145" s="394"/>
      <c r="GU145" s="394"/>
      <c r="GV145" s="394"/>
      <c r="GW145" s="394"/>
      <c r="GX145" s="394"/>
      <c r="GY145" s="394"/>
      <c r="GZ145" s="394"/>
      <c r="HA145" s="394"/>
      <c r="HB145" s="394"/>
      <c r="HC145" s="394"/>
      <c r="HD145" s="394"/>
      <c r="HE145" s="394"/>
      <c r="HF145" s="394"/>
      <c r="HG145" s="394"/>
      <c r="HH145" s="394"/>
      <c r="HI145" s="394"/>
      <c r="HJ145" s="394"/>
      <c r="HK145" s="394"/>
      <c r="HL145" s="394"/>
      <c r="HM145" s="394"/>
      <c r="HN145" s="394"/>
      <c r="HO145" s="394"/>
      <c r="HP145" s="394"/>
      <c r="HQ145" s="394"/>
      <c r="HR145" s="394"/>
      <c r="HS145" s="394"/>
      <c r="HT145" s="394"/>
      <c r="HU145" s="394"/>
      <c r="HV145" s="394"/>
      <c r="HW145" s="394"/>
      <c r="HX145" s="394"/>
      <c r="HY145" s="394"/>
      <c r="HZ145" s="394"/>
      <c r="IA145" s="394"/>
      <c r="IB145" s="394"/>
      <c r="IC145" s="394"/>
      <c r="ID145" s="394"/>
      <c r="IE145" s="394"/>
      <c r="IF145" s="394"/>
      <c r="IG145" s="394"/>
      <c r="IH145" s="394"/>
      <c r="II145" s="394"/>
      <c r="IJ145" s="394"/>
      <c r="IK145" s="394"/>
      <c r="IL145" s="394"/>
      <c r="IM145" s="394"/>
      <c r="IN145" s="394"/>
      <c r="IO145" s="394"/>
      <c r="IP145" s="394"/>
      <c r="IQ145" s="394"/>
      <c r="IR145" s="394"/>
      <c r="IS145" s="394"/>
      <c r="IT145" s="394"/>
      <c r="IU145" s="394"/>
      <c r="IV145" s="394"/>
      <c r="IW145" s="394"/>
      <c r="IX145" s="394"/>
      <c r="IY145" s="394"/>
      <c r="IZ145" s="394"/>
      <c r="JA145" s="394"/>
      <c r="JB145" s="394"/>
      <c r="JC145" s="394"/>
      <c r="JD145" s="394"/>
      <c r="JE145" s="394"/>
      <c r="JF145" s="394"/>
      <c r="JG145" s="394"/>
      <c r="JH145" s="394"/>
      <c r="JI145" s="394"/>
      <c r="JJ145" s="394"/>
      <c r="JK145" s="394"/>
      <c r="JL145" s="394"/>
      <c r="JM145" s="394"/>
      <c r="JN145" s="394"/>
      <c r="JO145" s="394"/>
      <c r="JP145" s="394"/>
      <c r="JQ145" s="394"/>
      <c r="JR145" s="394"/>
      <c r="JS145" s="394"/>
      <c r="JT145" s="394"/>
      <c r="JU145" s="394"/>
      <c r="JV145" s="394"/>
      <c r="JW145" s="394"/>
      <c r="JX145" s="394"/>
      <c r="JY145" s="394"/>
      <c r="JZ145" s="394"/>
      <c r="KA145" s="394"/>
      <c r="KB145" s="394"/>
      <c r="KC145" s="394"/>
      <c r="KD145" s="394"/>
      <c r="KE145" s="394"/>
      <c r="KF145" s="394"/>
      <c r="KG145" s="394"/>
      <c r="KH145" s="394"/>
      <c r="KI145" s="394"/>
      <c r="KJ145" s="394"/>
      <c r="KK145" s="394"/>
      <c r="KL145" s="394"/>
      <c r="KM145" s="394"/>
      <c r="KN145" s="394"/>
      <c r="KO145" s="394"/>
      <c r="KP145" s="394"/>
      <c r="KQ145" s="394"/>
      <c r="KR145" s="394"/>
      <c r="KS145" s="394"/>
      <c r="KT145" s="394"/>
      <c r="KU145" s="394"/>
      <c r="KV145" s="394"/>
      <c r="KW145" s="394"/>
      <c r="KX145" s="394"/>
      <c r="KY145" s="394"/>
      <c r="KZ145" s="394"/>
      <c r="LA145" s="394"/>
      <c r="LB145" s="394"/>
      <c r="LC145" s="394"/>
      <c r="LD145" s="394"/>
      <c r="LE145" s="394"/>
      <c r="LF145" s="394"/>
      <c r="LG145" s="394"/>
      <c r="LH145" s="394"/>
      <c r="LI145" s="394"/>
      <c r="LJ145" s="394"/>
      <c r="LK145" s="394"/>
      <c r="LL145" s="394"/>
      <c r="LM145" s="394"/>
      <c r="LN145" s="394"/>
      <c r="LO145" s="394"/>
      <c r="LP145" s="394"/>
      <c r="LQ145" s="394"/>
      <c r="LR145" s="394"/>
      <c r="LS145" s="394"/>
      <c r="LT145" s="394"/>
      <c r="LU145" s="394"/>
      <c r="LV145" s="394"/>
      <c r="LW145" s="394"/>
      <c r="LX145" s="394"/>
      <c r="LY145" s="394"/>
      <c r="LZ145" s="394"/>
      <c r="MA145" s="394"/>
      <c r="MB145" s="394"/>
      <c r="MC145" s="394"/>
      <c r="MD145" s="394"/>
      <c r="ME145" s="394"/>
      <c r="MF145" s="394"/>
      <c r="MG145" s="394"/>
      <c r="MH145" s="394"/>
      <c r="MI145" s="394"/>
      <c r="MJ145" s="394"/>
      <c r="MK145" s="394"/>
      <c r="ML145" s="394"/>
      <c r="MM145" s="394"/>
      <c r="MN145" s="394"/>
      <c r="MO145" s="394"/>
      <c r="MP145" s="394"/>
      <c r="MQ145" s="394"/>
      <c r="MR145" s="394"/>
      <c r="MS145" s="394"/>
      <c r="MT145" s="394"/>
      <c r="MU145" s="394"/>
      <c r="MV145" s="394"/>
      <c r="MW145" s="394"/>
      <c r="MX145" s="394"/>
      <c r="MY145" s="394"/>
      <c r="MZ145" s="394"/>
      <c r="NA145" s="394"/>
      <c r="NB145" s="394"/>
      <c r="NC145" s="394"/>
      <c r="ND145" s="394"/>
      <c r="NE145" s="394"/>
      <c r="NF145" s="394"/>
      <c r="NG145" s="394"/>
      <c r="NH145" s="394"/>
      <c r="NI145" s="394"/>
      <c r="NJ145" s="394"/>
      <c r="NK145" s="394"/>
      <c r="NL145" s="394"/>
      <c r="NM145" s="394"/>
      <c r="NN145" s="394"/>
      <c r="NO145" s="394"/>
      <c r="NP145" s="394"/>
      <c r="NQ145" s="394"/>
      <c r="NR145" s="394"/>
      <c r="NS145" s="394"/>
      <c r="NT145" s="394"/>
      <c r="NU145" s="394"/>
      <c r="NV145" s="394"/>
      <c r="NW145" s="394"/>
      <c r="NX145" s="394"/>
      <c r="NY145" s="394"/>
      <c r="NZ145" s="394"/>
      <c r="OA145" s="394"/>
      <c r="OB145" s="394"/>
      <c r="OC145" s="394"/>
      <c r="OD145" s="394"/>
      <c r="OE145" s="394"/>
      <c r="OF145" s="394"/>
      <c r="OG145" s="394"/>
      <c r="OH145" s="394"/>
      <c r="OI145" s="394"/>
      <c r="OJ145" s="394"/>
      <c r="OK145" s="394"/>
      <c r="OL145" s="394"/>
      <c r="OM145" s="394"/>
      <c r="ON145" s="394"/>
      <c r="OO145" s="394"/>
      <c r="OP145" s="394"/>
      <c r="OQ145" s="394"/>
      <c r="OR145" s="394"/>
      <c r="OS145" s="394"/>
      <c r="OT145" s="394"/>
      <c r="OU145" s="394"/>
      <c r="OV145" s="394"/>
      <c r="OW145" s="394"/>
      <c r="OX145" s="394"/>
      <c r="OY145" s="394"/>
      <c r="OZ145" s="394"/>
      <c r="PA145" s="394"/>
      <c r="PB145" s="394"/>
      <c r="PC145" s="394"/>
      <c r="PD145" s="394"/>
      <c r="PE145" s="394"/>
      <c r="PF145" s="394"/>
      <c r="PG145" s="394"/>
      <c r="PH145" s="394"/>
      <c r="PI145" s="394"/>
      <c r="PJ145" s="394"/>
      <c r="PK145" s="394"/>
      <c r="PL145" s="394"/>
      <c r="PM145" s="394"/>
      <c r="PN145" s="394"/>
      <c r="PO145" s="394"/>
      <c r="PP145" s="394"/>
      <c r="PQ145" s="394"/>
      <c r="PR145" s="394"/>
      <c r="PS145" s="394"/>
      <c r="PT145" s="394"/>
      <c r="PU145" s="394"/>
      <c r="PV145" s="394"/>
      <c r="PW145" s="394"/>
      <c r="PX145" s="394"/>
      <c r="PY145" s="394"/>
      <c r="PZ145" s="394"/>
      <c r="QA145" s="394"/>
      <c r="QB145" s="394"/>
      <c r="QC145" s="394"/>
      <c r="QD145" s="394"/>
      <c r="QE145" s="394"/>
      <c r="QF145" s="394"/>
      <c r="QG145" s="394"/>
      <c r="QH145" s="394"/>
      <c r="QI145" s="394"/>
      <c r="QJ145" s="394"/>
      <c r="QK145" s="394"/>
      <c r="QL145" s="394"/>
      <c r="QM145" s="394"/>
      <c r="QN145" s="394"/>
      <c r="QO145" s="394"/>
      <c r="QP145" s="394"/>
      <c r="QQ145" s="394"/>
      <c r="QR145" s="394"/>
      <c r="QS145" s="394"/>
      <c r="QT145" s="394"/>
      <c r="QU145" s="394"/>
      <c r="QV145" s="394"/>
      <c r="QW145" s="394"/>
      <c r="QX145" s="394"/>
      <c r="QY145" s="394"/>
      <c r="QZ145" s="394"/>
      <c r="RA145" s="394"/>
      <c r="RB145" s="394"/>
      <c r="RC145" s="394"/>
      <c r="RD145" s="394"/>
      <c r="RE145" s="394"/>
      <c r="RF145" s="394"/>
      <c r="RG145" s="394"/>
      <c r="RH145" s="394"/>
      <c r="RI145" s="394"/>
      <c r="RJ145" s="394"/>
      <c r="RK145" s="394"/>
      <c r="RL145" s="394"/>
      <c r="RM145" s="394"/>
      <c r="RN145" s="394"/>
      <c r="RO145" s="394"/>
      <c r="RP145" s="394"/>
      <c r="RQ145" s="394"/>
      <c r="RR145" s="394"/>
      <c r="RS145" s="394"/>
      <c r="RT145" s="394"/>
      <c r="RU145" s="394"/>
      <c r="RV145" s="394"/>
      <c r="RW145" s="394"/>
      <c r="RX145" s="394"/>
      <c r="RY145" s="394"/>
      <c r="RZ145" s="394"/>
      <c r="SA145" s="394"/>
      <c r="SB145" s="394"/>
      <c r="SC145" s="394"/>
      <c r="SD145" s="394"/>
      <c r="SE145" s="394"/>
      <c r="SF145" s="394"/>
      <c r="SG145" s="394"/>
      <c r="SH145" s="394"/>
      <c r="SI145" s="394"/>
      <c r="SJ145" s="394"/>
      <c r="SK145" s="394"/>
      <c r="SL145" s="394"/>
      <c r="SM145" s="394"/>
      <c r="SN145" s="394"/>
      <c r="SO145" s="394"/>
      <c r="SP145" s="394"/>
      <c r="SQ145" s="394"/>
      <c r="SR145" s="394"/>
      <c r="SS145" s="394"/>
      <c r="ST145" s="394"/>
      <c r="SU145" s="394"/>
      <c r="SV145" s="394"/>
      <c r="SW145" s="394"/>
      <c r="SX145" s="394"/>
      <c r="SY145" s="394"/>
      <c r="SZ145" s="394"/>
      <c r="TA145" s="394"/>
      <c r="TB145" s="394"/>
      <c r="TC145" s="394"/>
      <c r="TD145" s="394"/>
      <c r="TE145" s="394"/>
      <c r="TF145" s="394"/>
      <c r="TG145" s="394"/>
      <c r="TH145" s="394"/>
      <c r="TI145" s="394"/>
      <c r="TJ145" s="394"/>
      <c r="TK145" s="394"/>
      <c r="TL145" s="394"/>
      <c r="TM145" s="394"/>
      <c r="TN145" s="394"/>
      <c r="TO145" s="394"/>
      <c r="TP145" s="394"/>
      <c r="TQ145" s="394"/>
      <c r="TR145" s="394"/>
      <c r="TS145" s="394"/>
      <c r="TT145" s="394"/>
      <c r="TU145" s="394"/>
      <c r="TV145" s="394"/>
      <c r="TW145" s="394"/>
      <c r="TX145" s="394"/>
      <c r="TY145" s="394"/>
      <c r="TZ145" s="394"/>
      <c r="UA145" s="394"/>
      <c r="UB145" s="394"/>
      <c r="UC145" s="394"/>
      <c r="UD145" s="394"/>
      <c r="UE145" s="394"/>
      <c r="UF145" s="394"/>
      <c r="UG145" s="394"/>
      <c r="UH145" s="394"/>
      <c r="UI145" s="394"/>
      <c r="UJ145" s="394"/>
      <c r="UK145" s="394"/>
      <c r="UL145" s="394"/>
      <c r="UM145" s="394"/>
      <c r="UN145" s="394"/>
      <c r="UO145" s="394"/>
      <c r="UP145" s="394"/>
      <c r="UQ145" s="394"/>
      <c r="UR145" s="394"/>
      <c r="US145" s="394"/>
      <c r="UT145" s="394"/>
      <c r="UU145" s="394"/>
      <c r="UV145" s="394"/>
      <c r="UW145" s="394"/>
      <c r="UX145" s="394"/>
      <c r="UY145" s="394"/>
      <c r="UZ145" s="394"/>
      <c r="VA145" s="394"/>
      <c r="VB145" s="394"/>
      <c r="VC145" s="394"/>
      <c r="VD145" s="394"/>
      <c r="VE145" s="394"/>
      <c r="VF145" s="394"/>
      <c r="VG145" s="394"/>
      <c r="VH145" s="394"/>
      <c r="VI145" s="394"/>
      <c r="VJ145" s="394"/>
      <c r="VK145" s="394"/>
      <c r="VL145" s="394"/>
      <c r="VM145" s="394"/>
      <c r="VN145" s="394"/>
      <c r="VO145" s="394"/>
      <c r="VP145" s="394"/>
      <c r="VQ145" s="394"/>
      <c r="VR145" s="394"/>
      <c r="VS145" s="394"/>
      <c r="VT145" s="394"/>
      <c r="VU145" s="394"/>
      <c r="VV145" s="394"/>
      <c r="VW145" s="394"/>
      <c r="VX145" s="394"/>
      <c r="VY145" s="394"/>
      <c r="VZ145" s="394"/>
      <c r="WA145" s="394"/>
      <c r="WB145" s="394"/>
      <c r="WC145" s="394"/>
      <c r="WD145" s="394"/>
      <c r="WE145" s="394"/>
      <c r="WF145" s="394"/>
      <c r="WG145" s="394"/>
      <c r="WH145" s="394"/>
      <c r="WI145" s="394"/>
      <c r="WJ145" s="394"/>
      <c r="WK145" s="394"/>
      <c r="WL145" s="394"/>
      <c r="WM145" s="394"/>
      <c r="WN145" s="394"/>
      <c r="WO145" s="394"/>
      <c r="WP145" s="394"/>
      <c r="WQ145" s="394"/>
      <c r="WR145" s="394"/>
      <c r="WS145" s="394"/>
      <c r="WT145" s="394"/>
      <c r="WU145" s="394"/>
      <c r="WV145" s="394"/>
      <c r="WW145" s="394"/>
      <c r="WX145" s="394"/>
      <c r="WY145" s="394"/>
      <c r="WZ145" s="394"/>
      <c r="XA145" s="394"/>
      <c r="XB145" s="394"/>
      <c r="XC145" s="394"/>
      <c r="XD145" s="394"/>
      <c r="XE145" s="394"/>
      <c r="XF145" s="394"/>
      <c r="XG145" s="394"/>
      <c r="XH145" s="394"/>
      <c r="XI145" s="394"/>
      <c r="XJ145" s="394"/>
      <c r="XK145" s="394"/>
      <c r="XL145" s="394"/>
      <c r="XM145" s="394"/>
      <c r="XN145" s="394"/>
      <c r="XO145" s="394"/>
      <c r="XP145" s="394"/>
      <c r="XQ145" s="394"/>
      <c r="XR145" s="394"/>
      <c r="XS145" s="394"/>
      <c r="XT145" s="394"/>
      <c r="XU145" s="394"/>
      <c r="XV145" s="394"/>
      <c r="XW145" s="394"/>
      <c r="XX145" s="394"/>
      <c r="XY145" s="394"/>
      <c r="XZ145" s="394"/>
      <c r="YA145" s="394"/>
      <c r="YB145" s="394"/>
      <c r="YC145" s="394"/>
      <c r="YD145" s="394"/>
      <c r="YE145" s="394"/>
      <c r="YF145" s="394"/>
      <c r="YG145" s="394"/>
      <c r="YH145" s="394"/>
      <c r="YI145" s="394"/>
      <c r="YJ145" s="394"/>
      <c r="YK145" s="394"/>
      <c r="YL145" s="394"/>
      <c r="YM145" s="394"/>
      <c r="YN145" s="394"/>
      <c r="YO145" s="394"/>
      <c r="YP145" s="394"/>
      <c r="YQ145" s="394"/>
      <c r="YR145" s="394"/>
      <c r="YS145" s="394"/>
      <c r="YT145" s="394"/>
      <c r="YU145" s="394"/>
      <c r="YV145" s="394"/>
      <c r="YW145" s="394"/>
      <c r="YX145" s="394"/>
      <c r="YY145" s="394"/>
      <c r="YZ145" s="394"/>
      <c r="ZA145" s="394"/>
      <c r="ZB145" s="394"/>
      <c r="ZC145" s="394"/>
      <c r="ZD145" s="394"/>
      <c r="ZE145" s="394"/>
      <c r="ZF145" s="394"/>
      <c r="ZG145" s="394"/>
      <c r="ZH145" s="394"/>
      <c r="ZI145" s="394"/>
      <c r="ZJ145" s="394"/>
      <c r="ZK145" s="394"/>
      <c r="ZL145" s="394"/>
      <c r="ZM145" s="394"/>
      <c r="ZN145" s="394"/>
      <c r="ZO145" s="394"/>
      <c r="ZP145" s="394"/>
      <c r="ZQ145" s="394"/>
      <c r="ZR145" s="394"/>
      <c r="ZS145" s="394"/>
      <c r="ZT145" s="394"/>
      <c r="ZU145" s="394"/>
      <c r="ZV145" s="394"/>
      <c r="ZW145" s="394"/>
      <c r="ZX145" s="394"/>
      <c r="ZY145" s="394"/>
      <c r="ZZ145" s="394"/>
      <c r="AAA145" s="394"/>
      <c r="AAB145" s="394"/>
      <c r="AAC145" s="394"/>
      <c r="AAD145" s="394"/>
      <c r="AAE145" s="394"/>
      <c r="AAF145" s="394"/>
      <c r="AAG145" s="394"/>
      <c r="AAH145" s="394"/>
      <c r="AAI145" s="394"/>
      <c r="AAJ145" s="394"/>
      <c r="AAK145" s="394"/>
      <c r="AAL145" s="394"/>
      <c r="AAM145" s="394"/>
      <c r="AAN145" s="394"/>
      <c r="AAO145" s="394"/>
      <c r="AAP145" s="394"/>
      <c r="AAQ145" s="394"/>
      <c r="AAR145" s="394"/>
      <c r="AAS145" s="394"/>
      <c r="AAT145" s="394"/>
      <c r="AAU145" s="394"/>
      <c r="AAV145" s="394"/>
      <c r="AAW145" s="394"/>
      <c r="AAX145" s="394"/>
      <c r="AAY145" s="394"/>
      <c r="AAZ145" s="394"/>
      <c r="ABA145" s="394"/>
      <c r="ABB145" s="394"/>
      <c r="ABC145" s="394"/>
      <c r="ABD145" s="394"/>
      <c r="ABE145" s="394"/>
      <c r="ABF145" s="394"/>
      <c r="ABG145" s="394"/>
      <c r="ABH145" s="394"/>
      <c r="ABI145" s="394"/>
      <c r="ABJ145" s="394"/>
      <c r="ABK145" s="394"/>
      <c r="ABL145" s="394"/>
      <c r="ABM145" s="394"/>
      <c r="ABN145" s="394"/>
      <c r="ABO145" s="394"/>
      <c r="ABP145" s="394"/>
      <c r="ABQ145" s="394"/>
      <c r="ABR145" s="394"/>
      <c r="ABS145" s="394"/>
      <c r="ABT145" s="394"/>
      <c r="ABU145" s="394"/>
      <c r="ABV145" s="394"/>
      <c r="ABW145" s="394"/>
      <c r="ABX145" s="394"/>
      <c r="ABY145" s="394"/>
      <c r="ABZ145" s="394"/>
      <c r="ACA145" s="394"/>
      <c r="ACB145" s="394"/>
      <c r="ACC145" s="394"/>
      <c r="ACD145" s="394"/>
      <c r="ACE145" s="394"/>
      <c r="ACF145" s="394"/>
      <c r="ACG145" s="394"/>
      <c r="ACH145" s="394"/>
      <c r="ACI145" s="394"/>
      <c r="ACJ145" s="394"/>
      <c r="ACK145" s="394"/>
      <c r="ACL145" s="394"/>
      <c r="ACM145" s="394"/>
      <c r="ACN145" s="394"/>
      <c r="ACO145" s="394"/>
      <c r="ACP145" s="394"/>
      <c r="ACQ145" s="394"/>
      <c r="ACR145" s="394"/>
      <c r="ACS145" s="394"/>
      <c r="ACT145" s="394"/>
      <c r="ACU145" s="394"/>
      <c r="ACV145" s="394"/>
      <c r="ACW145" s="394"/>
      <c r="ACX145" s="394"/>
      <c r="ACY145" s="394"/>
      <c r="ACZ145" s="394"/>
      <c r="ADA145" s="394"/>
      <c r="ADB145" s="394"/>
      <c r="ADC145" s="394"/>
      <c r="ADD145" s="394"/>
      <c r="ADE145" s="394"/>
      <c r="ADF145" s="394"/>
      <c r="ADG145" s="394"/>
      <c r="ADH145" s="394"/>
      <c r="ADI145" s="394"/>
      <c r="ADJ145" s="394"/>
      <c r="ADK145" s="394"/>
      <c r="ADL145" s="394"/>
      <c r="ADM145" s="394"/>
      <c r="ADN145" s="394"/>
      <c r="ADO145" s="394"/>
      <c r="ADP145" s="394"/>
      <c r="ADQ145" s="394"/>
      <c r="ADR145" s="394"/>
      <c r="ADS145" s="394"/>
      <c r="ADT145" s="394"/>
      <c r="ADU145" s="394"/>
      <c r="ADV145" s="394"/>
      <c r="ADW145" s="394"/>
      <c r="ADX145" s="394"/>
      <c r="ADY145" s="394"/>
      <c r="ADZ145" s="394"/>
      <c r="AEA145" s="394"/>
      <c r="AEB145" s="394"/>
      <c r="AEC145" s="394"/>
      <c r="AED145" s="394"/>
      <c r="AEE145" s="394"/>
      <c r="AEF145" s="394"/>
      <c r="AEG145" s="394"/>
      <c r="AEH145" s="394"/>
      <c r="AEI145" s="394"/>
      <c r="AEJ145" s="394"/>
      <c r="AEK145" s="394"/>
      <c r="AEL145" s="394"/>
      <c r="AEM145" s="394"/>
      <c r="AEN145" s="394"/>
      <c r="AEO145" s="394"/>
      <c r="AEP145" s="394"/>
      <c r="AEQ145" s="394"/>
      <c r="AER145" s="394"/>
      <c r="AES145" s="394"/>
      <c r="AET145" s="394"/>
      <c r="AEU145" s="394"/>
      <c r="AEV145" s="394"/>
      <c r="AEW145" s="394"/>
      <c r="AEX145" s="394"/>
      <c r="AEY145" s="394"/>
      <c r="AEZ145" s="394"/>
      <c r="AFA145" s="394"/>
      <c r="AFB145" s="394"/>
      <c r="AFC145" s="394"/>
      <c r="AFD145" s="394"/>
      <c r="AFE145" s="394"/>
      <c r="AFF145" s="394"/>
      <c r="AFG145" s="394"/>
      <c r="AFH145" s="394"/>
      <c r="AFI145" s="394"/>
      <c r="AFJ145" s="394"/>
      <c r="AFK145" s="394"/>
      <c r="AFL145" s="394"/>
      <c r="AFM145" s="394"/>
      <c r="AFN145" s="394"/>
      <c r="AFO145" s="394"/>
      <c r="AFP145" s="394"/>
      <c r="AFQ145" s="394"/>
      <c r="AFR145" s="394"/>
      <c r="AFS145" s="394"/>
      <c r="AFT145" s="394"/>
      <c r="AFU145" s="394"/>
      <c r="AFV145" s="394"/>
      <c r="AFW145" s="394"/>
      <c r="AFX145" s="394"/>
      <c r="AFY145" s="394"/>
      <c r="AFZ145" s="394"/>
      <c r="AGA145" s="394"/>
      <c r="AGB145" s="394"/>
      <c r="AGC145" s="394"/>
      <c r="AGD145" s="394"/>
      <c r="AGE145" s="394"/>
      <c r="AGF145" s="394"/>
      <c r="AGG145" s="394"/>
      <c r="AGH145" s="394"/>
      <c r="AGI145" s="394"/>
      <c r="AGJ145" s="394"/>
      <c r="AGK145" s="394"/>
      <c r="AGL145" s="394"/>
      <c r="AGM145" s="394"/>
      <c r="AGN145" s="394"/>
      <c r="AGO145" s="394"/>
      <c r="AGP145" s="394"/>
      <c r="AGQ145" s="394"/>
      <c r="AGR145" s="394"/>
      <c r="AGS145" s="394"/>
      <c r="AGT145" s="394"/>
      <c r="AGU145" s="394"/>
      <c r="AGV145" s="394"/>
      <c r="AGW145" s="394"/>
      <c r="AGX145" s="394"/>
      <c r="AGY145" s="394"/>
      <c r="AGZ145" s="394"/>
      <c r="AHA145" s="394"/>
      <c r="AHB145" s="394"/>
      <c r="AHC145" s="394"/>
      <c r="AHD145" s="394"/>
      <c r="AHE145" s="394"/>
      <c r="AHF145" s="394"/>
      <c r="AHG145" s="394"/>
      <c r="AHH145" s="394"/>
      <c r="AHI145" s="394"/>
      <c r="AHJ145" s="394"/>
      <c r="AHK145" s="394"/>
      <c r="AHL145" s="394"/>
      <c r="AHM145" s="394"/>
      <c r="AHN145" s="394"/>
      <c r="AHO145" s="394"/>
      <c r="AHP145" s="394"/>
      <c r="AHQ145" s="394"/>
      <c r="AHR145" s="394"/>
      <c r="AHS145" s="394"/>
      <c r="AHT145" s="394"/>
      <c r="AHU145" s="394"/>
      <c r="AHV145" s="394"/>
      <c r="AHW145" s="394"/>
      <c r="AHX145" s="394"/>
      <c r="AHY145" s="394"/>
      <c r="AHZ145" s="394"/>
      <c r="AIA145" s="394"/>
      <c r="AIB145" s="394"/>
      <c r="AIC145" s="394"/>
      <c r="AID145" s="394"/>
      <c r="AIE145" s="394"/>
      <c r="AIF145" s="394"/>
      <c r="AIG145" s="394"/>
      <c r="AIH145" s="394"/>
      <c r="AII145" s="394"/>
      <c r="AIJ145" s="394"/>
      <c r="AIK145" s="394"/>
      <c r="AIL145" s="394"/>
      <c r="AIM145" s="394"/>
      <c r="AIN145" s="394"/>
      <c r="AIO145" s="394"/>
      <c r="AIP145" s="394"/>
      <c r="AIQ145" s="394"/>
      <c r="AIR145" s="394"/>
      <c r="AIS145" s="394"/>
      <c r="AIT145" s="394"/>
      <c r="AIU145" s="394"/>
      <c r="AIV145" s="394"/>
      <c r="AIW145" s="394"/>
      <c r="AIX145" s="394"/>
      <c r="AIY145" s="394"/>
      <c r="AIZ145" s="394"/>
      <c r="AJA145" s="394"/>
      <c r="AJB145" s="394"/>
      <c r="AJC145" s="394"/>
      <c r="AJD145" s="394"/>
      <c r="AJE145" s="394"/>
      <c r="AJF145" s="394"/>
      <c r="AJG145" s="394"/>
      <c r="AJH145" s="394"/>
      <c r="AJI145" s="394"/>
      <c r="AJJ145" s="394"/>
      <c r="AJK145" s="394"/>
      <c r="AJL145" s="394"/>
      <c r="AJM145" s="394"/>
      <c r="AJN145" s="394"/>
      <c r="AJO145" s="394"/>
      <c r="AJP145" s="394"/>
      <c r="AJQ145" s="394"/>
      <c r="AJR145" s="394"/>
      <c r="AJS145" s="394"/>
      <c r="AJT145" s="394"/>
      <c r="AJU145" s="394"/>
      <c r="AJV145" s="394"/>
      <c r="AJW145" s="394"/>
      <c r="AJX145" s="394"/>
      <c r="AJY145" s="394"/>
      <c r="AJZ145" s="394"/>
      <c r="AKA145" s="394"/>
      <c r="AKB145" s="394"/>
      <c r="AKC145" s="394"/>
      <c r="AKD145" s="394"/>
      <c r="AKE145" s="394"/>
      <c r="AKF145" s="394"/>
      <c r="AKG145" s="394"/>
      <c r="AKH145" s="394"/>
      <c r="AKI145" s="394"/>
      <c r="AKJ145" s="394"/>
      <c r="AKK145" s="394"/>
      <c r="AKL145" s="394"/>
      <c r="AKM145" s="394"/>
      <c r="AKN145" s="394"/>
      <c r="AKO145" s="394"/>
      <c r="AKP145" s="394"/>
      <c r="AKQ145" s="394"/>
      <c r="AKR145" s="394"/>
      <c r="AKS145" s="394"/>
      <c r="AKT145" s="394"/>
      <c r="AKU145" s="394"/>
      <c r="AKV145" s="394"/>
      <c r="AKW145" s="394"/>
      <c r="AKX145" s="394"/>
      <c r="AKY145" s="394"/>
      <c r="AKZ145" s="394"/>
      <c r="ALA145" s="394"/>
      <c r="ALB145" s="394"/>
      <c r="ALC145" s="394"/>
      <c r="ALD145" s="394"/>
      <c r="ALE145" s="394"/>
      <c r="ALF145" s="394"/>
      <c r="ALG145" s="394"/>
      <c r="ALH145" s="394"/>
      <c r="ALI145" s="394"/>
      <c r="ALJ145" s="394"/>
      <c r="ALK145" s="394"/>
      <c r="ALL145" s="394"/>
      <c r="ALM145" s="394"/>
      <c r="ALN145" s="394"/>
      <c r="ALO145" s="394"/>
      <c r="ALP145" s="394"/>
      <c r="ALQ145" s="394"/>
      <c r="ALR145" s="394"/>
      <c r="ALS145" s="394"/>
      <c r="ALT145" s="394"/>
      <c r="ALU145" s="394"/>
      <c r="ALV145" s="394"/>
      <c r="ALW145" s="394"/>
      <c r="ALX145" s="394"/>
      <c r="ALY145" s="394"/>
      <c r="ALZ145" s="394"/>
      <c r="AMA145" s="394"/>
      <c r="AMB145" s="394"/>
      <c r="AMC145" s="394"/>
      <c r="AMD145" s="394"/>
      <c r="AME145" s="394"/>
      <c r="AMF145" s="394"/>
      <c r="AMG145" s="394"/>
      <c r="AMH145" s="394"/>
      <c r="AMI145" s="394"/>
      <c r="AMJ145" s="394"/>
      <c r="AMK145" s="394"/>
      <c r="AML145" s="394"/>
      <c r="AMM145" s="394"/>
      <c r="AMN145" s="394"/>
      <c r="AMO145" s="394"/>
      <c r="AMP145" s="394"/>
      <c r="AMQ145" s="394"/>
      <c r="AMR145" s="394"/>
      <c r="AMS145" s="394"/>
      <c r="AMT145" s="394"/>
      <c r="AMU145" s="394"/>
      <c r="AMV145" s="394"/>
      <c r="AMW145" s="394"/>
      <c r="AMX145" s="394"/>
      <c r="AMY145" s="394"/>
      <c r="AMZ145" s="394"/>
      <c r="ANA145" s="394"/>
      <c r="ANB145" s="394"/>
      <c r="ANC145" s="394"/>
      <c r="AND145" s="394"/>
      <c r="ANE145" s="394"/>
      <c r="ANF145" s="394"/>
      <c r="ANG145" s="394"/>
      <c r="ANH145" s="394"/>
      <c r="ANI145" s="394"/>
      <c r="ANJ145" s="394"/>
      <c r="ANK145" s="394"/>
      <c r="ANL145" s="394"/>
      <c r="ANM145" s="394"/>
      <c r="ANN145" s="394"/>
      <c r="ANO145" s="394"/>
      <c r="ANP145" s="394"/>
      <c r="ANQ145" s="394"/>
      <c r="ANR145" s="394"/>
      <c r="ANS145" s="394"/>
      <c r="ANT145" s="394"/>
      <c r="ANU145" s="394"/>
      <c r="ANV145" s="394"/>
      <c r="ANW145" s="394"/>
      <c r="ANX145" s="394"/>
      <c r="ANY145" s="394"/>
      <c r="ANZ145" s="394"/>
      <c r="AOA145" s="394"/>
      <c r="AOB145" s="394"/>
      <c r="AOC145" s="394"/>
      <c r="AOD145" s="394"/>
      <c r="AOE145" s="394"/>
      <c r="AOF145" s="394"/>
      <c r="AOG145" s="394"/>
      <c r="AOH145" s="394"/>
      <c r="AOI145" s="394"/>
      <c r="AOJ145" s="394"/>
      <c r="AOK145" s="394"/>
      <c r="AOL145" s="394"/>
      <c r="AOM145" s="394"/>
      <c r="AON145" s="394"/>
      <c r="AOO145" s="394"/>
      <c r="AOP145" s="394"/>
      <c r="AOQ145" s="394"/>
      <c r="AOR145" s="394"/>
      <c r="AOS145" s="394"/>
      <c r="AOT145" s="394"/>
      <c r="AOU145" s="394"/>
      <c r="AOV145" s="394"/>
      <c r="AOW145" s="394"/>
      <c r="AOX145" s="394"/>
      <c r="AOY145" s="394"/>
      <c r="AOZ145" s="394"/>
      <c r="APA145" s="394"/>
      <c r="APB145" s="394"/>
      <c r="APC145" s="394"/>
      <c r="APD145" s="394"/>
      <c r="APE145" s="394"/>
      <c r="APF145" s="394"/>
      <c r="APG145" s="394"/>
      <c r="APH145" s="394"/>
      <c r="API145" s="394"/>
      <c r="APJ145" s="394"/>
      <c r="APK145" s="394"/>
      <c r="APL145" s="394"/>
      <c r="APM145" s="394"/>
      <c r="APN145" s="394"/>
      <c r="APO145" s="394"/>
      <c r="APP145" s="394"/>
      <c r="APQ145" s="394"/>
      <c r="APR145" s="394"/>
      <c r="APS145" s="394"/>
      <c r="APT145" s="394"/>
      <c r="APU145" s="394"/>
      <c r="APV145" s="394"/>
      <c r="APW145" s="394"/>
      <c r="APX145" s="394"/>
      <c r="APY145" s="394"/>
      <c r="APZ145" s="394"/>
      <c r="AQA145" s="394"/>
      <c r="AQB145" s="394"/>
      <c r="AQC145" s="394"/>
      <c r="AQD145" s="394"/>
      <c r="AQE145" s="394"/>
      <c r="AQF145" s="394"/>
      <c r="AQG145" s="394"/>
      <c r="AQH145" s="394"/>
      <c r="AQI145" s="394"/>
      <c r="AQJ145" s="394"/>
      <c r="AQK145" s="394"/>
      <c r="AQL145" s="394"/>
      <c r="AQM145" s="394"/>
      <c r="AQN145" s="394"/>
      <c r="AQO145" s="394"/>
      <c r="AQP145" s="394"/>
      <c r="AQQ145" s="394"/>
      <c r="AQR145" s="394"/>
      <c r="AQS145" s="394"/>
      <c r="AQT145" s="394"/>
      <c r="AQU145" s="394"/>
      <c r="AQV145" s="394"/>
      <c r="AQW145" s="394"/>
      <c r="AQX145" s="394"/>
      <c r="AQY145" s="394"/>
      <c r="AQZ145" s="394"/>
      <c r="ARA145" s="394"/>
      <c r="ARB145" s="394"/>
      <c r="ARC145" s="394"/>
      <c r="ARD145" s="394"/>
      <c r="ARE145" s="394"/>
      <c r="ARF145" s="394"/>
      <c r="ARG145" s="394"/>
      <c r="ARH145" s="394"/>
      <c r="ARI145" s="394"/>
      <c r="ARJ145" s="394"/>
      <c r="ARK145" s="394"/>
      <c r="ARL145" s="394"/>
      <c r="ARM145" s="394"/>
      <c r="ARN145" s="394"/>
      <c r="ARO145" s="394"/>
      <c r="ARP145" s="394"/>
      <c r="ARQ145" s="394"/>
      <c r="ARR145" s="394"/>
      <c r="ARS145" s="394"/>
      <c r="ART145" s="394"/>
      <c r="ARU145" s="394"/>
      <c r="ARV145" s="394"/>
      <c r="ARW145" s="394"/>
      <c r="ARX145" s="394"/>
      <c r="ARY145" s="394"/>
      <c r="ARZ145" s="394"/>
      <c r="ASA145" s="394"/>
      <c r="ASB145" s="394"/>
      <c r="ASC145" s="394"/>
      <c r="ASD145" s="394"/>
      <c r="ASE145" s="394"/>
      <c r="ASF145" s="394"/>
      <c r="ASG145" s="394"/>
      <c r="ASH145" s="394"/>
      <c r="ASI145" s="394"/>
      <c r="ASJ145" s="394"/>
      <c r="ASK145" s="394"/>
      <c r="ASL145" s="394"/>
      <c r="ASM145" s="394"/>
      <c r="ASN145" s="394"/>
      <c r="ASO145" s="394"/>
      <c r="ASP145" s="394"/>
      <c r="ASQ145" s="394"/>
      <c r="ASR145" s="394"/>
      <c r="ASS145" s="394"/>
      <c r="AST145" s="394"/>
      <c r="ASU145" s="394"/>
      <c r="ASV145" s="394"/>
      <c r="ASW145" s="394"/>
      <c r="ASX145" s="394"/>
      <c r="ASY145" s="394"/>
      <c r="ASZ145" s="394"/>
      <c r="ATA145" s="394"/>
      <c r="ATB145" s="394"/>
      <c r="ATC145" s="394"/>
      <c r="ATD145" s="394"/>
      <c r="ATE145" s="394"/>
      <c r="ATF145" s="394"/>
      <c r="ATG145" s="394"/>
      <c r="ATH145" s="394"/>
      <c r="ATI145" s="394"/>
      <c r="ATJ145" s="394"/>
      <c r="ATK145" s="394"/>
      <c r="ATL145" s="394"/>
      <c r="ATM145" s="394"/>
      <c r="ATN145" s="394"/>
      <c r="ATO145" s="394"/>
      <c r="ATP145" s="394"/>
      <c r="ATQ145" s="394"/>
      <c r="ATR145" s="394"/>
      <c r="ATS145" s="394"/>
      <c r="ATT145" s="394"/>
      <c r="ATU145" s="394"/>
      <c r="ATV145" s="394"/>
      <c r="ATW145" s="394"/>
      <c r="ATX145" s="394"/>
      <c r="ATY145" s="394"/>
      <c r="ATZ145" s="394"/>
      <c r="AUA145" s="394"/>
      <c r="AUB145" s="394"/>
      <c r="AUC145" s="394"/>
      <c r="AUD145" s="394"/>
      <c r="AUE145" s="394"/>
      <c r="AUF145" s="394"/>
      <c r="AUG145" s="394"/>
      <c r="AUH145" s="394"/>
      <c r="AUI145" s="394"/>
      <c r="AUJ145" s="394"/>
      <c r="AUK145" s="394"/>
      <c r="AUL145" s="394"/>
      <c r="AUM145" s="394"/>
      <c r="AUN145" s="394"/>
      <c r="AUO145" s="394"/>
      <c r="AUP145" s="394"/>
      <c r="AUQ145" s="394"/>
      <c r="AUR145" s="394"/>
      <c r="AUS145" s="394"/>
      <c r="AUT145" s="394"/>
      <c r="AUU145" s="394"/>
      <c r="AUV145" s="394"/>
      <c r="AUW145" s="394"/>
      <c r="AUX145" s="394"/>
      <c r="AUY145" s="394"/>
      <c r="AUZ145" s="394"/>
      <c r="AVA145" s="394"/>
      <c r="AVB145" s="394"/>
      <c r="AVC145" s="394"/>
      <c r="AVD145" s="394"/>
      <c r="AVE145" s="394"/>
      <c r="AVF145" s="394"/>
      <c r="AVG145" s="394"/>
      <c r="AVH145" s="394"/>
      <c r="AVI145" s="394"/>
      <c r="AVJ145" s="394"/>
      <c r="AVK145" s="394"/>
      <c r="AVL145" s="394"/>
      <c r="AVM145" s="394"/>
      <c r="AVN145" s="394"/>
      <c r="AVO145" s="394"/>
      <c r="AVP145" s="394"/>
      <c r="AVQ145" s="394"/>
      <c r="AVR145" s="394"/>
      <c r="AVS145" s="394"/>
      <c r="AVT145" s="394"/>
      <c r="AVU145" s="394"/>
      <c r="AVV145" s="394"/>
      <c r="AVW145" s="394"/>
      <c r="AVX145" s="394"/>
      <c r="AVY145" s="394"/>
      <c r="AVZ145" s="394"/>
      <c r="AWA145" s="394"/>
      <c r="AWB145" s="394"/>
      <c r="AWC145" s="394"/>
      <c r="AWD145" s="394"/>
      <c r="AWE145" s="394"/>
      <c r="AWF145" s="394"/>
      <c r="AWG145" s="394"/>
      <c r="AWH145" s="394"/>
      <c r="AWI145" s="394"/>
      <c r="AWJ145" s="394"/>
      <c r="AWK145" s="394"/>
      <c r="AWL145" s="394"/>
      <c r="AWM145" s="394"/>
      <c r="AWN145" s="394"/>
      <c r="AWO145" s="394"/>
      <c r="AWP145" s="394"/>
      <c r="AWQ145" s="394"/>
      <c r="AWR145" s="394"/>
      <c r="AWS145" s="394"/>
      <c r="AWT145" s="394"/>
      <c r="AWU145" s="394"/>
      <c r="AWV145" s="394"/>
      <c r="AWW145" s="394"/>
      <c r="AWX145" s="394"/>
      <c r="AWY145" s="394"/>
      <c r="AWZ145" s="394"/>
      <c r="AXA145" s="394"/>
      <c r="AXB145" s="394"/>
      <c r="AXC145" s="394"/>
      <c r="AXD145" s="394"/>
      <c r="AXE145" s="394"/>
      <c r="AXF145" s="394"/>
      <c r="AXG145" s="394"/>
      <c r="AXH145" s="394"/>
      <c r="AXI145" s="394"/>
      <c r="AXJ145" s="394"/>
      <c r="AXK145" s="394"/>
      <c r="AXL145" s="394"/>
      <c r="AXM145" s="394"/>
      <c r="AXN145" s="394"/>
      <c r="AXO145" s="394"/>
      <c r="AXP145" s="394"/>
      <c r="AXQ145" s="394"/>
      <c r="AXR145" s="394"/>
      <c r="AXS145" s="394"/>
      <c r="AXT145" s="394"/>
      <c r="AXU145" s="394"/>
      <c r="AXV145" s="394"/>
      <c r="AXW145" s="394"/>
      <c r="AXX145" s="394"/>
      <c r="AXY145" s="394"/>
      <c r="AXZ145" s="394"/>
      <c r="AYA145" s="394"/>
      <c r="AYB145" s="394"/>
      <c r="AYC145" s="394"/>
      <c r="AYD145" s="394"/>
      <c r="AYE145" s="394"/>
      <c r="AYF145" s="394"/>
      <c r="AYG145" s="394"/>
      <c r="AYH145" s="394"/>
      <c r="AYI145" s="394"/>
      <c r="AYJ145" s="394"/>
      <c r="AYK145" s="394"/>
      <c r="AYL145" s="394"/>
      <c r="AYM145" s="394"/>
      <c r="AYN145" s="394"/>
      <c r="AYO145" s="394"/>
      <c r="AYP145" s="394"/>
      <c r="AYQ145" s="394"/>
      <c r="AYR145" s="394"/>
      <c r="AYS145" s="394"/>
      <c r="AYT145" s="394"/>
      <c r="AYU145" s="394"/>
      <c r="AYV145" s="394"/>
      <c r="AYW145" s="394"/>
      <c r="AYX145" s="394"/>
      <c r="AYY145" s="394"/>
      <c r="AYZ145" s="394"/>
      <c r="AZA145" s="394"/>
      <c r="AZB145" s="394"/>
      <c r="AZC145" s="394"/>
      <c r="AZD145" s="394"/>
      <c r="AZE145" s="394"/>
      <c r="AZF145" s="394"/>
      <c r="AZG145" s="394"/>
      <c r="AZH145" s="394"/>
      <c r="AZI145" s="394"/>
      <c r="AZJ145" s="394"/>
      <c r="AZK145" s="394"/>
      <c r="AZL145" s="394"/>
      <c r="AZM145" s="394"/>
      <c r="AZN145" s="394"/>
      <c r="AZO145" s="394"/>
      <c r="AZP145" s="394"/>
      <c r="AZQ145" s="394"/>
      <c r="AZR145" s="394"/>
      <c r="AZS145" s="394"/>
      <c r="AZT145" s="394"/>
      <c r="AZU145" s="394"/>
      <c r="AZV145" s="394"/>
      <c r="AZW145" s="394"/>
      <c r="AZX145" s="394"/>
      <c r="AZY145" s="394"/>
      <c r="AZZ145" s="394"/>
      <c r="BAA145" s="394"/>
      <c r="BAB145" s="394"/>
      <c r="BAC145" s="394"/>
      <c r="BAD145" s="394"/>
      <c r="BAE145" s="394"/>
      <c r="BAF145" s="394"/>
      <c r="BAG145" s="394"/>
      <c r="BAH145" s="394"/>
      <c r="BAI145" s="394"/>
      <c r="BAJ145" s="394"/>
      <c r="BAK145" s="394"/>
      <c r="BAL145" s="394"/>
      <c r="BAM145" s="394"/>
      <c r="BAN145" s="394"/>
      <c r="BAO145" s="394"/>
      <c r="BAP145" s="394"/>
      <c r="BAQ145" s="394"/>
      <c r="BAR145" s="394"/>
      <c r="BAS145" s="394"/>
      <c r="BAT145" s="394"/>
      <c r="BAU145" s="394"/>
      <c r="BAV145" s="394"/>
      <c r="BAW145" s="394"/>
      <c r="BAX145" s="394"/>
      <c r="BAY145" s="394"/>
      <c r="BAZ145" s="394"/>
      <c r="BBA145" s="394"/>
      <c r="BBB145" s="394"/>
      <c r="BBC145" s="394"/>
      <c r="BBD145" s="394"/>
      <c r="BBE145" s="394"/>
      <c r="BBF145" s="394"/>
      <c r="BBG145" s="394"/>
      <c r="BBH145" s="394"/>
      <c r="BBI145" s="394"/>
      <c r="BBJ145" s="394"/>
      <c r="BBK145" s="394"/>
      <c r="BBL145" s="394"/>
      <c r="BBM145" s="394"/>
      <c r="BBN145" s="394"/>
      <c r="BBO145" s="394"/>
      <c r="BBP145" s="394"/>
      <c r="BBQ145" s="394"/>
      <c r="BBR145" s="394"/>
      <c r="BBS145" s="394"/>
      <c r="BBT145" s="394"/>
      <c r="BBU145" s="394"/>
      <c r="BBV145" s="394"/>
      <c r="BBW145" s="394"/>
      <c r="BBX145" s="394"/>
      <c r="BBY145" s="394"/>
      <c r="BBZ145" s="394"/>
      <c r="BCA145" s="394"/>
      <c r="BCB145" s="394"/>
      <c r="BCC145" s="394"/>
      <c r="BCD145" s="394"/>
      <c r="BCE145" s="394"/>
      <c r="BCF145" s="394"/>
      <c r="BCG145" s="394"/>
      <c r="BCH145" s="394"/>
      <c r="BCI145" s="394"/>
      <c r="BCJ145" s="394"/>
      <c r="BCK145" s="394"/>
      <c r="BCL145" s="394"/>
      <c r="BCM145" s="394"/>
      <c r="BCN145" s="394"/>
      <c r="BCO145" s="394"/>
      <c r="BCP145" s="394"/>
      <c r="BCQ145" s="394"/>
      <c r="BCR145" s="394"/>
      <c r="BCS145" s="394"/>
      <c r="BCT145" s="394"/>
      <c r="BCU145" s="394"/>
      <c r="BCV145" s="394"/>
      <c r="BCW145" s="394"/>
      <c r="BCX145" s="394"/>
      <c r="BCY145" s="394"/>
      <c r="BCZ145" s="394"/>
      <c r="BDA145" s="394"/>
      <c r="BDB145" s="394"/>
      <c r="BDC145" s="394"/>
      <c r="BDD145" s="394"/>
      <c r="BDE145" s="394"/>
      <c r="BDF145" s="394"/>
      <c r="BDG145" s="394"/>
      <c r="BDH145" s="394"/>
      <c r="BDI145" s="394"/>
      <c r="BDJ145" s="394"/>
      <c r="BDK145" s="394"/>
      <c r="BDL145" s="394"/>
      <c r="BDM145" s="394"/>
      <c r="BDN145" s="394"/>
      <c r="BDO145" s="394"/>
      <c r="BDP145" s="394"/>
      <c r="BDQ145" s="394"/>
      <c r="BDR145" s="394"/>
      <c r="BDS145" s="394"/>
      <c r="BDT145" s="394"/>
      <c r="BDU145" s="394"/>
      <c r="BDV145" s="394"/>
      <c r="BDW145" s="394"/>
      <c r="BDX145" s="394"/>
      <c r="BDY145" s="394"/>
      <c r="BDZ145" s="394"/>
      <c r="BEA145" s="394"/>
      <c r="BEB145" s="394"/>
      <c r="BEC145" s="394"/>
      <c r="BED145" s="394"/>
      <c r="BEE145" s="394"/>
      <c r="BEF145" s="394"/>
      <c r="BEG145" s="394"/>
      <c r="BEH145" s="394"/>
      <c r="BEI145" s="394"/>
      <c r="BEJ145" s="394"/>
      <c r="BEK145" s="394"/>
      <c r="BEL145" s="394"/>
      <c r="BEM145" s="394"/>
      <c r="BEN145" s="394"/>
      <c r="BEO145" s="394"/>
      <c r="BEP145" s="394"/>
      <c r="BEQ145" s="394"/>
      <c r="BER145" s="394"/>
      <c r="BES145" s="394"/>
      <c r="BET145" s="394"/>
      <c r="BEU145" s="394"/>
      <c r="BEV145" s="394"/>
      <c r="BEW145" s="394"/>
      <c r="BEX145" s="394"/>
      <c r="BEY145" s="394"/>
      <c r="BEZ145" s="394"/>
      <c r="BFA145" s="394"/>
      <c r="BFB145" s="394"/>
      <c r="BFC145" s="394"/>
      <c r="BFD145" s="394"/>
      <c r="BFE145" s="394"/>
      <c r="BFF145" s="394"/>
      <c r="BFG145" s="394"/>
      <c r="BFH145" s="394"/>
      <c r="BFI145" s="394"/>
      <c r="BFJ145" s="394"/>
      <c r="BFK145" s="394"/>
      <c r="BFL145" s="394"/>
      <c r="BFM145" s="394"/>
      <c r="BFN145" s="394"/>
      <c r="BFO145" s="394"/>
      <c r="BFP145" s="394"/>
      <c r="BFQ145" s="394"/>
      <c r="BFR145" s="394"/>
      <c r="BFS145" s="394"/>
      <c r="BFT145" s="394"/>
      <c r="BFU145" s="394"/>
      <c r="BFV145" s="394"/>
      <c r="BFW145" s="394"/>
      <c r="BFX145" s="394"/>
      <c r="BFY145" s="394"/>
      <c r="BFZ145" s="394"/>
      <c r="BGA145" s="394"/>
      <c r="BGB145" s="394"/>
      <c r="BGC145" s="394"/>
      <c r="BGD145" s="394"/>
      <c r="BGE145" s="394"/>
      <c r="BGF145" s="394"/>
      <c r="BGG145" s="394"/>
      <c r="BGH145" s="394"/>
      <c r="BGI145" s="394"/>
      <c r="BGJ145" s="394"/>
      <c r="BGK145" s="394"/>
      <c r="BGL145" s="394"/>
      <c r="BGM145" s="394"/>
      <c r="BGN145" s="394"/>
      <c r="BGO145" s="394"/>
      <c r="BGP145" s="394"/>
      <c r="BGQ145" s="394"/>
      <c r="BGR145" s="394"/>
      <c r="BGS145" s="394"/>
      <c r="BGT145" s="394"/>
      <c r="BGU145" s="394"/>
      <c r="BGV145" s="394"/>
      <c r="BGW145" s="394"/>
      <c r="BGX145" s="394"/>
      <c r="BGY145" s="394"/>
      <c r="BGZ145" s="394"/>
      <c r="BHA145" s="394"/>
      <c r="BHB145" s="394"/>
      <c r="BHC145" s="394"/>
      <c r="BHD145" s="394"/>
      <c r="BHE145" s="394"/>
      <c r="BHF145" s="394"/>
      <c r="BHG145" s="394"/>
      <c r="BHH145" s="394"/>
      <c r="BHI145" s="394"/>
      <c r="BHJ145" s="394"/>
      <c r="BHK145" s="394"/>
      <c r="BHL145" s="394"/>
      <c r="BHM145" s="394"/>
      <c r="BHN145" s="394"/>
      <c r="BHO145" s="394"/>
      <c r="BHP145" s="394"/>
      <c r="BHQ145" s="394"/>
      <c r="BHR145" s="394"/>
      <c r="BHS145" s="394"/>
      <c r="BHT145" s="394"/>
      <c r="BHU145" s="394"/>
      <c r="BHV145" s="394"/>
      <c r="BHW145" s="394"/>
      <c r="BHX145" s="394"/>
      <c r="BHY145" s="394"/>
      <c r="BHZ145" s="394"/>
      <c r="BIA145" s="394"/>
      <c r="BIB145" s="394"/>
      <c r="BIC145" s="394"/>
      <c r="BID145" s="394"/>
      <c r="BIE145" s="394"/>
      <c r="BIF145" s="394"/>
      <c r="BIG145" s="394"/>
      <c r="BIH145" s="394"/>
      <c r="BII145" s="394"/>
      <c r="BIJ145" s="394"/>
      <c r="BIK145" s="394"/>
      <c r="BIL145" s="394"/>
      <c r="BIM145" s="394"/>
      <c r="BIN145" s="394"/>
      <c r="BIO145" s="394"/>
      <c r="BIP145" s="394"/>
      <c r="BIQ145" s="394"/>
      <c r="BIR145" s="394"/>
      <c r="BIS145" s="394"/>
      <c r="BIT145" s="394"/>
      <c r="BIU145" s="394"/>
      <c r="BIV145" s="394"/>
      <c r="BIW145" s="394"/>
      <c r="BIX145" s="394"/>
      <c r="BIY145" s="394"/>
      <c r="BIZ145" s="394"/>
      <c r="BJA145" s="394"/>
      <c r="BJB145" s="394"/>
      <c r="BJC145" s="394"/>
      <c r="BJD145" s="394"/>
      <c r="BJE145" s="394"/>
      <c r="BJF145" s="394"/>
      <c r="BJG145" s="394"/>
      <c r="BJH145" s="394"/>
      <c r="BJI145" s="394"/>
      <c r="BJJ145" s="394"/>
      <c r="BJK145" s="394"/>
      <c r="BJL145" s="394"/>
      <c r="BJM145" s="394"/>
      <c r="BJN145" s="394"/>
      <c r="BJO145" s="394"/>
      <c r="BJP145" s="394"/>
      <c r="BJQ145" s="394"/>
      <c r="BJR145" s="394"/>
      <c r="BJS145" s="394"/>
      <c r="BJT145" s="394"/>
      <c r="BJU145" s="394"/>
      <c r="BJV145" s="394"/>
      <c r="BJW145" s="394"/>
      <c r="BJX145" s="394"/>
      <c r="BJY145" s="394"/>
      <c r="BJZ145" s="394"/>
      <c r="BKA145" s="394"/>
      <c r="BKB145" s="394"/>
      <c r="BKC145" s="394"/>
      <c r="BKD145" s="394"/>
      <c r="BKE145" s="394"/>
      <c r="BKF145" s="394"/>
      <c r="BKG145" s="394"/>
      <c r="BKH145" s="394"/>
      <c r="BKI145" s="394"/>
      <c r="BKJ145" s="394"/>
      <c r="BKK145" s="394"/>
      <c r="BKL145" s="394"/>
      <c r="BKM145" s="394"/>
      <c r="BKN145" s="394"/>
      <c r="BKO145" s="394"/>
      <c r="BKP145" s="394"/>
      <c r="BKQ145" s="394"/>
      <c r="BKR145" s="394"/>
      <c r="BKS145" s="394"/>
      <c r="BKT145" s="394"/>
      <c r="BKU145" s="394"/>
      <c r="BKV145" s="394"/>
      <c r="BKW145" s="394"/>
      <c r="BKX145" s="394"/>
      <c r="BKY145" s="394"/>
      <c r="BKZ145" s="394"/>
      <c r="BLA145" s="394"/>
      <c r="BLB145" s="394"/>
      <c r="BLC145" s="394"/>
      <c r="BLD145" s="394"/>
      <c r="BLE145" s="394"/>
      <c r="BLF145" s="394"/>
      <c r="BLG145" s="394"/>
      <c r="BLH145" s="394"/>
      <c r="BLI145" s="394"/>
      <c r="BLJ145" s="394"/>
      <c r="BLK145" s="394"/>
      <c r="BLL145" s="394"/>
      <c r="BLM145" s="394"/>
      <c r="BLN145" s="394"/>
      <c r="BLO145" s="394"/>
      <c r="BLP145" s="394"/>
      <c r="BLQ145" s="394"/>
      <c r="BLR145" s="394"/>
      <c r="BLS145" s="394"/>
      <c r="BLT145" s="394"/>
      <c r="BLU145" s="394"/>
      <c r="BLV145" s="394"/>
      <c r="BLW145" s="394"/>
      <c r="BLX145" s="394"/>
      <c r="BLY145" s="394"/>
      <c r="BLZ145" s="394"/>
      <c r="BMA145" s="394"/>
      <c r="BMB145" s="394"/>
      <c r="BMC145" s="394"/>
      <c r="BMD145" s="394"/>
      <c r="BME145" s="394"/>
      <c r="BMF145" s="394"/>
      <c r="BMG145" s="394"/>
      <c r="BMH145" s="394"/>
      <c r="BMI145" s="394"/>
      <c r="BMJ145" s="394"/>
      <c r="BMK145" s="394"/>
      <c r="BML145" s="394"/>
      <c r="BMM145" s="394"/>
      <c r="BMN145" s="394"/>
      <c r="BMO145" s="394"/>
      <c r="BMP145" s="394"/>
      <c r="BMQ145" s="394"/>
      <c r="BMR145" s="394"/>
      <c r="BMS145" s="394"/>
      <c r="BMT145" s="394"/>
      <c r="BMU145" s="394"/>
      <c r="BMV145" s="394"/>
      <c r="BMW145" s="394"/>
      <c r="BMX145" s="394"/>
      <c r="BMY145" s="394"/>
      <c r="BMZ145" s="394"/>
      <c r="BNA145" s="394"/>
      <c r="BNB145" s="394"/>
      <c r="BNC145" s="394"/>
      <c r="BND145" s="394"/>
      <c r="BNE145" s="394"/>
      <c r="BNF145" s="394"/>
      <c r="BNG145" s="394"/>
      <c r="BNH145" s="394"/>
      <c r="BNI145" s="394"/>
      <c r="BNJ145" s="394"/>
      <c r="BNK145" s="394"/>
      <c r="BNL145" s="394"/>
      <c r="BNM145" s="394"/>
      <c r="BNN145" s="394"/>
      <c r="BNO145" s="394"/>
      <c r="BNP145" s="394"/>
      <c r="BNQ145" s="394"/>
      <c r="BNR145" s="394"/>
      <c r="BNS145" s="394"/>
      <c r="BNT145" s="394"/>
      <c r="BNU145" s="394"/>
      <c r="BNV145" s="394"/>
      <c r="BNW145" s="394"/>
      <c r="BNX145" s="394"/>
      <c r="BNY145" s="394"/>
      <c r="BNZ145" s="394"/>
      <c r="BOA145" s="394"/>
      <c r="BOB145" s="394"/>
      <c r="BOC145" s="394"/>
      <c r="BOD145" s="394"/>
      <c r="BOE145" s="394"/>
      <c r="BOF145" s="394"/>
      <c r="BOG145" s="394"/>
      <c r="BOH145" s="394"/>
      <c r="BOI145" s="394"/>
      <c r="BOJ145" s="394"/>
      <c r="BOK145" s="394"/>
      <c r="BOL145" s="394"/>
      <c r="BOM145" s="394"/>
      <c r="BON145" s="394"/>
      <c r="BOO145" s="394"/>
      <c r="BOP145" s="394"/>
      <c r="BOQ145" s="394"/>
      <c r="BOR145" s="394"/>
      <c r="BOS145" s="394"/>
      <c r="BOT145" s="394"/>
      <c r="BOU145" s="394"/>
      <c r="BOV145" s="394"/>
      <c r="BOW145" s="394"/>
      <c r="BOX145" s="394"/>
      <c r="BOY145" s="394"/>
      <c r="BOZ145" s="394"/>
      <c r="BPA145" s="394"/>
      <c r="BPB145" s="394"/>
      <c r="BPC145" s="394"/>
      <c r="BPD145" s="394"/>
      <c r="BPE145" s="394"/>
      <c r="BPF145" s="394"/>
      <c r="BPG145" s="394"/>
      <c r="BPH145" s="394"/>
      <c r="BPI145" s="394"/>
      <c r="BPJ145" s="394"/>
      <c r="BPK145" s="394"/>
      <c r="BPL145" s="394"/>
      <c r="BPM145" s="394"/>
      <c r="BPN145" s="394"/>
      <c r="BPO145" s="394"/>
      <c r="BPP145" s="394"/>
      <c r="BPQ145" s="394"/>
      <c r="BPR145" s="394"/>
      <c r="BPS145" s="394"/>
      <c r="BPT145" s="394"/>
      <c r="BPU145" s="394"/>
      <c r="BPV145" s="394"/>
      <c r="BPW145" s="394"/>
      <c r="BPX145" s="394"/>
      <c r="BPY145" s="394"/>
      <c r="BPZ145" s="394"/>
      <c r="BQA145" s="394"/>
      <c r="BQB145" s="394"/>
      <c r="BQC145" s="394"/>
      <c r="BQD145" s="394"/>
      <c r="BQE145" s="394"/>
      <c r="BQF145" s="394"/>
      <c r="BQG145" s="394"/>
      <c r="BQH145" s="394"/>
      <c r="BQI145" s="394"/>
      <c r="BQJ145" s="394"/>
      <c r="BQK145" s="394"/>
      <c r="BQL145" s="394"/>
      <c r="BQM145" s="394"/>
      <c r="BQN145" s="394"/>
      <c r="BQO145" s="394"/>
      <c r="BQP145" s="394"/>
      <c r="BQQ145" s="394"/>
      <c r="BQR145" s="394"/>
      <c r="BQS145" s="394"/>
      <c r="BQT145" s="394"/>
      <c r="BQU145" s="394"/>
      <c r="BQV145" s="394"/>
      <c r="BQW145" s="394"/>
      <c r="BQX145" s="394"/>
      <c r="BQY145" s="394"/>
      <c r="BQZ145" s="394"/>
      <c r="BRA145" s="394"/>
      <c r="BRB145" s="394"/>
      <c r="BRC145" s="394"/>
      <c r="BRD145" s="394"/>
      <c r="BRE145" s="394"/>
      <c r="BRF145" s="394"/>
      <c r="BRG145" s="394"/>
      <c r="BRH145" s="394"/>
      <c r="BRI145" s="394"/>
      <c r="BRJ145" s="394"/>
      <c r="BRK145" s="394"/>
      <c r="BRL145" s="394"/>
      <c r="BRM145" s="394"/>
      <c r="BRN145" s="394"/>
      <c r="BRO145" s="394"/>
      <c r="BRP145" s="394"/>
      <c r="BRQ145" s="394"/>
      <c r="BRR145" s="394"/>
      <c r="BRS145" s="394"/>
      <c r="BRT145" s="394"/>
      <c r="BRU145" s="394"/>
      <c r="BRV145" s="394"/>
      <c r="BRW145" s="394"/>
      <c r="BRX145" s="394"/>
      <c r="BRY145" s="394"/>
      <c r="BRZ145" s="394"/>
      <c r="BSA145" s="394"/>
      <c r="BSB145" s="394"/>
      <c r="BSC145" s="394"/>
      <c r="BSD145" s="394"/>
      <c r="BSE145" s="394"/>
      <c r="BSF145" s="394"/>
      <c r="BSG145" s="394"/>
      <c r="BSH145" s="394"/>
      <c r="BSI145" s="394"/>
      <c r="BSJ145" s="394"/>
      <c r="BSK145" s="394"/>
      <c r="BSL145" s="394"/>
      <c r="BSM145" s="394"/>
      <c r="BSN145" s="394"/>
      <c r="BSO145" s="394"/>
      <c r="BSP145" s="394"/>
      <c r="BSQ145" s="394"/>
      <c r="BSR145" s="394"/>
      <c r="BSS145" s="394"/>
      <c r="BST145" s="394"/>
      <c r="BSU145" s="394"/>
      <c r="BSV145" s="394"/>
      <c r="BSW145" s="394"/>
      <c r="BSX145" s="394"/>
      <c r="BSY145" s="394"/>
      <c r="BSZ145" s="394"/>
      <c r="BTA145" s="394"/>
      <c r="BTB145" s="394"/>
      <c r="BTC145" s="394"/>
      <c r="BTD145" s="394"/>
      <c r="BTE145" s="394"/>
      <c r="BTF145" s="394"/>
      <c r="BTG145" s="394"/>
      <c r="BTH145" s="394"/>
      <c r="BTI145" s="394"/>
    </row>
    <row r="146" spans="1:1881" s="4" customFormat="1" ht="101.25" customHeight="1" x14ac:dyDescent="0.25">
      <c r="A146" s="188">
        <v>378</v>
      </c>
      <c r="B146" s="66" t="s">
        <v>63</v>
      </c>
      <c r="C146" s="159" t="s">
        <v>195</v>
      </c>
      <c r="D146" s="142" t="s">
        <v>202</v>
      </c>
      <c r="E146" s="32" t="e">
        <f>HLOOKUP($D$2,'2019 Data(H)'!$C$1:$CP$300,137,FALSE)</f>
        <v>#N/A</v>
      </c>
      <c r="F146" s="722"/>
      <c r="G146" s="395" t="e">
        <f>IF(F116-F145-F146=E116,,"Error: Beginning Balance does not agree with our records.  Cell F116-F145-F146= E116  The amount of the formula is in the cell to the right")</f>
        <v>#N/A</v>
      </c>
      <c r="H146" s="192" t="e">
        <f>+F116-F145-F146-E116</f>
        <v>#N/A</v>
      </c>
      <c r="I146" s="31"/>
      <c r="J146" s="394"/>
      <c r="K146" s="394"/>
      <c r="L146" s="394"/>
      <c r="M146" s="394"/>
      <c r="N146"/>
      <c r="O146" s="394"/>
      <c r="P146" s="394"/>
      <c r="Q146" s="394"/>
      <c r="R146" s="394"/>
      <c r="S146" s="394"/>
      <c r="T146" s="394"/>
      <c r="U146" s="394"/>
      <c r="V146" s="394"/>
      <c r="W146" s="394"/>
      <c r="X146" s="394"/>
      <c r="Y146" s="394"/>
      <c r="Z146" s="394"/>
      <c r="AA146" s="394"/>
      <c r="AB146" s="394"/>
      <c r="AC146" s="394"/>
      <c r="AD146" s="394"/>
      <c r="AE146" s="394"/>
      <c r="AF146" s="394"/>
      <c r="AG146" s="394"/>
      <c r="AH146" s="394"/>
      <c r="AI146" s="394"/>
      <c r="AJ146" s="394"/>
      <c r="AK146" s="394"/>
      <c r="AL146" s="394"/>
      <c r="AM146" s="394"/>
      <c r="AN146" s="394"/>
      <c r="AO146" s="394"/>
      <c r="AP146" s="394"/>
      <c r="AQ146" s="394"/>
      <c r="AR146" s="394"/>
      <c r="AS146" s="394"/>
      <c r="AT146" s="394"/>
      <c r="AU146" s="394"/>
      <c r="AV146" s="394"/>
      <c r="AW146" s="394"/>
      <c r="AX146" s="394"/>
      <c r="AY146" s="394"/>
      <c r="AZ146" s="394"/>
      <c r="BA146" s="394"/>
      <c r="BB146" s="394"/>
      <c r="BC146" s="394"/>
      <c r="BD146" s="394"/>
      <c r="BE146" s="394"/>
      <c r="BF146" s="394"/>
      <c r="BG146" s="394"/>
      <c r="BH146" s="394"/>
      <c r="BI146" s="394"/>
      <c r="BJ146" s="394"/>
      <c r="BK146" s="394"/>
      <c r="BL146" s="394"/>
      <c r="BM146" s="394"/>
      <c r="BN146" s="394"/>
      <c r="BO146" s="394"/>
      <c r="BP146" s="394"/>
      <c r="BQ146" s="394"/>
      <c r="BR146" s="394"/>
      <c r="BS146" s="394"/>
      <c r="BT146" s="394"/>
      <c r="BU146" s="394"/>
      <c r="BV146" s="394"/>
      <c r="BW146" s="394"/>
      <c r="BX146" s="394"/>
      <c r="BY146" s="394"/>
      <c r="BZ146" s="394"/>
      <c r="CA146" s="394"/>
      <c r="CB146" s="394"/>
      <c r="CC146" s="394"/>
      <c r="CD146" s="394"/>
      <c r="CE146" s="394"/>
      <c r="CF146" s="394"/>
      <c r="CG146" s="394"/>
      <c r="CH146" s="394"/>
      <c r="CI146" s="394"/>
      <c r="CJ146" s="394"/>
      <c r="CK146" s="394"/>
      <c r="CL146" s="394"/>
      <c r="CM146" s="394"/>
      <c r="CN146" s="394"/>
      <c r="CO146" s="394"/>
      <c r="CP146" s="394"/>
      <c r="CQ146" s="394"/>
      <c r="CR146" s="394"/>
      <c r="CS146" s="394"/>
      <c r="CT146" s="394"/>
      <c r="CU146" s="394"/>
      <c r="CV146" s="394"/>
      <c r="CW146" s="394"/>
      <c r="CX146" s="394"/>
      <c r="CY146" s="394"/>
      <c r="CZ146" s="394"/>
      <c r="DA146" s="394"/>
      <c r="DB146" s="394"/>
      <c r="DC146" s="394"/>
      <c r="DD146" s="394"/>
      <c r="DE146" s="394"/>
      <c r="DF146" s="394"/>
      <c r="DG146" s="394"/>
      <c r="DH146" s="394"/>
      <c r="DI146" s="394"/>
      <c r="DJ146" s="394"/>
      <c r="DK146" s="394"/>
      <c r="DL146" s="394"/>
      <c r="DM146" s="394"/>
      <c r="DN146" s="394"/>
      <c r="DO146" s="394"/>
      <c r="DP146" s="394"/>
      <c r="DQ146" s="394"/>
      <c r="DR146" s="394"/>
      <c r="DS146" s="394"/>
      <c r="DT146" s="394"/>
      <c r="DU146" s="394"/>
      <c r="DV146" s="394"/>
      <c r="DW146" s="394"/>
      <c r="DX146" s="394"/>
      <c r="DY146" s="394"/>
      <c r="DZ146" s="394"/>
      <c r="EA146" s="394"/>
      <c r="EB146" s="394"/>
      <c r="EC146" s="394"/>
      <c r="ED146" s="394"/>
      <c r="EE146" s="394"/>
      <c r="EF146" s="394"/>
      <c r="EG146" s="394"/>
      <c r="EH146" s="394"/>
      <c r="EI146" s="394"/>
      <c r="EJ146" s="394"/>
      <c r="EK146" s="394"/>
      <c r="EL146" s="394"/>
      <c r="EM146" s="394"/>
      <c r="EN146" s="394"/>
      <c r="EO146" s="394"/>
      <c r="EP146" s="394"/>
      <c r="EQ146" s="394"/>
      <c r="ER146" s="394"/>
      <c r="ES146" s="394"/>
      <c r="ET146" s="394"/>
      <c r="EU146" s="394"/>
      <c r="EV146" s="394"/>
      <c r="EW146" s="394"/>
      <c r="EX146" s="394"/>
      <c r="EY146" s="394"/>
      <c r="EZ146" s="394"/>
      <c r="FA146" s="394"/>
      <c r="FB146" s="394"/>
      <c r="FC146" s="394"/>
      <c r="FD146" s="394"/>
      <c r="FE146" s="394"/>
      <c r="FF146" s="394"/>
      <c r="FG146" s="394"/>
      <c r="FH146" s="394"/>
      <c r="FI146" s="394"/>
      <c r="FJ146" s="394"/>
      <c r="FK146" s="394"/>
      <c r="FL146" s="394"/>
      <c r="FM146" s="394"/>
      <c r="FN146" s="394"/>
      <c r="FO146" s="394"/>
      <c r="FP146" s="394"/>
      <c r="FQ146" s="394"/>
      <c r="FR146" s="394"/>
      <c r="FS146" s="394"/>
      <c r="FT146" s="394"/>
      <c r="FU146" s="394"/>
      <c r="FV146" s="394"/>
      <c r="FW146" s="394"/>
      <c r="FX146" s="394"/>
      <c r="FY146" s="394"/>
      <c r="FZ146" s="394"/>
      <c r="GA146" s="394"/>
      <c r="GB146" s="394"/>
      <c r="GC146" s="394"/>
      <c r="GD146" s="394"/>
      <c r="GE146" s="394"/>
      <c r="GF146" s="394"/>
      <c r="GG146" s="394"/>
      <c r="GH146" s="394"/>
      <c r="GI146" s="394"/>
      <c r="GJ146" s="394"/>
      <c r="GK146" s="394"/>
      <c r="GL146" s="394"/>
      <c r="GM146" s="394"/>
      <c r="GN146" s="394"/>
      <c r="GO146" s="394"/>
      <c r="GP146" s="394"/>
      <c r="GQ146" s="394"/>
      <c r="GR146" s="394"/>
      <c r="GS146" s="394"/>
      <c r="GT146" s="394"/>
      <c r="GU146" s="394"/>
      <c r="GV146" s="394"/>
      <c r="GW146" s="394"/>
      <c r="GX146" s="394"/>
      <c r="GY146" s="394"/>
      <c r="GZ146" s="394"/>
      <c r="HA146" s="394"/>
      <c r="HB146" s="394"/>
      <c r="HC146" s="394"/>
      <c r="HD146" s="394"/>
      <c r="HE146" s="394"/>
      <c r="HF146" s="394"/>
      <c r="HG146" s="394"/>
      <c r="HH146" s="394"/>
      <c r="HI146" s="394"/>
      <c r="HJ146" s="394"/>
      <c r="HK146" s="394"/>
      <c r="HL146" s="394"/>
      <c r="HM146" s="394"/>
      <c r="HN146" s="394"/>
      <c r="HO146" s="394"/>
      <c r="HP146" s="394"/>
      <c r="HQ146" s="394"/>
      <c r="HR146" s="394"/>
      <c r="HS146" s="394"/>
      <c r="HT146" s="394"/>
      <c r="HU146" s="394"/>
      <c r="HV146" s="394"/>
      <c r="HW146" s="394"/>
      <c r="HX146" s="394"/>
      <c r="HY146" s="394"/>
      <c r="HZ146" s="394"/>
      <c r="IA146" s="394"/>
      <c r="IB146" s="394"/>
      <c r="IC146" s="394"/>
      <c r="ID146" s="394"/>
      <c r="IE146" s="394"/>
      <c r="IF146" s="394"/>
      <c r="IG146" s="394"/>
      <c r="IH146" s="394"/>
      <c r="II146" s="394"/>
      <c r="IJ146" s="394"/>
      <c r="IK146" s="394"/>
      <c r="IL146" s="394"/>
      <c r="IM146" s="394"/>
      <c r="IN146" s="394"/>
      <c r="IO146" s="394"/>
      <c r="IP146" s="394"/>
      <c r="IQ146" s="394"/>
      <c r="IR146" s="394"/>
      <c r="IS146" s="394"/>
      <c r="IT146" s="394"/>
      <c r="IU146" s="394"/>
      <c r="IV146" s="394"/>
      <c r="IW146" s="394"/>
      <c r="IX146" s="394"/>
      <c r="IY146" s="394"/>
      <c r="IZ146" s="394"/>
      <c r="JA146" s="394"/>
      <c r="JB146" s="394"/>
      <c r="JC146" s="394"/>
      <c r="JD146" s="394"/>
      <c r="JE146" s="394"/>
      <c r="JF146" s="394"/>
      <c r="JG146" s="394"/>
      <c r="JH146" s="394"/>
      <c r="JI146" s="394"/>
      <c r="JJ146" s="394"/>
      <c r="JK146" s="394"/>
      <c r="JL146" s="394"/>
      <c r="JM146" s="394"/>
      <c r="JN146" s="394"/>
      <c r="JO146" s="394"/>
      <c r="JP146" s="394"/>
      <c r="JQ146" s="394"/>
      <c r="JR146" s="394"/>
      <c r="JS146" s="394"/>
      <c r="JT146" s="394"/>
      <c r="JU146" s="394"/>
      <c r="JV146" s="394"/>
      <c r="JW146" s="394"/>
      <c r="JX146" s="394"/>
      <c r="JY146" s="394"/>
      <c r="JZ146" s="394"/>
      <c r="KA146" s="394"/>
      <c r="KB146" s="394"/>
      <c r="KC146" s="394"/>
      <c r="KD146" s="394"/>
      <c r="KE146" s="394"/>
      <c r="KF146" s="394"/>
      <c r="KG146" s="394"/>
      <c r="KH146" s="394"/>
      <c r="KI146" s="394"/>
      <c r="KJ146" s="394"/>
      <c r="KK146" s="394"/>
      <c r="KL146" s="394"/>
      <c r="KM146" s="394"/>
      <c r="KN146" s="394"/>
      <c r="KO146" s="394"/>
      <c r="KP146" s="394"/>
      <c r="KQ146" s="394"/>
      <c r="KR146" s="394"/>
      <c r="KS146" s="394"/>
      <c r="KT146" s="394"/>
      <c r="KU146" s="394"/>
      <c r="KV146" s="394"/>
      <c r="KW146" s="394"/>
      <c r="KX146" s="394"/>
      <c r="KY146" s="394"/>
      <c r="KZ146" s="394"/>
      <c r="LA146" s="394"/>
      <c r="LB146" s="394"/>
      <c r="LC146" s="394"/>
      <c r="LD146" s="394"/>
      <c r="LE146" s="394"/>
      <c r="LF146" s="394"/>
      <c r="LG146" s="394"/>
      <c r="LH146" s="394"/>
      <c r="LI146" s="394"/>
      <c r="LJ146" s="394"/>
      <c r="LK146" s="394"/>
      <c r="LL146" s="394"/>
      <c r="LM146" s="394"/>
      <c r="LN146" s="394"/>
      <c r="LO146" s="394"/>
      <c r="LP146" s="394"/>
      <c r="LQ146" s="394"/>
      <c r="LR146" s="394"/>
      <c r="LS146" s="394"/>
      <c r="LT146" s="394"/>
      <c r="LU146" s="394"/>
      <c r="LV146" s="394"/>
      <c r="LW146" s="394"/>
      <c r="LX146" s="394"/>
      <c r="LY146" s="394"/>
      <c r="LZ146" s="394"/>
      <c r="MA146" s="394"/>
      <c r="MB146" s="394"/>
      <c r="MC146" s="394"/>
      <c r="MD146" s="394"/>
      <c r="ME146" s="394"/>
      <c r="MF146" s="394"/>
      <c r="MG146" s="394"/>
      <c r="MH146" s="394"/>
      <c r="MI146" s="394"/>
      <c r="MJ146" s="394"/>
      <c r="MK146" s="394"/>
      <c r="ML146" s="394"/>
      <c r="MM146" s="394"/>
      <c r="MN146" s="394"/>
      <c r="MO146" s="394"/>
      <c r="MP146" s="394"/>
      <c r="MQ146" s="394"/>
      <c r="MR146" s="394"/>
      <c r="MS146" s="394"/>
      <c r="MT146" s="394"/>
      <c r="MU146" s="394"/>
      <c r="MV146" s="394"/>
      <c r="MW146" s="394"/>
      <c r="MX146" s="394"/>
      <c r="MY146" s="394"/>
      <c r="MZ146" s="394"/>
      <c r="NA146" s="394"/>
      <c r="NB146" s="394"/>
      <c r="NC146" s="394"/>
      <c r="ND146" s="394"/>
      <c r="NE146" s="394"/>
      <c r="NF146" s="394"/>
      <c r="NG146" s="394"/>
      <c r="NH146" s="394"/>
      <c r="NI146" s="394"/>
      <c r="NJ146" s="394"/>
      <c r="NK146" s="394"/>
      <c r="NL146" s="394"/>
      <c r="NM146" s="394"/>
      <c r="NN146" s="394"/>
      <c r="NO146" s="394"/>
      <c r="NP146" s="394"/>
      <c r="NQ146" s="394"/>
      <c r="NR146" s="394"/>
      <c r="NS146" s="394"/>
      <c r="NT146" s="394"/>
      <c r="NU146" s="394"/>
      <c r="NV146" s="394"/>
      <c r="NW146" s="394"/>
      <c r="NX146" s="394"/>
      <c r="NY146" s="394"/>
      <c r="NZ146" s="394"/>
      <c r="OA146" s="394"/>
      <c r="OB146" s="394"/>
      <c r="OC146" s="394"/>
      <c r="OD146" s="394"/>
      <c r="OE146" s="394"/>
      <c r="OF146" s="394"/>
      <c r="OG146" s="394"/>
      <c r="OH146" s="394"/>
      <c r="OI146" s="394"/>
      <c r="OJ146" s="394"/>
      <c r="OK146" s="394"/>
      <c r="OL146" s="394"/>
      <c r="OM146" s="394"/>
      <c r="ON146" s="394"/>
      <c r="OO146" s="394"/>
      <c r="OP146" s="394"/>
      <c r="OQ146" s="394"/>
      <c r="OR146" s="394"/>
      <c r="OS146" s="394"/>
      <c r="OT146" s="394"/>
      <c r="OU146" s="394"/>
      <c r="OV146" s="394"/>
      <c r="OW146" s="394"/>
      <c r="OX146" s="394"/>
      <c r="OY146" s="394"/>
      <c r="OZ146" s="394"/>
      <c r="PA146" s="394"/>
      <c r="PB146" s="394"/>
      <c r="PC146" s="394"/>
      <c r="PD146" s="394"/>
      <c r="PE146" s="394"/>
      <c r="PF146" s="394"/>
      <c r="PG146" s="394"/>
      <c r="PH146" s="394"/>
      <c r="PI146" s="394"/>
      <c r="PJ146" s="394"/>
      <c r="PK146" s="394"/>
      <c r="PL146" s="394"/>
      <c r="PM146" s="394"/>
      <c r="PN146" s="394"/>
      <c r="PO146" s="394"/>
      <c r="PP146" s="394"/>
      <c r="PQ146" s="394"/>
      <c r="PR146" s="394"/>
      <c r="PS146" s="394"/>
      <c r="PT146" s="394"/>
      <c r="PU146" s="394"/>
      <c r="PV146" s="394"/>
      <c r="PW146" s="394"/>
      <c r="PX146" s="394"/>
      <c r="PY146" s="394"/>
      <c r="PZ146" s="394"/>
      <c r="QA146" s="394"/>
      <c r="QB146" s="394"/>
      <c r="QC146" s="394"/>
      <c r="QD146" s="394"/>
      <c r="QE146" s="394"/>
      <c r="QF146" s="394"/>
      <c r="QG146" s="394"/>
      <c r="QH146" s="394"/>
      <c r="QI146" s="394"/>
      <c r="QJ146" s="394"/>
      <c r="QK146" s="394"/>
      <c r="QL146" s="394"/>
      <c r="QM146" s="394"/>
      <c r="QN146" s="394"/>
      <c r="QO146" s="394"/>
      <c r="QP146" s="394"/>
      <c r="QQ146" s="394"/>
      <c r="QR146" s="394"/>
      <c r="QS146" s="394"/>
      <c r="QT146" s="394"/>
      <c r="QU146" s="394"/>
      <c r="QV146" s="394"/>
      <c r="QW146" s="394"/>
      <c r="QX146" s="394"/>
      <c r="QY146" s="394"/>
      <c r="QZ146" s="394"/>
      <c r="RA146" s="394"/>
      <c r="RB146" s="394"/>
      <c r="RC146" s="394"/>
      <c r="RD146" s="394"/>
      <c r="RE146" s="394"/>
      <c r="RF146" s="394"/>
      <c r="RG146" s="394"/>
      <c r="RH146" s="394"/>
      <c r="RI146" s="394"/>
      <c r="RJ146" s="394"/>
      <c r="RK146" s="394"/>
      <c r="RL146" s="394"/>
      <c r="RM146" s="394"/>
      <c r="RN146" s="394"/>
      <c r="RO146" s="394"/>
      <c r="RP146" s="394"/>
      <c r="RQ146" s="394"/>
      <c r="RR146" s="394"/>
      <c r="RS146" s="394"/>
      <c r="RT146" s="394"/>
      <c r="RU146" s="394"/>
      <c r="RV146" s="394"/>
      <c r="RW146" s="394"/>
      <c r="RX146" s="394"/>
      <c r="RY146" s="394"/>
      <c r="RZ146" s="394"/>
      <c r="SA146" s="394"/>
      <c r="SB146" s="394"/>
      <c r="SC146" s="394"/>
      <c r="SD146" s="394"/>
      <c r="SE146" s="394"/>
      <c r="SF146" s="394"/>
      <c r="SG146" s="394"/>
      <c r="SH146" s="394"/>
      <c r="SI146" s="394"/>
      <c r="SJ146" s="394"/>
      <c r="SK146" s="394"/>
      <c r="SL146" s="394"/>
      <c r="SM146" s="394"/>
      <c r="SN146" s="394"/>
      <c r="SO146" s="394"/>
      <c r="SP146" s="394"/>
      <c r="SQ146" s="394"/>
      <c r="SR146" s="394"/>
      <c r="SS146" s="394"/>
      <c r="ST146" s="394"/>
      <c r="SU146" s="394"/>
      <c r="SV146" s="394"/>
      <c r="SW146" s="394"/>
      <c r="SX146" s="394"/>
      <c r="SY146" s="394"/>
      <c r="SZ146" s="394"/>
      <c r="TA146" s="394"/>
      <c r="TB146" s="394"/>
      <c r="TC146" s="394"/>
      <c r="TD146" s="394"/>
      <c r="TE146" s="394"/>
      <c r="TF146" s="394"/>
      <c r="TG146" s="394"/>
      <c r="TH146" s="394"/>
      <c r="TI146" s="394"/>
      <c r="TJ146" s="394"/>
      <c r="TK146" s="394"/>
      <c r="TL146" s="394"/>
      <c r="TM146" s="394"/>
      <c r="TN146" s="394"/>
      <c r="TO146" s="394"/>
      <c r="TP146" s="394"/>
      <c r="TQ146" s="394"/>
      <c r="TR146" s="394"/>
      <c r="TS146" s="394"/>
      <c r="TT146" s="394"/>
      <c r="TU146" s="394"/>
      <c r="TV146" s="394"/>
      <c r="TW146" s="394"/>
      <c r="TX146" s="394"/>
      <c r="TY146" s="394"/>
      <c r="TZ146" s="394"/>
      <c r="UA146" s="394"/>
      <c r="UB146" s="394"/>
      <c r="UC146" s="394"/>
      <c r="UD146" s="394"/>
      <c r="UE146" s="394"/>
      <c r="UF146" s="394"/>
      <c r="UG146" s="394"/>
      <c r="UH146" s="394"/>
      <c r="UI146" s="394"/>
      <c r="UJ146" s="394"/>
      <c r="UK146" s="394"/>
      <c r="UL146" s="394"/>
      <c r="UM146" s="394"/>
      <c r="UN146" s="394"/>
      <c r="UO146" s="394"/>
      <c r="UP146" s="394"/>
      <c r="UQ146" s="394"/>
      <c r="UR146" s="394"/>
      <c r="US146" s="394"/>
      <c r="UT146" s="394"/>
      <c r="UU146" s="394"/>
      <c r="UV146" s="394"/>
      <c r="UW146" s="394"/>
      <c r="UX146" s="394"/>
      <c r="UY146" s="394"/>
      <c r="UZ146" s="394"/>
      <c r="VA146" s="394"/>
      <c r="VB146" s="394"/>
      <c r="VC146" s="394"/>
      <c r="VD146" s="394"/>
      <c r="VE146" s="394"/>
      <c r="VF146" s="394"/>
      <c r="VG146" s="394"/>
      <c r="VH146" s="394"/>
      <c r="VI146" s="394"/>
      <c r="VJ146" s="394"/>
      <c r="VK146" s="394"/>
      <c r="VL146" s="394"/>
      <c r="VM146" s="394"/>
      <c r="VN146" s="394"/>
      <c r="VO146" s="394"/>
      <c r="VP146" s="394"/>
      <c r="VQ146" s="394"/>
      <c r="VR146" s="394"/>
      <c r="VS146" s="394"/>
      <c r="VT146" s="394"/>
      <c r="VU146" s="394"/>
      <c r="VV146" s="394"/>
      <c r="VW146" s="394"/>
      <c r="VX146" s="394"/>
      <c r="VY146" s="394"/>
      <c r="VZ146" s="394"/>
      <c r="WA146" s="394"/>
      <c r="WB146" s="394"/>
      <c r="WC146" s="394"/>
      <c r="WD146" s="394"/>
      <c r="WE146" s="394"/>
      <c r="WF146" s="394"/>
      <c r="WG146" s="394"/>
      <c r="WH146" s="394"/>
      <c r="WI146" s="394"/>
      <c r="WJ146" s="394"/>
      <c r="WK146" s="394"/>
      <c r="WL146" s="394"/>
      <c r="WM146" s="394"/>
      <c r="WN146" s="394"/>
      <c r="WO146" s="394"/>
      <c r="WP146" s="394"/>
      <c r="WQ146" s="394"/>
      <c r="WR146" s="394"/>
      <c r="WS146" s="394"/>
      <c r="WT146" s="394"/>
      <c r="WU146" s="394"/>
      <c r="WV146" s="394"/>
      <c r="WW146" s="394"/>
      <c r="WX146" s="394"/>
      <c r="WY146" s="394"/>
      <c r="WZ146" s="394"/>
      <c r="XA146" s="394"/>
      <c r="XB146" s="394"/>
      <c r="XC146" s="394"/>
      <c r="XD146" s="394"/>
      <c r="XE146" s="394"/>
      <c r="XF146" s="394"/>
      <c r="XG146" s="394"/>
      <c r="XH146" s="394"/>
      <c r="XI146" s="394"/>
      <c r="XJ146" s="394"/>
      <c r="XK146" s="394"/>
      <c r="XL146" s="394"/>
      <c r="XM146" s="394"/>
      <c r="XN146" s="394"/>
      <c r="XO146" s="394"/>
      <c r="XP146" s="394"/>
      <c r="XQ146" s="394"/>
      <c r="XR146" s="394"/>
      <c r="XS146" s="394"/>
      <c r="XT146" s="394"/>
      <c r="XU146" s="394"/>
      <c r="XV146" s="394"/>
      <c r="XW146" s="394"/>
      <c r="XX146" s="394"/>
      <c r="XY146" s="394"/>
      <c r="XZ146" s="394"/>
      <c r="YA146" s="394"/>
      <c r="YB146" s="394"/>
      <c r="YC146" s="394"/>
      <c r="YD146" s="394"/>
      <c r="YE146" s="394"/>
      <c r="YF146" s="394"/>
      <c r="YG146" s="394"/>
      <c r="YH146" s="394"/>
      <c r="YI146" s="394"/>
      <c r="YJ146" s="394"/>
      <c r="YK146" s="394"/>
      <c r="YL146" s="394"/>
      <c r="YM146" s="394"/>
      <c r="YN146" s="394"/>
      <c r="YO146" s="394"/>
      <c r="YP146" s="394"/>
      <c r="YQ146" s="394"/>
      <c r="YR146" s="394"/>
      <c r="YS146" s="394"/>
      <c r="YT146" s="394"/>
      <c r="YU146" s="394"/>
      <c r="YV146" s="394"/>
      <c r="YW146" s="394"/>
      <c r="YX146" s="394"/>
      <c r="YY146" s="394"/>
      <c r="YZ146" s="394"/>
      <c r="ZA146" s="394"/>
      <c r="ZB146" s="394"/>
      <c r="ZC146" s="394"/>
      <c r="ZD146" s="394"/>
      <c r="ZE146" s="394"/>
      <c r="ZF146" s="394"/>
      <c r="ZG146" s="394"/>
      <c r="ZH146" s="394"/>
      <c r="ZI146" s="394"/>
      <c r="ZJ146" s="394"/>
      <c r="ZK146" s="394"/>
      <c r="ZL146" s="394"/>
      <c r="ZM146" s="394"/>
      <c r="ZN146" s="394"/>
      <c r="ZO146" s="394"/>
      <c r="ZP146" s="394"/>
      <c r="ZQ146" s="394"/>
      <c r="ZR146" s="394"/>
      <c r="ZS146" s="394"/>
      <c r="ZT146" s="394"/>
      <c r="ZU146" s="394"/>
      <c r="ZV146" s="394"/>
      <c r="ZW146" s="394"/>
      <c r="ZX146" s="394"/>
      <c r="ZY146" s="394"/>
      <c r="ZZ146" s="394"/>
      <c r="AAA146" s="394"/>
      <c r="AAB146" s="394"/>
      <c r="AAC146" s="394"/>
      <c r="AAD146" s="394"/>
      <c r="AAE146" s="394"/>
      <c r="AAF146" s="394"/>
      <c r="AAG146" s="394"/>
      <c r="AAH146" s="394"/>
      <c r="AAI146" s="394"/>
      <c r="AAJ146" s="394"/>
      <c r="AAK146" s="394"/>
      <c r="AAL146" s="394"/>
      <c r="AAM146" s="394"/>
      <c r="AAN146" s="394"/>
      <c r="AAO146" s="394"/>
      <c r="AAP146" s="394"/>
      <c r="AAQ146" s="394"/>
      <c r="AAR146" s="394"/>
      <c r="AAS146" s="394"/>
      <c r="AAT146" s="394"/>
      <c r="AAU146" s="394"/>
      <c r="AAV146" s="394"/>
      <c r="AAW146" s="394"/>
      <c r="AAX146" s="394"/>
      <c r="AAY146" s="394"/>
      <c r="AAZ146" s="394"/>
      <c r="ABA146" s="394"/>
      <c r="ABB146" s="394"/>
      <c r="ABC146" s="394"/>
      <c r="ABD146" s="394"/>
      <c r="ABE146" s="394"/>
      <c r="ABF146" s="394"/>
      <c r="ABG146" s="394"/>
      <c r="ABH146" s="394"/>
      <c r="ABI146" s="394"/>
      <c r="ABJ146" s="394"/>
      <c r="ABK146" s="394"/>
      <c r="ABL146" s="394"/>
      <c r="ABM146" s="394"/>
      <c r="ABN146" s="394"/>
      <c r="ABO146" s="394"/>
      <c r="ABP146" s="394"/>
      <c r="ABQ146" s="394"/>
      <c r="ABR146" s="394"/>
      <c r="ABS146" s="394"/>
      <c r="ABT146" s="394"/>
      <c r="ABU146" s="394"/>
      <c r="ABV146" s="394"/>
      <c r="ABW146" s="394"/>
      <c r="ABX146" s="394"/>
      <c r="ABY146" s="394"/>
      <c r="ABZ146" s="394"/>
      <c r="ACA146" s="394"/>
      <c r="ACB146" s="394"/>
      <c r="ACC146" s="394"/>
      <c r="ACD146" s="394"/>
      <c r="ACE146" s="394"/>
      <c r="ACF146" s="394"/>
      <c r="ACG146" s="394"/>
      <c r="ACH146" s="394"/>
      <c r="ACI146" s="394"/>
      <c r="ACJ146" s="394"/>
      <c r="ACK146" s="394"/>
      <c r="ACL146" s="394"/>
      <c r="ACM146" s="394"/>
      <c r="ACN146" s="394"/>
      <c r="ACO146" s="394"/>
      <c r="ACP146" s="394"/>
      <c r="ACQ146" s="394"/>
      <c r="ACR146" s="394"/>
      <c r="ACS146" s="394"/>
      <c r="ACT146" s="394"/>
      <c r="ACU146" s="394"/>
      <c r="ACV146" s="394"/>
      <c r="ACW146" s="394"/>
      <c r="ACX146" s="394"/>
      <c r="ACY146" s="394"/>
      <c r="ACZ146" s="394"/>
      <c r="ADA146" s="394"/>
      <c r="ADB146" s="394"/>
      <c r="ADC146" s="394"/>
      <c r="ADD146" s="394"/>
      <c r="ADE146" s="394"/>
      <c r="ADF146" s="394"/>
      <c r="ADG146" s="394"/>
      <c r="ADH146" s="394"/>
      <c r="ADI146" s="394"/>
      <c r="ADJ146" s="394"/>
      <c r="ADK146" s="394"/>
      <c r="ADL146" s="394"/>
      <c r="ADM146" s="394"/>
      <c r="ADN146" s="394"/>
      <c r="ADO146" s="394"/>
      <c r="ADP146" s="394"/>
      <c r="ADQ146" s="394"/>
      <c r="ADR146" s="394"/>
      <c r="ADS146" s="394"/>
      <c r="ADT146" s="394"/>
      <c r="ADU146" s="394"/>
      <c r="ADV146" s="394"/>
      <c r="ADW146" s="394"/>
      <c r="ADX146" s="394"/>
      <c r="ADY146" s="394"/>
      <c r="ADZ146" s="394"/>
      <c r="AEA146" s="394"/>
      <c r="AEB146" s="394"/>
      <c r="AEC146" s="394"/>
      <c r="AED146" s="394"/>
      <c r="AEE146" s="394"/>
      <c r="AEF146" s="394"/>
      <c r="AEG146" s="394"/>
      <c r="AEH146" s="394"/>
      <c r="AEI146" s="394"/>
      <c r="AEJ146" s="394"/>
      <c r="AEK146" s="394"/>
      <c r="AEL146" s="394"/>
      <c r="AEM146" s="394"/>
      <c r="AEN146" s="394"/>
      <c r="AEO146" s="394"/>
      <c r="AEP146" s="394"/>
      <c r="AEQ146" s="394"/>
      <c r="AER146" s="394"/>
      <c r="AES146" s="394"/>
      <c r="AET146" s="394"/>
      <c r="AEU146" s="394"/>
      <c r="AEV146" s="394"/>
      <c r="AEW146" s="394"/>
      <c r="AEX146" s="394"/>
      <c r="AEY146" s="394"/>
      <c r="AEZ146" s="394"/>
      <c r="AFA146" s="394"/>
      <c r="AFB146" s="394"/>
      <c r="AFC146" s="394"/>
      <c r="AFD146" s="394"/>
      <c r="AFE146" s="394"/>
      <c r="AFF146" s="394"/>
      <c r="AFG146" s="394"/>
      <c r="AFH146" s="394"/>
      <c r="AFI146" s="394"/>
      <c r="AFJ146" s="394"/>
      <c r="AFK146" s="394"/>
      <c r="AFL146" s="394"/>
      <c r="AFM146" s="394"/>
      <c r="AFN146" s="394"/>
      <c r="AFO146" s="394"/>
      <c r="AFP146" s="394"/>
      <c r="AFQ146" s="394"/>
      <c r="AFR146" s="394"/>
      <c r="AFS146" s="394"/>
      <c r="AFT146" s="394"/>
      <c r="AFU146" s="394"/>
      <c r="AFV146" s="394"/>
      <c r="AFW146" s="394"/>
      <c r="AFX146" s="394"/>
      <c r="AFY146" s="394"/>
      <c r="AFZ146" s="394"/>
      <c r="AGA146" s="394"/>
      <c r="AGB146" s="394"/>
      <c r="AGC146" s="394"/>
      <c r="AGD146" s="394"/>
      <c r="AGE146" s="394"/>
      <c r="AGF146" s="394"/>
      <c r="AGG146" s="394"/>
      <c r="AGH146" s="394"/>
      <c r="AGI146" s="394"/>
      <c r="AGJ146" s="394"/>
      <c r="AGK146" s="394"/>
      <c r="AGL146" s="394"/>
      <c r="AGM146" s="394"/>
      <c r="AGN146" s="394"/>
      <c r="AGO146" s="394"/>
      <c r="AGP146" s="394"/>
      <c r="AGQ146" s="394"/>
      <c r="AGR146" s="394"/>
      <c r="AGS146" s="394"/>
      <c r="AGT146" s="394"/>
      <c r="AGU146" s="394"/>
      <c r="AGV146" s="394"/>
      <c r="AGW146" s="394"/>
      <c r="AGX146" s="394"/>
      <c r="AGY146" s="394"/>
      <c r="AGZ146" s="394"/>
      <c r="AHA146" s="394"/>
      <c r="AHB146" s="394"/>
      <c r="AHC146" s="394"/>
      <c r="AHD146" s="394"/>
      <c r="AHE146" s="394"/>
      <c r="AHF146" s="394"/>
      <c r="AHG146" s="394"/>
      <c r="AHH146" s="394"/>
      <c r="AHI146" s="394"/>
      <c r="AHJ146" s="394"/>
      <c r="AHK146" s="394"/>
      <c r="AHL146" s="394"/>
      <c r="AHM146" s="394"/>
      <c r="AHN146" s="394"/>
      <c r="AHO146" s="394"/>
      <c r="AHP146" s="394"/>
      <c r="AHQ146" s="394"/>
      <c r="AHR146" s="394"/>
      <c r="AHS146" s="394"/>
      <c r="AHT146" s="394"/>
      <c r="AHU146" s="394"/>
      <c r="AHV146" s="394"/>
      <c r="AHW146" s="394"/>
      <c r="AHX146" s="394"/>
      <c r="AHY146" s="394"/>
      <c r="AHZ146" s="394"/>
      <c r="AIA146" s="394"/>
      <c r="AIB146" s="394"/>
      <c r="AIC146" s="394"/>
      <c r="AID146" s="394"/>
      <c r="AIE146" s="394"/>
      <c r="AIF146" s="394"/>
      <c r="AIG146" s="394"/>
      <c r="AIH146" s="394"/>
      <c r="AII146" s="394"/>
      <c r="AIJ146" s="394"/>
      <c r="AIK146" s="394"/>
      <c r="AIL146" s="394"/>
      <c r="AIM146" s="394"/>
      <c r="AIN146" s="394"/>
      <c r="AIO146" s="394"/>
      <c r="AIP146" s="394"/>
      <c r="AIQ146" s="394"/>
      <c r="AIR146" s="394"/>
      <c r="AIS146" s="394"/>
      <c r="AIT146" s="394"/>
      <c r="AIU146" s="394"/>
      <c r="AIV146" s="394"/>
      <c r="AIW146" s="394"/>
      <c r="AIX146" s="394"/>
      <c r="AIY146" s="394"/>
      <c r="AIZ146" s="394"/>
      <c r="AJA146" s="394"/>
      <c r="AJB146" s="394"/>
      <c r="AJC146" s="394"/>
      <c r="AJD146" s="394"/>
      <c r="AJE146" s="394"/>
      <c r="AJF146" s="394"/>
      <c r="AJG146" s="394"/>
      <c r="AJH146" s="394"/>
      <c r="AJI146" s="394"/>
      <c r="AJJ146" s="394"/>
      <c r="AJK146" s="394"/>
      <c r="AJL146" s="394"/>
      <c r="AJM146" s="394"/>
      <c r="AJN146" s="394"/>
      <c r="AJO146" s="394"/>
      <c r="AJP146" s="394"/>
      <c r="AJQ146" s="394"/>
      <c r="AJR146" s="394"/>
      <c r="AJS146" s="394"/>
      <c r="AJT146" s="394"/>
      <c r="AJU146" s="394"/>
      <c r="AJV146" s="394"/>
      <c r="AJW146" s="394"/>
      <c r="AJX146" s="394"/>
      <c r="AJY146" s="394"/>
      <c r="AJZ146" s="394"/>
      <c r="AKA146" s="394"/>
      <c r="AKB146" s="394"/>
      <c r="AKC146" s="394"/>
      <c r="AKD146" s="394"/>
      <c r="AKE146" s="394"/>
      <c r="AKF146" s="394"/>
      <c r="AKG146" s="394"/>
      <c r="AKH146" s="394"/>
      <c r="AKI146" s="394"/>
      <c r="AKJ146" s="394"/>
      <c r="AKK146" s="394"/>
      <c r="AKL146" s="394"/>
      <c r="AKM146" s="394"/>
      <c r="AKN146" s="394"/>
      <c r="AKO146" s="394"/>
      <c r="AKP146" s="394"/>
      <c r="AKQ146" s="394"/>
      <c r="AKR146" s="394"/>
      <c r="AKS146" s="394"/>
      <c r="AKT146" s="394"/>
      <c r="AKU146" s="394"/>
      <c r="AKV146" s="394"/>
      <c r="AKW146" s="394"/>
      <c r="AKX146" s="394"/>
      <c r="AKY146" s="394"/>
      <c r="AKZ146" s="394"/>
      <c r="ALA146" s="394"/>
      <c r="ALB146" s="394"/>
      <c r="ALC146" s="394"/>
      <c r="ALD146" s="394"/>
      <c r="ALE146" s="394"/>
      <c r="ALF146" s="394"/>
      <c r="ALG146" s="394"/>
      <c r="ALH146" s="394"/>
      <c r="ALI146" s="394"/>
      <c r="ALJ146" s="394"/>
      <c r="ALK146" s="394"/>
      <c r="ALL146" s="394"/>
      <c r="ALM146" s="394"/>
      <c r="ALN146" s="394"/>
      <c r="ALO146" s="394"/>
      <c r="ALP146" s="394"/>
      <c r="ALQ146" s="394"/>
      <c r="ALR146" s="394"/>
      <c r="ALS146" s="394"/>
      <c r="ALT146" s="394"/>
      <c r="ALU146" s="394"/>
      <c r="ALV146" s="394"/>
      <c r="ALW146" s="394"/>
      <c r="ALX146" s="394"/>
      <c r="ALY146" s="394"/>
      <c r="ALZ146" s="394"/>
      <c r="AMA146" s="394"/>
      <c r="AMB146" s="394"/>
      <c r="AMC146" s="394"/>
      <c r="AMD146" s="394"/>
      <c r="AME146" s="394"/>
      <c r="AMF146" s="394"/>
      <c r="AMG146" s="394"/>
      <c r="AMH146" s="394"/>
      <c r="AMI146" s="394"/>
      <c r="AMJ146" s="394"/>
      <c r="AMK146" s="394"/>
      <c r="AML146" s="394"/>
      <c r="AMM146" s="394"/>
      <c r="AMN146" s="394"/>
      <c r="AMO146" s="394"/>
      <c r="AMP146" s="394"/>
      <c r="AMQ146" s="394"/>
      <c r="AMR146" s="394"/>
      <c r="AMS146" s="394"/>
      <c r="AMT146" s="394"/>
      <c r="AMU146" s="394"/>
      <c r="AMV146" s="394"/>
      <c r="AMW146" s="394"/>
      <c r="AMX146" s="394"/>
      <c r="AMY146" s="394"/>
      <c r="AMZ146" s="394"/>
      <c r="ANA146" s="394"/>
      <c r="ANB146" s="394"/>
      <c r="ANC146" s="394"/>
      <c r="AND146" s="394"/>
      <c r="ANE146" s="394"/>
      <c r="ANF146" s="394"/>
      <c r="ANG146" s="394"/>
      <c r="ANH146" s="394"/>
      <c r="ANI146" s="394"/>
      <c r="ANJ146" s="394"/>
      <c r="ANK146" s="394"/>
      <c r="ANL146" s="394"/>
      <c r="ANM146" s="394"/>
      <c r="ANN146" s="394"/>
      <c r="ANO146" s="394"/>
      <c r="ANP146" s="394"/>
      <c r="ANQ146" s="394"/>
      <c r="ANR146" s="394"/>
      <c r="ANS146" s="394"/>
      <c r="ANT146" s="394"/>
      <c r="ANU146" s="394"/>
      <c r="ANV146" s="394"/>
      <c r="ANW146" s="394"/>
      <c r="ANX146" s="394"/>
      <c r="ANY146" s="394"/>
      <c r="ANZ146" s="394"/>
      <c r="AOA146" s="394"/>
      <c r="AOB146" s="394"/>
      <c r="AOC146" s="394"/>
      <c r="AOD146" s="394"/>
      <c r="AOE146" s="394"/>
      <c r="AOF146" s="394"/>
      <c r="AOG146" s="394"/>
      <c r="AOH146" s="394"/>
      <c r="AOI146" s="394"/>
      <c r="AOJ146" s="394"/>
      <c r="AOK146" s="394"/>
      <c r="AOL146" s="394"/>
      <c r="AOM146" s="394"/>
      <c r="AON146" s="394"/>
      <c r="AOO146" s="394"/>
      <c r="AOP146" s="394"/>
      <c r="AOQ146" s="394"/>
      <c r="AOR146" s="394"/>
      <c r="AOS146" s="394"/>
      <c r="AOT146" s="394"/>
      <c r="AOU146" s="394"/>
      <c r="AOV146" s="394"/>
      <c r="AOW146" s="394"/>
      <c r="AOX146" s="394"/>
      <c r="AOY146" s="394"/>
      <c r="AOZ146" s="394"/>
      <c r="APA146" s="394"/>
      <c r="APB146" s="394"/>
      <c r="APC146" s="394"/>
      <c r="APD146" s="394"/>
      <c r="APE146" s="394"/>
      <c r="APF146" s="394"/>
      <c r="APG146" s="394"/>
      <c r="APH146" s="394"/>
      <c r="API146" s="394"/>
      <c r="APJ146" s="394"/>
      <c r="APK146" s="394"/>
      <c r="APL146" s="394"/>
      <c r="APM146" s="394"/>
      <c r="APN146" s="394"/>
      <c r="APO146" s="394"/>
      <c r="APP146" s="394"/>
      <c r="APQ146" s="394"/>
      <c r="APR146" s="394"/>
      <c r="APS146" s="394"/>
      <c r="APT146" s="394"/>
      <c r="APU146" s="394"/>
      <c r="APV146" s="394"/>
      <c r="APW146" s="394"/>
      <c r="APX146" s="394"/>
      <c r="APY146" s="394"/>
      <c r="APZ146" s="394"/>
      <c r="AQA146" s="394"/>
      <c r="AQB146" s="394"/>
      <c r="AQC146" s="394"/>
      <c r="AQD146" s="394"/>
      <c r="AQE146" s="394"/>
      <c r="AQF146" s="394"/>
      <c r="AQG146" s="394"/>
      <c r="AQH146" s="394"/>
      <c r="AQI146" s="394"/>
      <c r="AQJ146" s="394"/>
      <c r="AQK146" s="394"/>
      <c r="AQL146" s="394"/>
      <c r="AQM146" s="394"/>
      <c r="AQN146" s="394"/>
      <c r="AQO146" s="394"/>
      <c r="AQP146" s="394"/>
      <c r="AQQ146" s="394"/>
      <c r="AQR146" s="394"/>
      <c r="AQS146" s="394"/>
      <c r="AQT146" s="394"/>
      <c r="AQU146" s="394"/>
      <c r="AQV146" s="394"/>
      <c r="AQW146" s="394"/>
      <c r="AQX146" s="394"/>
      <c r="AQY146" s="394"/>
      <c r="AQZ146" s="394"/>
      <c r="ARA146" s="394"/>
      <c r="ARB146" s="394"/>
      <c r="ARC146" s="394"/>
      <c r="ARD146" s="394"/>
      <c r="ARE146" s="394"/>
      <c r="ARF146" s="394"/>
      <c r="ARG146" s="394"/>
      <c r="ARH146" s="394"/>
      <c r="ARI146" s="394"/>
      <c r="ARJ146" s="394"/>
      <c r="ARK146" s="394"/>
      <c r="ARL146" s="394"/>
      <c r="ARM146" s="394"/>
      <c r="ARN146" s="394"/>
      <c r="ARO146" s="394"/>
      <c r="ARP146" s="394"/>
      <c r="ARQ146" s="394"/>
      <c r="ARR146" s="394"/>
      <c r="ARS146" s="394"/>
      <c r="ART146" s="394"/>
      <c r="ARU146" s="394"/>
      <c r="ARV146" s="394"/>
      <c r="ARW146" s="394"/>
      <c r="ARX146" s="394"/>
      <c r="ARY146" s="394"/>
      <c r="ARZ146" s="394"/>
      <c r="ASA146" s="394"/>
      <c r="ASB146" s="394"/>
      <c r="ASC146" s="394"/>
      <c r="ASD146" s="394"/>
      <c r="ASE146" s="394"/>
      <c r="ASF146" s="394"/>
      <c r="ASG146" s="394"/>
      <c r="ASH146" s="394"/>
      <c r="ASI146" s="394"/>
      <c r="ASJ146" s="394"/>
      <c r="ASK146" s="394"/>
      <c r="ASL146" s="394"/>
      <c r="ASM146" s="394"/>
      <c r="ASN146" s="394"/>
      <c r="ASO146" s="394"/>
      <c r="ASP146" s="394"/>
      <c r="ASQ146" s="394"/>
      <c r="ASR146" s="394"/>
      <c r="ASS146" s="394"/>
      <c r="AST146" s="394"/>
      <c r="ASU146" s="394"/>
      <c r="ASV146" s="394"/>
      <c r="ASW146" s="394"/>
      <c r="ASX146" s="394"/>
      <c r="ASY146" s="394"/>
      <c r="ASZ146" s="394"/>
      <c r="ATA146" s="394"/>
      <c r="ATB146" s="394"/>
      <c r="ATC146" s="394"/>
      <c r="ATD146" s="394"/>
      <c r="ATE146" s="394"/>
      <c r="ATF146" s="394"/>
      <c r="ATG146" s="394"/>
      <c r="ATH146" s="394"/>
      <c r="ATI146" s="394"/>
      <c r="ATJ146" s="394"/>
      <c r="ATK146" s="394"/>
      <c r="ATL146" s="394"/>
      <c r="ATM146" s="394"/>
      <c r="ATN146" s="394"/>
      <c r="ATO146" s="394"/>
      <c r="ATP146" s="394"/>
      <c r="ATQ146" s="394"/>
      <c r="ATR146" s="394"/>
      <c r="ATS146" s="394"/>
      <c r="ATT146" s="394"/>
      <c r="ATU146" s="394"/>
      <c r="ATV146" s="394"/>
      <c r="ATW146" s="394"/>
      <c r="ATX146" s="394"/>
      <c r="ATY146" s="394"/>
      <c r="ATZ146" s="394"/>
      <c r="AUA146" s="394"/>
      <c r="AUB146" s="394"/>
      <c r="AUC146" s="394"/>
      <c r="AUD146" s="394"/>
      <c r="AUE146" s="394"/>
      <c r="AUF146" s="394"/>
      <c r="AUG146" s="394"/>
      <c r="AUH146" s="394"/>
      <c r="AUI146" s="394"/>
      <c r="AUJ146" s="394"/>
      <c r="AUK146" s="394"/>
      <c r="AUL146" s="394"/>
      <c r="AUM146" s="394"/>
      <c r="AUN146" s="394"/>
      <c r="AUO146" s="394"/>
      <c r="AUP146" s="394"/>
      <c r="AUQ146" s="394"/>
      <c r="AUR146" s="394"/>
      <c r="AUS146" s="394"/>
      <c r="AUT146" s="394"/>
      <c r="AUU146" s="394"/>
      <c r="AUV146" s="394"/>
      <c r="AUW146" s="394"/>
      <c r="AUX146" s="394"/>
      <c r="AUY146" s="394"/>
      <c r="AUZ146" s="394"/>
      <c r="AVA146" s="394"/>
      <c r="AVB146" s="394"/>
      <c r="AVC146" s="394"/>
      <c r="AVD146" s="394"/>
      <c r="AVE146" s="394"/>
      <c r="AVF146" s="394"/>
      <c r="AVG146" s="394"/>
      <c r="AVH146" s="394"/>
      <c r="AVI146" s="394"/>
      <c r="AVJ146" s="394"/>
      <c r="AVK146" s="394"/>
      <c r="AVL146" s="394"/>
      <c r="AVM146" s="394"/>
      <c r="AVN146" s="394"/>
      <c r="AVO146" s="394"/>
      <c r="AVP146" s="394"/>
      <c r="AVQ146" s="394"/>
      <c r="AVR146" s="394"/>
      <c r="AVS146" s="394"/>
      <c r="AVT146" s="394"/>
      <c r="AVU146" s="394"/>
      <c r="AVV146" s="394"/>
      <c r="AVW146" s="394"/>
      <c r="AVX146" s="394"/>
      <c r="AVY146" s="394"/>
      <c r="AVZ146" s="394"/>
      <c r="AWA146" s="394"/>
      <c r="AWB146" s="394"/>
      <c r="AWC146" s="394"/>
      <c r="AWD146" s="394"/>
      <c r="AWE146" s="394"/>
      <c r="AWF146" s="394"/>
      <c r="AWG146" s="394"/>
      <c r="AWH146" s="394"/>
      <c r="AWI146" s="394"/>
      <c r="AWJ146" s="394"/>
      <c r="AWK146" s="394"/>
      <c r="AWL146" s="394"/>
      <c r="AWM146" s="394"/>
      <c r="AWN146" s="394"/>
      <c r="AWO146" s="394"/>
      <c r="AWP146" s="394"/>
      <c r="AWQ146" s="394"/>
      <c r="AWR146" s="394"/>
      <c r="AWS146" s="394"/>
      <c r="AWT146" s="394"/>
      <c r="AWU146" s="394"/>
      <c r="AWV146" s="394"/>
      <c r="AWW146" s="394"/>
      <c r="AWX146" s="394"/>
      <c r="AWY146" s="394"/>
      <c r="AWZ146" s="394"/>
      <c r="AXA146" s="394"/>
      <c r="AXB146" s="394"/>
      <c r="AXC146" s="394"/>
      <c r="AXD146" s="394"/>
      <c r="AXE146" s="394"/>
      <c r="AXF146" s="394"/>
      <c r="AXG146" s="394"/>
      <c r="AXH146" s="394"/>
      <c r="AXI146" s="394"/>
      <c r="AXJ146" s="394"/>
      <c r="AXK146" s="394"/>
      <c r="AXL146" s="394"/>
      <c r="AXM146" s="394"/>
      <c r="AXN146" s="394"/>
      <c r="AXO146" s="394"/>
      <c r="AXP146" s="394"/>
      <c r="AXQ146" s="394"/>
      <c r="AXR146" s="394"/>
      <c r="AXS146" s="394"/>
      <c r="AXT146" s="394"/>
      <c r="AXU146" s="394"/>
      <c r="AXV146" s="394"/>
      <c r="AXW146" s="394"/>
      <c r="AXX146" s="394"/>
      <c r="AXY146" s="394"/>
      <c r="AXZ146" s="394"/>
      <c r="AYA146" s="394"/>
      <c r="AYB146" s="394"/>
      <c r="AYC146" s="394"/>
      <c r="AYD146" s="394"/>
      <c r="AYE146" s="394"/>
      <c r="AYF146" s="394"/>
      <c r="AYG146" s="394"/>
      <c r="AYH146" s="394"/>
      <c r="AYI146" s="394"/>
      <c r="AYJ146" s="394"/>
      <c r="AYK146" s="394"/>
      <c r="AYL146" s="394"/>
      <c r="AYM146" s="394"/>
      <c r="AYN146" s="394"/>
      <c r="AYO146" s="394"/>
      <c r="AYP146" s="394"/>
      <c r="AYQ146" s="394"/>
      <c r="AYR146" s="394"/>
      <c r="AYS146" s="394"/>
      <c r="AYT146" s="394"/>
      <c r="AYU146" s="394"/>
      <c r="AYV146" s="394"/>
      <c r="AYW146" s="394"/>
      <c r="AYX146" s="394"/>
      <c r="AYY146" s="394"/>
      <c r="AYZ146" s="394"/>
      <c r="AZA146" s="394"/>
      <c r="AZB146" s="394"/>
      <c r="AZC146" s="394"/>
      <c r="AZD146" s="394"/>
      <c r="AZE146" s="394"/>
      <c r="AZF146" s="394"/>
      <c r="AZG146" s="394"/>
      <c r="AZH146" s="394"/>
      <c r="AZI146" s="394"/>
      <c r="AZJ146" s="394"/>
      <c r="AZK146" s="394"/>
      <c r="AZL146" s="394"/>
      <c r="AZM146" s="394"/>
      <c r="AZN146" s="394"/>
      <c r="AZO146" s="394"/>
      <c r="AZP146" s="394"/>
      <c r="AZQ146" s="394"/>
      <c r="AZR146" s="394"/>
      <c r="AZS146" s="394"/>
      <c r="AZT146" s="394"/>
      <c r="AZU146" s="394"/>
      <c r="AZV146" s="394"/>
      <c r="AZW146" s="394"/>
      <c r="AZX146" s="394"/>
      <c r="AZY146" s="394"/>
      <c r="AZZ146" s="394"/>
      <c r="BAA146" s="394"/>
      <c r="BAB146" s="394"/>
      <c r="BAC146" s="394"/>
      <c r="BAD146" s="394"/>
      <c r="BAE146" s="394"/>
      <c r="BAF146" s="394"/>
      <c r="BAG146" s="394"/>
      <c r="BAH146" s="394"/>
      <c r="BAI146" s="394"/>
      <c r="BAJ146" s="394"/>
      <c r="BAK146" s="394"/>
      <c r="BAL146" s="394"/>
      <c r="BAM146" s="394"/>
      <c r="BAN146" s="394"/>
      <c r="BAO146" s="394"/>
      <c r="BAP146" s="394"/>
      <c r="BAQ146" s="394"/>
      <c r="BAR146" s="394"/>
      <c r="BAS146" s="394"/>
      <c r="BAT146" s="394"/>
      <c r="BAU146" s="394"/>
      <c r="BAV146" s="394"/>
      <c r="BAW146" s="394"/>
      <c r="BAX146" s="394"/>
      <c r="BAY146" s="394"/>
      <c r="BAZ146" s="394"/>
      <c r="BBA146" s="394"/>
      <c r="BBB146" s="394"/>
      <c r="BBC146" s="394"/>
      <c r="BBD146" s="394"/>
      <c r="BBE146" s="394"/>
      <c r="BBF146" s="394"/>
      <c r="BBG146" s="394"/>
      <c r="BBH146" s="394"/>
      <c r="BBI146" s="394"/>
      <c r="BBJ146" s="394"/>
      <c r="BBK146" s="394"/>
      <c r="BBL146" s="394"/>
      <c r="BBM146" s="394"/>
      <c r="BBN146" s="394"/>
      <c r="BBO146" s="394"/>
      <c r="BBP146" s="394"/>
      <c r="BBQ146" s="394"/>
      <c r="BBR146" s="394"/>
      <c r="BBS146" s="394"/>
      <c r="BBT146" s="394"/>
      <c r="BBU146" s="394"/>
      <c r="BBV146" s="394"/>
      <c r="BBW146" s="394"/>
      <c r="BBX146" s="394"/>
      <c r="BBY146" s="394"/>
      <c r="BBZ146" s="394"/>
      <c r="BCA146" s="394"/>
      <c r="BCB146" s="394"/>
      <c r="BCC146" s="394"/>
      <c r="BCD146" s="394"/>
      <c r="BCE146" s="394"/>
      <c r="BCF146" s="394"/>
      <c r="BCG146" s="394"/>
      <c r="BCH146" s="394"/>
      <c r="BCI146" s="394"/>
      <c r="BCJ146" s="394"/>
      <c r="BCK146" s="394"/>
      <c r="BCL146" s="394"/>
      <c r="BCM146" s="394"/>
      <c r="BCN146" s="394"/>
      <c r="BCO146" s="394"/>
      <c r="BCP146" s="394"/>
      <c r="BCQ146" s="394"/>
      <c r="BCR146" s="394"/>
      <c r="BCS146" s="394"/>
      <c r="BCT146" s="394"/>
      <c r="BCU146" s="394"/>
      <c r="BCV146" s="394"/>
      <c r="BCW146" s="394"/>
      <c r="BCX146" s="394"/>
      <c r="BCY146" s="394"/>
      <c r="BCZ146" s="394"/>
      <c r="BDA146" s="394"/>
      <c r="BDB146" s="394"/>
      <c r="BDC146" s="394"/>
      <c r="BDD146" s="394"/>
      <c r="BDE146" s="394"/>
      <c r="BDF146" s="394"/>
      <c r="BDG146" s="394"/>
      <c r="BDH146" s="394"/>
      <c r="BDI146" s="394"/>
      <c r="BDJ146" s="394"/>
      <c r="BDK146" s="394"/>
      <c r="BDL146" s="394"/>
      <c r="BDM146" s="394"/>
      <c r="BDN146" s="394"/>
      <c r="BDO146" s="394"/>
      <c r="BDP146" s="394"/>
      <c r="BDQ146" s="394"/>
      <c r="BDR146" s="394"/>
      <c r="BDS146" s="394"/>
      <c r="BDT146" s="394"/>
      <c r="BDU146" s="394"/>
      <c r="BDV146" s="394"/>
      <c r="BDW146" s="394"/>
      <c r="BDX146" s="394"/>
      <c r="BDY146" s="394"/>
      <c r="BDZ146" s="394"/>
      <c r="BEA146" s="394"/>
      <c r="BEB146" s="394"/>
      <c r="BEC146" s="394"/>
      <c r="BED146" s="394"/>
      <c r="BEE146" s="394"/>
      <c r="BEF146" s="394"/>
      <c r="BEG146" s="394"/>
      <c r="BEH146" s="394"/>
      <c r="BEI146" s="394"/>
      <c r="BEJ146" s="394"/>
      <c r="BEK146" s="394"/>
      <c r="BEL146" s="394"/>
      <c r="BEM146" s="394"/>
      <c r="BEN146" s="394"/>
      <c r="BEO146" s="394"/>
      <c r="BEP146" s="394"/>
      <c r="BEQ146" s="394"/>
      <c r="BER146" s="394"/>
      <c r="BES146" s="394"/>
      <c r="BET146" s="394"/>
      <c r="BEU146" s="394"/>
      <c r="BEV146" s="394"/>
      <c r="BEW146" s="394"/>
      <c r="BEX146" s="394"/>
      <c r="BEY146" s="394"/>
      <c r="BEZ146" s="394"/>
      <c r="BFA146" s="394"/>
      <c r="BFB146" s="394"/>
      <c r="BFC146" s="394"/>
      <c r="BFD146" s="394"/>
      <c r="BFE146" s="394"/>
      <c r="BFF146" s="394"/>
      <c r="BFG146" s="394"/>
      <c r="BFH146" s="394"/>
      <c r="BFI146" s="394"/>
      <c r="BFJ146" s="394"/>
      <c r="BFK146" s="394"/>
      <c r="BFL146" s="394"/>
      <c r="BFM146" s="394"/>
      <c r="BFN146" s="394"/>
      <c r="BFO146" s="394"/>
      <c r="BFP146" s="394"/>
      <c r="BFQ146" s="394"/>
      <c r="BFR146" s="394"/>
      <c r="BFS146" s="394"/>
      <c r="BFT146" s="394"/>
      <c r="BFU146" s="394"/>
      <c r="BFV146" s="394"/>
      <c r="BFW146" s="394"/>
      <c r="BFX146" s="394"/>
      <c r="BFY146" s="394"/>
      <c r="BFZ146" s="394"/>
      <c r="BGA146" s="394"/>
      <c r="BGB146" s="394"/>
      <c r="BGC146" s="394"/>
      <c r="BGD146" s="394"/>
      <c r="BGE146" s="394"/>
      <c r="BGF146" s="394"/>
      <c r="BGG146" s="394"/>
      <c r="BGH146" s="394"/>
      <c r="BGI146" s="394"/>
      <c r="BGJ146" s="394"/>
      <c r="BGK146" s="394"/>
      <c r="BGL146" s="394"/>
      <c r="BGM146" s="394"/>
      <c r="BGN146" s="394"/>
      <c r="BGO146" s="394"/>
      <c r="BGP146" s="394"/>
      <c r="BGQ146" s="394"/>
      <c r="BGR146" s="394"/>
      <c r="BGS146" s="394"/>
      <c r="BGT146" s="394"/>
      <c r="BGU146" s="394"/>
      <c r="BGV146" s="394"/>
      <c r="BGW146" s="394"/>
      <c r="BGX146" s="394"/>
      <c r="BGY146" s="394"/>
      <c r="BGZ146" s="394"/>
      <c r="BHA146" s="394"/>
      <c r="BHB146" s="394"/>
      <c r="BHC146" s="394"/>
      <c r="BHD146" s="394"/>
      <c r="BHE146" s="394"/>
      <c r="BHF146" s="394"/>
      <c r="BHG146" s="394"/>
      <c r="BHH146" s="394"/>
      <c r="BHI146" s="394"/>
      <c r="BHJ146" s="394"/>
      <c r="BHK146" s="394"/>
      <c r="BHL146" s="394"/>
      <c r="BHM146" s="394"/>
      <c r="BHN146" s="394"/>
      <c r="BHO146" s="394"/>
      <c r="BHP146" s="394"/>
      <c r="BHQ146" s="394"/>
      <c r="BHR146" s="394"/>
      <c r="BHS146" s="394"/>
      <c r="BHT146" s="394"/>
      <c r="BHU146" s="394"/>
      <c r="BHV146" s="394"/>
      <c r="BHW146" s="394"/>
      <c r="BHX146" s="394"/>
      <c r="BHY146" s="394"/>
      <c r="BHZ146" s="394"/>
      <c r="BIA146" s="394"/>
      <c r="BIB146" s="394"/>
      <c r="BIC146" s="394"/>
      <c r="BID146" s="394"/>
      <c r="BIE146" s="394"/>
      <c r="BIF146" s="394"/>
      <c r="BIG146" s="394"/>
      <c r="BIH146" s="394"/>
      <c r="BII146" s="394"/>
      <c r="BIJ146" s="394"/>
      <c r="BIK146" s="394"/>
      <c r="BIL146" s="394"/>
      <c r="BIM146" s="394"/>
      <c r="BIN146" s="394"/>
      <c r="BIO146" s="394"/>
      <c r="BIP146" s="394"/>
      <c r="BIQ146" s="394"/>
      <c r="BIR146" s="394"/>
      <c r="BIS146" s="394"/>
      <c r="BIT146" s="394"/>
      <c r="BIU146" s="394"/>
      <c r="BIV146" s="394"/>
      <c r="BIW146" s="394"/>
      <c r="BIX146" s="394"/>
      <c r="BIY146" s="394"/>
      <c r="BIZ146" s="394"/>
      <c r="BJA146" s="394"/>
      <c r="BJB146" s="394"/>
      <c r="BJC146" s="394"/>
      <c r="BJD146" s="394"/>
      <c r="BJE146" s="394"/>
      <c r="BJF146" s="394"/>
      <c r="BJG146" s="394"/>
      <c r="BJH146" s="394"/>
      <c r="BJI146" s="394"/>
      <c r="BJJ146" s="394"/>
      <c r="BJK146" s="394"/>
      <c r="BJL146" s="394"/>
      <c r="BJM146" s="394"/>
      <c r="BJN146" s="394"/>
      <c r="BJO146" s="394"/>
      <c r="BJP146" s="394"/>
      <c r="BJQ146" s="394"/>
      <c r="BJR146" s="394"/>
      <c r="BJS146" s="394"/>
      <c r="BJT146" s="394"/>
      <c r="BJU146" s="394"/>
      <c r="BJV146" s="394"/>
      <c r="BJW146" s="394"/>
      <c r="BJX146" s="394"/>
      <c r="BJY146" s="394"/>
      <c r="BJZ146" s="394"/>
      <c r="BKA146" s="394"/>
      <c r="BKB146" s="394"/>
      <c r="BKC146" s="394"/>
      <c r="BKD146" s="394"/>
      <c r="BKE146" s="394"/>
      <c r="BKF146" s="394"/>
      <c r="BKG146" s="394"/>
      <c r="BKH146" s="394"/>
      <c r="BKI146" s="394"/>
      <c r="BKJ146" s="394"/>
      <c r="BKK146" s="394"/>
      <c r="BKL146" s="394"/>
      <c r="BKM146" s="394"/>
      <c r="BKN146" s="394"/>
      <c r="BKO146" s="394"/>
      <c r="BKP146" s="394"/>
      <c r="BKQ146" s="394"/>
      <c r="BKR146" s="394"/>
      <c r="BKS146" s="394"/>
      <c r="BKT146" s="394"/>
      <c r="BKU146" s="394"/>
      <c r="BKV146" s="394"/>
      <c r="BKW146" s="394"/>
      <c r="BKX146" s="394"/>
      <c r="BKY146" s="394"/>
      <c r="BKZ146" s="394"/>
      <c r="BLA146" s="394"/>
      <c r="BLB146" s="394"/>
      <c r="BLC146" s="394"/>
      <c r="BLD146" s="394"/>
      <c r="BLE146" s="394"/>
      <c r="BLF146" s="394"/>
      <c r="BLG146" s="394"/>
      <c r="BLH146" s="394"/>
      <c r="BLI146" s="394"/>
      <c r="BLJ146" s="394"/>
      <c r="BLK146" s="394"/>
      <c r="BLL146" s="394"/>
      <c r="BLM146" s="394"/>
      <c r="BLN146" s="394"/>
      <c r="BLO146" s="394"/>
      <c r="BLP146" s="394"/>
      <c r="BLQ146" s="394"/>
      <c r="BLR146" s="394"/>
      <c r="BLS146" s="394"/>
      <c r="BLT146" s="394"/>
      <c r="BLU146" s="394"/>
      <c r="BLV146" s="394"/>
      <c r="BLW146" s="394"/>
      <c r="BLX146" s="394"/>
      <c r="BLY146" s="394"/>
      <c r="BLZ146" s="394"/>
      <c r="BMA146" s="394"/>
      <c r="BMB146" s="394"/>
      <c r="BMC146" s="394"/>
      <c r="BMD146" s="394"/>
      <c r="BME146" s="394"/>
      <c r="BMF146" s="394"/>
      <c r="BMG146" s="394"/>
      <c r="BMH146" s="394"/>
      <c r="BMI146" s="394"/>
      <c r="BMJ146" s="394"/>
      <c r="BMK146" s="394"/>
      <c r="BML146" s="394"/>
      <c r="BMM146" s="394"/>
      <c r="BMN146" s="394"/>
      <c r="BMO146" s="394"/>
      <c r="BMP146" s="394"/>
      <c r="BMQ146" s="394"/>
      <c r="BMR146" s="394"/>
      <c r="BMS146" s="394"/>
      <c r="BMT146" s="394"/>
      <c r="BMU146" s="394"/>
      <c r="BMV146" s="394"/>
      <c r="BMW146" s="394"/>
      <c r="BMX146" s="394"/>
      <c r="BMY146" s="394"/>
      <c r="BMZ146" s="394"/>
      <c r="BNA146" s="394"/>
      <c r="BNB146" s="394"/>
      <c r="BNC146" s="394"/>
      <c r="BND146" s="394"/>
      <c r="BNE146" s="394"/>
      <c r="BNF146" s="394"/>
      <c r="BNG146" s="394"/>
      <c r="BNH146" s="394"/>
      <c r="BNI146" s="394"/>
      <c r="BNJ146" s="394"/>
      <c r="BNK146" s="394"/>
      <c r="BNL146" s="394"/>
      <c r="BNM146" s="394"/>
      <c r="BNN146" s="394"/>
      <c r="BNO146" s="394"/>
      <c r="BNP146" s="394"/>
      <c r="BNQ146" s="394"/>
      <c r="BNR146" s="394"/>
      <c r="BNS146" s="394"/>
      <c r="BNT146" s="394"/>
      <c r="BNU146" s="394"/>
      <c r="BNV146" s="394"/>
      <c r="BNW146" s="394"/>
      <c r="BNX146" s="394"/>
      <c r="BNY146" s="394"/>
      <c r="BNZ146" s="394"/>
      <c r="BOA146" s="394"/>
      <c r="BOB146" s="394"/>
      <c r="BOC146" s="394"/>
      <c r="BOD146" s="394"/>
      <c r="BOE146" s="394"/>
      <c r="BOF146" s="394"/>
      <c r="BOG146" s="394"/>
      <c r="BOH146" s="394"/>
      <c r="BOI146" s="394"/>
      <c r="BOJ146" s="394"/>
      <c r="BOK146" s="394"/>
      <c r="BOL146" s="394"/>
      <c r="BOM146" s="394"/>
      <c r="BON146" s="394"/>
      <c r="BOO146" s="394"/>
      <c r="BOP146" s="394"/>
      <c r="BOQ146" s="394"/>
      <c r="BOR146" s="394"/>
      <c r="BOS146" s="394"/>
      <c r="BOT146" s="394"/>
      <c r="BOU146" s="394"/>
      <c r="BOV146" s="394"/>
      <c r="BOW146" s="394"/>
      <c r="BOX146" s="394"/>
      <c r="BOY146" s="394"/>
      <c r="BOZ146" s="394"/>
      <c r="BPA146" s="394"/>
      <c r="BPB146" s="394"/>
      <c r="BPC146" s="394"/>
      <c r="BPD146" s="394"/>
      <c r="BPE146" s="394"/>
      <c r="BPF146" s="394"/>
      <c r="BPG146" s="394"/>
      <c r="BPH146" s="394"/>
      <c r="BPI146" s="394"/>
      <c r="BPJ146" s="394"/>
      <c r="BPK146" s="394"/>
      <c r="BPL146" s="394"/>
      <c r="BPM146" s="394"/>
      <c r="BPN146" s="394"/>
      <c r="BPO146" s="394"/>
      <c r="BPP146" s="394"/>
      <c r="BPQ146" s="394"/>
      <c r="BPR146" s="394"/>
      <c r="BPS146" s="394"/>
      <c r="BPT146" s="394"/>
      <c r="BPU146" s="394"/>
      <c r="BPV146" s="394"/>
      <c r="BPW146" s="394"/>
      <c r="BPX146" s="394"/>
      <c r="BPY146" s="394"/>
      <c r="BPZ146" s="394"/>
      <c r="BQA146" s="394"/>
      <c r="BQB146" s="394"/>
      <c r="BQC146" s="394"/>
      <c r="BQD146" s="394"/>
      <c r="BQE146" s="394"/>
      <c r="BQF146" s="394"/>
      <c r="BQG146" s="394"/>
      <c r="BQH146" s="394"/>
      <c r="BQI146" s="394"/>
      <c r="BQJ146" s="394"/>
      <c r="BQK146" s="394"/>
      <c r="BQL146" s="394"/>
      <c r="BQM146" s="394"/>
      <c r="BQN146" s="394"/>
      <c r="BQO146" s="394"/>
      <c r="BQP146" s="394"/>
      <c r="BQQ146" s="394"/>
      <c r="BQR146" s="394"/>
      <c r="BQS146" s="394"/>
      <c r="BQT146" s="394"/>
      <c r="BQU146" s="394"/>
      <c r="BQV146" s="394"/>
      <c r="BQW146" s="394"/>
      <c r="BQX146" s="394"/>
      <c r="BQY146" s="394"/>
      <c r="BQZ146" s="394"/>
      <c r="BRA146" s="394"/>
      <c r="BRB146" s="394"/>
      <c r="BRC146" s="394"/>
      <c r="BRD146" s="394"/>
      <c r="BRE146" s="394"/>
      <c r="BRF146" s="394"/>
      <c r="BRG146" s="394"/>
      <c r="BRH146" s="394"/>
      <c r="BRI146" s="394"/>
      <c r="BRJ146" s="394"/>
      <c r="BRK146" s="394"/>
      <c r="BRL146" s="394"/>
      <c r="BRM146" s="394"/>
      <c r="BRN146" s="394"/>
      <c r="BRO146" s="394"/>
      <c r="BRP146" s="394"/>
      <c r="BRQ146" s="394"/>
      <c r="BRR146" s="394"/>
      <c r="BRS146" s="394"/>
      <c r="BRT146" s="394"/>
      <c r="BRU146" s="394"/>
      <c r="BRV146" s="394"/>
      <c r="BRW146" s="394"/>
      <c r="BRX146" s="394"/>
      <c r="BRY146" s="394"/>
      <c r="BRZ146" s="394"/>
      <c r="BSA146" s="394"/>
      <c r="BSB146" s="394"/>
      <c r="BSC146" s="394"/>
      <c r="BSD146" s="394"/>
      <c r="BSE146" s="394"/>
      <c r="BSF146" s="394"/>
      <c r="BSG146" s="394"/>
      <c r="BSH146" s="394"/>
      <c r="BSI146" s="394"/>
      <c r="BSJ146" s="394"/>
      <c r="BSK146" s="394"/>
      <c r="BSL146" s="394"/>
      <c r="BSM146" s="394"/>
      <c r="BSN146" s="394"/>
      <c r="BSO146" s="394"/>
      <c r="BSP146" s="394"/>
      <c r="BSQ146" s="394"/>
      <c r="BSR146" s="394"/>
      <c r="BSS146" s="394"/>
      <c r="BST146" s="394"/>
      <c r="BSU146" s="394"/>
      <c r="BSV146" s="394"/>
      <c r="BSW146" s="394"/>
      <c r="BSX146" s="394"/>
      <c r="BSY146" s="394"/>
      <c r="BSZ146" s="394"/>
      <c r="BTA146" s="394"/>
      <c r="BTB146" s="394"/>
      <c r="BTC146" s="394"/>
      <c r="BTD146" s="394"/>
      <c r="BTE146" s="394"/>
      <c r="BTF146" s="394"/>
      <c r="BTG146" s="394"/>
      <c r="BTH146" s="394"/>
      <c r="BTI146" s="394"/>
    </row>
    <row r="147" spans="1:1881" ht="30.75" customHeight="1" x14ac:dyDescent="0.25">
      <c r="A147" s="189"/>
      <c r="B147" s="161" t="s">
        <v>1091</v>
      </c>
      <c r="C147" s="161"/>
      <c r="D147" s="154"/>
      <c r="E147" s="143"/>
      <c r="F147" s="729"/>
      <c r="G147" s="551"/>
      <c r="H147" s="13"/>
      <c r="I147" s="31"/>
    </row>
    <row r="148" spans="1:1881" ht="18.75" x14ac:dyDescent="0.3">
      <c r="A148" s="189"/>
      <c r="B148" s="713" t="s">
        <v>203</v>
      </c>
      <c r="C148" s="160"/>
      <c r="D148" s="155"/>
      <c r="E148" s="155"/>
      <c r="F148" s="730"/>
      <c r="G148" s="555"/>
      <c r="H148" s="13"/>
      <c r="I148" s="31"/>
    </row>
    <row r="149" spans="1:1881" ht="18.75" x14ac:dyDescent="0.3">
      <c r="A149" s="189"/>
      <c r="B149" s="160" t="s">
        <v>204</v>
      </c>
      <c r="C149" s="160"/>
      <c r="D149" s="144"/>
      <c r="E149" s="145"/>
      <c r="F149" s="731"/>
      <c r="G149" s="556"/>
      <c r="H149" s="13"/>
      <c r="I149" s="31"/>
    </row>
    <row r="150" spans="1:1881" ht="18.75" x14ac:dyDescent="0.3">
      <c r="A150" s="189"/>
      <c r="B150" s="160" t="s">
        <v>25</v>
      </c>
      <c r="C150" s="160"/>
      <c r="D150" s="144"/>
      <c r="E150" s="145"/>
      <c r="F150" s="731"/>
      <c r="G150" s="556"/>
      <c r="H150" s="13"/>
      <c r="I150" s="31"/>
    </row>
    <row r="151" spans="1:1881" ht="69" customHeight="1" x14ac:dyDescent="0.25">
      <c r="A151" s="188">
        <v>51</v>
      </c>
      <c r="B151" s="64" t="s">
        <v>594</v>
      </c>
      <c r="C151" s="147" t="s">
        <v>205</v>
      </c>
      <c r="D151" s="165" t="s">
        <v>617</v>
      </c>
      <c r="E151" s="32" t="e">
        <f>HLOOKUP($D$2,'2019 Data(H)'!$C$1:$CP$300,38,FALSE)</f>
        <v>#N/A</v>
      </c>
      <c r="F151" s="589"/>
      <c r="G151" s="316"/>
      <c r="H151" s="13"/>
      <c r="I151" s="31"/>
    </row>
    <row r="152" spans="1:1881" ht="54.75" customHeight="1" x14ac:dyDescent="0.25">
      <c r="A152" s="188">
        <v>332</v>
      </c>
      <c r="B152" s="64" t="s">
        <v>42</v>
      </c>
      <c r="C152" s="147" t="s">
        <v>205</v>
      </c>
      <c r="D152" s="165" t="s">
        <v>206</v>
      </c>
      <c r="E152" s="32" t="e">
        <f>HLOOKUP($D$2,'2019 Data(H)'!$C$1:$CP$300,98,FALSE)</f>
        <v>#N/A</v>
      </c>
      <c r="F152" s="589"/>
      <c r="G152" s="581">
        <f>IF(F152&lt;0,"Error: Enter as positive.",)</f>
        <v>0</v>
      </c>
      <c r="H152" s="13"/>
      <c r="I152" s="31"/>
    </row>
    <row r="153" spans="1:1881" ht="70.5" customHeight="1" x14ac:dyDescent="0.25">
      <c r="A153" s="188">
        <v>331</v>
      </c>
      <c r="B153" s="64" t="s">
        <v>594</v>
      </c>
      <c r="C153" s="147" t="s">
        <v>205</v>
      </c>
      <c r="D153" s="165" t="s">
        <v>207</v>
      </c>
      <c r="E153" s="32" t="e">
        <f>HLOOKUP($D$2,'2019 Data(H)'!$C$1:$CP$300,97,FALSE)</f>
        <v>#N/A</v>
      </c>
      <c r="F153" s="589"/>
      <c r="G153" s="581">
        <f>IF(F153&lt;0,"Error: Enter as positive.",)</f>
        <v>0</v>
      </c>
      <c r="H153" s="13"/>
      <c r="I153" s="31"/>
    </row>
    <row r="154" spans="1:1881" ht="18.75" x14ac:dyDescent="0.25">
      <c r="A154" s="189"/>
      <c r="B154" s="161" t="s">
        <v>6</v>
      </c>
      <c r="C154" s="160"/>
      <c r="D154" s="160"/>
      <c r="E154" s="155"/>
      <c r="F154" s="730"/>
      <c r="G154" s="558"/>
      <c r="H154" s="13"/>
      <c r="I154" s="31"/>
    </row>
    <row r="155" spans="1:1881" ht="53.25" customHeight="1" x14ac:dyDescent="0.25">
      <c r="A155" s="188">
        <v>55</v>
      </c>
      <c r="B155" s="159" t="s">
        <v>66</v>
      </c>
      <c r="C155" s="147" t="s">
        <v>208</v>
      </c>
      <c r="D155" s="165" t="s">
        <v>618</v>
      </c>
      <c r="E155" s="32" t="e">
        <f>HLOOKUP($D$2,'2019 Data(H)'!$C$1:$CP$300,42,FALSE)</f>
        <v>#N/A</v>
      </c>
      <c r="F155" s="589"/>
      <c r="G155" s="316"/>
      <c r="H155" s="13"/>
      <c r="I155" s="31"/>
    </row>
    <row r="156" spans="1:1881" ht="53.25" customHeight="1" x14ac:dyDescent="0.25">
      <c r="A156" s="188">
        <v>101</v>
      </c>
      <c r="B156" s="159" t="s">
        <v>72</v>
      </c>
      <c r="C156" s="147" t="s">
        <v>208</v>
      </c>
      <c r="D156" s="165" t="s">
        <v>209</v>
      </c>
      <c r="E156" s="32" t="e">
        <f>HLOOKUP($D$2,'2019 Data(H)'!$C$1:$CP$300,61,FALSE)</f>
        <v>#N/A</v>
      </c>
      <c r="F156" s="589"/>
      <c r="G156" s="581">
        <f>IF(F156&lt;0,"Error: Enter as positive.",)</f>
        <v>0</v>
      </c>
      <c r="H156" s="13"/>
      <c r="I156" s="31"/>
    </row>
    <row r="157" spans="1:1881" ht="53.25" customHeight="1" x14ac:dyDescent="0.25">
      <c r="A157" s="188">
        <v>100</v>
      </c>
      <c r="B157" s="159" t="s">
        <v>73</v>
      </c>
      <c r="C157" s="147" t="s">
        <v>208</v>
      </c>
      <c r="D157" s="165" t="s">
        <v>207</v>
      </c>
      <c r="E157" s="32" t="e">
        <f>HLOOKUP($D$2,'2019 Data(H)'!$C$1:$CP$300,60,FALSE)</f>
        <v>#N/A</v>
      </c>
      <c r="F157" s="589"/>
      <c r="G157" s="581">
        <f>IF(F157&lt;0,"Error: Enter as positive.",)</f>
        <v>0</v>
      </c>
      <c r="H157" s="13"/>
      <c r="I157" s="31"/>
    </row>
    <row r="158" spans="1:1881" ht="18.75" x14ac:dyDescent="0.25">
      <c r="A158" s="189"/>
      <c r="B158" s="136" t="s">
        <v>78</v>
      </c>
      <c r="C158" s="139"/>
      <c r="D158" s="155"/>
      <c r="E158" s="155"/>
      <c r="F158" s="732"/>
      <c r="G158" s="153"/>
      <c r="H158" s="67"/>
      <c r="I158" s="31"/>
      <c r="J158" s="365"/>
    </row>
    <row r="159" spans="1:1881" ht="60" x14ac:dyDescent="0.25">
      <c r="A159" s="188">
        <v>512</v>
      </c>
      <c r="B159" s="179"/>
      <c r="C159" s="147" t="s">
        <v>211</v>
      </c>
      <c r="D159" s="165" t="s">
        <v>210</v>
      </c>
      <c r="E159" s="32" t="e">
        <f>HLOOKUP($D$2,'2019 Data(H)'!$C$1:$CP$300,162,FALSE)</f>
        <v>#N/A</v>
      </c>
      <c r="F159" s="589"/>
      <c r="G159" s="581">
        <f>IF(F159&lt;0,"Error: Enter as positive.",)</f>
        <v>0</v>
      </c>
      <c r="H159" s="67"/>
      <c r="I159" s="31"/>
      <c r="J159" s="365"/>
    </row>
    <row r="160" spans="1:1881" s="609" customFormat="1" x14ac:dyDescent="0.25">
      <c r="A160" s="405"/>
      <c r="B160" s="161" t="s">
        <v>987</v>
      </c>
      <c r="C160" s="160"/>
      <c r="D160" s="154"/>
      <c r="E160" s="146"/>
      <c r="F160" s="732"/>
      <c r="G160" s="582"/>
      <c r="H160" s="149"/>
      <c r="I160" s="297"/>
      <c r="J160" s="610"/>
      <c r="K160" s="610"/>
      <c r="L160" s="610"/>
      <c r="M160" s="610"/>
      <c r="N160"/>
      <c r="O160" s="610"/>
      <c r="P160" s="610"/>
      <c r="Q160" s="610"/>
      <c r="R160" s="610"/>
      <c r="S160" s="610"/>
      <c r="T160" s="610"/>
      <c r="U160" s="610"/>
      <c r="V160" s="610"/>
      <c r="W160" s="610"/>
      <c r="X160" s="610"/>
      <c r="Y160" s="610"/>
      <c r="Z160" s="610"/>
      <c r="AA160" s="610"/>
      <c r="AB160" s="610"/>
      <c r="AC160" s="610"/>
      <c r="AD160" s="610"/>
      <c r="AE160" s="610"/>
      <c r="AF160" s="610"/>
      <c r="AG160" s="610"/>
      <c r="AH160" s="610"/>
      <c r="AI160" s="610"/>
      <c r="AJ160" s="610"/>
      <c r="AK160" s="610"/>
      <c r="AL160" s="610"/>
      <c r="AM160" s="610"/>
      <c r="AN160" s="610"/>
      <c r="AO160" s="610"/>
      <c r="AP160" s="610"/>
      <c r="AQ160" s="610"/>
      <c r="AR160" s="610"/>
      <c r="AS160" s="610"/>
      <c r="AT160" s="610"/>
      <c r="AU160" s="610"/>
      <c r="AV160" s="610"/>
      <c r="AW160" s="610"/>
      <c r="AX160" s="610"/>
      <c r="AY160" s="610"/>
      <c r="AZ160" s="610"/>
      <c r="BA160" s="610"/>
      <c r="BB160" s="610"/>
      <c r="BC160" s="610"/>
      <c r="BD160" s="610"/>
      <c r="BE160" s="610"/>
      <c r="BF160" s="610"/>
      <c r="BG160" s="610"/>
      <c r="BH160" s="610"/>
      <c r="BI160" s="610"/>
      <c r="BJ160" s="610"/>
      <c r="BK160" s="610"/>
      <c r="BL160" s="610"/>
      <c r="BM160" s="610"/>
      <c r="BN160" s="610"/>
      <c r="BO160" s="610"/>
      <c r="BP160" s="610"/>
      <c r="BQ160" s="610"/>
      <c r="BR160" s="610"/>
      <c r="BS160" s="610"/>
      <c r="BT160" s="610"/>
      <c r="BU160" s="610"/>
      <c r="BV160" s="610"/>
      <c r="BW160" s="610"/>
      <c r="BX160" s="610"/>
      <c r="BY160" s="610"/>
      <c r="BZ160" s="610"/>
      <c r="CA160" s="610"/>
      <c r="CB160" s="610"/>
      <c r="CC160" s="610"/>
      <c r="CD160" s="610"/>
      <c r="CE160" s="610"/>
      <c r="CF160" s="610"/>
      <c r="CG160" s="610"/>
      <c r="CH160" s="610"/>
      <c r="CI160" s="610"/>
      <c r="CJ160" s="610"/>
      <c r="CK160" s="610"/>
      <c r="CL160" s="610"/>
      <c r="CM160" s="610"/>
      <c r="CN160" s="610"/>
      <c r="CO160" s="610"/>
      <c r="CP160" s="610"/>
      <c r="CQ160" s="610"/>
      <c r="CR160" s="610"/>
      <c r="CS160" s="610"/>
      <c r="CT160" s="610"/>
      <c r="CU160" s="610"/>
      <c r="CV160" s="610"/>
      <c r="CW160" s="610"/>
      <c r="CX160" s="610"/>
      <c r="CY160" s="610"/>
      <c r="CZ160" s="610"/>
      <c r="DA160" s="610"/>
      <c r="DB160" s="610"/>
      <c r="DC160" s="610"/>
      <c r="DD160" s="610"/>
      <c r="DE160" s="610"/>
      <c r="DF160" s="610"/>
      <c r="DG160" s="610"/>
      <c r="DH160" s="610"/>
      <c r="DI160" s="610"/>
      <c r="DJ160" s="610"/>
      <c r="DK160" s="610"/>
      <c r="DL160" s="610"/>
      <c r="DM160" s="610"/>
      <c r="DN160" s="610"/>
      <c r="DO160" s="610"/>
      <c r="DP160" s="610"/>
      <c r="DQ160" s="610"/>
      <c r="DR160" s="610"/>
      <c r="DS160" s="610"/>
      <c r="DT160" s="610"/>
      <c r="DU160" s="610"/>
      <c r="DV160" s="610"/>
      <c r="DW160" s="610"/>
      <c r="DX160" s="610"/>
      <c r="DY160" s="610"/>
      <c r="DZ160" s="610"/>
      <c r="EA160" s="610"/>
      <c r="EB160" s="610"/>
      <c r="EC160" s="610"/>
      <c r="ED160" s="610"/>
      <c r="EE160" s="610"/>
      <c r="EF160" s="610"/>
      <c r="EG160" s="610"/>
      <c r="EH160" s="610"/>
      <c r="EI160" s="610"/>
      <c r="EJ160" s="610"/>
      <c r="EK160" s="610"/>
      <c r="EL160" s="610"/>
      <c r="EM160" s="610"/>
      <c r="EN160" s="610"/>
      <c r="EO160" s="610"/>
      <c r="EP160" s="610"/>
      <c r="EQ160" s="610"/>
      <c r="ER160" s="610"/>
      <c r="ES160" s="610"/>
      <c r="ET160" s="610"/>
      <c r="EU160" s="610"/>
      <c r="EV160" s="610"/>
      <c r="EW160" s="610"/>
      <c r="EX160" s="610"/>
      <c r="EY160" s="610"/>
      <c r="EZ160" s="610"/>
      <c r="FA160" s="610"/>
      <c r="FB160" s="610"/>
      <c r="FC160" s="610"/>
      <c r="FD160" s="610"/>
      <c r="FE160" s="610"/>
      <c r="FF160" s="610"/>
      <c r="FG160" s="610"/>
      <c r="FH160" s="610"/>
      <c r="FI160" s="610"/>
      <c r="FJ160" s="610"/>
      <c r="FK160" s="610"/>
      <c r="FL160" s="610"/>
      <c r="FM160" s="610"/>
      <c r="FN160" s="610"/>
      <c r="FO160" s="610"/>
      <c r="FP160" s="610"/>
      <c r="FQ160" s="610"/>
      <c r="FR160" s="610"/>
      <c r="FS160" s="610"/>
      <c r="FT160" s="610"/>
      <c r="FU160" s="610"/>
      <c r="FV160" s="610"/>
      <c r="FW160" s="610"/>
      <c r="FX160" s="610"/>
      <c r="FY160" s="610"/>
      <c r="FZ160" s="610"/>
      <c r="GA160" s="610"/>
      <c r="GB160" s="610"/>
      <c r="GC160" s="610"/>
      <c r="GD160" s="610"/>
      <c r="GE160" s="610"/>
      <c r="GF160" s="610"/>
      <c r="GG160" s="610"/>
      <c r="GH160" s="610"/>
      <c r="GI160" s="610"/>
      <c r="GJ160" s="610"/>
      <c r="GK160" s="610"/>
      <c r="GL160" s="610"/>
      <c r="GM160" s="610"/>
      <c r="GN160" s="610"/>
      <c r="GO160" s="610"/>
      <c r="GP160" s="610"/>
      <c r="GQ160" s="610"/>
      <c r="GR160" s="610"/>
      <c r="GS160" s="610"/>
      <c r="GT160" s="610"/>
      <c r="GU160" s="610"/>
      <c r="GV160" s="610"/>
      <c r="GW160" s="610"/>
      <c r="GX160" s="610"/>
      <c r="GY160" s="610"/>
      <c r="GZ160" s="610"/>
      <c r="HA160" s="610"/>
      <c r="HB160" s="610"/>
      <c r="HC160" s="610"/>
      <c r="HD160" s="610"/>
      <c r="HE160" s="610"/>
      <c r="HF160" s="610"/>
      <c r="HG160" s="610"/>
      <c r="HH160" s="610"/>
      <c r="HI160" s="610"/>
      <c r="HJ160" s="610"/>
      <c r="HK160" s="610"/>
      <c r="HL160" s="610"/>
      <c r="HM160" s="610"/>
      <c r="HN160" s="610"/>
      <c r="HO160" s="610"/>
      <c r="HP160" s="610"/>
      <c r="HQ160" s="610"/>
      <c r="HR160" s="610"/>
      <c r="HS160" s="610"/>
      <c r="HT160" s="610"/>
      <c r="HU160" s="610"/>
      <c r="HV160" s="610"/>
      <c r="HW160" s="610"/>
      <c r="HX160" s="610"/>
      <c r="HY160" s="610"/>
      <c r="HZ160" s="610"/>
      <c r="IA160" s="610"/>
      <c r="IB160" s="610"/>
      <c r="IC160" s="610"/>
      <c r="ID160" s="610"/>
      <c r="IE160" s="610"/>
      <c r="IF160" s="610"/>
      <c r="IG160" s="610"/>
      <c r="IH160" s="610"/>
      <c r="II160" s="610"/>
      <c r="IJ160" s="610"/>
      <c r="IK160" s="610"/>
      <c r="IL160" s="610"/>
      <c r="IM160" s="610"/>
      <c r="IN160" s="610"/>
      <c r="IO160" s="610"/>
      <c r="IP160" s="610"/>
      <c r="IQ160" s="610"/>
      <c r="IR160" s="610"/>
      <c r="IS160" s="610"/>
      <c r="IT160" s="610"/>
      <c r="IU160" s="610"/>
      <c r="IV160" s="610"/>
      <c r="IW160" s="610"/>
      <c r="IX160" s="610"/>
      <c r="IY160" s="610"/>
      <c r="IZ160" s="610"/>
      <c r="JA160" s="610"/>
      <c r="JB160" s="610"/>
      <c r="JC160" s="610"/>
      <c r="JD160" s="610"/>
      <c r="JE160" s="610"/>
      <c r="JF160" s="610"/>
      <c r="JG160" s="610"/>
      <c r="JH160" s="610"/>
      <c r="JI160" s="610"/>
      <c r="JJ160" s="610"/>
      <c r="JK160" s="610"/>
      <c r="JL160" s="610"/>
      <c r="JM160" s="610"/>
      <c r="JN160" s="610"/>
      <c r="JO160" s="610"/>
      <c r="JP160" s="610"/>
      <c r="JQ160" s="610"/>
      <c r="JR160" s="610"/>
      <c r="JS160" s="610"/>
      <c r="JT160" s="610"/>
      <c r="JU160" s="610"/>
      <c r="JV160" s="610"/>
      <c r="JW160" s="610"/>
      <c r="JX160" s="610"/>
      <c r="JY160" s="610"/>
      <c r="JZ160" s="610"/>
      <c r="KA160" s="610"/>
      <c r="KB160" s="610"/>
      <c r="KC160" s="610"/>
      <c r="KD160" s="610"/>
      <c r="KE160" s="610"/>
      <c r="KF160" s="610"/>
      <c r="KG160" s="610"/>
      <c r="KH160" s="610"/>
      <c r="KI160" s="610"/>
      <c r="KJ160" s="610"/>
      <c r="KK160" s="610"/>
      <c r="KL160" s="610"/>
      <c r="KM160" s="610"/>
      <c r="KN160" s="610"/>
      <c r="KO160" s="610"/>
      <c r="KP160" s="610"/>
      <c r="KQ160" s="610"/>
      <c r="KR160" s="610"/>
      <c r="KS160" s="610"/>
      <c r="KT160" s="610"/>
      <c r="KU160" s="610"/>
      <c r="KV160" s="610"/>
      <c r="KW160" s="610"/>
      <c r="KX160" s="610"/>
      <c r="KY160" s="610"/>
      <c r="KZ160" s="610"/>
      <c r="LA160" s="610"/>
      <c r="LB160" s="610"/>
      <c r="LC160" s="610"/>
      <c r="LD160" s="610"/>
      <c r="LE160" s="610"/>
      <c r="LF160" s="610"/>
      <c r="LG160" s="610"/>
      <c r="LH160" s="610"/>
      <c r="LI160" s="610"/>
      <c r="LJ160" s="610"/>
      <c r="LK160" s="610"/>
      <c r="LL160" s="610"/>
      <c r="LM160" s="610"/>
      <c r="LN160" s="610"/>
      <c r="LO160" s="610"/>
      <c r="LP160" s="610"/>
      <c r="LQ160" s="610"/>
      <c r="LR160" s="610"/>
      <c r="LS160" s="610"/>
      <c r="LT160" s="610"/>
      <c r="LU160" s="610"/>
      <c r="LV160" s="610"/>
      <c r="LW160" s="610"/>
      <c r="LX160" s="610"/>
      <c r="LY160" s="610"/>
      <c r="LZ160" s="610"/>
      <c r="MA160" s="610"/>
      <c r="MB160" s="610"/>
      <c r="MC160" s="610"/>
      <c r="MD160" s="610"/>
      <c r="ME160" s="610"/>
      <c r="MF160" s="610"/>
      <c r="MG160" s="610"/>
      <c r="MH160" s="610"/>
      <c r="MI160" s="610"/>
      <c r="MJ160" s="610"/>
      <c r="MK160" s="610"/>
      <c r="ML160" s="610"/>
      <c r="MM160" s="610"/>
      <c r="MN160" s="610"/>
      <c r="MO160" s="610"/>
      <c r="MP160" s="610"/>
      <c r="MQ160" s="610"/>
      <c r="MR160" s="610"/>
      <c r="MS160" s="610"/>
      <c r="MT160" s="610"/>
      <c r="MU160" s="610"/>
      <c r="MV160" s="610"/>
      <c r="MW160" s="610"/>
      <c r="MX160" s="610"/>
      <c r="MY160" s="610"/>
      <c r="MZ160" s="610"/>
      <c r="NA160" s="610"/>
      <c r="NB160" s="610"/>
      <c r="NC160" s="610"/>
      <c r="ND160" s="610"/>
      <c r="NE160" s="610"/>
      <c r="NF160" s="610"/>
      <c r="NG160" s="610"/>
      <c r="NH160" s="610"/>
      <c r="NI160" s="610"/>
      <c r="NJ160" s="610"/>
      <c r="NK160" s="610"/>
      <c r="NL160" s="610"/>
      <c r="NM160" s="610"/>
      <c r="NN160" s="610"/>
      <c r="NO160" s="610"/>
      <c r="NP160" s="610"/>
      <c r="NQ160" s="610"/>
      <c r="NR160" s="610"/>
      <c r="NS160" s="610"/>
      <c r="NT160" s="610"/>
      <c r="NU160" s="610"/>
      <c r="NV160" s="610"/>
      <c r="NW160" s="610"/>
      <c r="NX160" s="610"/>
      <c r="NY160" s="610"/>
      <c r="NZ160" s="610"/>
      <c r="OA160" s="610"/>
      <c r="OB160" s="610"/>
      <c r="OC160" s="610"/>
      <c r="OD160" s="610"/>
      <c r="OE160" s="610"/>
      <c r="OF160" s="610"/>
      <c r="OG160" s="610"/>
      <c r="OH160" s="610"/>
      <c r="OI160" s="610"/>
      <c r="OJ160" s="610"/>
      <c r="OK160" s="610"/>
      <c r="OL160" s="610"/>
      <c r="OM160" s="610"/>
      <c r="ON160" s="610"/>
      <c r="OO160" s="610"/>
      <c r="OP160" s="610"/>
      <c r="OQ160" s="610"/>
      <c r="OR160" s="610"/>
      <c r="OS160" s="610"/>
      <c r="OT160" s="610"/>
      <c r="OU160" s="610"/>
      <c r="OV160" s="610"/>
      <c r="OW160" s="610"/>
      <c r="OX160" s="610"/>
      <c r="OY160" s="610"/>
      <c r="OZ160" s="610"/>
      <c r="PA160" s="610"/>
      <c r="PB160" s="610"/>
      <c r="PC160" s="610"/>
      <c r="PD160" s="610"/>
      <c r="PE160" s="610"/>
      <c r="PF160" s="610"/>
      <c r="PG160" s="610"/>
      <c r="PH160" s="610"/>
      <c r="PI160" s="610"/>
      <c r="PJ160" s="610"/>
      <c r="PK160" s="610"/>
      <c r="PL160" s="610"/>
      <c r="PM160" s="610"/>
      <c r="PN160" s="610"/>
      <c r="PO160" s="610"/>
      <c r="PP160" s="610"/>
      <c r="PQ160" s="610"/>
      <c r="PR160" s="610"/>
      <c r="PS160" s="610"/>
      <c r="PT160" s="610"/>
      <c r="PU160" s="610"/>
      <c r="PV160" s="610"/>
      <c r="PW160" s="610"/>
      <c r="PX160" s="610"/>
      <c r="PY160" s="610"/>
      <c r="PZ160" s="610"/>
      <c r="QA160" s="610"/>
      <c r="QB160" s="610"/>
      <c r="QC160" s="610"/>
      <c r="QD160" s="610"/>
      <c r="QE160" s="610"/>
      <c r="QF160" s="610"/>
      <c r="QG160" s="610"/>
      <c r="QH160" s="610"/>
      <c r="QI160" s="610"/>
      <c r="QJ160" s="610"/>
      <c r="QK160" s="610"/>
      <c r="QL160" s="610"/>
      <c r="QM160" s="610"/>
      <c r="QN160" s="610"/>
      <c r="QO160" s="610"/>
      <c r="QP160" s="610"/>
      <c r="QQ160" s="610"/>
      <c r="QR160" s="610"/>
      <c r="QS160" s="610"/>
      <c r="QT160" s="610"/>
      <c r="QU160" s="610"/>
      <c r="QV160" s="610"/>
      <c r="QW160" s="610"/>
      <c r="QX160" s="610"/>
      <c r="QY160" s="610"/>
      <c r="QZ160" s="610"/>
      <c r="RA160" s="610"/>
      <c r="RB160" s="610"/>
      <c r="RC160" s="610"/>
      <c r="RD160" s="610"/>
      <c r="RE160" s="610"/>
      <c r="RF160" s="610"/>
      <c r="RG160" s="610"/>
      <c r="RH160" s="610"/>
      <c r="RI160" s="610"/>
      <c r="RJ160" s="610"/>
      <c r="RK160" s="610"/>
      <c r="RL160" s="610"/>
      <c r="RM160" s="610"/>
      <c r="RN160" s="610"/>
      <c r="RO160" s="610"/>
      <c r="RP160" s="610"/>
      <c r="RQ160" s="610"/>
      <c r="RR160" s="610"/>
      <c r="RS160" s="610"/>
      <c r="RT160" s="610"/>
      <c r="RU160" s="610"/>
      <c r="RV160" s="610"/>
      <c r="RW160" s="610"/>
      <c r="RX160" s="610"/>
      <c r="RY160" s="610"/>
      <c r="RZ160" s="610"/>
      <c r="SA160" s="610"/>
      <c r="SB160" s="610"/>
      <c r="SC160" s="610"/>
      <c r="SD160" s="610"/>
      <c r="SE160" s="610"/>
      <c r="SF160" s="610"/>
      <c r="SG160" s="610"/>
      <c r="SH160" s="610"/>
      <c r="SI160" s="610"/>
      <c r="SJ160" s="610"/>
      <c r="SK160" s="610"/>
      <c r="SL160" s="610"/>
      <c r="SM160" s="610"/>
      <c r="SN160" s="610"/>
      <c r="SO160" s="610"/>
      <c r="SP160" s="610"/>
      <c r="SQ160" s="610"/>
      <c r="SR160" s="610"/>
      <c r="SS160" s="610"/>
      <c r="ST160" s="610"/>
      <c r="SU160" s="610"/>
      <c r="SV160" s="610"/>
      <c r="SW160" s="610"/>
      <c r="SX160" s="610"/>
      <c r="SY160" s="610"/>
      <c r="SZ160" s="610"/>
      <c r="TA160" s="610"/>
      <c r="TB160" s="610"/>
      <c r="TC160" s="610"/>
      <c r="TD160" s="610"/>
      <c r="TE160" s="610"/>
      <c r="TF160" s="610"/>
      <c r="TG160" s="610"/>
      <c r="TH160" s="610"/>
      <c r="TI160" s="610"/>
      <c r="TJ160" s="610"/>
      <c r="TK160" s="610"/>
      <c r="TL160" s="610"/>
      <c r="TM160" s="610"/>
      <c r="TN160" s="610"/>
      <c r="TO160" s="610"/>
      <c r="TP160" s="610"/>
      <c r="TQ160" s="610"/>
      <c r="TR160" s="610"/>
      <c r="TS160" s="610"/>
      <c r="TT160" s="610"/>
      <c r="TU160" s="610"/>
      <c r="TV160" s="610"/>
      <c r="TW160" s="610"/>
      <c r="TX160" s="610"/>
      <c r="TY160" s="610"/>
      <c r="TZ160" s="610"/>
      <c r="UA160" s="610"/>
      <c r="UB160" s="610"/>
      <c r="UC160" s="610"/>
      <c r="UD160" s="610"/>
      <c r="UE160" s="610"/>
      <c r="UF160" s="610"/>
      <c r="UG160" s="610"/>
      <c r="UH160" s="610"/>
      <c r="UI160" s="610"/>
      <c r="UJ160" s="610"/>
      <c r="UK160" s="610"/>
      <c r="UL160" s="610"/>
      <c r="UM160" s="610"/>
      <c r="UN160" s="610"/>
      <c r="UO160" s="610"/>
      <c r="UP160" s="610"/>
      <c r="UQ160" s="610"/>
      <c r="UR160" s="610"/>
      <c r="US160" s="610"/>
      <c r="UT160" s="610"/>
      <c r="UU160" s="610"/>
      <c r="UV160" s="610"/>
      <c r="UW160" s="610"/>
      <c r="UX160" s="610"/>
      <c r="UY160" s="610"/>
      <c r="UZ160" s="610"/>
      <c r="VA160" s="610"/>
      <c r="VB160" s="610"/>
      <c r="VC160" s="610"/>
      <c r="VD160" s="610"/>
      <c r="VE160" s="610"/>
      <c r="VF160" s="610"/>
      <c r="VG160" s="610"/>
      <c r="VH160" s="610"/>
      <c r="VI160" s="610"/>
      <c r="VJ160" s="610"/>
      <c r="VK160" s="610"/>
      <c r="VL160" s="610"/>
      <c r="VM160" s="610"/>
      <c r="VN160" s="610"/>
      <c r="VO160" s="610"/>
      <c r="VP160" s="610"/>
      <c r="VQ160" s="610"/>
      <c r="VR160" s="610"/>
      <c r="VS160" s="610"/>
      <c r="VT160" s="610"/>
      <c r="VU160" s="610"/>
      <c r="VV160" s="610"/>
      <c r="VW160" s="610"/>
      <c r="VX160" s="610"/>
      <c r="VY160" s="610"/>
      <c r="VZ160" s="610"/>
      <c r="WA160" s="610"/>
      <c r="WB160" s="610"/>
      <c r="WC160" s="610"/>
      <c r="WD160" s="610"/>
      <c r="WE160" s="610"/>
      <c r="WF160" s="610"/>
      <c r="WG160" s="610"/>
      <c r="WH160" s="610"/>
      <c r="WI160" s="610"/>
      <c r="WJ160" s="610"/>
      <c r="WK160" s="610"/>
      <c r="WL160" s="610"/>
      <c r="WM160" s="610"/>
      <c r="WN160" s="610"/>
      <c r="WO160" s="610"/>
      <c r="WP160" s="610"/>
      <c r="WQ160" s="610"/>
      <c r="WR160" s="610"/>
      <c r="WS160" s="610"/>
      <c r="WT160" s="610"/>
      <c r="WU160" s="610"/>
      <c r="WV160" s="610"/>
      <c r="WW160" s="610"/>
      <c r="WX160" s="610"/>
      <c r="WY160" s="610"/>
      <c r="WZ160" s="610"/>
      <c r="XA160" s="610"/>
      <c r="XB160" s="610"/>
      <c r="XC160" s="610"/>
      <c r="XD160" s="610"/>
      <c r="XE160" s="610"/>
      <c r="XF160" s="610"/>
      <c r="XG160" s="610"/>
      <c r="XH160" s="610"/>
      <c r="XI160" s="610"/>
      <c r="XJ160" s="610"/>
      <c r="XK160" s="610"/>
      <c r="XL160" s="610"/>
      <c r="XM160" s="610"/>
      <c r="XN160" s="610"/>
      <c r="XO160" s="610"/>
      <c r="XP160" s="610"/>
      <c r="XQ160" s="610"/>
      <c r="XR160" s="610"/>
      <c r="XS160" s="610"/>
      <c r="XT160" s="610"/>
      <c r="XU160" s="610"/>
      <c r="XV160" s="610"/>
      <c r="XW160" s="610"/>
      <c r="XX160" s="610"/>
      <c r="XY160" s="610"/>
      <c r="XZ160" s="610"/>
      <c r="YA160" s="610"/>
      <c r="YB160" s="610"/>
      <c r="YC160" s="610"/>
      <c r="YD160" s="610"/>
      <c r="YE160" s="610"/>
      <c r="YF160" s="610"/>
      <c r="YG160" s="610"/>
      <c r="YH160" s="610"/>
      <c r="YI160" s="610"/>
      <c r="YJ160" s="610"/>
      <c r="YK160" s="610"/>
      <c r="YL160" s="610"/>
      <c r="YM160" s="610"/>
      <c r="YN160" s="610"/>
      <c r="YO160" s="610"/>
      <c r="YP160" s="610"/>
      <c r="YQ160" s="610"/>
      <c r="YR160" s="610"/>
      <c r="YS160" s="610"/>
      <c r="YT160" s="610"/>
      <c r="YU160" s="610"/>
      <c r="YV160" s="610"/>
      <c r="YW160" s="610"/>
      <c r="YX160" s="610"/>
      <c r="YY160" s="610"/>
      <c r="YZ160" s="610"/>
      <c r="ZA160" s="610"/>
      <c r="ZB160" s="610"/>
      <c r="ZC160" s="610"/>
      <c r="ZD160" s="610"/>
      <c r="ZE160" s="610"/>
      <c r="ZF160" s="610"/>
      <c r="ZG160" s="610"/>
      <c r="ZH160" s="610"/>
      <c r="ZI160" s="610"/>
      <c r="ZJ160" s="610"/>
      <c r="ZK160" s="610"/>
      <c r="ZL160" s="610"/>
      <c r="ZM160" s="610"/>
      <c r="ZN160" s="610"/>
      <c r="ZO160" s="610"/>
      <c r="ZP160" s="610"/>
      <c r="ZQ160" s="610"/>
      <c r="ZR160" s="610"/>
      <c r="ZS160" s="610"/>
      <c r="ZT160" s="610"/>
      <c r="ZU160" s="610"/>
      <c r="ZV160" s="610"/>
      <c r="ZW160" s="610"/>
      <c r="ZX160" s="610"/>
      <c r="ZY160" s="610"/>
      <c r="ZZ160" s="610"/>
      <c r="AAA160" s="610"/>
      <c r="AAB160" s="610"/>
      <c r="AAC160" s="610"/>
      <c r="AAD160" s="610"/>
      <c r="AAE160" s="610"/>
      <c r="AAF160" s="610"/>
      <c r="AAG160" s="610"/>
      <c r="AAH160" s="610"/>
      <c r="AAI160" s="610"/>
      <c r="AAJ160" s="610"/>
      <c r="AAK160" s="610"/>
      <c r="AAL160" s="610"/>
      <c r="AAM160" s="610"/>
      <c r="AAN160" s="610"/>
      <c r="AAO160" s="610"/>
      <c r="AAP160" s="610"/>
      <c r="AAQ160" s="610"/>
      <c r="AAR160" s="610"/>
      <c r="AAS160" s="610"/>
      <c r="AAT160" s="610"/>
      <c r="AAU160" s="610"/>
      <c r="AAV160" s="610"/>
      <c r="AAW160" s="610"/>
      <c r="AAX160" s="610"/>
      <c r="AAY160" s="610"/>
      <c r="AAZ160" s="610"/>
      <c r="ABA160" s="610"/>
      <c r="ABB160" s="610"/>
      <c r="ABC160" s="610"/>
      <c r="ABD160" s="610"/>
      <c r="ABE160" s="610"/>
      <c r="ABF160" s="610"/>
      <c r="ABG160" s="610"/>
      <c r="ABH160" s="610"/>
      <c r="ABI160" s="610"/>
      <c r="ABJ160" s="610"/>
      <c r="ABK160" s="610"/>
      <c r="ABL160" s="610"/>
      <c r="ABM160" s="610"/>
      <c r="ABN160" s="610"/>
      <c r="ABO160" s="610"/>
      <c r="ABP160" s="610"/>
      <c r="ABQ160" s="610"/>
      <c r="ABR160" s="610"/>
      <c r="ABS160" s="610"/>
      <c r="ABT160" s="610"/>
      <c r="ABU160" s="610"/>
      <c r="ABV160" s="610"/>
      <c r="ABW160" s="610"/>
      <c r="ABX160" s="610"/>
      <c r="ABY160" s="610"/>
      <c r="ABZ160" s="610"/>
      <c r="ACA160" s="610"/>
      <c r="ACB160" s="610"/>
      <c r="ACC160" s="610"/>
      <c r="ACD160" s="610"/>
      <c r="ACE160" s="610"/>
      <c r="ACF160" s="610"/>
      <c r="ACG160" s="610"/>
      <c r="ACH160" s="610"/>
      <c r="ACI160" s="610"/>
      <c r="ACJ160" s="610"/>
      <c r="ACK160" s="610"/>
      <c r="ACL160" s="610"/>
      <c r="ACM160" s="610"/>
      <c r="ACN160" s="610"/>
      <c r="ACO160" s="610"/>
      <c r="ACP160" s="610"/>
      <c r="ACQ160" s="610"/>
      <c r="ACR160" s="610"/>
      <c r="ACS160" s="610"/>
      <c r="ACT160" s="610"/>
      <c r="ACU160" s="610"/>
      <c r="ACV160" s="610"/>
      <c r="ACW160" s="610"/>
      <c r="ACX160" s="610"/>
      <c r="ACY160" s="610"/>
      <c r="ACZ160" s="610"/>
      <c r="ADA160" s="610"/>
      <c r="ADB160" s="610"/>
      <c r="ADC160" s="610"/>
      <c r="ADD160" s="610"/>
      <c r="ADE160" s="610"/>
      <c r="ADF160" s="610"/>
      <c r="ADG160" s="610"/>
      <c r="ADH160" s="610"/>
      <c r="ADI160" s="610"/>
      <c r="ADJ160" s="610"/>
      <c r="ADK160" s="610"/>
      <c r="ADL160" s="610"/>
      <c r="ADM160" s="610"/>
      <c r="ADN160" s="610"/>
      <c r="ADO160" s="610"/>
      <c r="ADP160" s="610"/>
      <c r="ADQ160" s="610"/>
      <c r="ADR160" s="610"/>
      <c r="ADS160" s="610"/>
      <c r="ADT160" s="610"/>
      <c r="ADU160" s="610"/>
      <c r="ADV160" s="610"/>
      <c r="ADW160" s="610"/>
      <c r="ADX160" s="610"/>
      <c r="ADY160" s="610"/>
      <c r="ADZ160" s="610"/>
      <c r="AEA160" s="610"/>
      <c r="AEB160" s="610"/>
      <c r="AEC160" s="610"/>
      <c r="AED160" s="610"/>
      <c r="AEE160" s="610"/>
      <c r="AEF160" s="610"/>
      <c r="AEG160" s="610"/>
      <c r="AEH160" s="610"/>
      <c r="AEI160" s="610"/>
      <c r="AEJ160" s="610"/>
      <c r="AEK160" s="610"/>
      <c r="AEL160" s="610"/>
      <c r="AEM160" s="610"/>
      <c r="AEN160" s="610"/>
      <c r="AEO160" s="610"/>
      <c r="AEP160" s="610"/>
      <c r="AEQ160" s="610"/>
      <c r="AER160" s="610"/>
      <c r="AES160" s="610"/>
      <c r="AET160" s="610"/>
      <c r="AEU160" s="610"/>
      <c r="AEV160" s="610"/>
      <c r="AEW160" s="610"/>
      <c r="AEX160" s="610"/>
      <c r="AEY160" s="610"/>
      <c r="AEZ160" s="610"/>
      <c r="AFA160" s="610"/>
      <c r="AFB160" s="610"/>
      <c r="AFC160" s="610"/>
      <c r="AFD160" s="610"/>
      <c r="AFE160" s="610"/>
      <c r="AFF160" s="610"/>
      <c r="AFG160" s="610"/>
      <c r="AFH160" s="610"/>
      <c r="AFI160" s="610"/>
      <c r="AFJ160" s="610"/>
      <c r="AFK160" s="610"/>
      <c r="AFL160" s="610"/>
      <c r="AFM160" s="610"/>
      <c r="AFN160" s="610"/>
      <c r="AFO160" s="610"/>
      <c r="AFP160" s="610"/>
      <c r="AFQ160" s="610"/>
      <c r="AFR160" s="610"/>
      <c r="AFS160" s="610"/>
      <c r="AFT160" s="610"/>
      <c r="AFU160" s="610"/>
      <c r="AFV160" s="610"/>
      <c r="AFW160" s="610"/>
      <c r="AFX160" s="610"/>
      <c r="AFY160" s="610"/>
      <c r="AFZ160" s="610"/>
      <c r="AGA160" s="610"/>
      <c r="AGB160" s="610"/>
      <c r="AGC160" s="610"/>
      <c r="AGD160" s="610"/>
      <c r="AGE160" s="610"/>
      <c r="AGF160" s="610"/>
      <c r="AGG160" s="610"/>
      <c r="AGH160" s="610"/>
      <c r="AGI160" s="610"/>
      <c r="AGJ160" s="610"/>
      <c r="AGK160" s="610"/>
      <c r="AGL160" s="610"/>
      <c r="AGM160" s="610"/>
      <c r="AGN160" s="610"/>
      <c r="AGO160" s="610"/>
      <c r="AGP160" s="610"/>
      <c r="AGQ160" s="610"/>
      <c r="AGR160" s="610"/>
      <c r="AGS160" s="610"/>
      <c r="AGT160" s="610"/>
      <c r="AGU160" s="610"/>
      <c r="AGV160" s="610"/>
      <c r="AGW160" s="610"/>
      <c r="AGX160" s="610"/>
      <c r="AGY160" s="610"/>
      <c r="AGZ160" s="610"/>
      <c r="AHA160" s="610"/>
      <c r="AHB160" s="610"/>
      <c r="AHC160" s="610"/>
      <c r="AHD160" s="610"/>
      <c r="AHE160" s="610"/>
      <c r="AHF160" s="610"/>
      <c r="AHG160" s="610"/>
      <c r="AHH160" s="610"/>
      <c r="AHI160" s="610"/>
      <c r="AHJ160" s="610"/>
      <c r="AHK160" s="610"/>
      <c r="AHL160" s="610"/>
      <c r="AHM160" s="610"/>
      <c r="AHN160" s="610"/>
      <c r="AHO160" s="610"/>
      <c r="AHP160" s="610"/>
      <c r="AHQ160" s="610"/>
      <c r="AHR160" s="610"/>
      <c r="AHS160" s="610"/>
      <c r="AHT160" s="610"/>
      <c r="AHU160" s="610"/>
      <c r="AHV160" s="610"/>
      <c r="AHW160" s="610"/>
      <c r="AHX160" s="610"/>
      <c r="AHY160" s="610"/>
      <c r="AHZ160" s="610"/>
      <c r="AIA160" s="610"/>
      <c r="AIB160" s="610"/>
      <c r="AIC160" s="610"/>
      <c r="AID160" s="610"/>
      <c r="AIE160" s="610"/>
      <c r="AIF160" s="610"/>
      <c r="AIG160" s="610"/>
      <c r="AIH160" s="610"/>
      <c r="AII160" s="610"/>
      <c r="AIJ160" s="610"/>
      <c r="AIK160" s="610"/>
      <c r="AIL160" s="610"/>
      <c r="AIM160" s="610"/>
      <c r="AIN160" s="610"/>
      <c r="AIO160" s="610"/>
      <c r="AIP160" s="610"/>
      <c r="AIQ160" s="610"/>
      <c r="AIR160" s="610"/>
      <c r="AIS160" s="610"/>
      <c r="AIT160" s="610"/>
      <c r="AIU160" s="610"/>
      <c r="AIV160" s="610"/>
      <c r="AIW160" s="610"/>
      <c r="AIX160" s="610"/>
      <c r="AIY160" s="610"/>
      <c r="AIZ160" s="610"/>
      <c r="AJA160" s="610"/>
      <c r="AJB160" s="610"/>
      <c r="AJC160" s="610"/>
      <c r="AJD160" s="610"/>
      <c r="AJE160" s="610"/>
      <c r="AJF160" s="610"/>
      <c r="AJG160" s="610"/>
      <c r="AJH160" s="610"/>
      <c r="AJI160" s="610"/>
      <c r="AJJ160" s="610"/>
      <c r="AJK160" s="610"/>
      <c r="AJL160" s="610"/>
      <c r="AJM160" s="610"/>
      <c r="AJN160" s="610"/>
      <c r="AJO160" s="610"/>
      <c r="AJP160" s="610"/>
      <c r="AJQ160" s="610"/>
      <c r="AJR160" s="610"/>
      <c r="AJS160" s="610"/>
      <c r="AJT160" s="610"/>
      <c r="AJU160" s="610"/>
      <c r="AJV160" s="610"/>
      <c r="AJW160" s="610"/>
      <c r="AJX160" s="610"/>
      <c r="AJY160" s="610"/>
      <c r="AJZ160" s="610"/>
      <c r="AKA160" s="610"/>
      <c r="AKB160" s="610"/>
      <c r="AKC160" s="610"/>
      <c r="AKD160" s="610"/>
      <c r="AKE160" s="610"/>
      <c r="AKF160" s="610"/>
      <c r="AKG160" s="610"/>
      <c r="AKH160" s="610"/>
      <c r="AKI160" s="610"/>
      <c r="AKJ160" s="610"/>
      <c r="AKK160" s="610"/>
      <c r="AKL160" s="610"/>
      <c r="AKM160" s="610"/>
      <c r="AKN160" s="610"/>
      <c r="AKO160" s="610"/>
      <c r="AKP160" s="610"/>
      <c r="AKQ160" s="610"/>
      <c r="AKR160" s="610"/>
      <c r="AKS160" s="610"/>
      <c r="AKT160" s="610"/>
      <c r="AKU160" s="610"/>
      <c r="AKV160" s="610"/>
      <c r="AKW160" s="610"/>
      <c r="AKX160" s="610"/>
      <c r="AKY160" s="610"/>
      <c r="AKZ160" s="610"/>
      <c r="ALA160" s="610"/>
      <c r="ALB160" s="610"/>
      <c r="ALC160" s="610"/>
      <c r="ALD160" s="610"/>
      <c r="ALE160" s="610"/>
      <c r="ALF160" s="610"/>
      <c r="ALG160" s="610"/>
      <c r="ALH160" s="610"/>
      <c r="ALI160" s="610"/>
      <c r="ALJ160" s="610"/>
      <c r="ALK160" s="610"/>
      <c r="ALL160" s="610"/>
      <c r="ALM160" s="610"/>
      <c r="ALN160" s="610"/>
      <c r="ALO160" s="610"/>
      <c r="ALP160" s="610"/>
      <c r="ALQ160" s="610"/>
      <c r="ALR160" s="610"/>
      <c r="ALS160" s="610"/>
      <c r="ALT160" s="610"/>
      <c r="ALU160" s="610"/>
      <c r="ALV160" s="610"/>
      <c r="ALW160" s="610"/>
      <c r="ALX160" s="610"/>
      <c r="ALY160" s="610"/>
      <c r="ALZ160" s="610"/>
      <c r="AMA160" s="610"/>
      <c r="AMB160" s="610"/>
      <c r="AMC160" s="610"/>
      <c r="AMD160" s="610"/>
      <c r="AME160" s="610"/>
      <c r="AMF160" s="610"/>
      <c r="AMG160" s="610"/>
      <c r="AMH160" s="610"/>
      <c r="AMI160" s="610"/>
      <c r="AMJ160" s="610"/>
      <c r="AMK160" s="610"/>
      <c r="AML160" s="610"/>
      <c r="AMM160" s="610"/>
      <c r="AMN160" s="610"/>
      <c r="AMO160" s="610"/>
      <c r="AMP160" s="610"/>
      <c r="AMQ160" s="610"/>
      <c r="AMR160" s="610"/>
      <c r="AMS160" s="610"/>
      <c r="AMT160" s="610"/>
      <c r="AMU160" s="610"/>
      <c r="AMV160" s="610"/>
      <c r="AMW160" s="610"/>
      <c r="AMX160" s="610"/>
      <c r="AMY160" s="610"/>
      <c r="AMZ160" s="610"/>
      <c r="ANA160" s="610"/>
      <c r="ANB160" s="610"/>
      <c r="ANC160" s="610"/>
      <c r="AND160" s="610"/>
      <c r="ANE160" s="610"/>
      <c r="ANF160" s="610"/>
      <c r="ANG160" s="610"/>
      <c r="ANH160" s="610"/>
      <c r="ANI160" s="610"/>
      <c r="ANJ160" s="610"/>
      <c r="ANK160" s="610"/>
      <c r="ANL160" s="610"/>
      <c r="ANM160" s="610"/>
      <c r="ANN160" s="610"/>
      <c r="ANO160" s="610"/>
      <c r="ANP160" s="610"/>
      <c r="ANQ160" s="610"/>
      <c r="ANR160" s="610"/>
      <c r="ANS160" s="610"/>
      <c r="ANT160" s="610"/>
      <c r="ANU160" s="610"/>
      <c r="ANV160" s="610"/>
      <c r="ANW160" s="610"/>
      <c r="ANX160" s="610"/>
      <c r="ANY160" s="610"/>
      <c r="ANZ160" s="610"/>
      <c r="AOA160" s="610"/>
      <c r="AOB160" s="610"/>
      <c r="AOC160" s="610"/>
      <c r="AOD160" s="610"/>
      <c r="AOE160" s="610"/>
      <c r="AOF160" s="610"/>
      <c r="AOG160" s="610"/>
      <c r="AOH160" s="610"/>
      <c r="AOI160" s="610"/>
      <c r="AOJ160" s="610"/>
      <c r="AOK160" s="610"/>
      <c r="AOL160" s="610"/>
      <c r="AOM160" s="610"/>
      <c r="AON160" s="610"/>
      <c r="AOO160" s="610"/>
      <c r="AOP160" s="610"/>
      <c r="AOQ160" s="610"/>
      <c r="AOR160" s="610"/>
      <c r="AOS160" s="610"/>
      <c r="AOT160" s="610"/>
      <c r="AOU160" s="610"/>
      <c r="AOV160" s="610"/>
      <c r="AOW160" s="610"/>
      <c r="AOX160" s="610"/>
      <c r="AOY160" s="610"/>
      <c r="AOZ160" s="610"/>
      <c r="APA160" s="610"/>
      <c r="APB160" s="610"/>
      <c r="APC160" s="610"/>
      <c r="APD160" s="610"/>
      <c r="APE160" s="610"/>
      <c r="APF160" s="610"/>
      <c r="APG160" s="610"/>
      <c r="APH160" s="610"/>
      <c r="API160" s="610"/>
      <c r="APJ160" s="610"/>
      <c r="APK160" s="610"/>
      <c r="APL160" s="610"/>
      <c r="APM160" s="610"/>
      <c r="APN160" s="610"/>
      <c r="APO160" s="610"/>
      <c r="APP160" s="610"/>
      <c r="APQ160" s="610"/>
      <c r="APR160" s="610"/>
      <c r="APS160" s="610"/>
      <c r="APT160" s="610"/>
      <c r="APU160" s="610"/>
      <c r="APV160" s="610"/>
      <c r="APW160" s="610"/>
      <c r="APX160" s="610"/>
      <c r="APY160" s="610"/>
      <c r="APZ160" s="610"/>
      <c r="AQA160" s="610"/>
      <c r="AQB160" s="610"/>
      <c r="AQC160" s="610"/>
      <c r="AQD160" s="610"/>
      <c r="AQE160" s="610"/>
      <c r="AQF160" s="610"/>
      <c r="AQG160" s="610"/>
      <c r="AQH160" s="610"/>
      <c r="AQI160" s="610"/>
      <c r="AQJ160" s="610"/>
      <c r="AQK160" s="610"/>
      <c r="AQL160" s="610"/>
      <c r="AQM160" s="610"/>
      <c r="AQN160" s="610"/>
      <c r="AQO160" s="610"/>
      <c r="AQP160" s="610"/>
      <c r="AQQ160" s="610"/>
      <c r="AQR160" s="610"/>
      <c r="AQS160" s="610"/>
      <c r="AQT160" s="610"/>
      <c r="AQU160" s="610"/>
      <c r="AQV160" s="610"/>
      <c r="AQW160" s="610"/>
      <c r="AQX160" s="610"/>
      <c r="AQY160" s="610"/>
      <c r="AQZ160" s="610"/>
      <c r="ARA160" s="610"/>
      <c r="ARB160" s="610"/>
      <c r="ARC160" s="610"/>
      <c r="ARD160" s="610"/>
      <c r="ARE160" s="610"/>
      <c r="ARF160" s="610"/>
      <c r="ARG160" s="610"/>
      <c r="ARH160" s="610"/>
      <c r="ARI160" s="610"/>
      <c r="ARJ160" s="610"/>
      <c r="ARK160" s="610"/>
      <c r="ARL160" s="610"/>
      <c r="ARM160" s="610"/>
      <c r="ARN160" s="610"/>
      <c r="ARO160" s="610"/>
      <c r="ARP160" s="610"/>
      <c r="ARQ160" s="610"/>
      <c r="ARR160" s="610"/>
      <c r="ARS160" s="610"/>
      <c r="ART160" s="610"/>
      <c r="ARU160" s="610"/>
      <c r="ARV160" s="610"/>
      <c r="ARW160" s="610"/>
      <c r="ARX160" s="610"/>
      <c r="ARY160" s="610"/>
      <c r="ARZ160" s="610"/>
      <c r="ASA160" s="610"/>
      <c r="ASB160" s="610"/>
      <c r="ASC160" s="610"/>
      <c r="ASD160" s="610"/>
      <c r="ASE160" s="610"/>
      <c r="ASF160" s="610"/>
      <c r="ASG160" s="610"/>
      <c r="ASH160" s="610"/>
      <c r="ASI160" s="610"/>
      <c r="ASJ160" s="610"/>
      <c r="ASK160" s="610"/>
      <c r="ASL160" s="610"/>
      <c r="ASM160" s="610"/>
      <c r="ASN160" s="610"/>
      <c r="ASO160" s="610"/>
      <c r="ASP160" s="610"/>
      <c r="ASQ160" s="610"/>
      <c r="ASR160" s="610"/>
      <c r="ASS160" s="610"/>
      <c r="AST160" s="610"/>
      <c r="ASU160" s="610"/>
      <c r="ASV160" s="610"/>
      <c r="ASW160" s="610"/>
      <c r="ASX160" s="610"/>
      <c r="ASY160" s="610"/>
      <c r="ASZ160" s="610"/>
      <c r="ATA160" s="610"/>
      <c r="ATB160" s="610"/>
      <c r="ATC160" s="610"/>
      <c r="ATD160" s="610"/>
      <c r="ATE160" s="610"/>
      <c r="ATF160" s="610"/>
      <c r="ATG160" s="610"/>
      <c r="ATH160" s="610"/>
      <c r="ATI160" s="610"/>
      <c r="ATJ160" s="610"/>
      <c r="ATK160" s="610"/>
      <c r="ATL160" s="610"/>
      <c r="ATM160" s="610"/>
      <c r="ATN160" s="610"/>
      <c r="ATO160" s="610"/>
      <c r="ATP160" s="610"/>
      <c r="ATQ160" s="610"/>
      <c r="ATR160" s="610"/>
      <c r="ATS160" s="610"/>
      <c r="ATT160" s="610"/>
      <c r="ATU160" s="610"/>
      <c r="ATV160" s="610"/>
      <c r="ATW160" s="610"/>
      <c r="ATX160" s="610"/>
      <c r="ATY160" s="610"/>
      <c r="ATZ160" s="610"/>
      <c r="AUA160" s="610"/>
      <c r="AUB160" s="610"/>
      <c r="AUC160" s="610"/>
      <c r="AUD160" s="610"/>
      <c r="AUE160" s="610"/>
      <c r="AUF160" s="610"/>
      <c r="AUG160" s="610"/>
      <c r="AUH160" s="610"/>
      <c r="AUI160" s="610"/>
      <c r="AUJ160" s="610"/>
      <c r="AUK160" s="610"/>
      <c r="AUL160" s="610"/>
      <c r="AUM160" s="610"/>
      <c r="AUN160" s="610"/>
      <c r="AUO160" s="610"/>
      <c r="AUP160" s="610"/>
      <c r="AUQ160" s="610"/>
      <c r="AUR160" s="610"/>
      <c r="AUS160" s="610"/>
      <c r="AUT160" s="610"/>
      <c r="AUU160" s="610"/>
      <c r="AUV160" s="610"/>
      <c r="AUW160" s="610"/>
      <c r="AUX160" s="610"/>
      <c r="AUY160" s="610"/>
      <c r="AUZ160" s="610"/>
      <c r="AVA160" s="610"/>
      <c r="AVB160" s="610"/>
      <c r="AVC160" s="610"/>
      <c r="AVD160" s="610"/>
      <c r="AVE160" s="610"/>
      <c r="AVF160" s="610"/>
      <c r="AVG160" s="610"/>
      <c r="AVH160" s="610"/>
      <c r="AVI160" s="610"/>
      <c r="AVJ160" s="610"/>
      <c r="AVK160" s="610"/>
      <c r="AVL160" s="610"/>
      <c r="AVM160" s="610"/>
      <c r="AVN160" s="610"/>
      <c r="AVO160" s="610"/>
      <c r="AVP160" s="610"/>
      <c r="AVQ160" s="610"/>
      <c r="AVR160" s="610"/>
      <c r="AVS160" s="610"/>
      <c r="AVT160" s="610"/>
      <c r="AVU160" s="610"/>
      <c r="AVV160" s="610"/>
      <c r="AVW160" s="610"/>
      <c r="AVX160" s="610"/>
      <c r="AVY160" s="610"/>
      <c r="AVZ160" s="610"/>
      <c r="AWA160" s="610"/>
      <c r="AWB160" s="610"/>
      <c r="AWC160" s="610"/>
      <c r="AWD160" s="610"/>
      <c r="AWE160" s="610"/>
      <c r="AWF160" s="610"/>
      <c r="AWG160" s="610"/>
      <c r="AWH160" s="610"/>
      <c r="AWI160" s="610"/>
      <c r="AWJ160" s="610"/>
      <c r="AWK160" s="610"/>
      <c r="AWL160" s="610"/>
      <c r="AWM160" s="610"/>
      <c r="AWN160" s="610"/>
      <c r="AWO160" s="610"/>
      <c r="AWP160" s="610"/>
      <c r="AWQ160" s="610"/>
      <c r="AWR160" s="610"/>
      <c r="AWS160" s="610"/>
      <c r="AWT160" s="610"/>
      <c r="AWU160" s="610"/>
      <c r="AWV160" s="610"/>
      <c r="AWW160" s="610"/>
      <c r="AWX160" s="610"/>
      <c r="AWY160" s="610"/>
      <c r="AWZ160" s="610"/>
      <c r="AXA160" s="610"/>
      <c r="AXB160" s="610"/>
      <c r="AXC160" s="610"/>
      <c r="AXD160" s="610"/>
      <c r="AXE160" s="610"/>
      <c r="AXF160" s="610"/>
      <c r="AXG160" s="610"/>
      <c r="AXH160" s="610"/>
      <c r="AXI160" s="610"/>
      <c r="AXJ160" s="610"/>
      <c r="AXK160" s="610"/>
      <c r="AXL160" s="610"/>
      <c r="AXM160" s="610"/>
      <c r="AXN160" s="610"/>
      <c r="AXO160" s="610"/>
      <c r="AXP160" s="610"/>
      <c r="AXQ160" s="610"/>
      <c r="AXR160" s="610"/>
      <c r="AXS160" s="610"/>
      <c r="AXT160" s="610"/>
      <c r="AXU160" s="610"/>
      <c r="AXV160" s="610"/>
      <c r="AXW160" s="610"/>
      <c r="AXX160" s="610"/>
      <c r="AXY160" s="610"/>
      <c r="AXZ160" s="610"/>
      <c r="AYA160" s="610"/>
      <c r="AYB160" s="610"/>
      <c r="AYC160" s="610"/>
      <c r="AYD160" s="610"/>
      <c r="AYE160" s="610"/>
      <c r="AYF160" s="610"/>
      <c r="AYG160" s="610"/>
      <c r="AYH160" s="610"/>
      <c r="AYI160" s="610"/>
      <c r="AYJ160" s="610"/>
      <c r="AYK160" s="610"/>
      <c r="AYL160" s="610"/>
      <c r="AYM160" s="610"/>
      <c r="AYN160" s="610"/>
      <c r="AYO160" s="610"/>
      <c r="AYP160" s="610"/>
      <c r="AYQ160" s="610"/>
      <c r="AYR160" s="610"/>
      <c r="AYS160" s="610"/>
      <c r="AYT160" s="610"/>
      <c r="AYU160" s="610"/>
      <c r="AYV160" s="610"/>
      <c r="AYW160" s="610"/>
      <c r="AYX160" s="610"/>
      <c r="AYY160" s="610"/>
      <c r="AYZ160" s="610"/>
      <c r="AZA160" s="610"/>
      <c r="AZB160" s="610"/>
      <c r="AZC160" s="610"/>
      <c r="AZD160" s="610"/>
      <c r="AZE160" s="610"/>
      <c r="AZF160" s="610"/>
      <c r="AZG160" s="610"/>
      <c r="AZH160" s="610"/>
      <c r="AZI160" s="610"/>
      <c r="AZJ160" s="610"/>
      <c r="AZK160" s="610"/>
      <c r="AZL160" s="610"/>
      <c r="AZM160" s="610"/>
      <c r="AZN160" s="610"/>
      <c r="AZO160" s="610"/>
      <c r="AZP160" s="610"/>
      <c r="AZQ160" s="610"/>
      <c r="AZR160" s="610"/>
      <c r="AZS160" s="610"/>
      <c r="AZT160" s="610"/>
      <c r="AZU160" s="610"/>
      <c r="AZV160" s="610"/>
      <c r="AZW160" s="610"/>
      <c r="AZX160" s="610"/>
      <c r="AZY160" s="610"/>
      <c r="AZZ160" s="610"/>
      <c r="BAA160" s="610"/>
      <c r="BAB160" s="610"/>
      <c r="BAC160" s="610"/>
      <c r="BAD160" s="610"/>
      <c r="BAE160" s="610"/>
      <c r="BAF160" s="610"/>
      <c r="BAG160" s="610"/>
      <c r="BAH160" s="610"/>
      <c r="BAI160" s="610"/>
      <c r="BAJ160" s="610"/>
      <c r="BAK160" s="610"/>
      <c r="BAL160" s="610"/>
      <c r="BAM160" s="610"/>
      <c r="BAN160" s="610"/>
      <c r="BAO160" s="610"/>
      <c r="BAP160" s="610"/>
      <c r="BAQ160" s="610"/>
      <c r="BAR160" s="610"/>
      <c r="BAS160" s="610"/>
      <c r="BAT160" s="610"/>
      <c r="BAU160" s="610"/>
      <c r="BAV160" s="610"/>
      <c r="BAW160" s="610"/>
      <c r="BAX160" s="610"/>
      <c r="BAY160" s="610"/>
      <c r="BAZ160" s="610"/>
      <c r="BBA160" s="610"/>
      <c r="BBB160" s="610"/>
      <c r="BBC160" s="610"/>
      <c r="BBD160" s="610"/>
      <c r="BBE160" s="610"/>
      <c r="BBF160" s="610"/>
      <c r="BBG160" s="610"/>
      <c r="BBH160" s="610"/>
      <c r="BBI160" s="610"/>
      <c r="BBJ160" s="610"/>
      <c r="BBK160" s="610"/>
      <c r="BBL160" s="610"/>
      <c r="BBM160" s="610"/>
      <c r="BBN160" s="610"/>
      <c r="BBO160" s="610"/>
      <c r="BBP160" s="610"/>
      <c r="BBQ160" s="610"/>
      <c r="BBR160" s="610"/>
      <c r="BBS160" s="610"/>
      <c r="BBT160" s="610"/>
      <c r="BBU160" s="610"/>
      <c r="BBV160" s="610"/>
      <c r="BBW160" s="610"/>
      <c r="BBX160" s="610"/>
      <c r="BBY160" s="610"/>
      <c r="BBZ160" s="610"/>
      <c r="BCA160" s="610"/>
      <c r="BCB160" s="610"/>
      <c r="BCC160" s="610"/>
      <c r="BCD160" s="610"/>
      <c r="BCE160" s="610"/>
      <c r="BCF160" s="610"/>
      <c r="BCG160" s="610"/>
      <c r="BCH160" s="610"/>
      <c r="BCI160" s="610"/>
      <c r="BCJ160" s="610"/>
      <c r="BCK160" s="610"/>
      <c r="BCL160" s="610"/>
      <c r="BCM160" s="610"/>
      <c r="BCN160" s="610"/>
      <c r="BCO160" s="610"/>
      <c r="BCP160" s="610"/>
      <c r="BCQ160" s="610"/>
      <c r="BCR160" s="610"/>
      <c r="BCS160" s="610"/>
      <c r="BCT160" s="610"/>
      <c r="BCU160" s="610"/>
      <c r="BCV160" s="610"/>
      <c r="BCW160" s="610"/>
      <c r="BCX160" s="610"/>
      <c r="BCY160" s="610"/>
      <c r="BCZ160" s="610"/>
      <c r="BDA160" s="610"/>
      <c r="BDB160" s="610"/>
      <c r="BDC160" s="610"/>
      <c r="BDD160" s="610"/>
      <c r="BDE160" s="610"/>
      <c r="BDF160" s="610"/>
      <c r="BDG160" s="610"/>
      <c r="BDH160" s="610"/>
      <c r="BDI160" s="610"/>
      <c r="BDJ160" s="610"/>
      <c r="BDK160" s="610"/>
      <c r="BDL160" s="610"/>
      <c r="BDM160" s="610"/>
      <c r="BDN160" s="610"/>
      <c r="BDO160" s="610"/>
      <c r="BDP160" s="610"/>
      <c r="BDQ160" s="610"/>
      <c r="BDR160" s="610"/>
      <c r="BDS160" s="610"/>
      <c r="BDT160" s="610"/>
      <c r="BDU160" s="610"/>
      <c r="BDV160" s="610"/>
      <c r="BDW160" s="610"/>
      <c r="BDX160" s="610"/>
      <c r="BDY160" s="610"/>
      <c r="BDZ160" s="610"/>
      <c r="BEA160" s="610"/>
      <c r="BEB160" s="610"/>
      <c r="BEC160" s="610"/>
      <c r="BED160" s="610"/>
      <c r="BEE160" s="610"/>
      <c r="BEF160" s="610"/>
      <c r="BEG160" s="610"/>
      <c r="BEH160" s="610"/>
      <c r="BEI160" s="610"/>
      <c r="BEJ160" s="610"/>
      <c r="BEK160" s="610"/>
      <c r="BEL160" s="610"/>
      <c r="BEM160" s="610"/>
      <c r="BEN160" s="610"/>
      <c r="BEO160" s="610"/>
      <c r="BEP160" s="610"/>
      <c r="BEQ160" s="610"/>
      <c r="BER160" s="610"/>
      <c r="BES160" s="610"/>
      <c r="BET160" s="610"/>
      <c r="BEU160" s="610"/>
      <c r="BEV160" s="610"/>
      <c r="BEW160" s="610"/>
      <c r="BEX160" s="610"/>
      <c r="BEY160" s="610"/>
      <c r="BEZ160" s="610"/>
      <c r="BFA160" s="610"/>
      <c r="BFB160" s="610"/>
      <c r="BFC160" s="610"/>
      <c r="BFD160" s="610"/>
      <c r="BFE160" s="610"/>
      <c r="BFF160" s="610"/>
      <c r="BFG160" s="610"/>
      <c r="BFH160" s="610"/>
      <c r="BFI160" s="610"/>
      <c r="BFJ160" s="610"/>
      <c r="BFK160" s="610"/>
      <c r="BFL160" s="610"/>
      <c r="BFM160" s="610"/>
      <c r="BFN160" s="610"/>
      <c r="BFO160" s="610"/>
      <c r="BFP160" s="610"/>
      <c r="BFQ160" s="610"/>
      <c r="BFR160" s="610"/>
      <c r="BFS160" s="610"/>
      <c r="BFT160" s="610"/>
      <c r="BFU160" s="610"/>
      <c r="BFV160" s="610"/>
      <c r="BFW160" s="610"/>
      <c r="BFX160" s="610"/>
      <c r="BFY160" s="610"/>
      <c r="BFZ160" s="610"/>
      <c r="BGA160" s="610"/>
      <c r="BGB160" s="610"/>
      <c r="BGC160" s="610"/>
      <c r="BGD160" s="610"/>
      <c r="BGE160" s="610"/>
      <c r="BGF160" s="610"/>
      <c r="BGG160" s="610"/>
      <c r="BGH160" s="610"/>
      <c r="BGI160" s="610"/>
      <c r="BGJ160" s="610"/>
      <c r="BGK160" s="610"/>
      <c r="BGL160" s="610"/>
      <c r="BGM160" s="610"/>
      <c r="BGN160" s="610"/>
      <c r="BGO160" s="610"/>
      <c r="BGP160" s="610"/>
      <c r="BGQ160" s="610"/>
      <c r="BGR160" s="610"/>
      <c r="BGS160" s="610"/>
      <c r="BGT160" s="610"/>
      <c r="BGU160" s="610"/>
      <c r="BGV160" s="610"/>
      <c r="BGW160" s="610"/>
      <c r="BGX160" s="610"/>
      <c r="BGY160" s="610"/>
      <c r="BGZ160" s="610"/>
      <c r="BHA160" s="610"/>
      <c r="BHB160" s="610"/>
      <c r="BHC160" s="610"/>
      <c r="BHD160" s="610"/>
      <c r="BHE160" s="610"/>
      <c r="BHF160" s="610"/>
      <c r="BHG160" s="610"/>
      <c r="BHH160" s="610"/>
      <c r="BHI160" s="610"/>
      <c r="BHJ160" s="610"/>
      <c r="BHK160" s="610"/>
      <c r="BHL160" s="610"/>
      <c r="BHM160" s="610"/>
      <c r="BHN160" s="610"/>
      <c r="BHO160" s="610"/>
      <c r="BHP160" s="610"/>
      <c r="BHQ160" s="610"/>
      <c r="BHR160" s="610"/>
      <c r="BHS160" s="610"/>
      <c r="BHT160" s="610"/>
      <c r="BHU160" s="610"/>
      <c r="BHV160" s="610"/>
      <c r="BHW160" s="610"/>
      <c r="BHX160" s="610"/>
      <c r="BHY160" s="610"/>
      <c r="BHZ160" s="610"/>
      <c r="BIA160" s="610"/>
      <c r="BIB160" s="610"/>
      <c r="BIC160" s="610"/>
      <c r="BID160" s="610"/>
      <c r="BIE160" s="610"/>
      <c r="BIF160" s="610"/>
      <c r="BIG160" s="610"/>
      <c r="BIH160" s="610"/>
      <c r="BII160" s="610"/>
      <c r="BIJ160" s="610"/>
      <c r="BIK160" s="610"/>
      <c r="BIL160" s="610"/>
      <c r="BIM160" s="610"/>
      <c r="BIN160" s="610"/>
      <c r="BIO160" s="610"/>
      <c r="BIP160" s="610"/>
      <c r="BIQ160" s="610"/>
      <c r="BIR160" s="610"/>
      <c r="BIS160" s="610"/>
      <c r="BIT160" s="610"/>
      <c r="BIU160" s="610"/>
      <c r="BIV160" s="610"/>
      <c r="BIW160" s="610"/>
      <c r="BIX160" s="610"/>
      <c r="BIY160" s="610"/>
      <c r="BIZ160" s="610"/>
      <c r="BJA160" s="610"/>
      <c r="BJB160" s="610"/>
      <c r="BJC160" s="610"/>
      <c r="BJD160" s="610"/>
      <c r="BJE160" s="610"/>
      <c r="BJF160" s="610"/>
      <c r="BJG160" s="610"/>
      <c r="BJH160" s="610"/>
      <c r="BJI160" s="610"/>
      <c r="BJJ160" s="610"/>
      <c r="BJK160" s="610"/>
      <c r="BJL160" s="610"/>
      <c r="BJM160" s="610"/>
      <c r="BJN160" s="610"/>
      <c r="BJO160" s="610"/>
      <c r="BJP160" s="610"/>
      <c r="BJQ160" s="610"/>
      <c r="BJR160" s="610"/>
      <c r="BJS160" s="610"/>
      <c r="BJT160" s="610"/>
      <c r="BJU160" s="610"/>
      <c r="BJV160" s="610"/>
      <c r="BJW160" s="610"/>
      <c r="BJX160" s="610"/>
      <c r="BJY160" s="610"/>
      <c r="BJZ160" s="610"/>
      <c r="BKA160" s="610"/>
      <c r="BKB160" s="610"/>
      <c r="BKC160" s="610"/>
      <c r="BKD160" s="610"/>
      <c r="BKE160" s="610"/>
      <c r="BKF160" s="610"/>
      <c r="BKG160" s="610"/>
      <c r="BKH160" s="610"/>
      <c r="BKI160" s="610"/>
      <c r="BKJ160" s="610"/>
      <c r="BKK160" s="610"/>
      <c r="BKL160" s="610"/>
      <c r="BKM160" s="610"/>
      <c r="BKN160" s="610"/>
      <c r="BKO160" s="610"/>
      <c r="BKP160" s="610"/>
      <c r="BKQ160" s="610"/>
      <c r="BKR160" s="610"/>
      <c r="BKS160" s="610"/>
      <c r="BKT160" s="610"/>
      <c r="BKU160" s="610"/>
      <c r="BKV160" s="610"/>
      <c r="BKW160" s="610"/>
      <c r="BKX160" s="610"/>
      <c r="BKY160" s="610"/>
      <c r="BKZ160" s="610"/>
      <c r="BLA160" s="610"/>
      <c r="BLB160" s="610"/>
      <c r="BLC160" s="610"/>
      <c r="BLD160" s="610"/>
      <c r="BLE160" s="610"/>
      <c r="BLF160" s="610"/>
      <c r="BLG160" s="610"/>
      <c r="BLH160" s="610"/>
      <c r="BLI160" s="610"/>
      <c r="BLJ160" s="610"/>
      <c r="BLK160" s="610"/>
      <c r="BLL160" s="610"/>
      <c r="BLM160" s="610"/>
      <c r="BLN160" s="610"/>
      <c r="BLO160" s="610"/>
      <c r="BLP160" s="610"/>
      <c r="BLQ160" s="610"/>
      <c r="BLR160" s="610"/>
      <c r="BLS160" s="610"/>
      <c r="BLT160" s="610"/>
      <c r="BLU160" s="610"/>
      <c r="BLV160" s="610"/>
      <c r="BLW160" s="610"/>
      <c r="BLX160" s="610"/>
      <c r="BLY160" s="610"/>
      <c r="BLZ160" s="610"/>
      <c r="BMA160" s="610"/>
      <c r="BMB160" s="610"/>
      <c r="BMC160" s="610"/>
      <c r="BMD160" s="610"/>
      <c r="BME160" s="610"/>
      <c r="BMF160" s="610"/>
      <c r="BMG160" s="610"/>
      <c r="BMH160" s="610"/>
      <c r="BMI160" s="610"/>
      <c r="BMJ160" s="610"/>
      <c r="BMK160" s="610"/>
      <c r="BML160" s="610"/>
      <c r="BMM160" s="610"/>
      <c r="BMN160" s="610"/>
      <c r="BMO160" s="610"/>
      <c r="BMP160" s="610"/>
      <c r="BMQ160" s="610"/>
      <c r="BMR160" s="610"/>
      <c r="BMS160" s="610"/>
      <c r="BMT160" s="610"/>
      <c r="BMU160" s="610"/>
      <c r="BMV160" s="610"/>
      <c r="BMW160" s="610"/>
      <c r="BMX160" s="610"/>
      <c r="BMY160" s="610"/>
      <c r="BMZ160" s="610"/>
      <c r="BNA160" s="610"/>
      <c r="BNB160" s="610"/>
      <c r="BNC160" s="610"/>
      <c r="BND160" s="610"/>
      <c r="BNE160" s="610"/>
      <c r="BNF160" s="610"/>
      <c r="BNG160" s="610"/>
      <c r="BNH160" s="610"/>
      <c r="BNI160" s="610"/>
      <c r="BNJ160" s="610"/>
      <c r="BNK160" s="610"/>
      <c r="BNL160" s="610"/>
      <c r="BNM160" s="610"/>
      <c r="BNN160" s="610"/>
      <c r="BNO160" s="610"/>
      <c r="BNP160" s="610"/>
      <c r="BNQ160" s="610"/>
      <c r="BNR160" s="610"/>
      <c r="BNS160" s="610"/>
      <c r="BNT160" s="610"/>
      <c r="BNU160" s="610"/>
      <c r="BNV160" s="610"/>
      <c r="BNW160" s="610"/>
      <c r="BNX160" s="610"/>
      <c r="BNY160" s="610"/>
      <c r="BNZ160" s="610"/>
      <c r="BOA160" s="610"/>
      <c r="BOB160" s="610"/>
      <c r="BOC160" s="610"/>
      <c r="BOD160" s="610"/>
      <c r="BOE160" s="610"/>
      <c r="BOF160" s="610"/>
      <c r="BOG160" s="610"/>
      <c r="BOH160" s="610"/>
      <c r="BOI160" s="610"/>
      <c r="BOJ160" s="610"/>
      <c r="BOK160" s="610"/>
      <c r="BOL160" s="610"/>
      <c r="BOM160" s="610"/>
      <c r="BON160" s="610"/>
      <c r="BOO160" s="610"/>
      <c r="BOP160" s="610"/>
      <c r="BOQ160" s="610"/>
      <c r="BOR160" s="610"/>
      <c r="BOS160" s="610"/>
      <c r="BOT160" s="610"/>
      <c r="BOU160" s="610"/>
      <c r="BOV160" s="610"/>
      <c r="BOW160" s="610"/>
      <c r="BOX160" s="610"/>
      <c r="BOY160" s="610"/>
      <c r="BOZ160" s="610"/>
      <c r="BPA160" s="610"/>
      <c r="BPB160" s="610"/>
      <c r="BPC160" s="610"/>
      <c r="BPD160" s="610"/>
      <c r="BPE160" s="610"/>
      <c r="BPF160" s="610"/>
      <c r="BPG160" s="610"/>
      <c r="BPH160" s="610"/>
      <c r="BPI160" s="610"/>
      <c r="BPJ160" s="610"/>
      <c r="BPK160" s="610"/>
      <c r="BPL160" s="610"/>
      <c r="BPM160" s="610"/>
      <c r="BPN160" s="610"/>
      <c r="BPO160" s="610"/>
      <c r="BPP160" s="610"/>
      <c r="BPQ160" s="610"/>
      <c r="BPR160" s="610"/>
      <c r="BPS160" s="610"/>
      <c r="BPT160" s="610"/>
      <c r="BPU160" s="610"/>
      <c r="BPV160" s="610"/>
      <c r="BPW160" s="610"/>
      <c r="BPX160" s="610"/>
      <c r="BPY160" s="610"/>
      <c r="BPZ160" s="610"/>
      <c r="BQA160" s="610"/>
      <c r="BQB160" s="610"/>
      <c r="BQC160" s="610"/>
      <c r="BQD160" s="610"/>
      <c r="BQE160" s="610"/>
      <c r="BQF160" s="610"/>
      <c r="BQG160" s="610"/>
      <c r="BQH160" s="610"/>
      <c r="BQI160" s="610"/>
      <c r="BQJ160" s="610"/>
      <c r="BQK160" s="610"/>
      <c r="BQL160" s="610"/>
      <c r="BQM160" s="610"/>
      <c r="BQN160" s="610"/>
      <c r="BQO160" s="610"/>
      <c r="BQP160" s="610"/>
      <c r="BQQ160" s="610"/>
      <c r="BQR160" s="610"/>
      <c r="BQS160" s="610"/>
      <c r="BQT160" s="610"/>
      <c r="BQU160" s="610"/>
      <c r="BQV160" s="610"/>
      <c r="BQW160" s="610"/>
      <c r="BQX160" s="610"/>
      <c r="BQY160" s="610"/>
      <c r="BQZ160" s="610"/>
      <c r="BRA160" s="610"/>
      <c r="BRB160" s="610"/>
      <c r="BRC160" s="610"/>
      <c r="BRD160" s="610"/>
      <c r="BRE160" s="610"/>
      <c r="BRF160" s="610"/>
      <c r="BRG160" s="610"/>
      <c r="BRH160" s="610"/>
      <c r="BRI160" s="610"/>
      <c r="BRJ160" s="610"/>
      <c r="BRK160" s="610"/>
      <c r="BRL160" s="610"/>
      <c r="BRM160" s="610"/>
      <c r="BRN160" s="610"/>
      <c r="BRO160" s="610"/>
      <c r="BRP160" s="610"/>
      <c r="BRQ160" s="610"/>
      <c r="BRR160" s="610"/>
      <c r="BRS160" s="610"/>
      <c r="BRT160" s="610"/>
      <c r="BRU160" s="610"/>
      <c r="BRV160" s="610"/>
      <c r="BRW160" s="610"/>
      <c r="BRX160" s="610"/>
      <c r="BRY160" s="610"/>
      <c r="BRZ160" s="610"/>
      <c r="BSA160" s="610"/>
      <c r="BSB160" s="610"/>
      <c r="BSC160" s="610"/>
      <c r="BSD160" s="610"/>
      <c r="BSE160" s="610"/>
      <c r="BSF160" s="610"/>
      <c r="BSG160" s="610"/>
      <c r="BSH160" s="610"/>
      <c r="BSI160" s="610"/>
      <c r="BSJ160" s="610"/>
      <c r="BSK160" s="610"/>
      <c r="BSL160" s="610"/>
      <c r="BSM160" s="610"/>
      <c r="BSN160" s="610"/>
      <c r="BSO160" s="610"/>
      <c r="BSP160" s="610"/>
      <c r="BSQ160" s="610"/>
      <c r="BSR160" s="610"/>
      <c r="BSS160" s="610"/>
      <c r="BST160" s="610"/>
      <c r="BSU160" s="610"/>
      <c r="BSV160" s="610"/>
      <c r="BSW160" s="610"/>
      <c r="BSX160" s="610"/>
      <c r="BSY160" s="610"/>
      <c r="BSZ160" s="610"/>
      <c r="BTA160" s="610"/>
      <c r="BTB160" s="610"/>
      <c r="BTC160" s="610"/>
      <c r="BTD160" s="610"/>
      <c r="BTE160" s="610"/>
      <c r="BTF160" s="610"/>
      <c r="BTG160" s="610"/>
      <c r="BTH160" s="610"/>
      <c r="BTI160" s="610"/>
    </row>
    <row r="161" spans="1:1881" s="609" customFormat="1" ht="58.5" customHeight="1" x14ac:dyDescent="0.25">
      <c r="A161" s="455">
        <v>656</v>
      </c>
      <c r="B161" s="455"/>
      <c r="C161" s="455"/>
      <c r="D161" s="459" t="s">
        <v>988</v>
      </c>
      <c r="E161" s="454" t="s">
        <v>832</v>
      </c>
      <c r="F161" s="589"/>
      <c r="G161" s="611"/>
      <c r="H161" s="612"/>
      <c r="I161" s="613"/>
      <c r="J161" s="365"/>
      <c r="K161" s="610"/>
      <c r="L161" s="610"/>
      <c r="M161" s="610"/>
      <c r="N161"/>
      <c r="O161" s="610"/>
      <c r="P161" s="610"/>
      <c r="Q161" s="610"/>
      <c r="R161" s="610"/>
      <c r="S161" s="610"/>
      <c r="T161" s="610"/>
      <c r="U161" s="610"/>
      <c r="V161" s="610"/>
      <c r="W161" s="610"/>
      <c r="X161" s="610"/>
      <c r="Y161" s="610"/>
      <c r="Z161" s="610"/>
      <c r="AA161" s="610"/>
      <c r="AB161" s="610"/>
      <c r="AC161" s="610"/>
      <c r="AD161" s="610"/>
      <c r="AE161" s="610"/>
      <c r="AF161" s="610"/>
      <c r="AG161" s="610"/>
      <c r="AH161" s="610"/>
      <c r="AI161" s="610"/>
      <c r="AJ161" s="610"/>
      <c r="AK161" s="610"/>
      <c r="AL161" s="610"/>
      <c r="AM161" s="610"/>
      <c r="AN161" s="610"/>
      <c r="AO161" s="610"/>
      <c r="AP161" s="610"/>
      <c r="AQ161" s="610"/>
      <c r="AR161" s="610"/>
      <c r="AS161" s="610"/>
      <c r="AT161" s="610"/>
      <c r="AU161" s="610"/>
      <c r="AV161" s="610"/>
      <c r="AW161" s="610"/>
      <c r="AX161" s="610"/>
      <c r="AY161" s="610"/>
      <c r="AZ161" s="610"/>
      <c r="BA161" s="610"/>
      <c r="BB161" s="610"/>
      <c r="BC161" s="610"/>
      <c r="BD161" s="610"/>
      <c r="BE161" s="610"/>
      <c r="BF161" s="610"/>
      <c r="BG161" s="610"/>
      <c r="BH161" s="610"/>
      <c r="BI161" s="610"/>
      <c r="BJ161" s="610"/>
      <c r="BK161" s="610"/>
      <c r="BL161" s="610"/>
      <c r="BM161" s="610"/>
      <c r="BN161" s="610"/>
      <c r="BO161" s="610"/>
      <c r="BP161" s="610"/>
      <c r="BQ161" s="610"/>
      <c r="BR161" s="610"/>
      <c r="BS161" s="610"/>
      <c r="BT161" s="610"/>
      <c r="BU161" s="610"/>
      <c r="BV161" s="610"/>
      <c r="BW161" s="610"/>
      <c r="BX161" s="610"/>
      <c r="BY161" s="610"/>
      <c r="BZ161" s="610"/>
      <c r="CA161" s="610"/>
      <c r="CB161" s="610"/>
      <c r="CC161" s="610"/>
      <c r="CD161" s="610"/>
      <c r="CE161" s="610"/>
      <c r="CF161" s="610"/>
      <c r="CG161" s="610"/>
      <c r="CH161" s="610"/>
      <c r="CI161" s="610"/>
      <c r="CJ161" s="610"/>
      <c r="CK161" s="610"/>
      <c r="CL161" s="610"/>
      <c r="CM161" s="610"/>
      <c r="CN161" s="610"/>
      <c r="CO161" s="610"/>
      <c r="CP161" s="610"/>
      <c r="CQ161" s="610"/>
      <c r="CR161" s="610"/>
      <c r="CS161" s="610"/>
      <c r="CT161" s="610"/>
      <c r="CU161" s="610"/>
      <c r="CV161" s="610"/>
      <c r="CW161" s="610"/>
      <c r="CX161" s="610"/>
      <c r="CY161" s="610"/>
      <c r="CZ161" s="610"/>
      <c r="DA161" s="610"/>
      <c r="DB161" s="610"/>
      <c r="DC161" s="610"/>
      <c r="DD161" s="610"/>
      <c r="DE161" s="610"/>
      <c r="DF161" s="610"/>
      <c r="DG161" s="610"/>
      <c r="DH161" s="610"/>
      <c r="DI161" s="610"/>
      <c r="DJ161" s="610"/>
      <c r="DK161" s="610"/>
      <c r="DL161" s="610"/>
      <c r="DM161" s="610"/>
      <c r="DN161" s="610"/>
      <c r="DO161" s="610"/>
      <c r="DP161" s="610"/>
      <c r="DQ161" s="610"/>
      <c r="DR161" s="610"/>
      <c r="DS161" s="610"/>
      <c r="DT161" s="610"/>
      <c r="DU161" s="610"/>
      <c r="DV161" s="610"/>
      <c r="DW161" s="610"/>
      <c r="DX161" s="610"/>
      <c r="DY161" s="610"/>
      <c r="DZ161" s="610"/>
      <c r="EA161" s="610"/>
      <c r="EB161" s="610"/>
      <c r="EC161" s="610"/>
      <c r="ED161" s="610"/>
      <c r="EE161" s="610"/>
      <c r="EF161" s="610"/>
      <c r="EG161" s="610"/>
      <c r="EH161" s="610"/>
      <c r="EI161" s="610"/>
      <c r="EJ161" s="610"/>
      <c r="EK161" s="610"/>
      <c r="EL161" s="610"/>
      <c r="EM161" s="610"/>
      <c r="EN161" s="610"/>
      <c r="EO161" s="610"/>
      <c r="EP161" s="610"/>
      <c r="EQ161" s="610"/>
      <c r="ER161" s="610"/>
      <c r="ES161" s="610"/>
      <c r="ET161" s="610"/>
      <c r="EU161" s="610"/>
      <c r="EV161" s="610"/>
      <c r="EW161" s="610"/>
      <c r="EX161" s="610"/>
      <c r="EY161" s="610"/>
      <c r="EZ161" s="610"/>
      <c r="FA161" s="610"/>
      <c r="FB161" s="610"/>
      <c r="FC161" s="610"/>
      <c r="FD161" s="610"/>
      <c r="FE161" s="610"/>
      <c r="FF161" s="610"/>
      <c r="FG161" s="610"/>
      <c r="FH161" s="610"/>
      <c r="FI161" s="610"/>
      <c r="FJ161" s="610"/>
      <c r="FK161" s="610"/>
      <c r="FL161" s="610"/>
      <c r="FM161" s="610"/>
      <c r="FN161" s="610"/>
      <c r="FO161" s="610"/>
      <c r="FP161" s="610"/>
      <c r="FQ161" s="610"/>
      <c r="FR161" s="610"/>
      <c r="FS161" s="610"/>
      <c r="FT161" s="610"/>
      <c r="FU161" s="610"/>
      <c r="FV161" s="610"/>
      <c r="FW161" s="610"/>
      <c r="FX161" s="610"/>
      <c r="FY161" s="610"/>
      <c r="FZ161" s="610"/>
      <c r="GA161" s="610"/>
      <c r="GB161" s="610"/>
      <c r="GC161" s="610"/>
      <c r="GD161" s="610"/>
      <c r="GE161" s="610"/>
      <c r="GF161" s="610"/>
      <c r="GG161" s="610"/>
      <c r="GH161" s="610"/>
      <c r="GI161" s="610"/>
      <c r="GJ161" s="610"/>
      <c r="GK161" s="610"/>
      <c r="GL161" s="610"/>
      <c r="GM161" s="610"/>
      <c r="GN161" s="610"/>
      <c r="GO161" s="610"/>
      <c r="GP161" s="610"/>
      <c r="GQ161" s="610"/>
      <c r="GR161" s="610"/>
      <c r="GS161" s="610"/>
      <c r="GT161" s="610"/>
      <c r="GU161" s="610"/>
      <c r="GV161" s="610"/>
      <c r="GW161" s="610"/>
      <c r="GX161" s="610"/>
      <c r="GY161" s="610"/>
      <c r="GZ161" s="610"/>
      <c r="HA161" s="610"/>
      <c r="HB161" s="610"/>
      <c r="HC161" s="610"/>
      <c r="HD161" s="610"/>
      <c r="HE161" s="610"/>
      <c r="HF161" s="610"/>
      <c r="HG161" s="610"/>
      <c r="HH161" s="610"/>
      <c r="HI161" s="610"/>
      <c r="HJ161" s="610"/>
      <c r="HK161" s="610"/>
      <c r="HL161" s="610"/>
      <c r="HM161" s="610"/>
      <c r="HN161" s="610"/>
      <c r="HO161" s="610"/>
      <c r="HP161" s="610"/>
      <c r="HQ161" s="610"/>
      <c r="HR161" s="610"/>
      <c r="HS161" s="610"/>
      <c r="HT161" s="610"/>
      <c r="HU161" s="610"/>
      <c r="HV161" s="610"/>
      <c r="HW161" s="610"/>
      <c r="HX161" s="610"/>
      <c r="HY161" s="610"/>
      <c r="HZ161" s="610"/>
      <c r="IA161" s="610"/>
      <c r="IB161" s="610"/>
      <c r="IC161" s="610"/>
      <c r="ID161" s="610"/>
      <c r="IE161" s="610"/>
      <c r="IF161" s="610"/>
      <c r="IG161" s="610"/>
      <c r="IH161" s="610"/>
      <c r="II161" s="610"/>
      <c r="IJ161" s="610"/>
      <c r="IK161" s="610"/>
      <c r="IL161" s="610"/>
      <c r="IM161" s="610"/>
      <c r="IN161" s="610"/>
      <c r="IO161" s="610"/>
      <c r="IP161" s="610"/>
      <c r="IQ161" s="610"/>
      <c r="IR161" s="610"/>
      <c r="IS161" s="610"/>
      <c r="IT161" s="610"/>
      <c r="IU161" s="610"/>
      <c r="IV161" s="610"/>
      <c r="IW161" s="610"/>
      <c r="IX161" s="610"/>
      <c r="IY161" s="610"/>
      <c r="IZ161" s="610"/>
      <c r="JA161" s="610"/>
      <c r="JB161" s="610"/>
      <c r="JC161" s="610"/>
      <c r="JD161" s="610"/>
      <c r="JE161" s="610"/>
      <c r="JF161" s="610"/>
      <c r="JG161" s="610"/>
      <c r="JH161" s="610"/>
      <c r="JI161" s="610"/>
      <c r="JJ161" s="610"/>
      <c r="JK161" s="610"/>
      <c r="JL161" s="610"/>
      <c r="JM161" s="610"/>
      <c r="JN161" s="610"/>
      <c r="JO161" s="610"/>
      <c r="JP161" s="610"/>
      <c r="JQ161" s="610"/>
      <c r="JR161" s="610"/>
      <c r="JS161" s="610"/>
      <c r="JT161" s="610"/>
      <c r="JU161" s="610"/>
      <c r="JV161" s="610"/>
      <c r="JW161" s="610"/>
      <c r="JX161" s="610"/>
      <c r="JY161" s="610"/>
      <c r="JZ161" s="610"/>
      <c r="KA161" s="610"/>
      <c r="KB161" s="610"/>
      <c r="KC161" s="610"/>
      <c r="KD161" s="610"/>
      <c r="KE161" s="610"/>
      <c r="KF161" s="610"/>
      <c r="KG161" s="610"/>
      <c r="KH161" s="610"/>
      <c r="KI161" s="610"/>
      <c r="KJ161" s="610"/>
      <c r="KK161" s="610"/>
      <c r="KL161" s="610"/>
      <c r="KM161" s="610"/>
      <c r="KN161" s="610"/>
      <c r="KO161" s="610"/>
      <c r="KP161" s="610"/>
      <c r="KQ161" s="610"/>
      <c r="KR161" s="610"/>
      <c r="KS161" s="610"/>
      <c r="KT161" s="610"/>
      <c r="KU161" s="610"/>
      <c r="KV161" s="610"/>
      <c r="KW161" s="610"/>
      <c r="KX161" s="610"/>
      <c r="KY161" s="610"/>
      <c r="KZ161" s="610"/>
      <c r="LA161" s="610"/>
      <c r="LB161" s="610"/>
      <c r="LC161" s="610"/>
      <c r="LD161" s="610"/>
      <c r="LE161" s="610"/>
      <c r="LF161" s="610"/>
      <c r="LG161" s="610"/>
      <c r="LH161" s="610"/>
      <c r="LI161" s="610"/>
      <c r="LJ161" s="610"/>
      <c r="LK161" s="610"/>
      <c r="LL161" s="610"/>
      <c r="LM161" s="610"/>
      <c r="LN161" s="610"/>
      <c r="LO161" s="610"/>
      <c r="LP161" s="610"/>
      <c r="LQ161" s="610"/>
      <c r="LR161" s="610"/>
      <c r="LS161" s="610"/>
      <c r="LT161" s="610"/>
      <c r="LU161" s="610"/>
      <c r="LV161" s="610"/>
      <c r="LW161" s="610"/>
      <c r="LX161" s="610"/>
      <c r="LY161" s="610"/>
      <c r="LZ161" s="610"/>
      <c r="MA161" s="610"/>
      <c r="MB161" s="610"/>
      <c r="MC161" s="610"/>
      <c r="MD161" s="610"/>
      <c r="ME161" s="610"/>
      <c r="MF161" s="610"/>
      <c r="MG161" s="610"/>
      <c r="MH161" s="610"/>
      <c r="MI161" s="610"/>
      <c r="MJ161" s="610"/>
      <c r="MK161" s="610"/>
      <c r="ML161" s="610"/>
      <c r="MM161" s="610"/>
      <c r="MN161" s="610"/>
      <c r="MO161" s="610"/>
      <c r="MP161" s="610"/>
      <c r="MQ161" s="610"/>
      <c r="MR161" s="610"/>
      <c r="MS161" s="610"/>
      <c r="MT161" s="610"/>
      <c r="MU161" s="610"/>
      <c r="MV161" s="610"/>
      <c r="MW161" s="610"/>
      <c r="MX161" s="610"/>
      <c r="MY161" s="610"/>
      <c r="MZ161" s="610"/>
      <c r="NA161" s="610"/>
      <c r="NB161" s="610"/>
      <c r="NC161" s="610"/>
      <c r="ND161" s="610"/>
      <c r="NE161" s="610"/>
      <c r="NF161" s="610"/>
      <c r="NG161" s="610"/>
      <c r="NH161" s="610"/>
      <c r="NI161" s="610"/>
      <c r="NJ161" s="610"/>
      <c r="NK161" s="610"/>
      <c r="NL161" s="610"/>
      <c r="NM161" s="610"/>
      <c r="NN161" s="610"/>
      <c r="NO161" s="610"/>
      <c r="NP161" s="610"/>
      <c r="NQ161" s="610"/>
      <c r="NR161" s="610"/>
      <c r="NS161" s="610"/>
      <c r="NT161" s="610"/>
      <c r="NU161" s="610"/>
      <c r="NV161" s="610"/>
      <c r="NW161" s="610"/>
      <c r="NX161" s="610"/>
      <c r="NY161" s="610"/>
      <c r="NZ161" s="610"/>
      <c r="OA161" s="610"/>
      <c r="OB161" s="610"/>
      <c r="OC161" s="610"/>
      <c r="OD161" s="610"/>
      <c r="OE161" s="610"/>
      <c r="OF161" s="610"/>
      <c r="OG161" s="610"/>
      <c r="OH161" s="610"/>
      <c r="OI161" s="610"/>
      <c r="OJ161" s="610"/>
      <c r="OK161" s="610"/>
      <c r="OL161" s="610"/>
      <c r="OM161" s="610"/>
      <c r="ON161" s="610"/>
      <c r="OO161" s="610"/>
      <c r="OP161" s="610"/>
      <c r="OQ161" s="610"/>
      <c r="OR161" s="610"/>
      <c r="OS161" s="610"/>
      <c r="OT161" s="610"/>
      <c r="OU161" s="610"/>
      <c r="OV161" s="610"/>
      <c r="OW161" s="610"/>
      <c r="OX161" s="610"/>
      <c r="OY161" s="610"/>
      <c r="OZ161" s="610"/>
      <c r="PA161" s="610"/>
      <c r="PB161" s="610"/>
      <c r="PC161" s="610"/>
      <c r="PD161" s="610"/>
      <c r="PE161" s="610"/>
      <c r="PF161" s="610"/>
      <c r="PG161" s="610"/>
      <c r="PH161" s="610"/>
      <c r="PI161" s="610"/>
      <c r="PJ161" s="610"/>
      <c r="PK161" s="610"/>
      <c r="PL161" s="610"/>
      <c r="PM161" s="610"/>
      <c r="PN161" s="610"/>
      <c r="PO161" s="610"/>
      <c r="PP161" s="610"/>
      <c r="PQ161" s="610"/>
      <c r="PR161" s="610"/>
      <c r="PS161" s="610"/>
      <c r="PT161" s="610"/>
      <c r="PU161" s="610"/>
      <c r="PV161" s="610"/>
      <c r="PW161" s="610"/>
      <c r="PX161" s="610"/>
      <c r="PY161" s="610"/>
      <c r="PZ161" s="610"/>
      <c r="QA161" s="610"/>
      <c r="QB161" s="610"/>
      <c r="QC161" s="610"/>
      <c r="QD161" s="610"/>
      <c r="QE161" s="610"/>
      <c r="QF161" s="610"/>
      <c r="QG161" s="610"/>
      <c r="QH161" s="610"/>
      <c r="QI161" s="610"/>
      <c r="QJ161" s="610"/>
      <c r="QK161" s="610"/>
      <c r="QL161" s="610"/>
      <c r="QM161" s="610"/>
      <c r="QN161" s="610"/>
      <c r="QO161" s="610"/>
      <c r="QP161" s="610"/>
      <c r="QQ161" s="610"/>
      <c r="QR161" s="610"/>
      <c r="QS161" s="610"/>
      <c r="QT161" s="610"/>
      <c r="QU161" s="610"/>
      <c r="QV161" s="610"/>
      <c r="QW161" s="610"/>
      <c r="QX161" s="610"/>
      <c r="QY161" s="610"/>
      <c r="QZ161" s="610"/>
      <c r="RA161" s="610"/>
      <c r="RB161" s="610"/>
      <c r="RC161" s="610"/>
      <c r="RD161" s="610"/>
      <c r="RE161" s="610"/>
      <c r="RF161" s="610"/>
      <c r="RG161" s="610"/>
      <c r="RH161" s="610"/>
      <c r="RI161" s="610"/>
      <c r="RJ161" s="610"/>
      <c r="RK161" s="610"/>
      <c r="RL161" s="610"/>
      <c r="RM161" s="610"/>
      <c r="RN161" s="610"/>
      <c r="RO161" s="610"/>
      <c r="RP161" s="610"/>
      <c r="RQ161" s="610"/>
      <c r="RR161" s="610"/>
      <c r="RS161" s="610"/>
      <c r="RT161" s="610"/>
      <c r="RU161" s="610"/>
      <c r="RV161" s="610"/>
      <c r="RW161" s="610"/>
      <c r="RX161" s="610"/>
      <c r="RY161" s="610"/>
      <c r="RZ161" s="610"/>
      <c r="SA161" s="610"/>
      <c r="SB161" s="610"/>
      <c r="SC161" s="610"/>
      <c r="SD161" s="610"/>
      <c r="SE161" s="610"/>
      <c r="SF161" s="610"/>
      <c r="SG161" s="610"/>
      <c r="SH161" s="610"/>
      <c r="SI161" s="610"/>
      <c r="SJ161" s="610"/>
      <c r="SK161" s="610"/>
      <c r="SL161" s="610"/>
      <c r="SM161" s="610"/>
      <c r="SN161" s="610"/>
      <c r="SO161" s="610"/>
      <c r="SP161" s="610"/>
      <c r="SQ161" s="610"/>
      <c r="SR161" s="610"/>
      <c r="SS161" s="610"/>
      <c r="ST161" s="610"/>
      <c r="SU161" s="610"/>
      <c r="SV161" s="610"/>
      <c r="SW161" s="610"/>
      <c r="SX161" s="610"/>
      <c r="SY161" s="610"/>
      <c r="SZ161" s="610"/>
      <c r="TA161" s="610"/>
      <c r="TB161" s="610"/>
      <c r="TC161" s="610"/>
      <c r="TD161" s="610"/>
      <c r="TE161" s="610"/>
      <c r="TF161" s="610"/>
      <c r="TG161" s="610"/>
      <c r="TH161" s="610"/>
      <c r="TI161" s="610"/>
      <c r="TJ161" s="610"/>
      <c r="TK161" s="610"/>
      <c r="TL161" s="610"/>
      <c r="TM161" s="610"/>
      <c r="TN161" s="610"/>
      <c r="TO161" s="610"/>
      <c r="TP161" s="610"/>
      <c r="TQ161" s="610"/>
      <c r="TR161" s="610"/>
      <c r="TS161" s="610"/>
      <c r="TT161" s="610"/>
      <c r="TU161" s="610"/>
      <c r="TV161" s="610"/>
      <c r="TW161" s="610"/>
      <c r="TX161" s="610"/>
      <c r="TY161" s="610"/>
      <c r="TZ161" s="610"/>
      <c r="UA161" s="610"/>
      <c r="UB161" s="610"/>
      <c r="UC161" s="610"/>
      <c r="UD161" s="610"/>
      <c r="UE161" s="610"/>
      <c r="UF161" s="610"/>
      <c r="UG161" s="610"/>
      <c r="UH161" s="610"/>
      <c r="UI161" s="610"/>
      <c r="UJ161" s="610"/>
      <c r="UK161" s="610"/>
      <c r="UL161" s="610"/>
      <c r="UM161" s="610"/>
      <c r="UN161" s="610"/>
      <c r="UO161" s="610"/>
      <c r="UP161" s="610"/>
      <c r="UQ161" s="610"/>
      <c r="UR161" s="610"/>
      <c r="US161" s="610"/>
      <c r="UT161" s="610"/>
      <c r="UU161" s="610"/>
      <c r="UV161" s="610"/>
      <c r="UW161" s="610"/>
      <c r="UX161" s="610"/>
      <c r="UY161" s="610"/>
      <c r="UZ161" s="610"/>
      <c r="VA161" s="610"/>
      <c r="VB161" s="610"/>
      <c r="VC161" s="610"/>
      <c r="VD161" s="610"/>
      <c r="VE161" s="610"/>
      <c r="VF161" s="610"/>
      <c r="VG161" s="610"/>
      <c r="VH161" s="610"/>
      <c r="VI161" s="610"/>
      <c r="VJ161" s="610"/>
      <c r="VK161" s="610"/>
      <c r="VL161" s="610"/>
      <c r="VM161" s="610"/>
      <c r="VN161" s="610"/>
      <c r="VO161" s="610"/>
      <c r="VP161" s="610"/>
      <c r="VQ161" s="610"/>
      <c r="VR161" s="610"/>
      <c r="VS161" s="610"/>
      <c r="VT161" s="610"/>
      <c r="VU161" s="610"/>
      <c r="VV161" s="610"/>
      <c r="VW161" s="610"/>
      <c r="VX161" s="610"/>
      <c r="VY161" s="610"/>
      <c r="VZ161" s="610"/>
      <c r="WA161" s="610"/>
      <c r="WB161" s="610"/>
      <c r="WC161" s="610"/>
      <c r="WD161" s="610"/>
      <c r="WE161" s="610"/>
      <c r="WF161" s="610"/>
      <c r="WG161" s="610"/>
      <c r="WH161" s="610"/>
      <c r="WI161" s="610"/>
      <c r="WJ161" s="610"/>
      <c r="WK161" s="610"/>
      <c r="WL161" s="610"/>
      <c r="WM161" s="610"/>
      <c r="WN161" s="610"/>
      <c r="WO161" s="610"/>
      <c r="WP161" s="610"/>
      <c r="WQ161" s="610"/>
      <c r="WR161" s="610"/>
      <c r="WS161" s="610"/>
      <c r="WT161" s="610"/>
      <c r="WU161" s="610"/>
      <c r="WV161" s="610"/>
      <c r="WW161" s="610"/>
      <c r="WX161" s="610"/>
      <c r="WY161" s="610"/>
      <c r="WZ161" s="610"/>
      <c r="XA161" s="610"/>
      <c r="XB161" s="610"/>
      <c r="XC161" s="610"/>
      <c r="XD161" s="610"/>
      <c r="XE161" s="610"/>
      <c r="XF161" s="610"/>
      <c r="XG161" s="610"/>
      <c r="XH161" s="610"/>
      <c r="XI161" s="610"/>
      <c r="XJ161" s="610"/>
      <c r="XK161" s="610"/>
      <c r="XL161" s="610"/>
      <c r="XM161" s="610"/>
      <c r="XN161" s="610"/>
      <c r="XO161" s="610"/>
      <c r="XP161" s="610"/>
      <c r="XQ161" s="610"/>
      <c r="XR161" s="610"/>
      <c r="XS161" s="610"/>
      <c r="XT161" s="610"/>
      <c r="XU161" s="610"/>
      <c r="XV161" s="610"/>
      <c r="XW161" s="610"/>
      <c r="XX161" s="610"/>
      <c r="XY161" s="610"/>
      <c r="XZ161" s="610"/>
      <c r="YA161" s="610"/>
      <c r="YB161" s="610"/>
      <c r="YC161" s="610"/>
      <c r="YD161" s="610"/>
      <c r="YE161" s="610"/>
      <c r="YF161" s="610"/>
      <c r="YG161" s="610"/>
      <c r="YH161" s="610"/>
      <c r="YI161" s="610"/>
      <c r="YJ161" s="610"/>
      <c r="YK161" s="610"/>
      <c r="YL161" s="610"/>
      <c r="YM161" s="610"/>
      <c r="YN161" s="610"/>
      <c r="YO161" s="610"/>
      <c r="YP161" s="610"/>
      <c r="YQ161" s="610"/>
      <c r="YR161" s="610"/>
      <c r="YS161" s="610"/>
      <c r="YT161" s="610"/>
      <c r="YU161" s="610"/>
      <c r="YV161" s="610"/>
      <c r="YW161" s="610"/>
      <c r="YX161" s="610"/>
      <c r="YY161" s="610"/>
      <c r="YZ161" s="610"/>
      <c r="ZA161" s="610"/>
      <c r="ZB161" s="610"/>
      <c r="ZC161" s="610"/>
      <c r="ZD161" s="610"/>
      <c r="ZE161" s="610"/>
      <c r="ZF161" s="610"/>
      <c r="ZG161" s="610"/>
      <c r="ZH161" s="610"/>
      <c r="ZI161" s="610"/>
      <c r="ZJ161" s="610"/>
      <c r="ZK161" s="610"/>
      <c r="ZL161" s="610"/>
      <c r="ZM161" s="610"/>
      <c r="ZN161" s="610"/>
      <c r="ZO161" s="610"/>
      <c r="ZP161" s="610"/>
      <c r="ZQ161" s="610"/>
      <c r="ZR161" s="610"/>
      <c r="ZS161" s="610"/>
      <c r="ZT161" s="610"/>
      <c r="ZU161" s="610"/>
      <c r="ZV161" s="610"/>
      <c r="ZW161" s="610"/>
      <c r="ZX161" s="610"/>
      <c r="ZY161" s="610"/>
      <c r="ZZ161" s="610"/>
      <c r="AAA161" s="610"/>
      <c r="AAB161" s="610"/>
      <c r="AAC161" s="610"/>
      <c r="AAD161" s="610"/>
      <c r="AAE161" s="610"/>
      <c r="AAF161" s="610"/>
      <c r="AAG161" s="610"/>
      <c r="AAH161" s="610"/>
      <c r="AAI161" s="610"/>
      <c r="AAJ161" s="610"/>
      <c r="AAK161" s="610"/>
      <c r="AAL161" s="610"/>
      <c r="AAM161" s="610"/>
      <c r="AAN161" s="610"/>
      <c r="AAO161" s="610"/>
      <c r="AAP161" s="610"/>
      <c r="AAQ161" s="610"/>
      <c r="AAR161" s="610"/>
      <c r="AAS161" s="610"/>
      <c r="AAT161" s="610"/>
      <c r="AAU161" s="610"/>
      <c r="AAV161" s="610"/>
      <c r="AAW161" s="610"/>
      <c r="AAX161" s="610"/>
      <c r="AAY161" s="610"/>
      <c r="AAZ161" s="610"/>
      <c r="ABA161" s="610"/>
      <c r="ABB161" s="610"/>
      <c r="ABC161" s="610"/>
      <c r="ABD161" s="610"/>
      <c r="ABE161" s="610"/>
      <c r="ABF161" s="610"/>
      <c r="ABG161" s="610"/>
      <c r="ABH161" s="610"/>
      <c r="ABI161" s="610"/>
      <c r="ABJ161" s="610"/>
      <c r="ABK161" s="610"/>
      <c r="ABL161" s="610"/>
      <c r="ABM161" s="610"/>
      <c r="ABN161" s="610"/>
      <c r="ABO161" s="610"/>
      <c r="ABP161" s="610"/>
      <c r="ABQ161" s="610"/>
      <c r="ABR161" s="610"/>
      <c r="ABS161" s="610"/>
      <c r="ABT161" s="610"/>
      <c r="ABU161" s="610"/>
      <c r="ABV161" s="610"/>
      <c r="ABW161" s="610"/>
      <c r="ABX161" s="610"/>
      <c r="ABY161" s="610"/>
      <c r="ABZ161" s="610"/>
      <c r="ACA161" s="610"/>
      <c r="ACB161" s="610"/>
      <c r="ACC161" s="610"/>
      <c r="ACD161" s="610"/>
      <c r="ACE161" s="610"/>
      <c r="ACF161" s="610"/>
      <c r="ACG161" s="610"/>
      <c r="ACH161" s="610"/>
      <c r="ACI161" s="610"/>
      <c r="ACJ161" s="610"/>
      <c r="ACK161" s="610"/>
      <c r="ACL161" s="610"/>
      <c r="ACM161" s="610"/>
      <c r="ACN161" s="610"/>
      <c r="ACO161" s="610"/>
      <c r="ACP161" s="610"/>
      <c r="ACQ161" s="610"/>
      <c r="ACR161" s="610"/>
      <c r="ACS161" s="610"/>
      <c r="ACT161" s="610"/>
      <c r="ACU161" s="610"/>
      <c r="ACV161" s="610"/>
      <c r="ACW161" s="610"/>
      <c r="ACX161" s="610"/>
      <c r="ACY161" s="610"/>
      <c r="ACZ161" s="610"/>
      <c r="ADA161" s="610"/>
      <c r="ADB161" s="610"/>
      <c r="ADC161" s="610"/>
      <c r="ADD161" s="610"/>
      <c r="ADE161" s="610"/>
      <c r="ADF161" s="610"/>
      <c r="ADG161" s="610"/>
      <c r="ADH161" s="610"/>
      <c r="ADI161" s="610"/>
      <c r="ADJ161" s="610"/>
      <c r="ADK161" s="610"/>
      <c r="ADL161" s="610"/>
      <c r="ADM161" s="610"/>
      <c r="ADN161" s="610"/>
      <c r="ADO161" s="610"/>
      <c r="ADP161" s="610"/>
      <c r="ADQ161" s="610"/>
      <c r="ADR161" s="610"/>
      <c r="ADS161" s="610"/>
      <c r="ADT161" s="610"/>
      <c r="ADU161" s="610"/>
      <c r="ADV161" s="610"/>
      <c r="ADW161" s="610"/>
      <c r="ADX161" s="610"/>
      <c r="ADY161" s="610"/>
      <c r="ADZ161" s="610"/>
      <c r="AEA161" s="610"/>
      <c r="AEB161" s="610"/>
      <c r="AEC161" s="610"/>
      <c r="AED161" s="610"/>
      <c r="AEE161" s="610"/>
      <c r="AEF161" s="610"/>
      <c r="AEG161" s="610"/>
      <c r="AEH161" s="610"/>
      <c r="AEI161" s="610"/>
      <c r="AEJ161" s="610"/>
      <c r="AEK161" s="610"/>
      <c r="AEL161" s="610"/>
      <c r="AEM161" s="610"/>
      <c r="AEN161" s="610"/>
      <c r="AEO161" s="610"/>
      <c r="AEP161" s="610"/>
      <c r="AEQ161" s="610"/>
      <c r="AER161" s="610"/>
      <c r="AES161" s="610"/>
      <c r="AET161" s="610"/>
      <c r="AEU161" s="610"/>
      <c r="AEV161" s="610"/>
      <c r="AEW161" s="610"/>
      <c r="AEX161" s="610"/>
      <c r="AEY161" s="610"/>
      <c r="AEZ161" s="610"/>
      <c r="AFA161" s="610"/>
      <c r="AFB161" s="610"/>
      <c r="AFC161" s="610"/>
      <c r="AFD161" s="610"/>
      <c r="AFE161" s="610"/>
      <c r="AFF161" s="610"/>
      <c r="AFG161" s="610"/>
      <c r="AFH161" s="610"/>
      <c r="AFI161" s="610"/>
      <c r="AFJ161" s="610"/>
      <c r="AFK161" s="610"/>
      <c r="AFL161" s="610"/>
      <c r="AFM161" s="610"/>
      <c r="AFN161" s="610"/>
      <c r="AFO161" s="610"/>
      <c r="AFP161" s="610"/>
      <c r="AFQ161" s="610"/>
      <c r="AFR161" s="610"/>
      <c r="AFS161" s="610"/>
      <c r="AFT161" s="610"/>
      <c r="AFU161" s="610"/>
      <c r="AFV161" s="610"/>
      <c r="AFW161" s="610"/>
      <c r="AFX161" s="610"/>
      <c r="AFY161" s="610"/>
      <c r="AFZ161" s="610"/>
      <c r="AGA161" s="610"/>
      <c r="AGB161" s="610"/>
      <c r="AGC161" s="610"/>
      <c r="AGD161" s="610"/>
      <c r="AGE161" s="610"/>
      <c r="AGF161" s="610"/>
      <c r="AGG161" s="610"/>
      <c r="AGH161" s="610"/>
      <c r="AGI161" s="610"/>
      <c r="AGJ161" s="610"/>
      <c r="AGK161" s="610"/>
      <c r="AGL161" s="610"/>
      <c r="AGM161" s="610"/>
      <c r="AGN161" s="610"/>
      <c r="AGO161" s="610"/>
      <c r="AGP161" s="610"/>
      <c r="AGQ161" s="610"/>
      <c r="AGR161" s="610"/>
      <c r="AGS161" s="610"/>
      <c r="AGT161" s="610"/>
      <c r="AGU161" s="610"/>
      <c r="AGV161" s="610"/>
      <c r="AGW161" s="610"/>
      <c r="AGX161" s="610"/>
      <c r="AGY161" s="610"/>
      <c r="AGZ161" s="610"/>
      <c r="AHA161" s="610"/>
      <c r="AHB161" s="610"/>
      <c r="AHC161" s="610"/>
      <c r="AHD161" s="610"/>
      <c r="AHE161" s="610"/>
      <c r="AHF161" s="610"/>
      <c r="AHG161" s="610"/>
      <c r="AHH161" s="610"/>
      <c r="AHI161" s="610"/>
      <c r="AHJ161" s="610"/>
      <c r="AHK161" s="610"/>
      <c r="AHL161" s="610"/>
      <c r="AHM161" s="610"/>
      <c r="AHN161" s="610"/>
      <c r="AHO161" s="610"/>
      <c r="AHP161" s="610"/>
      <c r="AHQ161" s="610"/>
      <c r="AHR161" s="610"/>
      <c r="AHS161" s="610"/>
      <c r="AHT161" s="610"/>
      <c r="AHU161" s="610"/>
      <c r="AHV161" s="610"/>
      <c r="AHW161" s="610"/>
      <c r="AHX161" s="610"/>
      <c r="AHY161" s="610"/>
      <c r="AHZ161" s="610"/>
      <c r="AIA161" s="610"/>
      <c r="AIB161" s="610"/>
      <c r="AIC161" s="610"/>
      <c r="AID161" s="610"/>
      <c r="AIE161" s="610"/>
      <c r="AIF161" s="610"/>
      <c r="AIG161" s="610"/>
      <c r="AIH161" s="610"/>
      <c r="AII161" s="610"/>
      <c r="AIJ161" s="610"/>
      <c r="AIK161" s="610"/>
      <c r="AIL161" s="610"/>
      <c r="AIM161" s="610"/>
      <c r="AIN161" s="610"/>
      <c r="AIO161" s="610"/>
      <c r="AIP161" s="610"/>
      <c r="AIQ161" s="610"/>
      <c r="AIR161" s="610"/>
      <c r="AIS161" s="610"/>
      <c r="AIT161" s="610"/>
      <c r="AIU161" s="610"/>
      <c r="AIV161" s="610"/>
      <c r="AIW161" s="610"/>
      <c r="AIX161" s="610"/>
      <c r="AIY161" s="610"/>
      <c r="AIZ161" s="610"/>
      <c r="AJA161" s="610"/>
      <c r="AJB161" s="610"/>
      <c r="AJC161" s="610"/>
      <c r="AJD161" s="610"/>
      <c r="AJE161" s="610"/>
      <c r="AJF161" s="610"/>
      <c r="AJG161" s="610"/>
      <c r="AJH161" s="610"/>
      <c r="AJI161" s="610"/>
      <c r="AJJ161" s="610"/>
      <c r="AJK161" s="610"/>
      <c r="AJL161" s="610"/>
      <c r="AJM161" s="610"/>
      <c r="AJN161" s="610"/>
      <c r="AJO161" s="610"/>
      <c r="AJP161" s="610"/>
      <c r="AJQ161" s="610"/>
      <c r="AJR161" s="610"/>
      <c r="AJS161" s="610"/>
      <c r="AJT161" s="610"/>
      <c r="AJU161" s="610"/>
      <c r="AJV161" s="610"/>
      <c r="AJW161" s="610"/>
      <c r="AJX161" s="610"/>
      <c r="AJY161" s="610"/>
      <c r="AJZ161" s="610"/>
      <c r="AKA161" s="610"/>
      <c r="AKB161" s="610"/>
      <c r="AKC161" s="610"/>
      <c r="AKD161" s="610"/>
      <c r="AKE161" s="610"/>
      <c r="AKF161" s="610"/>
      <c r="AKG161" s="610"/>
      <c r="AKH161" s="610"/>
      <c r="AKI161" s="610"/>
      <c r="AKJ161" s="610"/>
      <c r="AKK161" s="610"/>
      <c r="AKL161" s="610"/>
      <c r="AKM161" s="610"/>
      <c r="AKN161" s="610"/>
      <c r="AKO161" s="610"/>
      <c r="AKP161" s="610"/>
      <c r="AKQ161" s="610"/>
      <c r="AKR161" s="610"/>
      <c r="AKS161" s="610"/>
      <c r="AKT161" s="610"/>
      <c r="AKU161" s="610"/>
      <c r="AKV161" s="610"/>
      <c r="AKW161" s="610"/>
      <c r="AKX161" s="610"/>
      <c r="AKY161" s="610"/>
      <c r="AKZ161" s="610"/>
      <c r="ALA161" s="610"/>
      <c r="ALB161" s="610"/>
      <c r="ALC161" s="610"/>
      <c r="ALD161" s="610"/>
      <c r="ALE161" s="610"/>
      <c r="ALF161" s="610"/>
      <c r="ALG161" s="610"/>
      <c r="ALH161" s="610"/>
      <c r="ALI161" s="610"/>
      <c r="ALJ161" s="610"/>
      <c r="ALK161" s="610"/>
      <c r="ALL161" s="610"/>
      <c r="ALM161" s="610"/>
      <c r="ALN161" s="610"/>
      <c r="ALO161" s="610"/>
      <c r="ALP161" s="610"/>
      <c r="ALQ161" s="610"/>
      <c r="ALR161" s="610"/>
      <c r="ALS161" s="610"/>
      <c r="ALT161" s="610"/>
      <c r="ALU161" s="610"/>
      <c r="ALV161" s="610"/>
      <c r="ALW161" s="610"/>
      <c r="ALX161" s="610"/>
      <c r="ALY161" s="610"/>
      <c r="ALZ161" s="610"/>
      <c r="AMA161" s="610"/>
      <c r="AMB161" s="610"/>
      <c r="AMC161" s="610"/>
      <c r="AMD161" s="610"/>
      <c r="AME161" s="610"/>
      <c r="AMF161" s="610"/>
      <c r="AMG161" s="610"/>
      <c r="AMH161" s="610"/>
      <c r="AMI161" s="610"/>
      <c r="AMJ161" s="610"/>
      <c r="AMK161" s="610"/>
      <c r="AML161" s="610"/>
      <c r="AMM161" s="610"/>
      <c r="AMN161" s="610"/>
      <c r="AMO161" s="610"/>
      <c r="AMP161" s="610"/>
      <c r="AMQ161" s="610"/>
      <c r="AMR161" s="610"/>
      <c r="AMS161" s="610"/>
      <c r="AMT161" s="610"/>
      <c r="AMU161" s="610"/>
      <c r="AMV161" s="610"/>
      <c r="AMW161" s="610"/>
      <c r="AMX161" s="610"/>
      <c r="AMY161" s="610"/>
      <c r="AMZ161" s="610"/>
      <c r="ANA161" s="610"/>
      <c r="ANB161" s="610"/>
      <c r="ANC161" s="610"/>
      <c r="AND161" s="610"/>
      <c r="ANE161" s="610"/>
      <c r="ANF161" s="610"/>
      <c r="ANG161" s="610"/>
      <c r="ANH161" s="610"/>
      <c r="ANI161" s="610"/>
      <c r="ANJ161" s="610"/>
      <c r="ANK161" s="610"/>
      <c r="ANL161" s="610"/>
      <c r="ANM161" s="610"/>
      <c r="ANN161" s="610"/>
      <c r="ANO161" s="610"/>
      <c r="ANP161" s="610"/>
      <c r="ANQ161" s="610"/>
      <c r="ANR161" s="610"/>
      <c r="ANS161" s="610"/>
      <c r="ANT161" s="610"/>
      <c r="ANU161" s="610"/>
      <c r="ANV161" s="610"/>
      <c r="ANW161" s="610"/>
      <c r="ANX161" s="610"/>
      <c r="ANY161" s="610"/>
      <c r="ANZ161" s="610"/>
      <c r="AOA161" s="610"/>
      <c r="AOB161" s="610"/>
      <c r="AOC161" s="610"/>
      <c r="AOD161" s="610"/>
      <c r="AOE161" s="610"/>
      <c r="AOF161" s="610"/>
      <c r="AOG161" s="610"/>
      <c r="AOH161" s="610"/>
      <c r="AOI161" s="610"/>
      <c r="AOJ161" s="610"/>
      <c r="AOK161" s="610"/>
      <c r="AOL161" s="610"/>
      <c r="AOM161" s="610"/>
      <c r="AON161" s="610"/>
      <c r="AOO161" s="610"/>
      <c r="AOP161" s="610"/>
      <c r="AOQ161" s="610"/>
      <c r="AOR161" s="610"/>
      <c r="AOS161" s="610"/>
      <c r="AOT161" s="610"/>
      <c r="AOU161" s="610"/>
      <c r="AOV161" s="610"/>
      <c r="AOW161" s="610"/>
      <c r="AOX161" s="610"/>
      <c r="AOY161" s="610"/>
      <c r="AOZ161" s="610"/>
      <c r="APA161" s="610"/>
      <c r="APB161" s="610"/>
      <c r="APC161" s="610"/>
      <c r="APD161" s="610"/>
      <c r="APE161" s="610"/>
      <c r="APF161" s="610"/>
      <c r="APG161" s="610"/>
      <c r="APH161" s="610"/>
      <c r="API161" s="610"/>
      <c r="APJ161" s="610"/>
      <c r="APK161" s="610"/>
      <c r="APL161" s="610"/>
      <c r="APM161" s="610"/>
      <c r="APN161" s="610"/>
      <c r="APO161" s="610"/>
      <c r="APP161" s="610"/>
      <c r="APQ161" s="610"/>
      <c r="APR161" s="610"/>
      <c r="APS161" s="610"/>
      <c r="APT161" s="610"/>
      <c r="APU161" s="610"/>
      <c r="APV161" s="610"/>
      <c r="APW161" s="610"/>
      <c r="APX161" s="610"/>
      <c r="APY161" s="610"/>
      <c r="APZ161" s="610"/>
      <c r="AQA161" s="610"/>
      <c r="AQB161" s="610"/>
      <c r="AQC161" s="610"/>
      <c r="AQD161" s="610"/>
      <c r="AQE161" s="610"/>
      <c r="AQF161" s="610"/>
      <c r="AQG161" s="610"/>
      <c r="AQH161" s="610"/>
      <c r="AQI161" s="610"/>
      <c r="AQJ161" s="610"/>
      <c r="AQK161" s="610"/>
      <c r="AQL161" s="610"/>
      <c r="AQM161" s="610"/>
      <c r="AQN161" s="610"/>
      <c r="AQO161" s="610"/>
      <c r="AQP161" s="610"/>
      <c r="AQQ161" s="610"/>
      <c r="AQR161" s="610"/>
      <c r="AQS161" s="610"/>
      <c r="AQT161" s="610"/>
      <c r="AQU161" s="610"/>
      <c r="AQV161" s="610"/>
      <c r="AQW161" s="610"/>
      <c r="AQX161" s="610"/>
      <c r="AQY161" s="610"/>
      <c r="AQZ161" s="610"/>
      <c r="ARA161" s="610"/>
      <c r="ARB161" s="610"/>
      <c r="ARC161" s="610"/>
      <c r="ARD161" s="610"/>
      <c r="ARE161" s="610"/>
      <c r="ARF161" s="610"/>
      <c r="ARG161" s="610"/>
      <c r="ARH161" s="610"/>
      <c r="ARI161" s="610"/>
      <c r="ARJ161" s="610"/>
      <c r="ARK161" s="610"/>
      <c r="ARL161" s="610"/>
      <c r="ARM161" s="610"/>
      <c r="ARN161" s="610"/>
      <c r="ARO161" s="610"/>
      <c r="ARP161" s="610"/>
      <c r="ARQ161" s="610"/>
      <c r="ARR161" s="610"/>
      <c r="ARS161" s="610"/>
      <c r="ART161" s="610"/>
      <c r="ARU161" s="610"/>
      <c r="ARV161" s="610"/>
      <c r="ARW161" s="610"/>
      <c r="ARX161" s="610"/>
      <c r="ARY161" s="610"/>
      <c r="ARZ161" s="610"/>
      <c r="ASA161" s="610"/>
      <c r="ASB161" s="610"/>
      <c r="ASC161" s="610"/>
      <c r="ASD161" s="610"/>
      <c r="ASE161" s="610"/>
      <c r="ASF161" s="610"/>
      <c r="ASG161" s="610"/>
      <c r="ASH161" s="610"/>
      <c r="ASI161" s="610"/>
      <c r="ASJ161" s="610"/>
      <c r="ASK161" s="610"/>
      <c r="ASL161" s="610"/>
      <c r="ASM161" s="610"/>
      <c r="ASN161" s="610"/>
      <c r="ASO161" s="610"/>
      <c r="ASP161" s="610"/>
      <c r="ASQ161" s="610"/>
      <c r="ASR161" s="610"/>
      <c r="ASS161" s="610"/>
      <c r="AST161" s="610"/>
      <c r="ASU161" s="610"/>
      <c r="ASV161" s="610"/>
      <c r="ASW161" s="610"/>
      <c r="ASX161" s="610"/>
      <c r="ASY161" s="610"/>
      <c r="ASZ161" s="610"/>
      <c r="ATA161" s="610"/>
      <c r="ATB161" s="610"/>
      <c r="ATC161" s="610"/>
      <c r="ATD161" s="610"/>
      <c r="ATE161" s="610"/>
      <c r="ATF161" s="610"/>
      <c r="ATG161" s="610"/>
      <c r="ATH161" s="610"/>
      <c r="ATI161" s="610"/>
      <c r="ATJ161" s="610"/>
      <c r="ATK161" s="610"/>
      <c r="ATL161" s="610"/>
      <c r="ATM161" s="610"/>
      <c r="ATN161" s="610"/>
      <c r="ATO161" s="610"/>
      <c r="ATP161" s="610"/>
      <c r="ATQ161" s="610"/>
      <c r="ATR161" s="610"/>
      <c r="ATS161" s="610"/>
      <c r="ATT161" s="610"/>
      <c r="ATU161" s="610"/>
      <c r="ATV161" s="610"/>
      <c r="ATW161" s="610"/>
      <c r="ATX161" s="610"/>
      <c r="ATY161" s="610"/>
      <c r="ATZ161" s="610"/>
      <c r="AUA161" s="610"/>
      <c r="AUB161" s="610"/>
      <c r="AUC161" s="610"/>
      <c r="AUD161" s="610"/>
      <c r="AUE161" s="610"/>
      <c r="AUF161" s="610"/>
      <c r="AUG161" s="610"/>
      <c r="AUH161" s="610"/>
      <c r="AUI161" s="610"/>
      <c r="AUJ161" s="610"/>
      <c r="AUK161" s="610"/>
      <c r="AUL161" s="610"/>
      <c r="AUM161" s="610"/>
      <c r="AUN161" s="610"/>
      <c r="AUO161" s="610"/>
      <c r="AUP161" s="610"/>
      <c r="AUQ161" s="610"/>
      <c r="AUR161" s="610"/>
      <c r="AUS161" s="610"/>
      <c r="AUT161" s="610"/>
      <c r="AUU161" s="610"/>
      <c r="AUV161" s="610"/>
      <c r="AUW161" s="610"/>
      <c r="AUX161" s="610"/>
      <c r="AUY161" s="610"/>
      <c r="AUZ161" s="610"/>
      <c r="AVA161" s="610"/>
      <c r="AVB161" s="610"/>
      <c r="AVC161" s="610"/>
      <c r="AVD161" s="610"/>
      <c r="AVE161" s="610"/>
      <c r="AVF161" s="610"/>
      <c r="AVG161" s="610"/>
      <c r="AVH161" s="610"/>
      <c r="AVI161" s="610"/>
      <c r="AVJ161" s="610"/>
      <c r="AVK161" s="610"/>
      <c r="AVL161" s="610"/>
      <c r="AVM161" s="610"/>
      <c r="AVN161" s="610"/>
      <c r="AVO161" s="610"/>
      <c r="AVP161" s="610"/>
      <c r="AVQ161" s="610"/>
      <c r="AVR161" s="610"/>
      <c r="AVS161" s="610"/>
      <c r="AVT161" s="610"/>
      <c r="AVU161" s="610"/>
      <c r="AVV161" s="610"/>
      <c r="AVW161" s="610"/>
      <c r="AVX161" s="610"/>
      <c r="AVY161" s="610"/>
      <c r="AVZ161" s="610"/>
      <c r="AWA161" s="610"/>
      <c r="AWB161" s="610"/>
      <c r="AWC161" s="610"/>
      <c r="AWD161" s="610"/>
      <c r="AWE161" s="610"/>
      <c r="AWF161" s="610"/>
      <c r="AWG161" s="610"/>
      <c r="AWH161" s="610"/>
      <c r="AWI161" s="610"/>
      <c r="AWJ161" s="610"/>
      <c r="AWK161" s="610"/>
      <c r="AWL161" s="610"/>
      <c r="AWM161" s="610"/>
      <c r="AWN161" s="610"/>
      <c r="AWO161" s="610"/>
      <c r="AWP161" s="610"/>
      <c r="AWQ161" s="610"/>
      <c r="AWR161" s="610"/>
      <c r="AWS161" s="610"/>
      <c r="AWT161" s="610"/>
      <c r="AWU161" s="610"/>
      <c r="AWV161" s="610"/>
      <c r="AWW161" s="610"/>
      <c r="AWX161" s="610"/>
      <c r="AWY161" s="610"/>
      <c r="AWZ161" s="610"/>
      <c r="AXA161" s="610"/>
      <c r="AXB161" s="610"/>
      <c r="AXC161" s="610"/>
      <c r="AXD161" s="610"/>
      <c r="AXE161" s="610"/>
      <c r="AXF161" s="610"/>
      <c r="AXG161" s="610"/>
      <c r="AXH161" s="610"/>
      <c r="AXI161" s="610"/>
      <c r="AXJ161" s="610"/>
      <c r="AXK161" s="610"/>
      <c r="AXL161" s="610"/>
      <c r="AXM161" s="610"/>
      <c r="AXN161" s="610"/>
      <c r="AXO161" s="610"/>
      <c r="AXP161" s="610"/>
      <c r="AXQ161" s="610"/>
      <c r="AXR161" s="610"/>
      <c r="AXS161" s="610"/>
      <c r="AXT161" s="610"/>
      <c r="AXU161" s="610"/>
      <c r="AXV161" s="610"/>
      <c r="AXW161" s="610"/>
      <c r="AXX161" s="610"/>
      <c r="AXY161" s="610"/>
      <c r="AXZ161" s="610"/>
      <c r="AYA161" s="610"/>
      <c r="AYB161" s="610"/>
      <c r="AYC161" s="610"/>
      <c r="AYD161" s="610"/>
      <c r="AYE161" s="610"/>
      <c r="AYF161" s="610"/>
      <c r="AYG161" s="610"/>
      <c r="AYH161" s="610"/>
      <c r="AYI161" s="610"/>
      <c r="AYJ161" s="610"/>
      <c r="AYK161" s="610"/>
      <c r="AYL161" s="610"/>
      <c r="AYM161" s="610"/>
      <c r="AYN161" s="610"/>
      <c r="AYO161" s="610"/>
      <c r="AYP161" s="610"/>
      <c r="AYQ161" s="610"/>
      <c r="AYR161" s="610"/>
      <c r="AYS161" s="610"/>
      <c r="AYT161" s="610"/>
      <c r="AYU161" s="610"/>
      <c r="AYV161" s="610"/>
      <c r="AYW161" s="610"/>
      <c r="AYX161" s="610"/>
      <c r="AYY161" s="610"/>
      <c r="AYZ161" s="610"/>
      <c r="AZA161" s="610"/>
      <c r="AZB161" s="610"/>
      <c r="AZC161" s="610"/>
      <c r="AZD161" s="610"/>
      <c r="AZE161" s="610"/>
      <c r="AZF161" s="610"/>
      <c r="AZG161" s="610"/>
      <c r="AZH161" s="610"/>
      <c r="AZI161" s="610"/>
      <c r="AZJ161" s="610"/>
      <c r="AZK161" s="610"/>
      <c r="AZL161" s="610"/>
      <c r="AZM161" s="610"/>
      <c r="AZN161" s="610"/>
      <c r="AZO161" s="610"/>
      <c r="AZP161" s="610"/>
      <c r="AZQ161" s="610"/>
      <c r="AZR161" s="610"/>
      <c r="AZS161" s="610"/>
      <c r="AZT161" s="610"/>
      <c r="AZU161" s="610"/>
      <c r="AZV161" s="610"/>
      <c r="AZW161" s="610"/>
      <c r="AZX161" s="610"/>
      <c r="AZY161" s="610"/>
      <c r="AZZ161" s="610"/>
      <c r="BAA161" s="610"/>
      <c r="BAB161" s="610"/>
      <c r="BAC161" s="610"/>
      <c r="BAD161" s="610"/>
      <c r="BAE161" s="610"/>
      <c r="BAF161" s="610"/>
      <c r="BAG161" s="610"/>
      <c r="BAH161" s="610"/>
      <c r="BAI161" s="610"/>
      <c r="BAJ161" s="610"/>
      <c r="BAK161" s="610"/>
      <c r="BAL161" s="610"/>
      <c r="BAM161" s="610"/>
      <c r="BAN161" s="610"/>
      <c r="BAO161" s="610"/>
      <c r="BAP161" s="610"/>
      <c r="BAQ161" s="610"/>
      <c r="BAR161" s="610"/>
      <c r="BAS161" s="610"/>
      <c r="BAT161" s="610"/>
      <c r="BAU161" s="610"/>
      <c r="BAV161" s="610"/>
      <c r="BAW161" s="610"/>
      <c r="BAX161" s="610"/>
      <c r="BAY161" s="610"/>
      <c r="BAZ161" s="610"/>
      <c r="BBA161" s="610"/>
      <c r="BBB161" s="610"/>
      <c r="BBC161" s="610"/>
      <c r="BBD161" s="610"/>
      <c r="BBE161" s="610"/>
      <c r="BBF161" s="610"/>
      <c r="BBG161" s="610"/>
      <c r="BBH161" s="610"/>
      <c r="BBI161" s="610"/>
      <c r="BBJ161" s="610"/>
      <c r="BBK161" s="610"/>
      <c r="BBL161" s="610"/>
      <c r="BBM161" s="610"/>
      <c r="BBN161" s="610"/>
      <c r="BBO161" s="610"/>
      <c r="BBP161" s="610"/>
      <c r="BBQ161" s="610"/>
      <c r="BBR161" s="610"/>
      <c r="BBS161" s="610"/>
      <c r="BBT161" s="610"/>
      <c r="BBU161" s="610"/>
      <c r="BBV161" s="610"/>
      <c r="BBW161" s="610"/>
      <c r="BBX161" s="610"/>
      <c r="BBY161" s="610"/>
      <c r="BBZ161" s="610"/>
      <c r="BCA161" s="610"/>
      <c r="BCB161" s="610"/>
      <c r="BCC161" s="610"/>
      <c r="BCD161" s="610"/>
      <c r="BCE161" s="610"/>
      <c r="BCF161" s="610"/>
      <c r="BCG161" s="610"/>
      <c r="BCH161" s="610"/>
      <c r="BCI161" s="610"/>
      <c r="BCJ161" s="610"/>
      <c r="BCK161" s="610"/>
      <c r="BCL161" s="610"/>
      <c r="BCM161" s="610"/>
      <c r="BCN161" s="610"/>
      <c r="BCO161" s="610"/>
      <c r="BCP161" s="610"/>
      <c r="BCQ161" s="610"/>
      <c r="BCR161" s="610"/>
      <c r="BCS161" s="610"/>
      <c r="BCT161" s="610"/>
      <c r="BCU161" s="610"/>
      <c r="BCV161" s="610"/>
      <c r="BCW161" s="610"/>
      <c r="BCX161" s="610"/>
      <c r="BCY161" s="610"/>
      <c r="BCZ161" s="610"/>
      <c r="BDA161" s="610"/>
      <c r="BDB161" s="610"/>
      <c r="BDC161" s="610"/>
      <c r="BDD161" s="610"/>
      <c r="BDE161" s="610"/>
      <c r="BDF161" s="610"/>
      <c r="BDG161" s="610"/>
      <c r="BDH161" s="610"/>
      <c r="BDI161" s="610"/>
      <c r="BDJ161" s="610"/>
      <c r="BDK161" s="610"/>
      <c r="BDL161" s="610"/>
      <c r="BDM161" s="610"/>
      <c r="BDN161" s="610"/>
      <c r="BDO161" s="610"/>
      <c r="BDP161" s="610"/>
      <c r="BDQ161" s="610"/>
      <c r="BDR161" s="610"/>
      <c r="BDS161" s="610"/>
      <c r="BDT161" s="610"/>
      <c r="BDU161" s="610"/>
      <c r="BDV161" s="610"/>
      <c r="BDW161" s="610"/>
      <c r="BDX161" s="610"/>
      <c r="BDY161" s="610"/>
      <c r="BDZ161" s="610"/>
      <c r="BEA161" s="610"/>
      <c r="BEB161" s="610"/>
      <c r="BEC161" s="610"/>
      <c r="BED161" s="610"/>
      <c r="BEE161" s="610"/>
      <c r="BEF161" s="610"/>
      <c r="BEG161" s="610"/>
      <c r="BEH161" s="610"/>
      <c r="BEI161" s="610"/>
      <c r="BEJ161" s="610"/>
      <c r="BEK161" s="610"/>
      <c r="BEL161" s="610"/>
      <c r="BEM161" s="610"/>
      <c r="BEN161" s="610"/>
      <c r="BEO161" s="610"/>
      <c r="BEP161" s="610"/>
      <c r="BEQ161" s="610"/>
      <c r="BER161" s="610"/>
      <c r="BES161" s="610"/>
      <c r="BET161" s="610"/>
      <c r="BEU161" s="610"/>
      <c r="BEV161" s="610"/>
      <c r="BEW161" s="610"/>
      <c r="BEX161" s="610"/>
      <c r="BEY161" s="610"/>
      <c r="BEZ161" s="610"/>
      <c r="BFA161" s="610"/>
      <c r="BFB161" s="610"/>
      <c r="BFC161" s="610"/>
      <c r="BFD161" s="610"/>
      <c r="BFE161" s="610"/>
      <c r="BFF161" s="610"/>
      <c r="BFG161" s="610"/>
      <c r="BFH161" s="610"/>
      <c r="BFI161" s="610"/>
      <c r="BFJ161" s="610"/>
      <c r="BFK161" s="610"/>
      <c r="BFL161" s="610"/>
      <c r="BFM161" s="610"/>
      <c r="BFN161" s="610"/>
      <c r="BFO161" s="610"/>
      <c r="BFP161" s="610"/>
      <c r="BFQ161" s="610"/>
      <c r="BFR161" s="610"/>
      <c r="BFS161" s="610"/>
      <c r="BFT161" s="610"/>
      <c r="BFU161" s="610"/>
      <c r="BFV161" s="610"/>
      <c r="BFW161" s="610"/>
      <c r="BFX161" s="610"/>
      <c r="BFY161" s="610"/>
      <c r="BFZ161" s="610"/>
      <c r="BGA161" s="610"/>
      <c r="BGB161" s="610"/>
      <c r="BGC161" s="610"/>
      <c r="BGD161" s="610"/>
      <c r="BGE161" s="610"/>
      <c r="BGF161" s="610"/>
      <c r="BGG161" s="610"/>
      <c r="BGH161" s="610"/>
      <c r="BGI161" s="610"/>
      <c r="BGJ161" s="610"/>
      <c r="BGK161" s="610"/>
      <c r="BGL161" s="610"/>
      <c r="BGM161" s="610"/>
      <c r="BGN161" s="610"/>
      <c r="BGO161" s="610"/>
      <c r="BGP161" s="610"/>
      <c r="BGQ161" s="610"/>
      <c r="BGR161" s="610"/>
      <c r="BGS161" s="610"/>
      <c r="BGT161" s="610"/>
      <c r="BGU161" s="610"/>
      <c r="BGV161" s="610"/>
      <c r="BGW161" s="610"/>
      <c r="BGX161" s="610"/>
      <c r="BGY161" s="610"/>
      <c r="BGZ161" s="610"/>
      <c r="BHA161" s="610"/>
      <c r="BHB161" s="610"/>
      <c r="BHC161" s="610"/>
      <c r="BHD161" s="610"/>
      <c r="BHE161" s="610"/>
      <c r="BHF161" s="610"/>
      <c r="BHG161" s="610"/>
      <c r="BHH161" s="610"/>
      <c r="BHI161" s="610"/>
      <c r="BHJ161" s="610"/>
      <c r="BHK161" s="610"/>
      <c r="BHL161" s="610"/>
      <c r="BHM161" s="610"/>
      <c r="BHN161" s="610"/>
      <c r="BHO161" s="610"/>
      <c r="BHP161" s="610"/>
      <c r="BHQ161" s="610"/>
      <c r="BHR161" s="610"/>
      <c r="BHS161" s="610"/>
      <c r="BHT161" s="610"/>
      <c r="BHU161" s="610"/>
      <c r="BHV161" s="610"/>
      <c r="BHW161" s="610"/>
      <c r="BHX161" s="610"/>
      <c r="BHY161" s="610"/>
      <c r="BHZ161" s="610"/>
      <c r="BIA161" s="610"/>
      <c r="BIB161" s="610"/>
      <c r="BIC161" s="610"/>
      <c r="BID161" s="610"/>
      <c r="BIE161" s="610"/>
      <c r="BIF161" s="610"/>
      <c r="BIG161" s="610"/>
      <c r="BIH161" s="610"/>
      <c r="BII161" s="610"/>
      <c r="BIJ161" s="610"/>
      <c r="BIK161" s="610"/>
      <c r="BIL161" s="610"/>
      <c r="BIM161" s="610"/>
      <c r="BIN161" s="610"/>
      <c r="BIO161" s="610"/>
      <c r="BIP161" s="610"/>
      <c r="BIQ161" s="610"/>
      <c r="BIR161" s="610"/>
      <c r="BIS161" s="610"/>
      <c r="BIT161" s="610"/>
      <c r="BIU161" s="610"/>
      <c r="BIV161" s="610"/>
      <c r="BIW161" s="610"/>
      <c r="BIX161" s="610"/>
      <c r="BIY161" s="610"/>
      <c r="BIZ161" s="610"/>
      <c r="BJA161" s="610"/>
      <c r="BJB161" s="610"/>
      <c r="BJC161" s="610"/>
      <c r="BJD161" s="610"/>
      <c r="BJE161" s="610"/>
      <c r="BJF161" s="610"/>
      <c r="BJG161" s="610"/>
      <c r="BJH161" s="610"/>
      <c r="BJI161" s="610"/>
      <c r="BJJ161" s="610"/>
      <c r="BJK161" s="610"/>
      <c r="BJL161" s="610"/>
      <c r="BJM161" s="610"/>
      <c r="BJN161" s="610"/>
      <c r="BJO161" s="610"/>
      <c r="BJP161" s="610"/>
      <c r="BJQ161" s="610"/>
      <c r="BJR161" s="610"/>
      <c r="BJS161" s="610"/>
      <c r="BJT161" s="610"/>
      <c r="BJU161" s="610"/>
      <c r="BJV161" s="610"/>
      <c r="BJW161" s="610"/>
      <c r="BJX161" s="610"/>
      <c r="BJY161" s="610"/>
      <c r="BJZ161" s="610"/>
      <c r="BKA161" s="610"/>
      <c r="BKB161" s="610"/>
      <c r="BKC161" s="610"/>
      <c r="BKD161" s="610"/>
      <c r="BKE161" s="610"/>
      <c r="BKF161" s="610"/>
      <c r="BKG161" s="610"/>
      <c r="BKH161" s="610"/>
      <c r="BKI161" s="610"/>
      <c r="BKJ161" s="610"/>
      <c r="BKK161" s="610"/>
      <c r="BKL161" s="610"/>
      <c r="BKM161" s="610"/>
      <c r="BKN161" s="610"/>
      <c r="BKO161" s="610"/>
      <c r="BKP161" s="610"/>
      <c r="BKQ161" s="610"/>
      <c r="BKR161" s="610"/>
      <c r="BKS161" s="610"/>
      <c r="BKT161" s="610"/>
      <c r="BKU161" s="610"/>
      <c r="BKV161" s="610"/>
      <c r="BKW161" s="610"/>
      <c r="BKX161" s="610"/>
      <c r="BKY161" s="610"/>
      <c r="BKZ161" s="610"/>
      <c r="BLA161" s="610"/>
      <c r="BLB161" s="610"/>
      <c r="BLC161" s="610"/>
      <c r="BLD161" s="610"/>
      <c r="BLE161" s="610"/>
      <c r="BLF161" s="610"/>
      <c r="BLG161" s="610"/>
      <c r="BLH161" s="610"/>
      <c r="BLI161" s="610"/>
      <c r="BLJ161" s="610"/>
      <c r="BLK161" s="610"/>
      <c r="BLL161" s="610"/>
      <c r="BLM161" s="610"/>
      <c r="BLN161" s="610"/>
      <c r="BLO161" s="610"/>
      <c r="BLP161" s="610"/>
      <c r="BLQ161" s="610"/>
      <c r="BLR161" s="610"/>
      <c r="BLS161" s="610"/>
      <c r="BLT161" s="610"/>
      <c r="BLU161" s="610"/>
      <c r="BLV161" s="610"/>
      <c r="BLW161" s="610"/>
      <c r="BLX161" s="610"/>
      <c r="BLY161" s="610"/>
      <c r="BLZ161" s="610"/>
      <c r="BMA161" s="610"/>
      <c r="BMB161" s="610"/>
      <c r="BMC161" s="610"/>
      <c r="BMD161" s="610"/>
      <c r="BME161" s="610"/>
      <c r="BMF161" s="610"/>
      <c r="BMG161" s="610"/>
      <c r="BMH161" s="610"/>
      <c r="BMI161" s="610"/>
      <c r="BMJ161" s="610"/>
      <c r="BMK161" s="610"/>
      <c r="BML161" s="610"/>
      <c r="BMM161" s="610"/>
      <c r="BMN161" s="610"/>
      <c r="BMO161" s="610"/>
      <c r="BMP161" s="610"/>
      <c r="BMQ161" s="610"/>
      <c r="BMR161" s="610"/>
      <c r="BMS161" s="610"/>
      <c r="BMT161" s="610"/>
      <c r="BMU161" s="610"/>
      <c r="BMV161" s="610"/>
      <c r="BMW161" s="610"/>
      <c r="BMX161" s="610"/>
      <c r="BMY161" s="610"/>
      <c r="BMZ161" s="610"/>
      <c r="BNA161" s="610"/>
      <c r="BNB161" s="610"/>
      <c r="BNC161" s="610"/>
      <c r="BND161" s="610"/>
      <c r="BNE161" s="610"/>
      <c r="BNF161" s="610"/>
      <c r="BNG161" s="610"/>
      <c r="BNH161" s="610"/>
      <c r="BNI161" s="610"/>
      <c r="BNJ161" s="610"/>
      <c r="BNK161" s="610"/>
      <c r="BNL161" s="610"/>
      <c r="BNM161" s="610"/>
      <c r="BNN161" s="610"/>
      <c r="BNO161" s="610"/>
      <c r="BNP161" s="610"/>
      <c r="BNQ161" s="610"/>
      <c r="BNR161" s="610"/>
      <c r="BNS161" s="610"/>
      <c r="BNT161" s="610"/>
      <c r="BNU161" s="610"/>
      <c r="BNV161" s="610"/>
      <c r="BNW161" s="610"/>
      <c r="BNX161" s="610"/>
      <c r="BNY161" s="610"/>
      <c r="BNZ161" s="610"/>
      <c r="BOA161" s="610"/>
      <c r="BOB161" s="610"/>
      <c r="BOC161" s="610"/>
      <c r="BOD161" s="610"/>
      <c r="BOE161" s="610"/>
      <c r="BOF161" s="610"/>
      <c r="BOG161" s="610"/>
      <c r="BOH161" s="610"/>
      <c r="BOI161" s="610"/>
      <c r="BOJ161" s="610"/>
      <c r="BOK161" s="610"/>
      <c r="BOL161" s="610"/>
      <c r="BOM161" s="610"/>
      <c r="BON161" s="610"/>
      <c r="BOO161" s="610"/>
      <c r="BOP161" s="610"/>
      <c r="BOQ161" s="610"/>
      <c r="BOR161" s="610"/>
      <c r="BOS161" s="610"/>
      <c r="BOT161" s="610"/>
      <c r="BOU161" s="610"/>
      <c r="BOV161" s="610"/>
      <c r="BOW161" s="610"/>
      <c r="BOX161" s="610"/>
      <c r="BOY161" s="610"/>
      <c r="BOZ161" s="610"/>
      <c r="BPA161" s="610"/>
      <c r="BPB161" s="610"/>
      <c r="BPC161" s="610"/>
      <c r="BPD161" s="610"/>
      <c r="BPE161" s="610"/>
      <c r="BPF161" s="610"/>
      <c r="BPG161" s="610"/>
      <c r="BPH161" s="610"/>
      <c r="BPI161" s="610"/>
      <c r="BPJ161" s="610"/>
      <c r="BPK161" s="610"/>
      <c r="BPL161" s="610"/>
      <c r="BPM161" s="610"/>
      <c r="BPN161" s="610"/>
      <c r="BPO161" s="610"/>
      <c r="BPP161" s="610"/>
      <c r="BPQ161" s="610"/>
      <c r="BPR161" s="610"/>
      <c r="BPS161" s="610"/>
      <c r="BPT161" s="610"/>
      <c r="BPU161" s="610"/>
      <c r="BPV161" s="610"/>
      <c r="BPW161" s="610"/>
      <c r="BPX161" s="610"/>
      <c r="BPY161" s="610"/>
      <c r="BPZ161" s="610"/>
      <c r="BQA161" s="610"/>
      <c r="BQB161" s="610"/>
      <c r="BQC161" s="610"/>
      <c r="BQD161" s="610"/>
      <c r="BQE161" s="610"/>
      <c r="BQF161" s="610"/>
      <c r="BQG161" s="610"/>
      <c r="BQH161" s="610"/>
      <c r="BQI161" s="610"/>
      <c r="BQJ161" s="610"/>
      <c r="BQK161" s="610"/>
      <c r="BQL161" s="610"/>
      <c r="BQM161" s="610"/>
      <c r="BQN161" s="610"/>
      <c r="BQO161" s="610"/>
      <c r="BQP161" s="610"/>
      <c r="BQQ161" s="610"/>
      <c r="BQR161" s="610"/>
      <c r="BQS161" s="610"/>
      <c r="BQT161" s="610"/>
      <c r="BQU161" s="610"/>
      <c r="BQV161" s="610"/>
      <c r="BQW161" s="610"/>
      <c r="BQX161" s="610"/>
      <c r="BQY161" s="610"/>
      <c r="BQZ161" s="610"/>
      <c r="BRA161" s="610"/>
      <c r="BRB161" s="610"/>
      <c r="BRC161" s="610"/>
      <c r="BRD161" s="610"/>
      <c r="BRE161" s="610"/>
      <c r="BRF161" s="610"/>
      <c r="BRG161" s="610"/>
      <c r="BRH161" s="610"/>
      <c r="BRI161" s="610"/>
      <c r="BRJ161" s="610"/>
      <c r="BRK161" s="610"/>
      <c r="BRL161" s="610"/>
      <c r="BRM161" s="610"/>
      <c r="BRN161" s="610"/>
      <c r="BRO161" s="610"/>
      <c r="BRP161" s="610"/>
      <c r="BRQ161" s="610"/>
      <c r="BRR161" s="610"/>
      <c r="BRS161" s="610"/>
      <c r="BRT161" s="610"/>
      <c r="BRU161" s="610"/>
      <c r="BRV161" s="610"/>
      <c r="BRW161" s="610"/>
      <c r="BRX161" s="610"/>
      <c r="BRY161" s="610"/>
      <c r="BRZ161" s="610"/>
      <c r="BSA161" s="610"/>
      <c r="BSB161" s="610"/>
      <c r="BSC161" s="610"/>
      <c r="BSD161" s="610"/>
      <c r="BSE161" s="610"/>
      <c r="BSF161" s="610"/>
      <c r="BSG161" s="610"/>
      <c r="BSH161" s="610"/>
      <c r="BSI161" s="610"/>
      <c r="BSJ161" s="610"/>
      <c r="BSK161" s="610"/>
      <c r="BSL161" s="610"/>
      <c r="BSM161" s="610"/>
      <c r="BSN161" s="610"/>
      <c r="BSO161" s="610"/>
      <c r="BSP161" s="610"/>
      <c r="BSQ161" s="610"/>
      <c r="BSR161" s="610"/>
      <c r="BSS161" s="610"/>
      <c r="BST161" s="610"/>
      <c r="BSU161" s="610"/>
      <c r="BSV161" s="610"/>
      <c r="BSW161" s="610"/>
      <c r="BSX161" s="610"/>
      <c r="BSY161" s="610"/>
      <c r="BSZ161" s="610"/>
      <c r="BTA161" s="610"/>
      <c r="BTB161" s="610"/>
      <c r="BTC161" s="610"/>
      <c r="BTD161" s="610"/>
      <c r="BTE161" s="610"/>
      <c r="BTF161" s="610"/>
      <c r="BTG161" s="610"/>
      <c r="BTH161" s="610"/>
      <c r="BTI161" s="610"/>
    </row>
    <row r="162" spans="1:1881" x14ac:dyDescent="0.25">
      <c r="A162" s="188"/>
      <c r="B162" s="161" t="s">
        <v>604</v>
      </c>
      <c r="C162" s="160"/>
      <c r="D162" s="154"/>
      <c r="E162" s="146"/>
      <c r="F162" s="732"/>
      <c r="G162" s="153"/>
      <c r="H162" s="17"/>
      <c r="I162" s="297"/>
    </row>
    <row r="163" spans="1:1881" ht="85.5" customHeight="1" x14ac:dyDescent="0.25">
      <c r="A163" s="188">
        <v>535</v>
      </c>
      <c r="B163" s="182" t="s">
        <v>62</v>
      </c>
      <c r="C163" s="182" t="s">
        <v>212</v>
      </c>
      <c r="D163" s="138" t="s">
        <v>653</v>
      </c>
      <c r="E163" s="32" t="e">
        <f>HLOOKUP($D$2,'2019 Data(H)'!$C$1:$CP$300,185,FALSE)</f>
        <v>#N/A</v>
      </c>
      <c r="F163" s="589"/>
      <c r="G163" s="581" t="str">
        <f>IF(F163&lt;1,"Reminder: Please make sure you have entered all cash and investments from bond/Debt proceeds, if applicable.",)</f>
        <v>Reminder: Please make sure you have entered all cash and investments from bond/Debt proceeds, if applicable.</v>
      </c>
      <c r="H163" s="17"/>
      <c r="I163" s="297"/>
    </row>
    <row r="164" spans="1:1881" ht="18.75" x14ac:dyDescent="0.3">
      <c r="A164" s="189"/>
      <c r="B164" s="161" t="s">
        <v>31</v>
      </c>
      <c r="C164" s="160"/>
      <c r="D164" s="162"/>
      <c r="E164" s="162"/>
      <c r="F164" s="730"/>
      <c r="G164" s="555"/>
      <c r="H164" s="13"/>
      <c r="I164" s="31"/>
    </row>
    <row r="165" spans="1:1881" ht="37.5" x14ac:dyDescent="0.3">
      <c r="A165" s="189"/>
      <c r="B165" s="179"/>
      <c r="C165" s="179"/>
      <c r="D165" s="166" t="s">
        <v>2</v>
      </c>
      <c r="E165" s="6"/>
      <c r="F165" s="733"/>
      <c r="G165" s="316"/>
      <c r="H165" s="13"/>
      <c r="I165" s="31"/>
    </row>
    <row r="166" spans="1:1881" ht="36" customHeight="1" x14ac:dyDescent="0.25">
      <c r="A166" s="189"/>
      <c r="B166" s="179"/>
      <c r="C166" s="179"/>
      <c r="D166" s="163" t="s">
        <v>7</v>
      </c>
      <c r="E166" s="6"/>
      <c r="F166" s="733"/>
      <c r="G166" s="316"/>
      <c r="H166" s="13"/>
      <c r="I166" s="31"/>
    </row>
    <row r="167" spans="1:1881" ht="36" customHeight="1" x14ac:dyDescent="0.25">
      <c r="A167" s="188">
        <v>334</v>
      </c>
      <c r="B167" s="64" t="s">
        <v>63</v>
      </c>
      <c r="C167" s="164" t="s">
        <v>227</v>
      </c>
      <c r="D167" s="165" t="s">
        <v>225</v>
      </c>
      <c r="E167" s="32" t="e">
        <f>HLOOKUP($D$2,'2019 Data(H)'!$C$1:$CP$300,100,FALSE)</f>
        <v>#N/A</v>
      </c>
      <c r="F167" s="589"/>
      <c r="G167" s="316"/>
      <c r="H167" s="13"/>
      <c r="I167" s="31"/>
    </row>
    <row r="168" spans="1:1881" ht="36" customHeight="1" x14ac:dyDescent="0.25">
      <c r="A168" s="188">
        <v>373</v>
      </c>
      <c r="B168" s="64" t="s">
        <v>63</v>
      </c>
      <c r="C168" s="164" t="s">
        <v>227</v>
      </c>
      <c r="D168" s="175" t="s">
        <v>226</v>
      </c>
      <c r="E168" s="32" t="e">
        <f>HLOOKUP($D$2,'2019 Data(H)'!$C$1:$CP$300,133,FALSE)</f>
        <v>#N/A</v>
      </c>
      <c r="F168" s="589"/>
      <c r="G168" s="581">
        <f>IF(F168&lt;0,"Error: Enter as positive.",)</f>
        <v>0</v>
      </c>
      <c r="H168" s="13"/>
      <c r="I168" s="31"/>
    </row>
    <row r="169" spans="1:1881" ht="18.75" x14ac:dyDescent="0.3">
      <c r="A169" s="189"/>
      <c r="B169" s="180"/>
      <c r="C169" s="180"/>
      <c r="D169" s="167"/>
      <c r="E169" s="9"/>
      <c r="F169" s="734"/>
      <c r="G169" s="316"/>
      <c r="H169" s="13"/>
      <c r="I169" s="31"/>
    </row>
    <row r="170" spans="1:1881" ht="73.5" x14ac:dyDescent="0.25">
      <c r="A170" s="189"/>
      <c r="B170" s="179"/>
      <c r="C170" s="185"/>
      <c r="D170" s="173" t="s">
        <v>243</v>
      </c>
      <c r="E170" s="6"/>
      <c r="F170" s="733"/>
      <c r="G170" s="316"/>
      <c r="H170" s="13"/>
      <c r="I170" s="31"/>
    </row>
    <row r="171" spans="1:1881" ht="30" x14ac:dyDescent="0.25">
      <c r="A171" s="189"/>
      <c r="B171" s="179"/>
      <c r="C171" s="185"/>
      <c r="D171" s="165" t="s">
        <v>32</v>
      </c>
      <c r="E171" s="6"/>
      <c r="F171" s="733"/>
      <c r="G171" s="316"/>
      <c r="H171" s="13"/>
      <c r="I171" s="31"/>
    </row>
    <row r="172" spans="1:1881" ht="51" customHeight="1" x14ac:dyDescent="0.25">
      <c r="A172" s="188">
        <v>327</v>
      </c>
      <c r="B172" s="150" t="s">
        <v>42</v>
      </c>
      <c r="C172" s="184" t="s">
        <v>231</v>
      </c>
      <c r="D172" s="168" t="s">
        <v>228</v>
      </c>
      <c r="E172" s="32" t="e">
        <f>HLOOKUP($D$2,'2019 Data(H)'!$C$1:$CP$300,94,FALSE)</f>
        <v>#N/A</v>
      </c>
      <c r="F172" s="735"/>
      <c r="G172" s="316"/>
      <c r="H172" s="13"/>
      <c r="I172" s="297"/>
    </row>
    <row r="173" spans="1:1881" ht="39" customHeight="1" x14ac:dyDescent="0.25">
      <c r="A173" s="188">
        <v>328</v>
      </c>
      <c r="B173" s="150" t="s">
        <v>42</v>
      </c>
      <c r="C173" s="184" t="s">
        <v>231</v>
      </c>
      <c r="D173" s="176" t="s">
        <v>8</v>
      </c>
      <c r="E173" s="32" t="e">
        <f>HLOOKUP($D$2,'2019 Data(H)'!$C$1:$CP$300,95,FALSE)</f>
        <v>#N/A</v>
      </c>
      <c r="F173" s="735"/>
      <c r="G173" s="316"/>
      <c r="H173" s="13"/>
      <c r="I173" s="297"/>
    </row>
    <row r="174" spans="1:1881" ht="30" x14ac:dyDescent="0.25">
      <c r="A174" s="189"/>
      <c r="B174" s="179"/>
      <c r="C174" s="185"/>
      <c r="D174" s="177" t="s">
        <v>229</v>
      </c>
      <c r="E174" s="369" t="e">
        <f>SUM(E172:E173)</f>
        <v>#N/A</v>
      </c>
      <c r="F174" s="736">
        <f>SUM(F172:F173)</f>
        <v>0</v>
      </c>
      <c r="G174" s="316"/>
      <c r="H174" s="13"/>
      <c r="I174" s="31"/>
    </row>
    <row r="175" spans="1:1881" ht="30" x14ac:dyDescent="0.25">
      <c r="A175" s="189"/>
      <c r="B175" s="179"/>
      <c r="C175" s="185"/>
      <c r="D175" s="165" t="s">
        <v>33</v>
      </c>
      <c r="E175" s="6"/>
      <c r="F175" s="733"/>
      <c r="G175" s="316"/>
      <c r="H175" s="13"/>
      <c r="I175" s="31"/>
    </row>
    <row r="176" spans="1:1881" ht="27.75" customHeight="1" x14ac:dyDescent="0.25">
      <c r="A176" s="189"/>
      <c r="B176" s="179"/>
      <c r="C176" s="185"/>
      <c r="D176" s="172" t="s">
        <v>10</v>
      </c>
      <c r="E176" s="69"/>
      <c r="F176" s="737"/>
      <c r="G176" s="316"/>
      <c r="H176" s="13"/>
      <c r="I176" s="31"/>
    </row>
    <row r="177" spans="1:1881" ht="52.5" customHeight="1" x14ac:dyDescent="0.25">
      <c r="A177" s="188">
        <v>515</v>
      </c>
      <c r="B177" s="150" t="s">
        <v>593</v>
      </c>
      <c r="C177" s="184" t="s">
        <v>232</v>
      </c>
      <c r="D177" s="178" t="s">
        <v>3</v>
      </c>
      <c r="E177" s="32" t="e">
        <f>HLOOKUP($D$2,'2019 Data(H)'!$C$1:$CP$300,165,FALSE)</f>
        <v>#N/A</v>
      </c>
      <c r="F177" s="589"/>
      <c r="G177" s="395"/>
      <c r="H177" s="13"/>
      <c r="I177" s="31"/>
    </row>
    <row r="178" spans="1:1881" ht="52.5" customHeight="1" x14ac:dyDescent="0.25">
      <c r="A178" s="188">
        <v>516</v>
      </c>
      <c r="B178" s="150" t="s">
        <v>593</v>
      </c>
      <c r="C178" s="184" t="s">
        <v>232</v>
      </c>
      <c r="D178" s="178" t="s">
        <v>4</v>
      </c>
      <c r="E178" s="32" t="e">
        <f>HLOOKUP($D$2,'2019 Data(H)'!$C$1:$CP$300,166,FALSE)</f>
        <v>#N/A</v>
      </c>
      <c r="F178" s="589"/>
      <c r="G178" s="395"/>
      <c r="H178" s="13"/>
      <c r="I178" s="31"/>
    </row>
    <row r="179" spans="1:1881" ht="52.5" customHeight="1" x14ac:dyDescent="0.25">
      <c r="A179" s="188">
        <v>517</v>
      </c>
      <c r="B179" s="150" t="s">
        <v>593</v>
      </c>
      <c r="C179" s="184" t="s">
        <v>232</v>
      </c>
      <c r="D179" s="178" t="s">
        <v>5</v>
      </c>
      <c r="E179" s="32" t="e">
        <f>HLOOKUP($D$2,'2019 Data(H)'!$C$1:$CP$300,167,FALSE)</f>
        <v>#N/A</v>
      </c>
      <c r="F179" s="589"/>
      <c r="G179" s="395"/>
      <c r="H179" s="13"/>
      <c r="I179" s="31"/>
    </row>
    <row r="180" spans="1:1881" ht="52.5" customHeight="1" x14ac:dyDescent="0.25">
      <c r="A180" s="188">
        <v>518</v>
      </c>
      <c r="B180" s="150" t="s">
        <v>593</v>
      </c>
      <c r="C180" s="184" t="s">
        <v>232</v>
      </c>
      <c r="D180" s="178" t="s">
        <v>44</v>
      </c>
      <c r="E180" s="32" t="e">
        <f>HLOOKUP($D$2,'2019 Data(H)'!$C$1:$CP$300,168,FALSE)</f>
        <v>#N/A</v>
      </c>
      <c r="F180" s="589"/>
      <c r="G180" s="395"/>
      <c r="H180" s="13"/>
      <c r="I180" s="31"/>
    </row>
    <row r="181" spans="1:1881" ht="35.25" customHeight="1" x14ac:dyDescent="0.25">
      <c r="A181"/>
      <c r="B181" s="179"/>
      <c r="C181" s="183"/>
      <c r="D181" s="171" t="s">
        <v>34</v>
      </c>
      <c r="E181" s="369" t="e">
        <f>SUM(E177:E180)</f>
        <v>#N/A</v>
      </c>
      <c r="F181" s="736">
        <f>SUM(F177:F180)</f>
        <v>0</v>
      </c>
      <c r="G181" s="316"/>
      <c r="H181" s="13"/>
      <c r="I181" s="31"/>
    </row>
    <row r="182" spans="1:1881" ht="33" customHeight="1" x14ac:dyDescent="0.25">
      <c r="A182" s="189"/>
      <c r="B182" s="179"/>
      <c r="C182" s="183"/>
      <c r="D182" s="172" t="s">
        <v>55</v>
      </c>
      <c r="E182" s="6"/>
      <c r="F182" s="733"/>
      <c r="G182" s="316"/>
      <c r="H182" s="13"/>
      <c r="I182" s="31"/>
    </row>
    <row r="183" spans="1:1881" ht="49.5" customHeight="1" x14ac:dyDescent="0.25">
      <c r="A183" s="188">
        <v>519</v>
      </c>
      <c r="B183" s="150" t="s">
        <v>42</v>
      </c>
      <c r="C183" s="184" t="s">
        <v>233</v>
      </c>
      <c r="D183" s="178" t="s">
        <v>16</v>
      </c>
      <c r="E183" s="32" t="e">
        <f>HLOOKUP($D$2,'2019 Data(H)'!$C$1:$CP$300,169,FALSE)</f>
        <v>#N/A</v>
      </c>
      <c r="F183" s="589"/>
      <c r="G183" s="581">
        <f>IF(F183&lt;0,"Error: Enter as positive.",)</f>
        <v>0</v>
      </c>
      <c r="H183" s="13"/>
      <c r="I183" s="31"/>
    </row>
    <row r="184" spans="1:1881" ht="49.5" customHeight="1" x14ac:dyDescent="0.25">
      <c r="A184" s="188">
        <v>520</v>
      </c>
      <c r="B184" s="150" t="s">
        <v>42</v>
      </c>
      <c r="C184" s="184" t="s">
        <v>233</v>
      </c>
      <c r="D184" s="178" t="s">
        <v>18</v>
      </c>
      <c r="E184" s="32" t="e">
        <f>HLOOKUP($D$2,'2019 Data(H)'!$C$1:$CP$300,170,FALSE)</f>
        <v>#N/A</v>
      </c>
      <c r="F184" s="589"/>
      <c r="G184" s="581">
        <f>IF(F184&lt;0,"Error: Enter as positive.",)</f>
        <v>0</v>
      </c>
      <c r="H184" s="13"/>
      <c r="I184" s="31"/>
    </row>
    <row r="185" spans="1:1881" ht="49.5" customHeight="1" x14ac:dyDescent="0.25">
      <c r="A185" s="188">
        <v>521</v>
      </c>
      <c r="B185" s="150" t="s">
        <v>42</v>
      </c>
      <c r="C185" s="184" t="s">
        <v>233</v>
      </c>
      <c r="D185" s="178" t="s">
        <v>20</v>
      </c>
      <c r="E185" s="32" t="e">
        <f>HLOOKUP($D$2,'2019 Data(H)'!$C$1:$CP$300,171,FALSE)</f>
        <v>#N/A</v>
      </c>
      <c r="F185" s="589"/>
      <c r="G185" s="581">
        <f>IF(F185&lt;0,"Error: Enter as positive.",)</f>
        <v>0</v>
      </c>
      <c r="H185" s="13"/>
      <c r="I185" s="31"/>
    </row>
    <row r="186" spans="1:1881" ht="61.5" customHeight="1" x14ac:dyDescent="0.25">
      <c r="A186" s="188">
        <v>522</v>
      </c>
      <c r="B186" s="150" t="s">
        <v>42</v>
      </c>
      <c r="C186" s="184" t="s">
        <v>233</v>
      </c>
      <c r="D186" s="178" t="s">
        <v>45</v>
      </c>
      <c r="E186" s="32" t="e">
        <f>HLOOKUP($D$2,'2019 Data(H)'!$C$1:$CP$300,172,FALSE)</f>
        <v>#N/A</v>
      </c>
      <c r="F186" s="589"/>
      <c r="G186" s="581">
        <f>IF(F186&lt;0,"Error: Enter as positive.",)</f>
        <v>0</v>
      </c>
      <c r="H186" s="13"/>
      <c r="I186" s="31"/>
    </row>
    <row r="187" spans="1:1881" ht="21.75" customHeight="1" x14ac:dyDescent="0.25">
      <c r="A187" s="25"/>
      <c r="B187" s="179"/>
      <c r="C187" s="183"/>
      <c r="D187" s="169" t="s">
        <v>39</v>
      </c>
      <c r="E187" s="369" t="e">
        <f>SUM(E183:E186)</f>
        <v>#N/A</v>
      </c>
      <c r="F187" s="736">
        <f>SUM(F183:F186)</f>
        <v>0</v>
      </c>
      <c r="G187" s="559"/>
      <c r="H187" s="13"/>
      <c r="I187" s="31"/>
    </row>
    <row r="188" spans="1:1881" ht="21.75" customHeight="1" x14ac:dyDescent="0.25">
      <c r="A188" s="25"/>
      <c r="B188" s="179"/>
      <c r="C188" s="183"/>
      <c r="D188" s="172" t="s">
        <v>37</v>
      </c>
      <c r="E188" s="21"/>
      <c r="F188" s="738"/>
      <c r="G188" s="559"/>
      <c r="H188" s="13"/>
      <c r="I188" s="31"/>
    </row>
    <row r="189" spans="1:1881" ht="60" customHeight="1" x14ac:dyDescent="0.25">
      <c r="A189" s="188">
        <v>523</v>
      </c>
      <c r="B189" s="150" t="s">
        <v>593</v>
      </c>
      <c r="C189" s="184" t="s">
        <v>234</v>
      </c>
      <c r="D189" s="178" t="s">
        <v>17</v>
      </c>
      <c r="E189" s="32" t="e">
        <f>HLOOKUP($D$2,'2019 Data(H)'!$C$1:$CP$300,173,FALSE)</f>
        <v>#N/A</v>
      </c>
      <c r="F189" s="589"/>
      <c r="G189" s="581">
        <f>IF(F189&lt;0,"Error: Enter as positive.",)</f>
        <v>0</v>
      </c>
      <c r="H189" s="13"/>
      <c r="I189" s="31"/>
    </row>
    <row r="190" spans="1:1881" s="317" customFormat="1" ht="60" customHeight="1" x14ac:dyDescent="0.25">
      <c r="A190" s="188">
        <v>524</v>
      </c>
      <c r="B190" s="150" t="s">
        <v>593</v>
      </c>
      <c r="C190" s="184" t="s">
        <v>234</v>
      </c>
      <c r="D190" s="178" t="s">
        <v>19</v>
      </c>
      <c r="E190" s="32" t="e">
        <f>HLOOKUP($D$2,'2019 Data(H)'!$C$1:$CP$300,174,FALSE)</f>
        <v>#N/A</v>
      </c>
      <c r="F190" s="589"/>
      <c r="G190" s="581">
        <f>IF(F190&lt;0,"Error: Enter as positive.",)</f>
        <v>0</v>
      </c>
      <c r="H190" s="13"/>
      <c r="I190" s="31"/>
      <c r="J190" s="394"/>
      <c r="K190" s="394"/>
      <c r="L190" s="394"/>
      <c r="M190" s="394"/>
      <c r="N190"/>
      <c r="O190" s="394"/>
      <c r="P190" s="394"/>
      <c r="Q190" s="394"/>
      <c r="R190" s="394"/>
      <c r="S190" s="394"/>
      <c r="T190" s="394"/>
      <c r="U190" s="394"/>
      <c r="V190" s="394"/>
      <c r="W190" s="394"/>
      <c r="X190" s="394"/>
      <c r="Y190" s="394"/>
      <c r="Z190" s="394"/>
      <c r="AA190" s="394"/>
      <c r="AB190" s="394"/>
      <c r="AC190" s="394"/>
      <c r="AD190" s="394"/>
      <c r="AE190" s="394"/>
      <c r="AF190" s="394"/>
      <c r="AG190" s="394"/>
      <c r="AH190" s="394"/>
      <c r="AI190" s="394"/>
      <c r="AJ190" s="394"/>
      <c r="AK190" s="394"/>
      <c r="AL190" s="394"/>
      <c r="AM190" s="394"/>
      <c r="AN190" s="394"/>
      <c r="AO190" s="394"/>
      <c r="AP190" s="394"/>
      <c r="AQ190" s="394"/>
      <c r="AR190" s="394"/>
      <c r="AS190" s="394"/>
      <c r="AT190" s="394"/>
      <c r="AU190" s="394"/>
      <c r="AV190" s="394"/>
      <c r="AW190" s="394"/>
      <c r="AX190" s="394"/>
      <c r="AY190" s="394"/>
      <c r="AZ190" s="394"/>
      <c r="BA190" s="394"/>
      <c r="BB190" s="394"/>
      <c r="BC190" s="394"/>
      <c r="BD190" s="394"/>
      <c r="BE190" s="394"/>
      <c r="BF190" s="394"/>
      <c r="BG190" s="394"/>
      <c r="BH190" s="394"/>
      <c r="BI190" s="394"/>
      <c r="BJ190" s="394"/>
      <c r="BK190" s="394"/>
      <c r="BL190" s="394"/>
      <c r="BM190" s="394"/>
      <c r="BN190" s="394"/>
      <c r="BO190" s="394"/>
      <c r="BP190" s="394"/>
      <c r="BQ190" s="394"/>
      <c r="BR190" s="394"/>
      <c r="BS190" s="394"/>
      <c r="BT190" s="394"/>
      <c r="BU190" s="394"/>
      <c r="BV190" s="394"/>
      <c r="BW190" s="394"/>
      <c r="BX190" s="394"/>
      <c r="BY190" s="394"/>
      <c r="BZ190" s="394"/>
      <c r="CA190" s="394"/>
      <c r="CB190" s="394"/>
      <c r="CC190" s="394"/>
      <c r="CD190" s="394"/>
      <c r="CE190" s="394"/>
      <c r="CF190" s="394"/>
      <c r="CG190" s="394"/>
      <c r="CH190" s="394"/>
      <c r="CI190" s="394"/>
      <c r="CJ190" s="394"/>
      <c r="CK190" s="394"/>
      <c r="CL190" s="394"/>
      <c r="CM190" s="394"/>
      <c r="CN190" s="394"/>
      <c r="CO190" s="394"/>
      <c r="CP190" s="394"/>
      <c r="CQ190" s="394"/>
      <c r="CR190" s="394"/>
      <c r="CS190" s="394"/>
      <c r="CT190" s="394"/>
      <c r="CU190" s="394"/>
      <c r="CV190" s="394"/>
      <c r="CW190" s="394"/>
      <c r="CX190" s="394"/>
      <c r="CY190" s="394"/>
      <c r="CZ190" s="394"/>
      <c r="DA190" s="394"/>
      <c r="DB190" s="394"/>
      <c r="DC190" s="394"/>
      <c r="DD190" s="394"/>
      <c r="DE190" s="394"/>
      <c r="DF190" s="394"/>
      <c r="DG190" s="394"/>
      <c r="DH190" s="394"/>
      <c r="DI190" s="394"/>
      <c r="DJ190" s="394"/>
      <c r="DK190" s="394"/>
      <c r="DL190" s="394"/>
      <c r="DM190" s="394"/>
      <c r="DN190" s="394"/>
      <c r="DO190" s="394"/>
      <c r="DP190" s="394"/>
      <c r="DQ190" s="394"/>
      <c r="DR190" s="394"/>
      <c r="DS190" s="394"/>
      <c r="DT190" s="394"/>
      <c r="DU190" s="394"/>
      <c r="DV190" s="394"/>
      <c r="DW190" s="394"/>
      <c r="DX190" s="394"/>
      <c r="DY190" s="394"/>
      <c r="DZ190" s="394"/>
      <c r="EA190" s="394"/>
      <c r="EB190" s="394"/>
      <c r="EC190" s="394"/>
      <c r="ED190" s="394"/>
      <c r="EE190" s="394"/>
      <c r="EF190" s="394"/>
      <c r="EG190" s="394"/>
      <c r="EH190" s="394"/>
      <c r="EI190" s="394"/>
      <c r="EJ190" s="394"/>
      <c r="EK190" s="394"/>
      <c r="EL190" s="394"/>
      <c r="EM190" s="394"/>
      <c r="EN190" s="394"/>
      <c r="EO190" s="394"/>
      <c r="EP190" s="394"/>
      <c r="EQ190" s="394"/>
      <c r="ER190" s="394"/>
      <c r="ES190" s="394"/>
      <c r="ET190" s="394"/>
      <c r="EU190" s="394"/>
      <c r="EV190" s="394"/>
      <c r="EW190" s="394"/>
      <c r="EX190" s="394"/>
      <c r="EY190" s="394"/>
      <c r="EZ190" s="394"/>
      <c r="FA190" s="394"/>
      <c r="FB190" s="394"/>
      <c r="FC190" s="394"/>
      <c r="FD190" s="394"/>
      <c r="FE190" s="394"/>
      <c r="FF190" s="394"/>
      <c r="FG190" s="394"/>
      <c r="FH190" s="394"/>
      <c r="FI190" s="394"/>
      <c r="FJ190" s="394"/>
      <c r="FK190" s="394"/>
      <c r="FL190" s="394"/>
      <c r="FM190" s="394"/>
      <c r="FN190" s="394"/>
      <c r="FO190" s="394"/>
      <c r="FP190" s="394"/>
      <c r="FQ190" s="394"/>
      <c r="FR190" s="394"/>
      <c r="FS190" s="394"/>
      <c r="FT190" s="394"/>
      <c r="FU190" s="394"/>
      <c r="FV190" s="394"/>
      <c r="FW190" s="394"/>
      <c r="FX190" s="394"/>
      <c r="FY190" s="394"/>
      <c r="FZ190" s="394"/>
      <c r="GA190" s="394"/>
      <c r="GB190" s="394"/>
      <c r="GC190" s="394"/>
      <c r="GD190" s="394"/>
      <c r="GE190" s="394"/>
      <c r="GF190" s="394"/>
      <c r="GG190" s="394"/>
      <c r="GH190" s="394"/>
      <c r="GI190" s="394"/>
      <c r="GJ190" s="394"/>
      <c r="GK190" s="394"/>
      <c r="GL190" s="394"/>
      <c r="GM190" s="394"/>
      <c r="GN190" s="394"/>
      <c r="GO190" s="394"/>
      <c r="GP190" s="394"/>
      <c r="GQ190" s="394"/>
      <c r="GR190" s="394"/>
      <c r="GS190" s="394"/>
      <c r="GT190" s="394"/>
      <c r="GU190" s="394"/>
      <c r="GV190" s="394"/>
      <c r="GW190" s="394"/>
      <c r="GX190" s="394"/>
      <c r="GY190" s="394"/>
      <c r="GZ190" s="394"/>
      <c r="HA190" s="394"/>
      <c r="HB190" s="394"/>
      <c r="HC190" s="394"/>
      <c r="HD190" s="394"/>
      <c r="HE190" s="394"/>
      <c r="HF190" s="394"/>
      <c r="HG190" s="394"/>
      <c r="HH190" s="394"/>
      <c r="HI190" s="394"/>
      <c r="HJ190" s="394"/>
      <c r="HK190" s="394"/>
      <c r="HL190" s="394"/>
      <c r="HM190" s="394"/>
      <c r="HN190" s="394"/>
      <c r="HO190" s="394"/>
      <c r="HP190" s="394"/>
      <c r="HQ190" s="394"/>
      <c r="HR190" s="394"/>
      <c r="HS190" s="394"/>
      <c r="HT190" s="394"/>
      <c r="HU190" s="394"/>
      <c r="HV190" s="394"/>
      <c r="HW190" s="394"/>
      <c r="HX190" s="394"/>
      <c r="HY190" s="394"/>
      <c r="HZ190" s="394"/>
      <c r="IA190" s="394"/>
      <c r="IB190" s="394"/>
      <c r="IC190" s="394"/>
      <c r="ID190" s="394"/>
      <c r="IE190" s="394"/>
      <c r="IF190" s="394"/>
      <c r="IG190" s="394"/>
      <c r="IH190" s="394"/>
      <c r="II190" s="394"/>
      <c r="IJ190" s="394"/>
      <c r="IK190" s="394"/>
      <c r="IL190" s="394"/>
      <c r="IM190" s="394"/>
      <c r="IN190" s="394"/>
      <c r="IO190" s="394"/>
      <c r="IP190" s="394"/>
      <c r="IQ190" s="394"/>
      <c r="IR190" s="394"/>
      <c r="IS190" s="394"/>
      <c r="IT190" s="394"/>
      <c r="IU190" s="394"/>
      <c r="IV190" s="394"/>
      <c r="IW190" s="394"/>
      <c r="IX190" s="394"/>
      <c r="IY190" s="394"/>
      <c r="IZ190" s="394"/>
      <c r="JA190" s="394"/>
      <c r="JB190" s="394"/>
      <c r="JC190" s="394"/>
      <c r="JD190" s="394"/>
      <c r="JE190" s="394"/>
      <c r="JF190" s="394"/>
      <c r="JG190" s="394"/>
      <c r="JH190" s="394"/>
      <c r="JI190" s="394"/>
      <c r="JJ190" s="394"/>
      <c r="JK190" s="394"/>
      <c r="JL190" s="394"/>
      <c r="JM190" s="394"/>
      <c r="JN190" s="394"/>
      <c r="JO190" s="394"/>
      <c r="JP190" s="394"/>
      <c r="JQ190" s="394"/>
      <c r="JR190" s="394"/>
      <c r="JS190" s="394"/>
      <c r="JT190" s="394"/>
      <c r="JU190" s="394"/>
      <c r="JV190" s="394"/>
      <c r="JW190" s="394"/>
      <c r="JX190" s="394"/>
      <c r="JY190" s="394"/>
      <c r="JZ190" s="394"/>
      <c r="KA190" s="394"/>
      <c r="KB190" s="394"/>
      <c r="KC190" s="394"/>
      <c r="KD190" s="394"/>
      <c r="KE190" s="394"/>
      <c r="KF190" s="394"/>
      <c r="KG190" s="394"/>
      <c r="KH190" s="394"/>
      <c r="KI190" s="394"/>
      <c r="KJ190" s="394"/>
      <c r="KK190" s="394"/>
      <c r="KL190" s="394"/>
      <c r="KM190" s="394"/>
      <c r="KN190" s="394"/>
      <c r="KO190" s="394"/>
      <c r="KP190" s="394"/>
      <c r="KQ190" s="394"/>
      <c r="KR190" s="394"/>
      <c r="KS190" s="394"/>
      <c r="KT190" s="394"/>
      <c r="KU190" s="394"/>
      <c r="KV190" s="394"/>
      <c r="KW190" s="394"/>
      <c r="KX190" s="394"/>
      <c r="KY190" s="394"/>
      <c r="KZ190" s="394"/>
      <c r="LA190" s="394"/>
      <c r="LB190" s="394"/>
      <c r="LC190" s="394"/>
      <c r="LD190" s="394"/>
      <c r="LE190" s="394"/>
      <c r="LF190" s="394"/>
      <c r="LG190" s="394"/>
      <c r="LH190" s="394"/>
      <c r="LI190" s="394"/>
      <c r="LJ190" s="394"/>
      <c r="LK190" s="394"/>
      <c r="LL190" s="394"/>
      <c r="LM190" s="394"/>
      <c r="LN190" s="394"/>
      <c r="LO190" s="394"/>
      <c r="LP190" s="394"/>
      <c r="LQ190" s="394"/>
      <c r="LR190" s="394"/>
      <c r="LS190" s="394"/>
      <c r="LT190" s="394"/>
      <c r="LU190" s="394"/>
      <c r="LV190" s="394"/>
      <c r="LW190" s="394"/>
      <c r="LX190" s="394"/>
      <c r="LY190" s="394"/>
      <c r="LZ190" s="394"/>
      <c r="MA190" s="394"/>
      <c r="MB190" s="394"/>
      <c r="MC190" s="394"/>
      <c r="MD190" s="394"/>
      <c r="ME190" s="394"/>
      <c r="MF190" s="394"/>
      <c r="MG190" s="394"/>
      <c r="MH190" s="394"/>
      <c r="MI190" s="394"/>
      <c r="MJ190" s="394"/>
      <c r="MK190" s="394"/>
      <c r="ML190" s="394"/>
      <c r="MM190" s="394"/>
      <c r="MN190" s="394"/>
      <c r="MO190" s="394"/>
      <c r="MP190" s="394"/>
      <c r="MQ190" s="394"/>
      <c r="MR190" s="394"/>
      <c r="MS190" s="394"/>
      <c r="MT190" s="394"/>
      <c r="MU190" s="394"/>
      <c r="MV190" s="394"/>
      <c r="MW190" s="394"/>
      <c r="MX190" s="394"/>
      <c r="MY190" s="394"/>
      <c r="MZ190" s="394"/>
      <c r="NA190" s="394"/>
      <c r="NB190" s="394"/>
      <c r="NC190" s="394"/>
      <c r="ND190" s="394"/>
      <c r="NE190" s="394"/>
      <c r="NF190" s="394"/>
      <c r="NG190" s="394"/>
      <c r="NH190" s="394"/>
      <c r="NI190" s="394"/>
      <c r="NJ190" s="394"/>
      <c r="NK190" s="394"/>
      <c r="NL190" s="394"/>
      <c r="NM190" s="394"/>
      <c r="NN190" s="394"/>
      <c r="NO190" s="394"/>
      <c r="NP190" s="394"/>
      <c r="NQ190" s="394"/>
      <c r="NR190" s="394"/>
      <c r="NS190" s="394"/>
      <c r="NT190" s="394"/>
      <c r="NU190" s="394"/>
      <c r="NV190" s="394"/>
      <c r="NW190" s="394"/>
      <c r="NX190" s="394"/>
      <c r="NY190" s="394"/>
      <c r="NZ190" s="394"/>
      <c r="OA190" s="394"/>
      <c r="OB190" s="394"/>
      <c r="OC190" s="394"/>
      <c r="OD190" s="394"/>
      <c r="OE190" s="394"/>
      <c r="OF190" s="394"/>
      <c r="OG190" s="394"/>
      <c r="OH190" s="394"/>
      <c r="OI190" s="394"/>
      <c r="OJ190" s="394"/>
      <c r="OK190" s="394"/>
      <c r="OL190" s="394"/>
      <c r="OM190" s="394"/>
      <c r="ON190" s="394"/>
      <c r="OO190" s="394"/>
      <c r="OP190" s="394"/>
      <c r="OQ190" s="394"/>
      <c r="OR190" s="394"/>
      <c r="OS190" s="394"/>
      <c r="OT190" s="394"/>
      <c r="OU190" s="394"/>
      <c r="OV190" s="394"/>
      <c r="OW190" s="394"/>
      <c r="OX190" s="394"/>
      <c r="OY190" s="394"/>
      <c r="OZ190" s="394"/>
      <c r="PA190" s="394"/>
      <c r="PB190" s="394"/>
      <c r="PC190" s="394"/>
      <c r="PD190" s="394"/>
      <c r="PE190" s="394"/>
      <c r="PF190" s="394"/>
      <c r="PG190" s="394"/>
      <c r="PH190" s="394"/>
      <c r="PI190" s="394"/>
      <c r="PJ190" s="394"/>
      <c r="PK190" s="394"/>
      <c r="PL190" s="394"/>
      <c r="PM190" s="394"/>
      <c r="PN190" s="394"/>
      <c r="PO190" s="394"/>
      <c r="PP190" s="394"/>
      <c r="PQ190" s="394"/>
      <c r="PR190" s="394"/>
      <c r="PS190" s="394"/>
      <c r="PT190" s="394"/>
      <c r="PU190" s="394"/>
      <c r="PV190" s="394"/>
      <c r="PW190" s="394"/>
      <c r="PX190" s="394"/>
      <c r="PY190" s="394"/>
      <c r="PZ190" s="394"/>
      <c r="QA190" s="394"/>
      <c r="QB190" s="394"/>
      <c r="QC190" s="394"/>
      <c r="QD190" s="394"/>
      <c r="QE190" s="394"/>
      <c r="QF190" s="394"/>
      <c r="QG190" s="394"/>
      <c r="QH190" s="394"/>
      <c r="QI190" s="394"/>
      <c r="QJ190" s="394"/>
      <c r="QK190" s="394"/>
      <c r="QL190" s="394"/>
      <c r="QM190" s="394"/>
      <c r="QN190" s="394"/>
      <c r="QO190" s="394"/>
      <c r="QP190" s="394"/>
      <c r="QQ190" s="394"/>
      <c r="QR190" s="394"/>
      <c r="QS190" s="394"/>
      <c r="QT190" s="394"/>
      <c r="QU190" s="394"/>
      <c r="QV190" s="394"/>
      <c r="QW190" s="394"/>
      <c r="QX190" s="394"/>
      <c r="QY190" s="394"/>
      <c r="QZ190" s="394"/>
      <c r="RA190" s="394"/>
      <c r="RB190" s="394"/>
      <c r="RC190" s="394"/>
      <c r="RD190" s="394"/>
      <c r="RE190" s="394"/>
      <c r="RF190" s="394"/>
      <c r="RG190" s="394"/>
      <c r="RH190" s="394"/>
      <c r="RI190" s="394"/>
      <c r="RJ190" s="394"/>
      <c r="RK190" s="394"/>
      <c r="RL190" s="394"/>
      <c r="RM190" s="394"/>
      <c r="RN190" s="394"/>
      <c r="RO190" s="394"/>
      <c r="RP190" s="394"/>
      <c r="RQ190" s="394"/>
      <c r="RR190" s="394"/>
      <c r="RS190" s="394"/>
      <c r="RT190" s="394"/>
      <c r="RU190" s="394"/>
      <c r="RV190" s="394"/>
      <c r="RW190" s="394"/>
      <c r="RX190" s="394"/>
      <c r="RY190" s="394"/>
      <c r="RZ190" s="394"/>
      <c r="SA190" s="394"/>
      <c r="SB190" s="394"/>
      <c r="SC190" s="394"/>
      <c r="SD190" s="394"/>
      <c r="SE190" s="394"/>
      <c r="SF190" s="394"/>
      <c r="SG190" s="394"/>
      <c r="SH190" s="394"/>
      <c r="SI190" s="394"/>
      <c r="SJ190" s="394"/>
      <c r="SK190" s="394"/>
      <c r="SL190" s="394"/>
      <c r="SM190" s="394"/>
      <c r="SN190" s="394"/>
      <c r="SO190" s="394"/>
      <c r="SP190" s="394"/>
      <c r="SQ190" s="394"/>
      <c r="SR190" s="394"/>
      <c r="SS190" s="394"/>
      <c r="ST190" s="394"/>
      <c r="SU190" s="394"/>
      <c r="SV190" s="394"/>
      <c r="SW190" s="394"/>
      <c r="SX190" s="394"/>
      <c r="SY190" s="394"/>
      <c r="SZ190" s="394"/>
      <c r="TA190" s="394"/>
      <c r="TB190" s="394"/>
      <c r="TC190" s="394"/>
      <c r="TD190" s="394"/>
      <c r="TE190" s="394"/>
      <c r="TF190" s="394"/>
      <c r="TG190" s="394"/>
      <c r="TH190" s="394"/>
      <c r="TI190" s="394"/>
      <c r="TJ190" s="394"/>
      <c r="TK190" s="394"/>
      <c r="TL190" s="394"/>
      <c r="TM190" s="394"/>
      <c r="TN190" s="394"/>
      <c r="TO190" s="394"/>
      <c r="TP190" s="394"/>
      <c r="TQ190" s="394"/>
      <c r="TR190" s="394"/>
      <c r="TS190" s="394"/>
      <c r="TT190" s="394"/>
      <c r="TU190" s="394"/>
      <c r="TV190" s="394"/>
      <c r="TW190" s="394"/>
      <c r="TX190" s="394"/>
      <c r="TY190" s="394"/>
      <c r="TZ190" s="394"/>
      <c r="UA190" s="394"/>
      <c r="UB190" s="394"/>
      <c r="UC190" s="394"/>
      <c r="UD190" s="394"/>
      <c r="UE190" s="394"/>
      <c r="UF190" s="394"/>
      <c r="UG190" s="394"/>
      <c r="UH190" s="394"/>
      <c r="UI190" s="394"/>
      <c r="UJ190" s="394"/>
      <c r="UK190" s="394"/>
      <c r="UL190" s="394"/>
      <c r="UM190" s="394"/>
      <c r="UN190" s="394"/>
      <c r="UO190" s="394"/>
      <c r="UP190" s="394"/>
      <c r="UQ190" s="394"/>
      <c r="UR190" s="394"/>
      <c r="US190" s="394"/>
      <c r="UT190" s="394"/>
      <c r="UU190" s="394"/>
      <c r="UV190" s="394"/>
      <c r="UW190" s="394"/>
      <c r="UX190" s="394"/>
      <c r="UY190" s="394"/>
      <c r="UZ190" s="394"/>
      <c r="VA190" s="394"/>
      <c r="VB190" s="394"/>
      <c r="VC190" s="394"/>
      <c r="VD190" s="394"/>
      <c r="VE190" s="394"/>
      <c r="VF190" s="394"/>
      <c r="VG190" s="394"/>
      <c r="VH190" s="394"/>
      <c r="VI190" s="394"/>
      <c r="VJ190" s="394"/>
      <c r="VK190" s="394"/>
      <c r="VL190" s="394"/>
      <c r="VM190" s="394"/>
      <c r="VN190" s="394"/>
      <c r="VO190" s="394"/>
      <c r="VP190" s="394"/>
      <c r="VQ190" s="394"/>
      <c r="VR190" s="394"/>
      <c r="VS190" s="394"/>
      <c r="VT190" s="394"/>
      <c r="VU190" s="394"/>
      <c r="VV190" s="394"/>
      <c r="VW190" s="394"/>
      <c r="VX190" s="394"/>
      <c r="VY190" s="394"/>
      <c r="VZ190" s="394"/>
      <c r="WA190" s="394"/>
      <c r="WB190" s="394"/>
      <c r="WC190" s="394"/>
      <c r="WD190" s="394"/>
      <c r="WE190" s="394"/>
      <c r="WF190" s="394"/>
      <c r="WG190" s="394"/>
      <c r="WH190" s="394"/>
      <c r="WI190" s="394"/>
      <c r="WJ190" s="394"/>
      <c r="WK190" s="394"/>
      <c r="WL190" s="394"/>
      <c r="WM190" s="394"/>
      <c r="WN190" s="394"/>
      <c r="WO190" s="394"/>
      <c r="WP190" s="394"/>
      <c r="WQ190" s="394"/>
      <c r="WR190" s="394"/>
      <c r="WS190" s="394"/>
      <c r="WT190" s="394"/>
      <c r="WU190" s="394"/>
      <c r="WV190" s="394"/>
      <c r="WW190" s="394"/>
      <c r="WX190" s="394"/>
      <c r="WY190" s="394"/>
      <c r="WZ190" s="394"/>
      <c r="XA190" s="394"/>
      <c r="XB190" s="394"/>
      <c r="XC190" s="394"/>
      <c r="XD190" s="394"/>
      <c r="XE190" s="394"/>
      <c r="XF190" s="394"/>
      <c r="XG190" s="394"/>
      <c r="XH190" s="394"/>
      <c r="XI190" s="394"/>
      <c r="XJ190" s="394"/>
      <c r="XK190" s="394"/>
      <c r="XL190" s="394"/>
      <c r="XM190" s="394"/>
      <c r="XN190" s="394"/>
      <c r="XO190" s="394"/>
      <c r="XP190" s="394"/>
      <c r="XQ190" s="394"/>
      <c r="XR190" s="394"/>
      <c r="XS190" s="394"/>
      <c r="XT190" s="394"/>
      <c r="XU190" s="394"/>
      <c r="XV190" s="394"/>
      <c r="XW190" s="394"/>
      <c r="XX190" s="394"/>
      <c r="XY190" s="394"/>
      <c r="XZ190" s="394"/>
      <c r="YA190" s="394"/>
      <c r="YB190" s="394"/>
      <c r="YC190" s="394"/>
      <c r="YD190" s="394"/>
      <c r="YE190" s="394"/>
      <c r="YF190" s="394"/>
      <c r="YG190" s="394"/>
      <c r="YH190" s="394"/>
      <c r="YI190" s="394"/>
      <c r="YJ190" s="394"/>
      <c r="YK190" s="394"/>
      <c r="YL190" s="394"/>
      <c r="YM190" s="394"/>
      <c r="YN190" s="394"/>
      <c r="YO190" s="394"/>
      <c r="YP190" s="394"/>
      <c r="YQ190" s="394"/>
      <c r="YR190" s="394"/>
      <c r="YS190" s="394"/>
      <c r="YT190" s="394"/>
      <c r="YU190" s="394"/>
      <c r="YV190" s="394"/>
      <c r="YW190" s="394"/>
      <c r="YX190" s="394"/>
      <c r="YY190" s="394"/>
      <c r="YZ190" s="394"/>
      <c r="ZA190" s="394"/>
      <c r="ZB190" s="394"/>
      <c r="ZC190" s="394"/>
      <c r="ZD190" s="394"/>
      <c r="ZE190" s="394"/>
      <c r="ZF190" s="394"/>
      <c r="ZG190" s="394"/>
      <c r="ZH190" s="394"/>
      <c r="ZI190" s="394"/>
      <c r="ZJ190" s="394"/>
      <c r="ZK190" s="394"/>
      <c r="ZL190" s="394"/>
      <c r="ZM190" s="394"/>
      <c r="ZN190" s="394"/>
      <c r="ZO190" s="394"/>
      <c r="ZP190" s="394"/>
      <c r="ZQ190" s="394"/>
      <c r="ZR190" s="394"/>
      <c r="ZS190" s="394"/>
      <c r="ZT190" s="394"/>
      <c r="ZU190" s="394"/>
      <c r="ZV190" s="394"/>
      <c r="ZW190" s="394"/>
      <c r="ZX190" s="394"/>
      <c r="ZY190" s="394"/>
      <c r="ZZ190" s="394"/>
      <c r="AAA190" s="394"/>
      <c r="AAB190" s="394"/>
      <c r="AAC190" s="394"/>
      <c r="AAD190" s="394"/>
      <c r="AAE190" s="394"/>
      <c r="AAF190" s="394"/>
      <c r="AAG190" s="394"/>
      <c r="AAH190" s="394"/>
      <c r="AAI190" s="394"/>
      <c r="AAJ190" s="394"/>
      <c r="AAK190" s="394"/>
      <c r="AAL190" s="394"/>
      <c r="AAM190" s="394"/>
      <c r="AAN190" s="394"/>
      <c r="AAO190" s="394"/>
      <c r="AAP190" s="394"/>
      <c r="AAQ190" s="394"/>
      <c r="AAR190" s="394"/>
      <c r="AAS190" s="394"/>
      <c r="AAT190" s="394"/>
      <c r="AAU190" s="394"/>
      <c r="AAV190" s="394"/>
      <c r="AAW190" s="394"/>
      <c r="AAX190" s="394"/>
      <c r="AAY190" s="394"/>
      <c r="AAZ190" s="394"/>
      <c r="ABA190" s="394"/>
      <c r="ABB190" s="394"/>
      <c r="ABC190" s="394"/>
      <c r="ABD190" s="394"/>
      <c r="ABE190" s="394"/>
      <c r="ABF190" s="394"/>
      <c r="ABG190" s="394"/>
      <c r="ABH190" s="394"/>
      <c r="ABI190" s="394"/>
      <c r="ABJ190" s="394"/>
      <c r="ABK190" s="394"/>
      <c r="ABL190" s="394"/>
      <c r="ABM190" s="394"/>
      <c r="ABN190" s="394"/>
      <c r="ABO190" s="394"/>
      <c r="ABP190" s="394"/>
      <c r="ABQ190" s="394"/>
      <c r="ABR190" s="394"/>
      <c r="ABS190" s="394"/>
      <c r="ABT190" s="394"/>
      <c r="ABU190" s="394"/>
      <c r="ABV190" s="394"/>
      <c r="ABW190" s="394"/>
      <c r="ABX190" s="394"/>
      <c r="ABY190" s="394"/>
      <c r="ABZ190" s="394"/>
      <c r="ACA190" s="394"/>
      <c r="ACB190" s="394"/>
      <c r="ACC190" s="394"/>
      <c r="ACD190" s="394"/>
      <c r="ACE190" s="394"/>
      <c r="ACF190" s="394"/>
      <c r="ACG190" s="394"/>
      <c r="ACH190" s="394"/>
      <c r="ACI190" s="394"/>
      <c r="ACJ190" s="394"/>
      <c r="ACK190" s="394"/>
      <c r="ACL190" s="394"/>
      <c r="ACM190" s="394"/>
      <c r="ACN190" s="394"/>
      <c r="ACO190" s="394"/>
      <c r="ACP190" s="394"/>
      <c r="ACQ190" s="394"/>
      <c r="ACR190" s="394"/>
      <c r="ACS190" s="394"/>
      <c r="ACT190" s="394"/>
      <c r="ACU190" s="394"/>
      <c r="ACV190" s="394"/>
      <c r="ACW190" s="394"/>
      <c r="ACX190" s="394"/>
      <c r="ACY190" s="394"/>
      <c r="ACZ190" s="394"/>
      <c r="ADA190" s="394"/>
      <c r="ADB190" s="394"/>
      <c r="ADC190" s="394"/>
      <c r="ADD190" s="394"/>
      <c r="ADE190" s="394"/>
      <c r="ADF190" s="394"/>
      <c r="ADG190" s="394"/>
      <c r="ADH190" s="394"/>
      <c r="ADI190" s="394"/>
      <c r="ADJ190" s="394"/>
      <c r="ADK190" s="394"/>
      <c r="ADL190" s="394"/>
      <c r="ADM190" s="394"/>
      <c r="ADN190" s="394"/>
      <c r="ADO190" s="394"/>
      <c r="ADP190" s="394"/>
      <c r="ADQ190" s="394"/>
      <c r="ADR190" s="394"/>
      <c r="ADS190" s="394"/>
      <c r="ADT190" s="394"/>
      <c r="ADU190" s="394"/>
      <c r="ADV190" s="394"/>
      <c r="ADW190" s="394"/>
      <c r="ADX190" s="394"/>
      <c r="ADY190" s="394"/>
      <c r="ADZ190" s="394"/>
      <c r="AEA190" s="394"/>
      <c r="AEB190" s="394"/>
      <c r="AEC190" s="394"/>
      <c r="AED190" s="394"/>
      <c r="AEE190" s="394"/>
      <c r="AEF190" s="394"/>
      <c r="AEG190" s="394"/>
      <c r="AEH190" s="394"/>
      <c r="AEI190" s="394"/>
      <c r="AEJ190" s="394"/>
      <c r="AEK190" s="394"/>
      <c r="AEL190" s="394"/>
      <c r="AEM190" s="394"/>
      <c r="AEN190" s="394"/>
      <c r="AEO190" s="394"/>
      <c r="AEP190" s="394"/>
      <c r="AEQ190" s="394"/>
      <c r="AER190" s="394"/>
      <c r="AES190" s="394"/>
      <c r="AET190" s="394"/>
      <c r="AEU190" s="394"/>
      <c r="AEV190" s="394"/>
      <c r="AEW190" s="394"/>
      <c r="AEX190" s="394"/>
      <c r="AEY190" s="394"/>
      <c r="AEZ190" s="394"/>
      <c r="AFA190" s="394"/>
      <c r="AFB190" s="394"/>
      <c r="AFC190" s="394"/>
      <c r="AFD190" s="394"/>
      <c r="AFE190" s="394"/>
      <c r="AFF190" s="394"/>
      <c r="AFG190" s="394"/>
      <c r="AFH190" s="394"/>
      <c r="AFI190" s="394"/>
      <c r="AFJ190" s="394"/>
      <c r="AFK190" s="394"/>
      <c r="AFL190" s="394"/>
      <c r="AFM190" s="394"/>
      <c r="AFN190" s="394"/>
      <c r="AFO190" s="394"/>
      <c r="AFP190" s="394"/>
      <c r="AFQ190" s="394"/>
      <c r="AFR190" s="394"/>
      <c r="AFS190" s="394"/>
      <c r="AFT190" s="394"/>
      <c r="AFU190" s="394"/>
      <c r="AFV190" s="394"/>
      <c r="AFW190" s="394"/>
      <c r="AFX190" s="394"/>
      <c r="AFY190" s="394"/>
      <c r="AFZ190" s="394"/>
      <c r="AGA190" s="394"/>
      <c r="AGB190" s="394"/>
      <c r="AGC190" s="394"/>
      <c r="AGD190" s="394"/>
      <c r="AGE190" s="394"/>
      <c r="AGF190" s="394"/>
      <c r="AGG190" s="394"/>
      <c r="AGH190" s="394"/>
      <c r="AGI190" s="394"/>
      <c r="AGJ190" s="394"/>
      <c r="AGK190" s="394"/>
      <c r="AGL190" s="394"/>
      <c r="AGM190" s="394"/>
      <c r="AGN190" s="394"/>
      <c r="AGO190" s="394"/>
      <c r="AGP190" s="394"/>
      <c r="AGQ190" s="394"/>
      <c r="AGR190" s="394"/>
      <c r="AGS190" s="394"/>
      <c r="AGT190" s="394"/>
      <c r="AGU190" s="394"/>
      <c r="AGV190" s="394"/>
      <c r="AGW190" s="394"/>
      <c r="AGX190" s="394"/>
      <c r="AGY190" s="394"/>
      <c r="AGZ190" s="394"/>
      <c r="AHA190" s="394"/>
      <c r="AHB190" s="394"/>
      <c r="AHC190" s="394"/>
      <c r="AHD190" s="394"/>
      <c r="AHE190" s="394"/>
      <c r="AHF190" s="394"/>
      <c r="AHG190" s="394"/>
      <c r="AHH190" s="394"/>
      <c r="AHI190" s="394"/>
      <c r="AHJ190" s="394"/>
      <c r="AHK190" s="394"/>
      <c r="AHL190" s="394"/>
      <c r="AHM190" s="394"/>
      <c r="AHN190" s="394"/>
      <c r="AHO190" s="394"/>
      <c r="AHP190" s="394"/>
      <c r="AHQ190" s="394"/>
      <c r="AHR190" s="394"/>
      <c r="AHS190" s="394"/>
      <c r="AHT190" s="394"/>
      <c r="AHU190" s="394"/>
      <c r="AHV190" s="394"/>
      <c r="AHW190" s="394"/>
      <c r="AHX190" s="394"/>
      <c r="AHY190" s="394"/>
      <c r="AHZ190" s="394"/>
      <c r="AIA190" s="394"/>
      <c r="AIB190" s="394"/>
      <c r="AIC190" s="394"/>
      <c r="AID190" s="394"/>
      <c r="AIE190" s="394"/>
      <c r="AIF190" s="394"/>
      <c r="AIG190" s="394"/>
      <c r="AIH190" s="394"/>
      <c r="AII190" s="394"/>
      <c r="AIJ190" s="394"/>
      <c r="AIK190" s="394"/>
      <c r="AIL190" s="394"/>
      <c r="AIM190" s="394"/>
      <c r="AIN190" s="394"/>
      <c r="AIO190" s="394"/>
      <c r="AIP190" s="394"/>
      <c r="AIQ190" s="394"/>
      <c r="AIR190" s="394"/>
      <c r="AIS190" s="394"/>
      <c r="AIT190" s="394"/>
      <c r="AIU190" s="394"/>
      <c r="AIV190" s="394"/>
      <c r="AIW190" s="394"/>
      <c r="AIX190" s="394"/>
      <c r="AIY190" s="394"/>
      <c r="AIZ190" s="394"/>
      <c r="AJA190" s="394"/>
      <c r="AJB190" s="394"/>
      <c r="AJC190" s="394"/>
      <c r="AJD190" s="394"/>
      <c r="AJE190" s="394"/>
      <c r="AJF190" s="394"/>
      <c r="AJG190" s="394"/>
      <c r="AJH190" s="394"/>
      <c r="AJI190" s="394"/>
      <c r="AJJ190" s="394"/>
      <c r="AJK190" s="394"/>
      <c r="AJL190" s="394"/>
      <c r="AJM190" s="394"/>
      <c r="AJN190" s="394"/>
      <c r="AJO190" s="394"/>
      <c r="AJP190" s="394"/>
      <c r="AJQ190" s="394"/>
      <c r="AJR190" s="394"/>
      <c r="AJS190" s="394"/>
      <c r="AJT190" s="394"/>
      <c r="AJU190" s="394"/>
      <c r="AJV190" s="394"/>
      <c r="AJW190" s="394"/>
      <c r="AJX190" s="394"/>
      <c r="AJY190" s="394"/>
      <c r="AJZ190" s="394"/>
      <c r="AKA190" s="394"/>
      <c r="AKB190" s="394"/>
      <c r="AKC190" s="394"/>
      <c r="AKD190" s="394"/>
      <c r="AKE190" s="394"/>
      <c r="AKF190" s="394"/>
      <c r="AKG190" s="394"/>
      <c r="AKH190" s="394"/>
      <c r="AKI190" s="394"/>
      <c r="AKJ190" s="394"/>
      <c r="AKK190" s="394"/>
      <c r="AKL190" s="394"/>
      <c r="AKM190" s="394"/>
      <c r="AKN190" s="394"/>
      <c r="AKO190" s="394"/>
      <c r="AKP190" s="394"/>
      <c r="AKQ190" s="394"/>
      <c r="AKR190" s="394"/>
      <c r="AKS190" s="394"/>
      <c r="AKT190" s="394"/>
      <c r="AKU190" s="394"/>
      <c r="AKV190" s="394"/>
      <c r="AKW190" s="394"/>
      <c r="AKX190" s="394"/>
      <c r="AKY190" s="394"/>
      <c r="AKZ190" s="394"/>
      <c r="ALA190" s="394"/>
      <c r="ALB190" s="394"/>
      <c r="ALC190" s="394"/>
      <c r="ALD190" s="394"/>
      <c r="ALE190" s="394"/>
      <c r="ALF190" s="394"/>
      <c r="ALG190" s="394"/>
      <c r="ALH190" s="394"/>
      <c r="ALI190" s="394"/>
      <c r="ALJ190" s="394"/>
      <c r="ALK190" s="394"/>
      <c r="ALL190" s="394"/>
      <c r="ALM190" s="394"/>
      <c r="ALN190" s="394"/>
      <c r="ALO190" s="394"/>
      <c r="ALP190" s="394"/>
      <c r="ALQ190" s="394"/>
      <c r="ALR190" s="394"/>
      <c r="ALS190" s="394"/>
      <c r="ALT190" s="394"/>
      <c r="ALU190" s="394"/>
      <c r="ALV190" s="394"/>
      <c r="ALW190" s="394"/>
      <c r="ALX190" s="394"/>
      <c r="ALY190" s="394"/>
      <c r="ALZ190" s="394"/>
      <c r="AMA190" s="394"/>
      <c r="AMB190" s="394"/>
      <c r="AMC190" s="394"/>
      <c r="AMD190" s="394"/>
      <c r="AME190" s="394"/>
      <c r="AMF190" s="394"/>
      <c r="AMG190" s="394"/>
      <c r="AMH190" s="394"/>
      <c r="AMI190" s="394"/>
      <c r="AMJ190" s="394"/>
      <c r="AMK190" s="394"/>
      <c r="AML190" s="394"/>
      <c r="AMM190" s="394"/>
      <c r="AMN190" s="394"/>
      <c r="AMO190" s="394"/>
      <c r="AMP190" s="394"/>
      <c r="AMQ190" s="394"/>
      <c r="AMR190" s="394"/>
      <c r="AMS190" s="394"/>
      <c r="AMT190" s="394"/>
      <c r="AMU190" s="394"/>
      <c r="AMV190" s="394"/>
      <c r="AMW190" s="394"/>
      <c r="AMX190" s="394"/>
      <c r="AMY190" s="394"/>
      <c r="AMZ190" s="394"/>
      <c r="ANA190" s="394"/>
      <c r="ANB190" s="394"/>
      <c r="ANC190" s="394"/>
      <c r="AND190" s="394"/>
      <c r="ANE190" s="394"/>
      <c r="ANF190" s="394"/>
      <c r="ANG190" s="394"/>
      <c r="ANH190" s="394"/>
      <c r="ANI190" s="394"/>
      <c r="ANJ190" s="394"/>
      <c r="ANK190" s="394"/>
      <c r="ANL190" s="394"/>
      <c r="ANM190" s="394"/>
      <c r="ANN190" s="394"/>
      <c r="ANO190" s="394"/>
      <c r="ANP190" s="394"/>
      <c r="ANQ190" s="394"/>
      <c r="ANR190" s="394"/>
      <c r="ANS190" s="394"/>
      <c r="ANT190" s="394"/>
      <c r="ANU190" s="394"/>
      <c r="ANV190" s="394"/>
      <c r="ANW190" s="394"/>
      <c r="ANX190" s="394"/>
      <c r="ANY190" s="394"/>
      <c r="ANZ190" s="394"/>
      <c r="AOA190" s="394"/>
      <c r="AOB190" s="394"/>
      <c r="AOC190" s="394"/>
      <c r="AOD190" s="394"/>
      <c r="AOE190" s="394"/>
      <c r="AOF190" s="394"/>
      <c r="AOG190" s="394"/>
      <c r="AOH190" s="394"/>
      <c r="AOI190" s="394"/>
      <c r="AOJ190" s="394"/>
      <c r="AOK190" s="394"/>
      <c r="AOL190" s="394"/>
      <c r="AOM190" s="394"/>
      <c r="AON190" s="394"/>
      <c r="AOO190" s="394"/>
      <c r="AOP190" s="394"/>
      <c r="AOQ190" s="394"/>
      <c r="AOR190" s="394"/>
      <c r="AOS190" s="394"/>
      <c r="AOT190" s="394"/>
      <c r="AOU190" s="394"/>
      <c r="AOV190" s="394"/>
      <c r="AOW190" s="394"/>
      <c r="AOX190" s="394"/>
      <c r="AOY190" s="394"/>
      <c r="AOZ190" s="394"/>
      <c r="APA190" s="394"/>
      <c r="APB190" s="394"/>
      <c r="APC190" s="394"/>
      <c r="APD190" s="394"/>
      <c r="APE190" s="394"/>
      <c r="APF190" s="394"/>
      <c r="APG190" s="394"/>
      <c r="APH190" s="394"/>
      <c r="API190" s="394"/>
      <c r="APJ190" s="394"/>
      <c r="APK190" s="394"/>
      <c r="APL190" s="394"/>
      <c r="APM190" s="394"/>
      <c r="APN190" s="394"/>
      <c r="APO190" s="394"/>
      <c r="APP190" s="394"/>
      <c r="APQ190" s="394"/>
      <c r="APR190" s="394"/>
      <c r="APS190" s="394"/>
      <c r="APT190" s="394"/>
      <c r="APU190" s="394"/>
      <c r="APV190" s="394"/>
      <c r="APW190" s="394"/>
      <c r="APX190" s="394"/>
      <c r="APY190" s="394"/>
      <c r="APZ190" s="394"/>
      <c r="AQA190" s="394"/>
      <c r="AQB190" s="394"/>
      <c r="AQC190" s="394"/>
      <c r="AQD190" s="394"/>
      <c r="AQE190" s="394"/>
      <c r="AQF190" s="394"/>
      <c r="AQG190" s="394"/>
      <c r="AQH190" s="394"/>
      <c r="AQI190" s="394"/>
      <c r="AQJ190" s="394"/>
      <c r="AQK190" s="394"/>
      <c r="AQL190" s="394"/>
      <c r="AQM190" s="394"/>
      <c r="AQN190" s="394"/>
      <c r="AQO190" s="394"/>
      <c r="AQP190" s="394"/>
      <c r="AQQ190" s="394"/>
      <c r="AQR190" s="394"/>
      <c r="AQS190" s="394"/>
      <c r="AQT190" s="394"/>
      <c r="AQU190" s="394"/>
      <c r="AQV190" s="394"/>
      <c r="AQW190" s="394"/>
      <c r="AQX190" s="394"/>
      <c r="AQY190" s="394"/>
      <c r="AQZ190" s="394"/>
      <c r="ARA190" s="394"/>
      <c r="ARB190" s="394"/>
      <c r="ARC190" s="394"/>
      <c r="ARD190" s="394"/>
      <c r="ARE190" s="394"/>
      <c r="ARF190" s="394"/>
      <c r="ARG190" s="394"/>
      <c r="ARH190" s="394"/>
      <c r="ARI190" s="394"/>
      <c r="ARJ190" s="394"/>
      <c r="ARK190" s="394"/>
      <c r="ARL190" s="394"/>
      <c r="ARM190" s="394"/>
      <c r="ARN190" s="394"/>
      <c r="ARO190" s="394"/>
      <c r="ARP190" s="394"/>
      <c r="ARQ190" s="394"/>
      <c r="ARR190" s="394"/>
      <c r="ARS190" s="394"/>
      <c r="ART190" s="394"/>
      <c r="ARU190" s="394"/>
      <c r="ARV190" s="394"/>
      <c r="ARW190" s="394"/>
      <c r="ARX190" s="394"/>
      <c r="ARY190" s="394"/>
      <c r="ARZ190" s="394"/>
      <c r="ASA190" s="394"/>
      <c r="ASB190" s="394"/>
      <c r="ASC190" s="394"/>
      <c r="ASD190" s="394"/>
      <c r="ASE190" s="394"/>
      <c r="ASF190" s="394"/>
      <c r="ASG190" s="394"/>
      <c r="ASH190" s="394"/>
      <c r="ASI190" s="394"/>
      <c r="ASJ190" s="394"/>
      <c r="ASK190" s="394"/>
      <c r="ASL190" s="394"/>
      <c r="ASM190" s="394"/>
      <c r="ASN190" s="394"/>
      <c r="ASO190" s="394"/>
      <c r="ASP190" s="394"/>
      <c r="ASQ190" s="394"/>
      <c r="ASR190" s="394"/>
      <c r="ASS190" s="394"/>
      <c r="AST190" s="394"/>
      <c r="ASU190" s="394"/>
      <c r="ASV190" s="394"/>
      <c r="ASW190" s="394"/>
      <c r="ASX190" s="394"/>
      <c r="ASY190" s="394"/>
      <c r="ASZ190" s="394"/>
      <c r="ATA190" s="394"/>
      <c r="ATB190" s="394"/>
      <c r="ATC190" s="394"/>
      <c r="ATD190" s="394"/>
      <c r="ATE190" s="394"/>
      <c r="ATF190" s="394"/>
      <c r="ATG190" s="394"/>
      <c r="ATH190" s="394"/>
      <c r="ATI190" s="394"/>
      <c r="ATJ190" s="394"/>
      <c r="ATK190" s="394"/>
      <c r="ATL190" s="394"/>
      <c r="ATM190" s="394"/>
      <c r="ATN190" s="394"/>
      <c r="ATO190" s="394"/>
      <c r="ATP190" s="394"/>
      <c r="ATQ190" s="394"/>
      <c r="ATR190" s="394"/>
      <c r="ATS190" s="394"/>
      <c r="ATT190" s="394"/>
      <c r="ATU190" s="394"/>
      <c r="ATV190" s="394"/>
      <c r="ATW190" s="394"/>
      <c r="ATX190" s="394"/>
      <c r="ATY190" s="394"/>
      <c r="ATZ190" s="394"/>
      <c r="AUA190" s="394"/>
      <c r="AUB190" s="394"/>
      <c r="AUC190" s="394"/>
      <c r="AUD190" s="394"/>
      <c r="AUE190" s="394"/>
      <c r="AUF190" s="394"/>
      <c r="AUG190" s="394"/>
      <c r="AUH190" s="394"/>
      <c r="AUI190" s="394"/>
      <c r="AUJ190" s="394"/>
      <c r="AUK190" s="394"/>
      <c r="AUL190" s="394"/>
      <c r="AUM190" s="394"/>
      <c r="AUN190" s="394"/>
      <c r="AUO190" s="394"/>
      <c r="AUP190" s="394"/>
      <c r="AUQ190" s="394"/>
      <c r="AUR190" s="394"/>
      <c r="AUS190" s="394"/>
      <c r="AUT190" s="394"/>
      <c r="AUU190" s="394"/>
      <c r="AUV190" s="394"/>
      <c r="AUW190" s="394"/>
      <c r="AUX190" s="394"/>
      <c r="AUY190" s="394"/>
      <c r="AUZ190" s="394"/>
      <c r="AVA190" s="394"/>
      <c r="AVB190" s="394"/>
      <c r="AVC190" s="394"/>
      <c r="AVD190" s="394"/>
      <c r="AVE190" s="394"/>
      <c r="AVF190" s="394"/>
      <c r="AVG190" s="394"/>
      <c r="AVH190" s="394"/>
      <c r="AVI190" s="394"/>
      <c r="AVJ190" s="394"/>
      <c r="AVK190" s="394"/>
      <c r="AVL190" s="394"/>
      <c r="AVM190" s="394"/>
      <c r="AVN190" s="394"/>
      <c r="AVO190" s="394"/>
      <c r="AVP190" s="394"/>
      <c r="AVQ190" s="394"/>
      <c r="AVR190" s="394"/>
      <c r="AVS190" s="394"/>
      <c r="AVT190" s="394"/>
      <c r="AVU190" s="394"/>
      <c r="AVV190" s="394"/>
      <c r="AVW190" s="394"/>
      <c r="AVX190" s="394"/>
      <c r="AVY190" s="394"/>
      <c r="AVZ190" s="394"/>
      <c r="AWA190" s="394"/>
      <c r="AWB190" s="394"/>
      <c r="AWC190" s="394"/>
      <c r="AWD190" s="394"/>
      <c r="AWE190" s="394"/>
      <c r="AWF190" s="394"/>
      <c r="AWG190" s="394"/>
      <c r="AWH190" s="394"/>
      <c r="AWI190" s="394"/>
      <c r="AWJ190" s="394"/>
      <c r="AWK190" s="394"/>
      <c r="AWL190" s="394"/>
      <c r="AWM190" s="394"/>
      <c r="AWN190" s="394"/>
      <c r="AWO190" s="394"/>
      <c r="AWP190" s="394"/>
      <c r="AWQ190" s="394"/>
      <c r="AWR190" s="394"/>
      <c r="AWS190" s="394"/>
      <c r="AWT190" s="394"/>
      <c r="AWU190" s="394"/>
      <c r="AWV190" s="394"/>
      <c r="AWW190" s="394"/>
      <c r="AWX190" s="394"/>
      <c r="AWY190" s="394"/>
      <c r="AWZ190" s="394"/>
      <c r="AXA190" s="394"/>
      <c r="AXB190" s="394"/>
      <c r="AXC190" s="394"/>
      <c r="AXD190" s="394"/>
      <c r="AXE190" s="394"/>
      <c r="AXF190" s="394"/>
      <c r="AXG190" s="394"/>
      <c r="AXH190" s="394"/>
      <c r="AXI190" s="394"/>
      <c r="AXJ190" s="394"/>
      <c r="AXK190" s="394"/>
      <c r="AXL190" s="394"/>
      <c r="AXM190" s="394"/>
      <c r="AXN190" s="394"/>
      <c r="AXO190" s="394"/>
      <c r="AXP190" s="394"/>
      <c r="AXQ190" s="394"/>
      <c r="AXR190" s="394"/>
      <c r="AXS190" s="394"/>
      <c r="AXT190" s="394"/>
      <c r="AXU190" s="394"/>
      <c r="AXV190" s="394"/>
      <c r="AXW190" s="394"/>
      <c r="AXX190" s="394"/>
      <c r="AXY190" s="394"/>
      <c r="AXZ190" s="394"/>
      <c r="AYA190" s="394"/>
      <c r="AYB190" s="394"/>
      <c r="AYC190" s="394"/>
      <c r="AYD190" s="394"/>
      <c r="AYE190" s="394"/>
      <c r="AYF190" s="394"/>
      <c r="AYG190" s="394"/>
      <c r="AYH190" s="394"/>
      <c r="AYI190" s="394"/>
      <c r="AYJ190" s="394"/>
      <c r="AYK190" s="394"/>
      <c r="AYL190" s="394"/>
      <c r="AYM190" s="394"/>
      <c r="AYN190" s="394"/>
      <c r="AYO190" s="394"/>
      <c r="AYP190" s="394"/>
      <c r="AYQ190" s="394"/>
      <c r="AYR190" s="394"/>
      <c r="AYS190" s="394"/>
      <c r="AYT190" s="394"/>
      <c r="AYU190" s="394"/>
      <c r="AYV190" s="394"/>
      <c r="AYW190" s="394"/>
      <c r="AYX190" s="394"/>
      <c r="AYY190" s="394"/>
      <c r="AYZ190" s="394"/>
      <c r="AZA190" s="394"/>
      <c r="AZB190" s="394"/>
      <c r="AZC190" s="394"/>
      <c r="AZD190" s="394"/>
      <c r="AZE190" s="394"/>
      <c r="AZF190" s="394"/>
      <c r="AZG190" s="394"/>
      <c r="AZH190" s="394"/>
      <c r="AZI190" s="394"/>
      <c r="AZJ190" s="394"/>
      <c r="AZK190" s="394"/>
      <c r="AZL190" s="394"/>
      <c r="AZM190" s="394"/>
      <c r="AZN190" s="394"/>
      <c r="AZO190" s="394"/>
      <c r="AZP190" s="394"/>
      <c r="AZQ190" s="394"/>
      <c r="AZR190" s="394"/>
      <c r="AZS190" s="394"/>
      <c r="AZT190" s="394"/>
      <c r="AZU190" s="394"/>
      <c r="AZV190" s="394"/>
      <c r="AZW190" s="394"/>
      <c r="AZX190" s="394"/>
      <c r="AZY190" s="394"/>
      <c r="AZZ190" s="394"/>
      <c r="BAA190" s="394"/>
      <c r="BAB190" s="394"/>
      <c r="BAC190" s="394"/>
      <c r="BAD190" s="394"/>
      <c r="BAE190" s="394"/>
      <c r="BAF190" s="394"/>
      <c r="BAG190" s="394"/>
      <c r="BAH190" s="394"/>
      <c r="BAI190" s="394"/>
      <c r="BAJ190" s="394"/>
      <c r="BAK190" s="394"/>
      <c r="BAL190" s="394"/>
      <c r="BAM190" s="394"/>
      <c r="BAN190" s="394"/>
      <c r="BAO190" s="394"/>
      <c r="BAP190" s="394"/>
      <c r="BAQ190" s="394"/>
      <c r="BAR190" s="394"/>
      <c r="BAS190" s="394"/>
      <c r="BAT190" s="394"/>
      <c r="BAU190" s="394"/>
      <c r="BAV190" s="394"/>
      <c r="BAW190" s="394"/>
      <c r="BAX190" s="394"/>
      <c r="BAY190" s="394"/>
      <c r="BAZ190" s="394"/>
      <c r="BBA190" s="394"/>
      <c r="BBB190" s="394"/>
      <c r="BBC190" s="394"/>
      <c r="BBD190" s="394"/>
      <c r="BBE190" s="394"/>
      <c r="BBF190" s="394"/>
      <c r="BBG190" s="394"/>
      <c r="BBH190" s="394"/>
      <c r="BBI190" s="394"/>
      <c r="BBJ190" s="394"/>
      <c r="BBK190" s="394"/>
      <c r="BBL190" s="394"/>
      <c r="BBM190" s="394"/>
      <c r="BBN190" s="394"/>
      <c r="BBO190" s="394"/>
      <c r="BBP190" s="394"/>
      <c r="BBQ190" s="394"/>
      <c r="BBR190" s="394"/>
      <c r="BBS190" s="394"/>
      <c r="BBT190" s="394"/>
      <c r="BBU190" s="394"/>
      <c r="BBV190" s="394"/>
      <c r="BBW190" s="394"/>
      <c r="BBX190" s="394"/>
      <c r="BBY190" s="394"/>
      <c r="BBZ190" s="394"/>
      <c r="BCA190" s="394"/>
      <c r="BCB190" s="394"/>
      <c r="BCC190" s="394"/>
      <c r="BCD190" s="394"/>
      <c r="BCE190" s="394"/>
      <c r="BCF190" s="394"/>
      <c r="BCG190" s="394"/>
      <c r="BCH190" s="394"/>
      <c r="BCI190" s="394"/>
      <c r="BCJ190" s="394"/>
      <c r="BCK190" s="394"/>
      <c r="BCL190" s="394"/>
      <c r="BCM190" s="394"/>
      <c r="BCN190" s="394"/>
      <c r="BCO190" s="394"/>
      <c r="BCP190" s="394"/>
      <c r="BCQ190" s="394"/>
      <c r="BCR190" s="394"/>
      <c r="BCS190" s="394"/>
      <c r="BCT190" s="394"/>
      <c r="BCU190" s="394"/>
      <c r="BCV190" s="394"/>
      <c r="BCW190" s="394"/>
      <c r="BCX190" s="394"/>
      <c r="BCY190" s="394"/>
      <c r="BCZ190" s="394"/>
      <c r="BDA190" s="394"/>
      <c r="BDB190" s="394"/>
      <c r="BDC190" s="394"/>
      <c r="BDD190" s="394"/>
      <c r="BDE190" s="394"/>
      <c r="BDF190" s="394"/>
      <c r="BDG190" s="394"/>
      <c r="BDH190" s="394"/>
      <c r="BDI190" s="394"/>
      <c r="BDJ190" s="394"/>
      <c r="BDK190" s="394"/>
      <c r="BDL190" s="394"/>
      <c r="BDM190" s="394"/>
      <c r="BDN190" s="394"/>
      <c r="BDO190" s="394"/>
      <c r="BDP190" s="394"/>
      <c r="BDQ190" s="394"/>
      <c r="BDR190" s="394"/>
      <c r="BDS190" s="394"/>
      <c r="BDT190" s="394"/>
      <c r="BDU190" s="394"/>
      <c r="BDV190" s="394"/>
      <c r="BDW190" s="394"/>
      <c r="BDX190" s="394"/>
      <c r="BDY190" s="394"/>
      <c r="BDZ190" s="394"/>
      <c r="BEA190" s="394"/>
      <c r="BEB190" s="394"/>
      <c r="BEC190" s="394"/>
      <c r="BED190" s="394"/>
      <c r="BEE190" s="394"/>
      <c r="BEF190" s="394"/>
      <c r="BEG190" s="394"/>
      <c r="BEH190" s="394"/>
      <c r="BEI190" s="394"/>
      <c r="BEJ190" s="394"/>
      <c r="BEK190" s="394"/>
      <c r="BEL190" s="394"/>
      <c r="BEM190" s="394"/>
      <c r="BEN190" s="394"/>
      <c r="BEO190" s="394"/>
      <c r="BEP190" s="394"/>
      <c r="BEQ190" s="394"/>
      <c r="BER190" s="394"/>
      <c r="BES190" s="394"/>
      <c r="BET190" s="394"/>
      <c r="BEU190" s="394"/>
      <c r="BEV190" s="394"/>
      <c r="BEW190" s="394"/>
      <c r="BEX190" s="394"/>
      <c r="BEY190" s="394"/>
      <c r="BEZ190" s="394"/>
      <c r="BFA190" s="394"/>
      <c r="BFB190" s="394"/>
      <c r="BFC190" s="394"/>
      <c r="BFD190" s="394"/>
      <c r="BFE190" s="394"/>
      <c r="BFF190" s="394"/>
      <c r="BFG190" s="394"/>
      <c r="BFH190" s="394"/>
      <c r="BFI190" s="394"/>
      <c r="BFJ190" s="394"/>
      <c r="BFK190" s="394"/>
      <c r="BFL190" s="394"/>
      <c r="BFM190" s="394"/>
      <c r="BFN190" s="394"/>
      <c r="BFO190" s="394"/>
      <c r="BFP190" s="394"/>
      <c r="BFQ190" s="394"/>
      <c r="BFR190" s="394"/>
      <c r="BFS190" s="394"/>
      <c r="BFT190" s="394"/>
      <c r="BFU190" s="394"/>
      <c r="BFV190" s="394"/>
      <c r="BFW190" s="394"/>
      <c r="BFX190" s="394"/>
      <c r="BFY190" s="394"/>
      <c r="BFZ190" s="394"/>
      <c r="BGA190" s="394"/>
      <c r="BGB190" s="394"/>
      <c r="BGC190" s="394"/>
      <c r="BGD190" s="394"/>
      <c r="BGE190" s="394"/>
      <c r="BGF190" s="394"/>
      <c r="BGG190" s="394"/>
      <c r="BGH190" s="394"/>
      <c r="BGI190" s="394"/>
      <c r="BGJ190" s="394"/>
      <c r="BGK190" s="394"/>
      <c r="BGL190" s="394"/>
      <c r="BGM190" s="394"/>
      <c r="BGN190" s="394"/>
      <c r="BGO190" s="394"/>
      <c r="BGP190" s="394"/>
      <c r="BGQ190" s="394"/>
      <c r="BGR190" s="394"/>
      <c r="BGS190" s="394"/>
      <c r="BGT190" s="394"/>
      <c r="BGU190" s="394"/>
      <c r="BGV190" s="394"/>
      <c r="BGW190" s="394"/>
      <c r="BGX190" s="394"/>
      <c r="BGY190" s="394"/>
      <c r="BGZ190" s="394"/>
      <c r="BHA190" s="394"/>
      <c r="BHB190" s="394"/>
      <c r="BHC190" s="394"/>
      <c r="BHD190" s="394"/>
      <c r="BHE190" s="394"/>
      <c r="BHF190" s="394"/>
      <c r="BHG190" s="394"/>
      <c r="BHH190" s="394"/>
      <c r="BHI190" s="394"/>
      <c r="BHJ190" s="394"/>
      <c r="BHK190" s="394"/>
      <c r="BHL190" s="394"/>
      <c r="BHM190" s="394"/>
      <c r="BHN190" s="394"/>
      <c r="BHO190" s="394"/>
      <c r="BHP190" s="394"/>
      <c r="BHQ190" s="394"/>
      <c r="BHR190" s="394"/>
      <c r="BHS190" s="394"/>
      <c r="BHT190" s="394"/>
      <c r="BHU190" s="394"/>
      <c r="BHV190" s="394"/>
      <c r="BHW190" s="394"/>
      <c r="BHX190" s="394"/>
      <c r="BHY190" s="394"/>
      <c r="BHZ190" s="394"/>
      <c r="BIA190" s="394"/>
      <c r="BIB190" s="394"/>
      <c r="BIC190" s="394"/>
      <c r="BID190" s="394"/>
      <c r="BIE190" s="394"/>
      <c r="BIF190" s="394"/>
      <c r="BIG190" s="394"/>
      <c r="BIH190" s="394"/>
      <c r="BII190" s="394"/>
      <c r="BIJ190" s="394"/>
      <c r="BIK190" s="394"/>
      <c r="BIL190" s="394"/>
      <c r="BIM190" s="394"/>
      <c r="BIN190" s="394"/>
      <c r="BIO190" s="394"/>
      <c r="BIP190" s="394"/>
      <c r="BIQ190" s="394"/>
      <c r="BIR190" s="394"/>
      <c r="BIS190" s="394"/>
      <c r="BIT190" s="394"/>
      <c r="BIU190" s="394"/>
      <c r="BIV190" s="394"/>
      <c r="BIW190" s="394"/>
      <c r="BIX190" s="394"/>
      <c r="BIY190" s="394"/>
      <c r="BIZ190" s="394"/>
      <c r="BJA190" s="394"/>
      <c r="BJB190" s="394"/>
      <c r="BJC190" s="394"/>
      <c r="BJD190" s="394"/>
      <c r="BJE190" s="394"/>
      <c r="BJF190" s="394"/>
      <c r="BJG190" s="394"/>
      <c r="BJH190" s="394"/>
      <c r="BJI190" s="394"/>
      <c r="BJJ190" s="394"/>
      <c r="BJK190" s="394"/>
      <c r="BJL190" s="394"/>
      <c r="BJM190" s="394"/>
      <c r="BJN190" s="394"/>
      <c r="BJO190" s="394"/>
      <c r="BJP190" s="394"/>
      <c r="BJQ190" s="394"/>
      <c r="BJR190" s="394"/>
      <c r="BJS190" s="394"/>
      <c r="BJT190" s="394"/>
      <c r="BJU190" s="394"/>
      <c r="BJV190" s="394"/>
      <c r="BJW190" s="394"/>
      <c r="BJX190" s="394"/>
      <c r="BJY190" s="394"/>
      <c r="BJZ190" s="394"/>
      <c r="BKA190" s="394"/>
      <c r="BKB190" s="394"/>
      <c r="BKC190" s="394"/>
      <c r="BKD190" s="394"/>
      <c r="BKE190" s="394"/>
      <c r="BKF190" s="394"/>
      <c r="BKG190" s="394"/>
      <c r="BKH190" s="394"/>
      <c r="BKI190" s="394"/>
      <c r="BKJ190" s="394"/>
      <c r="BKK190" s="394"/>
      <c r="BKL190" s="394"/>
      <c r="BKM190" s="394"/>
      <c r="BKN190" s="394"/>
      <c r="BKO190" s="394"/>
      <c r="BKP190" s="394"/>
      <c r="BKQ190" s="394"/>
      <c r="BKR190" s="394"/>
      <c r="BKS190" s="394"/>
      <c r="BKT190" s="394"/>
      <c r="BKU190" s="394"/>
      <c r="BKV190" s="394"/>
      <c r="BKW190" s="394"/>
      <c r="BKX190" s="394"/>
      <c r="BKY190" s="394"/>
      <c r="BKZ190" s="394"/>
      <c r="BLA190" s="394"/>
      <c r="BLB190" s="394"/>
      <c r="BLC190" s="394"/>
      <c r="BLD190" s="394"/>
      <c r="BLE190" s="394"/>
      <c r="BLF190" s="394"/>
      <c r="BLG190" s="394"/>
      <c r="BLH190" s="394"/>
      <c r="BLI190" s="394"/>
      <c r="BLJ190" s="394"/>
      <c r="BLK190" s="394"/>
      <c r="BLL190" s="394"/>
      <c r="BLM190" s="394"/>
      <c r="BLN190" s="394"/>
      <c r="BLO190" s="394"/>
      <c r="BLP190" s="394"/>
      <c r="BLQ190" s="394"/>
      <c r="BLR190" s="394"/>
      <c r="BLS190" s="394"/>
      <c r="BLT190" s="394"/>
      <c r="BLU190" s="394"/>
      <c r="BLV190" s="394"/>
      <c r="BLW190" s="394"/>
      <c r="BLX190" s="394"/>
      <c r="BLY190" s="394"/>
      <c r="BLZ190" s="394"/>
      <c r="BMA190" s="394"/>
      <c r="BMB190" s="394"/>
      <c r="BMC190" s="394"/>
      <c r="BMD190" s="394"/>
      <c r="BME190" s="394"/>
      <c r="BMF190" s="394"/>
      <c r="BMG190" s="394"/>
      <c r="BMH190" s="394"/>
      <c r="BMI190" s="394"/>
      <c r="BMJ190" s="394"/>
      <c r="BMK190" s="394"/>
      <c r="BML190" s="394"/>
      <c r="BMM190" s="394"/>
      <c r="BMN190" s="394"/>
      <c r="BMO190" s="394"/>
      <c r="BMP190" s="394"/>
      <c r="BMQ190" s="394"/>
      <c r="BMR190" s="394"/>
      <c r="BMS190" s="394"/>
      <c r="BMT190" s="394"/>
      <c r="BMU190" s="394"/>
      <c r="BMV190" s="394"/>
      <c r="BMW190" s="394"/>
      <c r="BMX190" s="394"/>
      <c r="BMY190" s="394"/>
      <c r="BMZ190" s="394"/>
      <c r="BNA190" s="394"/>
      <c r="BNB190" s="394"/>
      <c r="BNC190" s="394"/>
      <c r="BND190" s="394"/>
      <c r="BNE190" s="394"/>
      <c r="BNF190" s="394"/>
      <c r="BNG190" s="394"/>
      <c r="BNH190" s="394"/>
      <c r="BNI190" s="394"/>
      <c r="BNJ190" s="394"/>
      <c r="BNK190" s="394"/>
      <c r="BNL190" s="394"/>
      <c r="BNM190" s="394"/>
      <c r="BNN190" s="394"/>
      <c r="BNO190" s="394"/>
      <c r="BNP190" s="394"/>
      <c r="BNQ190" s="394"/>
      <c r="BNR190" s="394"/>
      <c r="BNS190" s="394"/>
      <c r="BNT190" s="394"/>
      <c r="BNU190" s="394"/>
      <c r="BNV190" s="394"/>
      <c r="BNW190" s="394"/>
      <c r="BNX190" s="394"/>
      <c r="BNY190" s="394"/>
      <c r="BNZ190" s="394"/>
      <c r="BOA190" s="394"/>
      <c r="BOB190" s="394"/>
      <c r="BOC190" s="394"/>
      <c r="BOD190" s="394"/>
      <c r="BOE190" s="394"/>
      <c r="BOF190" s="394"/>
      <c r="BOG190" s="394"/>
      <c r="BOH190" s="394"/>
      <c r="BOI190" s="394"/>
      <c r="BOJ190" s="394"/>
      <c r="BOK190" s="394"/>
      <c r="BOL190" s="394"/>
      <c r="BOM190" s="394"/>
      <c r="BON190" s="394"/>
      <c r="BOO190" s="394"/>
      <c r="BOP190" s="394"/>
      <c r="BOQ190" s="394"/>
      <c r="BOR190" s="394"/>
      <c r="BOS190" s="394"/>
      <c r="BOT190" s="394"/>
      <c r="BOU190" s="394"/>
      <c r="BOV190" s="394"/>
      <c r="BOW190" s="394"/>
      <c r="BOX190" s="394"/>
      <c r="BOY190" s="394"/>
      <c r="BOZ190" s="394"/>
      <c r="BPA190" s="394"/>
      <c r="BPB190" s="394"/>
      <c r="BPC190" s="394"/>
      <c r="BPD190" s="394"/>
      <c r="BPE190" s="394"/>
      <c r="BPF190" s="394"/>
      <c r="BPG190" s="394"/>
      <c r="BPH190" s="394"/>
      <c r="BPI190" s="394"/>
      <c r="BPJ190" s="394"/>
      <c r="BPK190" s="394"/>
      <c r="BPL190" s="394"/>
      <c r="BPM190" s="394"/>
      <c r="BPN190" s="394"/>
      <c r="BPO190" s="394"/>
      <c r="BPP190" s="394"/>
      <c r="BPQ190" s="394"/>
      <c r="BPR190" s="394"/>
      <c r="BPS190" s="394"/>
      <c r="BPT190" s="394"/>
      <c r="BPU190" s="394"/>
      <c r="BPV190" s="394"/>
      <c r="BPW190" s="394"/>
      <c r="BPX190" s="394"/>
      <c r="BPY190" s="394"/>
      <c r="BPZ190" s="394"/>
      <c r="BQA190" s="394"/>
      <c r="BQB190" s="394"/>
      <c r="BQC190" s="394"/>
      <c r="BQD190" s="394"/>
      <c r="BQE190" s="394"/>
      <c r="BQF190" s="394"/>
      <c r="BQG190" s="394"/>
      <c r="BQH190" s="394"/>
      <c r="BQI190" s="394"/>
      <c r="BQJ190" s="394"/>
      <c r="BQK190" s="394"/>
      <c r="BQL190" s="394"/>
      <c r="BQM190" s="394"/>
      <c r="BQN190" s="394"/>
      <c r="BQO190" s="394"/>
      <c r="BQP190" s="394"/>
      <c r="BQQ190" s="394"/>
      <c r="BQR190" s="394"/>
      <c r="BQS190" s="394"/>
      <c r="BQT190" s="394"/>
      <c r="BQU190" s="394"/>
      <c r="BQV190" s="394"/>
      <c r="BQW190" s="394"/>
      <c r="BQX190" s="394"/>
      <c r="BQY190" s="394"/>
      <c r="BQZ190" s="394"/>
      <c r="BRA190" s="394"/>
      <c r="BRB190" s="394"/>
      <c r="BRC190" s="394"/>
      <c r="BRD190" s="394"/>
      <c r="BRE190" s="394"/>
      <c r="BRF190" s="394"/>
      <c r="BRG190" s="394"/>
      <c r="BRH190" s="394"/>
      <c r="BRI190" s="394"/>
      <c r="BRJ190" s="394"/>
      <c r="BRK190" s="394"/>
      <c r="BRL190" s="394"/>
      <c r="BRM190" s="394"/>
      <c r="BRN190" s="394"/>
      <c r="BRO190" s="394"/>
      <c r="BRP190" s="394"/>
      <c r="BRQ190" s="394"/>
      <c r="BRR190" s="394"/>
      <c r="BRS190" s="394"/>
      <c r="BRT190" s="394"/>
      <c r="BRU190" s="394"/>
      <c r="BRV190" s="394"/>
      <c r="BRW190" s="394"/>
      <c r="BRX190" s="394"/>
      <c r="BRY190" s="394"/>
      <c r="BRZ190" s="394"/>
      <c r="BSA190" s="394"/>
      <c r="BSB190" s="394"/>
      <c r="BSC190" s="394"/>
      <c r="BSD190" s="394"/>
      <c r="BSE190" s="394"/>
      <c r="BSF190" s="394"/>
      <c r="BSG190" s="394"/>
      <c r="BSH190" s="394"/>
      <c r="BSI190" s="394"/>
      <c r="BSJ190" s="394"/>
      <c r="BSK190" s="394"/>
      <c r="BSL190" s="394"/>
      <c r="BSM190" s="394"/>
      <c r="BSN190" s="394"/>
      <c r="BSO190" s="394"/>
      <c r="BSP190" s="394"/>
      <c r="BSQ190" s="394"/>
      <c r="BSR190" s="394"/>
      <c r="BSS190" s="394"/>
      <c r="BST190" s="394"/>
      <c r="BSU190" s="394"/>
      <c r="BSV190" s="394"/>
      <c r="BSW190" s="394"/>
      <c r="BSX190" s="394"/>
      <c r="BSY190" s="394"/>
      <c r="BSZ190" s="394"/>
      <c r="BTA190" s="394"/>
      <c r="BTB190" s="394"/>
      <c r="BTC190" s="394"/>
      <c r="BTD190" s="394"/>
      <c r="BTE190" s="394"/>
      <c r="BTF190" s="394"/>
      <c r="BTG190" s="394"/>
      <c r="BTH190" s="394"/>
      <c r="BTI190" s="394"/>
    </row>
    <row r="191" spans="1:1881" s="317" customFormat="1" ht="60" customHeight="1" x14ac:dyDescent="0.25">
      <c r="A191" s="188">
        <v>525</v>
      </c>
      <c r="B191" s="150" t="s">
        <v>593</v>
      </c>
      <c r="C191" s="184" t="s">
        <v>234</v>
      </c>
      <c r="D191" s="178" t="s">
        <v>21</v>
      </c>
      <c r="E191" s="32" t="e">
        <f>HLOOKUP($D$2,'2019 Data(H)'!$C$1:$CP$300,175,FALSE)</f>
        <v>#N/A</v>
      </c>
      <c r="F191" s="589"/>
      <c r="G191" s="581">
        <f>IF(F191&lt;0,"Error: Enter as positive.",)</f>
        <v>0</v>
      </c>
      <c r="H191" s="13"/>
      <c r="I191" s="31"/>
      <c r="J191" s="394"/>
      <c r="K191" s="394"/>
      <c r="L191" s="394"/>
      <c r="M191" s="394"/>
      <c r="N191"/>
      <c r="O191" s="394"/>
      <c r="P191" s="394"/>
      <c r="Q191" s="394"/>
      <c r="R191" s="394"/>
      <c r="S191" s="394"/>
      <c r="T191" s="394"/>
      <c r="U191" s="394"/>
      <c r="V191" s="394"/>
      <c r="W191" s="394"/>
      <c r="X191" s="394"/>
      <c r="Y191" s="394"/>
      <c r="Z191" s="394"/>
      <c r="AA191" s="394"/>
      <c r="AB191" s="394"/>
      <c r="AC191" s="394"/>
      <c r="AD191" s="394"/>
      <c r="AE191" s="394"/>
      <c r="AF191" s="394"/>
      <c r="AG191" s="394"/>
      <c r="AH191" s="394"/>
      <c r="AI191" s="394"/>
      <c r="AJ191" s="394"/>
      <c r="AK191" s="394"/>
      <c r="AL191" s="394"/>
      <c r="AM191" s="394"/>
      <c r="AN191" s="394"/>
      <c r="AO191" s="394"/>
      <c r="AP191" s="394"/>
      <c r="AQ191" s="394"/>
      <c r="AR191" s="394"/>
      <c r="AS191" s="394"/>
      <c r="AT191" s="394"/>
      <c r="AU191" s="394"/>
      <c r="AV191" s="394"/>
      <c r="AW191" s="394"/>
      <c r="AX191" s="394"/>
      <c r="AY191" s="394"/>
      <c r="AZ191" s="394"/>
      <c r="BA191" s="394"/>
      <c r="BB191" s="394"/>
      <c r="BC191" s="394"/>
      <c r="BD191" s="394"/>
      <c r="BE191" s="394"/>
      <c r="BF191" s="394"/>
      <c r="BG191" s="394"/>
      <c r="BH191" s="394"/>
      <c r="BI191" s="394"/>
      <c r="BJ191" s="394"/>
      <c r="BK191" s="394"/>
      <c r="BL191" s="394"/>
      <c r="BM191" s="394"/>
      <c r="BN191" s="394"/>
      <c r="BO191" s="394"/>
      <c r="BP191" s="394"/>
      <c r="BQ191" s="394"/>
      <c r="BR191" s="394"/>
      <c r="BS191" s="394"/>
      <c r="BT191" s="394"/>
      <c r="BU191" s="394"/>
      <c r="BV191" s="394"/>
      <c r="BW191" s="394"/>
      <c r="BX191" s="394"/>
      <c r="BY191" s="394"/>
      <c r="BZ191" s="394"/>
      <c r="CA191" s="394"/>
      <c r="CB191" s="394"/>
      <c r="CC191" s="394"/>
      <c r="CD191" s="394"/>
      <c r="CE191" s="394"/>
      <c r="CF191" s="394"/>
      <c r="CG191" s="394"/>
      <c r="CH191" s="394"/>
      <c r="CI191" s="394"/>
      <c r="CJ191" s="394"/>
      <c r="CK191" s="394"/>
      <c r="CL191" s="394"/>
      <c r="CM191" s="394"/>
      <c r="CN191" s="394"/>
      <c r="CO191" s="394"/>
      <c r="CP191" s="394"/>
      <c r="CQ191" s="394"/>
      <c r="CR191" s="394"/>
      <c r="CS191" s="394"/>
      <c r="CT191" s="394"/>
      <c r="CU191" s="394"/>
      <c r="CV191" s="394"/>
      <c r="CW191" s="394"/>
      <c r="CX191" s="394"/>
      <c r="CY191" s="394"/>
      <c r="CZ191" s="394"/>
      <c r="DA191" s="394"/>
      <c r="DB191" s="394"/>
      <c r="DC191" s="394"/>
      <c r="DD191" s="394"/>
      <c r="DE191" s="394"/>
      <c r="DF191" s="394"/>
      <c r="DG191" s="394"/>
      <c r="DH191" s="394"/>
      <c r="DI191" s="394"/>
      <c r="DJ191" s="394"/>
      <c r="DK191" s="394"/>
      <c r="DL191" s="394"/>
      <c r="DM191" s="394"/>
      <c r="DN191" s="394"/>
      <c r="DO191" s="394"/>
      <c r="DP191" s="394"/>
      <c r="DQ191" s="394"/>
      <c r="DR191" s="394"/>
      <c r="DS191" s="394"/>
      <c r="DT191" s="394"/>
      <c r="DU191" s="394"/>
      <c r="DV191" s="394"/>
      <c r="DW191" s="394"/>
      <c r="DX191" s="394"/>
      <c r="DY191" s="394"/>
      <c r="DZ191" s="394"/>
      <c r="EA191" s="394"/>
      <c r="EB191" s="394"/>
      <c r="EC191" s="394"/>
      <c r="ED191" s="394"/>
      <c r="EE191" s="394"/>
      <c r="EF191" s="394"/>
      <c r="EG191" s="394"/>
      <c r="EH191" s="394"/>
      <c r="EI191" s="394"/>
      <c r="EJ191" s="394"/>
      <c r="EK191" s="394"/>
      <c r="EL191" s="394"/>
      <c r="EM191" s="394"/>
      <c r="EN191" s="394"/>
      <c r="EO191" s="394"/>
      <c r="EP191" s="394"/>
      <c r="EQ191" s="394"/>
      <c r="ER191" s="394"/>
      <c r="ES191" s="394"/>
      <c r="ET191" s="394"/>
      <c r="EU191" s="394"/>
      <c r="EV191" s="394"/>
      <c r="EW191" s="394"/>
      <c r="EX191" s="394"/>
      <c r="EY191" s="394"/>
      <c r="EZ191" s="394"/>
      <c r="FA191" s="394"/>
      <c r="FB191" s="394"/>
      <c r="FC191" s="394"/>
      <c r="FD191" s="394"/>
      <c r="FE191" s="394"/>
      <c r="FF191" s="394"/>
      <c r="FG191" s="394"/>
      <c r="FH191" s="394"/>
      <c r="FI191" s="394"/>
      <c r="FJ191" s="394"/>
      <c r="FK191" s="394"/>
      <c r="FL191" s="394"/>
      <c r="FM191" s="394"/>
      <c r="FN191" s="394"/>
      <c r="FO191" s="394"/>
      <c r="FP191" s="394"/>
      <c r="FQ191" s="394"/>
      <c r="FR191" s="394"/>
      <c r="FS191" s="394"/>
      <c r="FT191" s="394"/>
      <c r="FU191" s="394"/>
      <c r="FV191" s="394"/>
      <c r="FW191" s="394"/>
      <c r="FX191" s="394"/>
      <c r="FY191" s="394"/>
      <c r="FZ191" s="394"/>
      <c r="GA191" s="394"/>
      <c r="GB191" s="394"/>
      <c r="GC191" s="394"/>
      <c r="GD191" s="394"/>
      <c r="GE191" s="394"/>
      <c r="GF191" s="394"/>
      <c r="GG191" s="394"/>
      <c r="GH191" s="394"/>
      <c r="GI191" s="394"/>
      <c r="GJ191" s="394"/>
      <c r="GK191" s="394"/>
      <c r="GL191" s="394"/>
      <c r="GM191" s="394"/>
      <c r="GN191" s="394"/>
      <c r="GO191" s="394"/>
      <c r="GP191" s="394"/>
      <c r="GQ191" s="394"/>
      <c r="GR191" s="394"/>
      <c r="GS191" s="394"/>
      <c r="GT191" s="394"/>
      <c r="GU191" s="394"/>
      <c r="GV191" s="394"/>
      <c r="GW191" s="394"/>
      <c r="GX191" s="394"/>
      <c r="GY191" s="394"/>
      <c r="GZ191" s="394"/>
      <c r="HA191" s="394"/>
      <c r="HB191" s="394"/>
      <c r="HC191" s="394"/>
      <c r="HD191" s="394"/>
      <c r="HE191" s="394"/>
      <c r="HF191" s="394"/>
      <c r="HG191" s="394"/>
      <c r="HH191" s="394"/>
      <c r="HI191" s="394"/>
      <c r="HJ191" s="394"/>
      <c r="HK191" s="394"/>
      <c r="HL191" s="394"/>
      <c r="HM191" s="394"/>
      <c r="HN191" s="394"/>
      <c r="HO191" s="394"/>
      <c r="HP191" s="394"/>
      <c r="HQ191" s="394"/>
      <c r="HR191" s="394"/>
      <c r="HS191" s="394"/>
      <c r="HT191" s="394"/>
      <c r="HU191" s="394"/>
      <c r="HV191" s="394"/>
      <c r="HW191" s="394"/>
      <c r="HX191" s="394"/>
      <c r="HY191" s="394"/>
      <c r="HZ191" s="394"/>
      <c r="IA191" s="394"/>
      <c r="IB191" s="394"/>
      <c r="IC191" s="394"/>
      <c r="ID191" s="394"/>
      <c r="IE191" s="394"/>
      <c r="IF191" s="394"/>
      <c r="IG191" s="394"/>
      <c r="IH191" s="394"/>
      <c r="II191" s="394"/>
      <c r="IJ191" s="394"/>
      <c r="IK191" s="394"/>
      <c r="IL191" s="394"/>
      <c r="IM191" s="394"/>
      <c r="IN191" s="394"/>
      <c r="IO191" s="394"/>
      <c r="IP191" s="394"/>
      <c r="IQ191" s="394"/>
      <c r="IR191" s="394"/>
      <c r="IS191" s="394"/>
      <c r="IT191" s="394"/>
      <c r="IU191" s="394"/>
      <c r="IV191" s="394"/>
      <c r="IW191" s="394"/>
      <c r="IX191" s="394"/>
      <c r="IY191" s="394"/>
      <c r="IZ191" s="394"/>
      <c r="JA191" s="394"/>
      <c r="JB191" s="394"/>
      <c r="JC191" s="394"/>
      <c r="JD191" s="394"/>
      <c r="JE191" s="394"/>
      <c r="JF191" s="394"/>
      <c r="JG191" s="394"/>
      <c r="JH191" s="394"/>
      <c r="JI191" s="394"/>
      <c r="JJ191" s="394"/>
      <c r="JK191" s="394"/>
      <c r="JL191" s="394"/>
      <c r="JM191" s="394"/>
      <c r="JN191" s="394"/>
      <c r="JO191" s="394"/>
      <c r="JP191" s="394"/>
      <c r="JQ191" s="394"/>
      <c r="JR191" s="394"/>
      <c r="JS191" s="394"/>
      <c r="JT191" s="394"/>
      <c r="JU191" s="394"/>
      <c r="JV191" s="394"/>
      <c r="JW191" s="394"/>
      <c r="JX191" s="394"/>
      <c r="JY191" s="394"/>
      <c r="JZ191" s="394"/>
      <c r="KA191" s="394"/>
      <c r="KB191" s="394"/>
      <c r="KC191" s="394"/>
      <c r="KD191" s="394"/>
      <c r="KE191" s="394"/>
      <c r="KF191" s="394"/>
      <c r="KG191" s="394"/>
      <c r="KH191" s="394"/>
      <c r="KI191" s="394"/>
      <c r="KJ191" s="394"/>
      <c r="KK191" s="394"/>
      <c r="KL191" s="394"/>
      <c r="KM191" s="394"/>
      <c r="KN191" s="394"/>
      <c r="KO191" s="394"/>
      <c r="KP191" s="394"/>
      <c r="KQ191" s="394"/>
      <c r="KR191" s="394"/>
      <c r="KS191" s="394"/>
      <c r="KT191" s="394"/>
      <c r="KU191" s="394"/>
      <c r="KV191" s="394"/>
      <c r="KW191" s="394"/>
      <c r="KX191" s="394"/>
      <c r="KY191" s="394"/>
      <c r="KZ191" s="394"/>
      <c r="LA191" s="394"/>
      <c r="LB191" s="394"/>
      <c r="LC191" s="394"/>
      <c r="LD191" s="394"/>
      <c r="LE191" s="394"/>
      <c r="LF191" s="394"/>
      <c r="LG191" s="394"/>
      <c r="LH191" s="394"/>
      <c r="LI191" s="394"/>
      <c r="LJ191" s="394"/>
      <c r="LK191" s="394"/>
      <c r="LL191" s="394"/>
      <c r="LM191" s="394"/>
      <c r="LN191" s="394"/>
      <c r="LO191" s="394"/>
      <c r="LP191" s="394"/>
      <c r="LQ191" s="394"/>
      <c r="LR191" s="394"/>
      <c r="LS191" s="394"/>
      <c r="LT191" s="394"/>
      <c r="LU191" s="394"/>
      <c r="LV191" s="394"/>
      <c r="LW191" s="394"/>
      <c r="LX191" s="394"/>
      <c r="LY191" s="394"/>
      <c r="LZ191" s="394"/>
      <c r="MA191" s="394"/>
      <c r="MB191" s="394"/>
      <c r="MC191" s="394"/>
      <c r="MD191" s="394"/>
      <c r="ME191" s="394"/>
      <c r="MF191" s="394"/>
      <c r="MG191" s="394"/>
      <c r="MH191" s="394"/>
      <c r="MI191" s="394"/>
      <c r="MJ191" s="394"/>
      <c r="MK191" s="394"/>
      <c r="ML191" s="394"/>
      <c r="MM191" s="394"/>
      <c r="MN191" s="394"/>
      <c r="MO191" s="394"/>
      <c r="MP191" s="394"/>
      <c r="MQ191" s="394"/>
      <c r="MR191" s="394"/>
      <c r="MS191" s="394"/>
      <c r="MT191" s="394"/>
      <c r="MU191" s="394"/>
      <c r="MV191" s="394"/>
      <c r="MW191" s="394"/>
      <c r="MX191" s="394"/>
      <c r="MY191" s="394"/>
      <c r="MZ191" s="394"/>
      <c r="NA191" s="394"/>
      <c r="NB191" s="394"/>
      <c r="NC191" s="394"/>
      <c r="ND191" s="394"/>
      <c r="NE191" s="394"/>
      <c r="NF191" s="394"/>
      <c r="NG191" s="394"/>
      <c r="NH191" s="394"/>
      <c r="NI191" s="394"/>
      <c r="NJ191" s="394"/>
      <c r="NK191" s="394"/>
      <c r="NL191" s="394"/>
      <c r="NM191" s="394"/>
      <c r="NN191" s="394"/>
      <c r="NO191" s="394"/>
      <c r="NP191" s="394"/>
      <c r="NQ191" s="394"/>
      <c r="NR191" s="394"/>
      <c r="NS191" s="394"/>
      <c r="NT191" s="394"/>
      <c r="NU191" s="394"/>
      <c r="NV191" s="394"/>
      <c r="NW191" s="394"/>
      <c r="NX191" s="394"/>
      <c r="NY191" s="394"/>
      <c r="NZ191" s="394"/>
      <c r="OA191" s="394"/>
      <c r="OB191" s="394"/>
      <c r="OC191" s="394"/>
      <c r="OD191" s="394"/>
      <c r="OE191" s="394"/>
      <c r="OF191" s="394"/>
      <c r="OG191" s="394"/>
      <c r="OH191" s="394"/>
      <c r="OI191" s="394"/>
      <c r="OJ191" s="394"/>
      <c r="OK191" s="394"/>
      <c r="OL191" s="394"/>
      <c r="OM191" s="394"/>
      <c r="ON191" s="394"/>
      <c r="OO191" s="394"/>
      <c r="OP191" s="394"/>
      <c r="OQ191" s="394"/>
      <c r="OR191" s="394"/>
      <c r="OS191" s="394"/>
      <c r="OT191" s="394"/>
      <c r="OU191" s="394"/>
      <c r="OV191" s="394"/>
      <c r="OW191" s="394"/>
      <c r="OX191" s="394"/>
      <c r="OY191" s="394"/>
      <c r="OZ191" s="394"/>
      <c r="PA191" s="394"/>
      <c r="PB191" s="394"/>
      <c r="PC191" s="394"/>
      <c r="PD191" s="394"/>
      <c r="PE191" s="394"/>
      <c r="PF191" s="394"/>
      <c r="PG191" s="394"/>
      <c r="PH191" s="394"/>
      <c r="PI191" s="394"/>
      <c r="PJ191" s="394"/>
      <c r="PK191" s="394"/>
      <c r="PL191" s="394"/>
      <c r="PM191" s="394"/>
      <c r="PN191" s="394"/>
      <c r="PO191" s="394"/>
      <c r="PP191" s="394"/>
      <c r="PQ191" s="394"/>
      <c r="PR191" s="394"/>
      <c r="PS191" s="394"/>
      <c r="PT191" s="394"/>
      <c r="PU191" s="394"/>
      <c r="PV191" s="394"/>
      <c r="PW191" s="394"/>
      <c r="PX191" s="394"/>
      <c r="PY191" s="394"/>
      <c r="PZ191" s="394"/>
      <c r="QA191" s="394"/>
      <c r="QB191" s="394"/>
      <c r="QC191" s="394"/>
      <c r="QD191" s="394"/>
      <c r="QE191" s="394"/>
      <c r="QF191" s="394"/>
      <c r="QG191" s="394"/>
      <c r="QH191" s="394"/>
      <c r="QI191" s="394"/>
      <c r="QJ191" s="394"/>
      <c r="QK191" s="394"/>
      <c r="QL191" s="394"/>
      <c r="QM191" s="394"/>
      <c r="QN191" s="394"/>
      <c r="QO191" s="394"/>
      <c r="QP191" s="394"/>
      <c r="QQ191" s="394"/>
      <c r="QR191" s="394"/>
      <c r="QS191" s="394"/>
      <c r="QT191" s="394"/>
      <c r="QU191" s="394"/>
      <c r="QV191" s="394"/>
      <c r="QW191" s="394"/>
      <c r="QX191" s="394"/>
      <c r="QY191" s="394"/>
      <c r="QZ191" s="394"/>
      <c r="RA191" s="394"/>
      <c r="RB191" s="394"/>
      <c r="RC191" s="394"/>
      <c r="RD191" s="394"/>
      <c r="RE191" s="394"/>
      <c r="RF191" s="394"/>
      <c r="RG191" s="394"/>
      <c r="RH191" s="394"/>
      <c r="RI191" s="394"/>
      <c r="RJ191" s="394"/>
      <c r="RK191" s="394"/>
      <c r="RL191" s="394"/>
      <c r="RM191" s="394"/>
      <c r="RN191" s="394"/>
      <c r="RO191" s="394"/>
      <c r="RP191" s="394"/>
      <c r="RQ191" s="394"/>
      <c r="RR191" s="394"/>
      <c r="RS191" s="394"/>
      <c r="RT191" s="394"/>
      <c r="RU191" s="394"/>
      <c r="RV191" s="394"/>
      <c r="RW191" s="394"/>
      <c r="RX191" s="394"/>
      <c r="RY191" s="394"/>
      <c r="RZ191" s="394"/>
      <c r="SA191" s="394"/>
      <c r="SB191" s="394"/>
      <c r="SC191" s="394"/>
      <c r="SD191" s="394"/>
      <c r="SE191" s="394"/>
      <c r="SF191" s="394"/>
      <c r="SG191" s="394"/>
      <c r="SH191" s="394"/>
      <c r="SI191" s="394"/>
      <c r="SJ191" s="394"/>
      <c r="SK191" s="394"/>
      <c r="SL191" s="394"/>
      <c r="SM191" s="394"/>
      <c r="SN191" s="394"/>
      <c r="SO191" s="394"/>
      <c r="SP191" s="394"/>
      <c r="SQ191" s="394"/>
      <c r="SR191" s="394"/>
      <c r="SS191" s="394"/>
      <c r="ST191" s="394"/>
      <c r="SU191" s="394"/>
      <c r="SV191" s="394"/>
      <c r="SW191" s="394"/>
      <c r="SX191" s="394"/>
      <c r="SY191" s="394"/>
      <c r="SZ191" s="394"/>
      <c r="TA191" s="394"/>
      <c r="TB191" s="394"/>
      <c r="TC191" s="394"/>
      <c r="TD191" s="394"/>
      <c r="TE191" s="394"/>
      <c r="TF191" s="394"/>
      <c r="TG191" s="394"/>
      <c r="TH191" s="394"/>
      <c r="TI191" s="394"/>
      <c r="TJ191" s="394"/>
      <c r="TK191" s="394"/>
      <c r="TL191" s="394"/>
      <c r="TM191" s="394"/>
      <c r="TN191" s="394"/>
      <c r="TO191" s="394"/>
      <c r="TP191" s="394"/>
      <c r="TQ191" s="394"/>
      <c r="TR191" s="394"/>
      <c r="TS191" s="394"/>
      <c r="TT191" s="394"/>
      <c r="TU191" s="394"/>
      <c r="TV191" s="394"/>
      <c r="TW191" s="394"/>
      <c r="TX191" s="394"/>
      <c r="TY191" s="394"/>
      <c r="TZ191" s="394"/>
      <c r="UA191" s="394"/>
      <c r="UB191" s="394"/>
      <c r="UC191" s="394"/>
      <c r="UD191" s="394"/>
      <c r="UE191" s="394"/>
      <c r="UF191" s="394"/>
      <c r="UG191" s="394"/>
      <c r="UH191" s="394"/>
      <c r="UI191" s="394"/>
      <c r="UJ191" s="394"/>
      <c r="UK191" s="394"/>
      <c r="UL191" s="394"/>
      <c r="UM191" s="394"/>
      <c r="UN191" s="394"/>
      <c r="UO191" s="394"/>
      <c r="UP191" s="394"/>
      <c r="UQ191" s="394"/>
      <c r="UR191" s="394"/>
      <c r="US191" s="394"/>
      <c r="UT191" s="394"/>
      <c r="UU191" s="394"/>
      <c r="UV191" s="394"/>
      <c r="UW191" s="394"/>
      <c r="UX191" s="394"/>
      <c r="UY191" s="394"/>
      <c r="UZ191" s="394"/>
      <c r="VA191" s="394"/>
      <c r="VB191" s="394"/>
      <c r="VC191" s="394"/>
      <c r="VD191" s="394"/>
      <c r="VE191" s="394"/>
      <c r="VF191" s="394"/>
      <c r="VG191" s="394"/>
      <c r="VH191" s="394"/>
      <c r="VI191" s="394"/>
      <c r="VJ191" s="394"/>
      <c r="VK191" s="394"/>
      <c r="VL191" s="394"/>
      <c r="VM191" s="394"/>
      <c r="VN191" s="394"/>
      <c r="VO191" s="394"/>
      <c r="VP191" s="394"/>
      <c r="VQ191" s="394"/>
      <c r="VR191" s="394"/>
      <c r="VS191" s="394"/>
      <c r="VT191" s="394"/>
      <c r="VU191" s="394"/>
      <c r="VV191" s="394"/>
      <c r="VW191" s="394"/>
      <c r="VX191" s="394"/>
      <c r="VY191" s="394"/>
      <c r="VZ191" s="394"/>
      <c r="WA191" s="394"/>
      <c r="WB191" s="394"/>
      <c r="WC191" s="394"/>
      <c r="WD191" s="394"/>
      <c r="WE191" s="394"/>
      <c r="WF191" s="394"/>
      <c r="WG191" s="394"/>
      <c r="WH191" s="394"/>
      <c r="WI191" s="394"/>
      <c r="WJ191" s="394"/>
      <c r="WK191" s="394"/>
      <c r="WL191" s="394"/>
      <c r="WM191" s="394"/>
      <c r="WN191" s="394"/>
      <c r="WO191" s="394"/>
      <c r="WP191" s="394"/>
      <c r="WQ191" s="394"/>
      <c r="WR191" s="394"/>
      <c r="WS191" s="394"/>
      <c r="WT191" s="394"/>
      <c r="WU191" s="394"/>
      <c r="WV191" s="394"/>
      <c r="WW191" s="394"/>
      <c r="WX191" s="394"/>
      <c r="WY191" s="394"/>
      <c r="WZ191" s="394"/>
      <c r="XA191" s="394"/>
      <c r="XB191" s="394"/>
      <c r="XC191" s="394"/>
      <c r="XD191" s="394"/>
      <c r="XE191" s="394"/>
      <c r="XF191" s="394"/>
      <c r="XG191" s="394"/>
      <c r="XH191" s="394"/>
      <c r="XI191" s="394"/>
      <c r="XJ191" s="394"/>
      <c r="XK191" s="394"/>
      <c r="XL191" s="394"/>
      <c r="XM191" s="394"/>
      <c r="XN191" s="394"/>
      <c r="XO191" s="394"/>
      <c r="XP191" s="394"/>
      <c r="XQ191" s="394"/>
      <c r="XR191" s="394"/>
      <c r="XS191" s="394"/>
      <c r="XT191" s="394"/>
      <c r="XU191" s="394"/>
      <c r="XV191" s="394"/>
      <c r="XW191" s="394"/>
      <c r="XX191" s="394"/>
      <c r="XY191" s="394"/>
      <c r="XZ191" s="394"/>
      <c r="YA191" s="394"/>
      <c r="YB191" s="394"/>
      <c r="YC191" s="394"/>
      <c r="YD191" s="394"/>
      <c r="YE191" s="394"/>
      <c r="YF191" s="394"/>
      <c r="YG191" s="394"/>
      <c r="YH191" s="394"/>
      <c r="YI191" s="394"/>
      <c r="YJ191" s="394"/>
      <c r="YK191" s="394"/>
      <c r="YL191" s="394"/>
      <c r="YM191" s="394"/>
      <c r="YN191" s="394"/>
      <c r="YO191" s="394"/>
      <c r="YP191" s="394"/>
      <c r="YQ191" s="394"/>
      <c r="YR191" s="394"/>
      <c r="YS191" s="394"/>
      <c r="YT191" s="394"/>
      <c r="YU191" s="394"/>
      <c r="YV191" s="394"/>
      <c r="YW191" s="394"/>
      <c r="YX191" s="394"/>
      <c r="YY191" s="394"/>
      <c r="YZ191" s="394"/>
      <c r="ZA191" s="394"/>
      <c r="ZB191" s="394"/>
      <c r="ZC191" s="394"/>
      <c r="ZD191" s="394"/>
      <c r="ZE191" s="394"/>
      <c r="ZF191" s="394"/>
      <c r="ZG191" s="394"/>
      <c r="ZH191" s="394"/>
      <c r="ZI191" s="394"/>
      <c r="ZJ191" s="394"/>
      <c r="ZK191" s="394"/>
      <c r="ZL191" s="394"/>
      <c r="ZM191" s="394"/>
      <c r="ZN191" s="394"/>
      <c r="ZO191" s="394"/>
      <c r="ZP191" s="394"/>
      <c r="ZQ191" s="394"/>
      <c r="ZR191" s="394"/>
      <c r="ZS191" s="394"/>
      <c r="ZT191" s="394"/>
      <c r="ZU191" s="394"/>
      <c r="ZV191" s="394"/>
      <c r="ZW191" s="394"/>
      <c r="ZX191" s="394"/>
      <c r="ZY191" s="394"/>
      <c r="ZZ191" s="394"/>
      <c r="AAA191" s="394"/>
      <c r="AAB191" s="394"/>
      <c r="AAC191" s="394"/>
      <c r="AAD191" s="394"/>
      <c r="AAE191" s="394"/>
      <c r="AAF191" s="394"/>
      <c r="AAG191" s="394"/>
      <c r="AAH191" s="394"/>
      <c r="AAI191" s="394"/>
      <c r="AAJ191" s="394"/>
      <c r="AAK191" s="394"/>
      <c r="AAL191" s="394"/>
      <c r="AAM191" s="394"/>
      <c r="AAN191" s="394"/>
      <c r="AAO191" s="394"/>
      <c r="AAP191" s="394"/>
      <c r="AAQ191" s="394"/>
      <c r="AAR191" s="394"/>
      <c r="AAS191" s="394"/>
      <c r="AAT191" s="394"/>
      <c r="AAU191" s="394"/>
      <c r="AAV191" s="394"/>
      <c r="AAW191" s="394"/>
      <c r="AAX191" s="394"/>
      <c r="AAY191" s="394"/>
      <c r="AAZ191" s="394"/>
      <c r="ABA191" s="394"/>
      <c r="ABB191" s="394"/>
      <c r="ABC191" s="394"/>
      <c r="ABD191" s="394"/>
      <c r="ABE191" s="394"/>
      <c r="ABF191" s="394"/>
      <c r="ABG191" s="394"/>
      <c r="ABH191" s="394"/>
      <c r="ABI191" s="394"/>
      <c r="ABJ191" s="394"/>
      <c r="ABK191" s="394"/>
      <c r="ABL191" s="394"/>
      <c r="ABM191" s="394"/>
      <c r="ABN191" s="394"/>
      <c r="ABO191" s="394"/>
      <c r="ABP191" s="394"/>
      <c r="ABQ191" s="394"/>
      <c r="ABR191" s="394"/>
      <c r="ABS191" s="394"/>
      <c r="ABT191" s="394"/>
      <c r="ABU191" s="394"/>
      <c r="ABV191" s="394"/>
      <c r="ABW191" s="394"/>
      <c r="ABX191" s="394"/>
      <c r="ABY191" s="394"/>
      <c r="ABZ191" s="394"/>
      <c r="ACA191" s="394"/>
      <c r="ACB191" s="394"/>
      <c r="ACC191" s="394"/>
      <c r="ACD191" s="394"/>
      <c r="ACE191" s="394"/>
      <c r="ACF191" s="394"/>
      <c r="ACG191" s="394"/>
      <c r="ACH191" s="394"/>
      <c r="ACI191" s="394"/>
      <c r="ACJ191" s="394"/>
      <c r="ACK191" s="394"/>
      <c r="ACL191" s="394"/>
      <c r="ACM191" s="394"/>
      <c r="ACN191" s="394"/>
      <c r="ACO191" s="394"/>
      <c r="ACP191" s="394"/>
      <c r="ACQ191" s="394"/>
      <c r="ACR191" s="394"/>
      <c r="ACS191" s="394"/>
      <c r="ACT191" s="394"/>
      <c r="ACU191" s="394"/>
      <c r="ACV191" s="394"/>
      <c r="ACW191" s="394"/>
      <c r="ACX191" s="394"/>
      <c r="ACY191" s="394"/>
      <c r="ACZ191" s="394"/>
      <c r="ADA191" s="394"/>
      <c r="ADB191" s="394"/>
      <c r="ADC191" s="394"/>
      <c r="ADD191" s="394"/>
      <c r="ADE191" s="394"/>
      <c r="ADF191" s="394"/>
      <c r="ADG191" s="394"/>
      <c r="ADH191" s="394"/>
      <c r="ADI191" s="394"/>
      <c r="ADJ191" s="394"/>
      <c r="ADK191" s="394"/>
      <c r="ADL191" s="394"/>
      <c r="ADM191" s="394"/>
      <c r="ADN191" s="394"/>
      <c r="ADO191" s="394"/>
      <c r="ADP191" s="394"/>
      <c r="ADQ191" s="394"/>
      <c r="ADR191" s="394"/>
      <c r="ADS191" s="394"/>
      <c r="ADT191" s="394"/>
      <c r="ADU191" s="394"/>
      <c r="ADV191" s="394"/>
      <c r="ADW191" s="394"/>
      <c r="ADX191" s="394"/>
      <c r="ADY191" s="394"/>
      <c r="ADZ191" s="394"/>
      <c r="AEA191" s="394"/>
      <c r="AEB191" s="394"/>
      <c r="AEC191" s="394"/>
      <c r="AED191" s="394"/>
      <c r="AEE191" s="394"/>
      <c r="AEF191" s="394"/>
      <c r="AEG191" s="394"/>
      <c r="AEH191" s="394"/>
      <c r="AEI191" s="394"/>
      <c r="AEJ191" s="394"/>
      <c r="AEK191" s="394"/>
      <c r="AEL191" s="394"/>
      <c r="AEM191" s="394"/>
      <c r="AEN191" s="394"/>
      <c r="AEO191" s="394"/>
      <c r="AEP191" s="394"/>
      <c r="AEQ191" s="394"/>
      <c r="AER191" s="394"/>
      <c r="AES191" s="394"/>
      <c r="AET191" s="394"/>
      <c r="AEU191" s="394"/>
      <c r="AEV191" s="394"/>
      <c r="AEW191" s="394"/>
      <c r="AEX191" s="394"/>
      <c r="AEY191" s="394"/>
      <c r="AEZ191" s="394"/>
      <c r="AFA191" s="394"/>
      <c r="AFB191" s="394"/>
      <c r="AFC191" s="394"/>
      <c r="AFD191" s="394"/>
      <c r="AFE191" s="394"/>
      <c r="AFF191" s="394"/>
      <c r="AFG191" s="394"/>
      <c r="AFH191" s="394"/>
      <c r="AFI191" s="394"/>
      <c r="AFJ191" s="394"/>
      <c r="AFK191" s="394"/>
      <c r="AFL191" s="394"/>
      <c r="AFM191" s="394"/>
      <c r="AFN191" s="394"/>
      <c r="AFO191" s="394"/>
      <c r="AFP191" s="394"/>
      <c r="AFQ191" s="394"/>
      <c r="AFR191" s="394"/>
      <c r="AFS191" s="394"/>
      <c r="AFT191" s="394"/>
      <c r="AFU191" s="394"/>
      <c r="AFV191" s="394"/>
      <c r="AFW191" s="394"/>
      <c r="AFX191" s="394"/>
      <c r="AFY191" s="394"/>
      <c r="AFZ191" s="394"/>
      <c r="AGA191" s="394"/>
      <c r="AGB191" s="394"/>
      <c r="AGC191" s="394"/>
      <c r="AGD191" s="394"/>
      <c r="AGE191" s="394"/>
      <c r="AGF191" s="394"/>
      <c r="AGG191" s="394"/>
      <c r="AGH191" s="394"/>
      <c r="AGI191" s="394"/>
      <c r="AGJ191" s="394"/>
      <c r="AGK191" s="394"/>
      <c r="AGL191" s="394"/>
      <c r="AGM191" s="394"/>
      <c r="AGN191" s="394"/>
      <c r="AGO191" s="394"/>
      <c r="AGP191" s="394"/>
      <c r="AGQ191" s="394"/>
      <c r="AGR191" s="394"/>
      <c r="AGS191" s="394"/>
      <c r="AGT191" s="394"/>
      <c r="AGU191" s="394"/>
      <c r="AGV191" s="394"/>
      <c r="AGW191" s="394"/>
      <c r="AGX191" s="394"/>
      <c r="AGY191" s="394"/>
      <c r="AGZ191" s="394"/>
      <c r="AHA191" s="394"/>
      <c r="AHB191" s="394"/>
      <c r="AHC191" s="394"/>
      <c r="AHD191" s="394"/>
      <c r="AHE191" s="394"/>
      <c r="AHF191" s="394"/>
      <c r="AHG191" s="394"/>
      <c r="AHH191" s="394"/>
      <c r="AHI191" s="394"/>
      <c r="AHJ191" s="394"/>
      <c r="AHK191" s="394"/>
      <c r="AHL191" s="394"/>
      <c r="AHM191" s="394"/>
      <c r="AHN191" s="394"/>
      <c r="AHO191" s="394"/>
      <c r="AHP191" s="394"/>
      <c r="AHQ191" s="394"/>
      <c r="AHR191" s="394"/>
      <c r="AHS191" s="394"/>
      <c r="AHT191" s="394"/>
      <c r="AHU191" s="394"/>
      <c r="AHV191" s="394"/>
      <c r="AHW191" s="394"/>
      <c r="AHX191" s="394"/>
      <c r="AHY191" s="394"/>
      <c r="AHZ191" s="394"/>
      <c r="AIA191" s="394"/>
      <c r="AIB191" s="394"/>
      <c r="AIC191" s="394"/>
      <c r="AID191" s="394"/>
      <c r="AIE191" s="394"/>
      <c r="AIF191" s="394"/>
      <c r="AIG191" s="394"/>
      <c r="AIH191" s="394"/>
      <c r="AII191" s="394"/>
      <c r="AIJ191" s="394"/>
      <c r="AIK191" s="394"/>
      <c r="AIL191" s="394"/>
      <c r="AIM191" s="394"/>
      <c r="AIN191" s="394"/>
      <c r="AIO191" s="394"/>
      <c r="AIP191" s="394"/>
      <c r="AIQ191" s="394"/>
      <c r="AIR191" s="394"/>
      <c r="AIS191" s="394"/>
      <c r="AIT191" s="394"/>
      <c r="AIU191" s="394"/>
      <c r="AIV191" s="394"/>
      <c r="AIW191" s="394"/>
      <c r="AIX191" s="394"/>
      <c r="AIY191" s="394"/>
      <c r="AIZ191" s="394"/>
      <c r="AJA191" s="394"/>
      <c r="AJB191" s="394"/>
      <c r="AJC191" s="394"/>
      <c r="AJD191" s="394"/>
      <c r="AJE191" s="394"/>
      <c r="AJF191" s="394"/>
      <c r="AJG191" s="394"/>
      <c r="AJH191" s="394"/>
      <c r="AJI191" s="394"/>
      <c r="AJJ191" s="394"/>
      <c r="AJK191" s="394"/>
      <c r="AJL191" s="394"/>
      <c r="AJM191" s="394"/>
      <c r="AJN191" s="394"/>
      <c r="AJO191" s="394"/>
      <c r="AJP191" s="394"/>
      <c r="AJQ191" s="394"/>
      <c r="AJR191" s="394"/>
      <c r="AJS191" s="394"/>
      <c r="AJT191" s="394"/>
      <c r="AJU191" s="394"/>
      <c r="AJV191" s="394"/>
      <c r="AJW191" s="394"/>
      <c r="AJX191" s="394"/>
      <c r="AJY191" s="394"/>
      <c r="AJZ191" s="394"/>
      <c r="AKA191" s="394"/>
      <c r="AKB191" s="394"/>
      <c r="AKC191" s="394"/>
      <c r="AKD191" s="394"/>
      <c r="AKE191" s="394"/>
      <c r="AKF191" s="394"/>
      <c r="AKG191" s="394"/>
      <c r="AKH191" s="394"/>
      <c r="AKI191" s="394"/>
      <c r="AKJ191" s="394"/>
      <c r="AKK191" s="394"/>
      <c r="AKL191" s="394"/>
      <c r="AKM191" s="394"/>
      <c r="AKN191" s="394"/>
      <c r="AKO191" s="394"/>
      <c r="AKP191" s="394"/>
      <c r="AKQ191" s="394"/>
      <c r="AKR191" s="394"/>
      <c r="AKS191" s="394"/>
      <c r="AKT191" s="394"/>
      <c r="AKU191" s="394"/>
      <c r="AKV191" s="394"/>
      <c r="AKW191" s="394"/>
      <c r="AKX191" s="394"/>
      <c r="AKY191" s="394"/>
      <c r="AKZ191" s="394"/>
      <c r="ALA191" s="394"/>
      <c r="ALB191" s="394"/>
      <c r="ALC191" s="394"/>
      <c r="ALD191" s="394"/>
      <c r="ALE191" s="394"/>
      <c r="ALF191" s="394"/>
      <c r="ALG191" s="394"/>
      <c r="ALH191" s="394"/>
      <c r="ALI191" s="394"/>
      <c r="ALJ191" s="394"/>
      <c r="ALK191" s="394"/>
      <c r="ALL191" s="394"/>
      <c r="ALM191" s="394"/>
      <c r="ALN191" s="394"/>
      <c r="ALO191" s="394"/>
      <c r="ALP191" s="394"/>
      <c r="ALQ191" s="394"/>
      <c r="ALR191" s="394"/>
      <c r="ALS191" s="394"/>
      <c r="ALT191" s="394"/>
      <c r="ALU191" s="394"/>
      <c r="ALV191" s="394"/>
      <c r="ALW191" s="394"/>
      <c r="ALX191" s="394"/>
      <c r="ALY191" s="394"/>
      <c r="ALZ191" s="394"/>
      <c r="AMA191" s="394"/>
      <c r="AMB191" s="394"/>
      <c r="AMC191" s="394"/>
      <c r="AMD191" s="394"/>
      <c r="AME191" s="394"/>
      <c r="AMF191" s="394"/>
      <c r="AMG191" s="394"/>
      <c r="AMH191" s="394"/>
      <c r="AMI191" s="394"/>
      <c r="AMJ191" s="394"/>
      <c r="AMK191" s="394"/>
      <c r="AML191" s="394"/>
      <c r="AMM191" s="394"/>
      <c r="AMN191" s="394"/>
      <c r="AMO191" s="394"/>
      <c r="AMP191" s="394"/>
      <c r="AMQ191" s="394"/>
      <c r="AMR191" s="394"/>
      <c r="AMS191" s="394"/>
      <c r="AMT191" s="394"/>
      <c r="AMU191" s="394"/>
      <c r="AMV191" s="394"/>
      <c r="AMW191" s="394"/>
      <c r="AMX191" s="394"/>
      <c r="AMY191" s="394"/>
      <c r="AMZ191" s="394"/>
      <c r="ANA191" s="394"/>
      <c r="ANB191" s="394"/>
      <c r="ANC191" s="394"/>
      <c r="AND191" s="394"/>
      <c r="ANE191" s="394"/>
      <c r="ANF191" s="394"/>
      <c r="ANG191" s="394"/>
      <c r="ANH191" s="394"/>
      <c r="ANI191" s="394"/>
      <c r="ANJ191" s="394"/>
      <c r="ANK191" s="394"/>
      <c r="ANL191" s="394"/>
      <c r="ANM191" s="394"/>
      <c r="ANN191" s="394"/>
      <c r="ANO191" s="394"/>
      <c r="ANP191" s="394"/>
      <c r="ANQ191" s="394"/>
      <c r="ANR191" s="394"/>
      <c r="ANS191" s="394"/>
      <c r="ANT191" s="394"/>
      <c r="ANU191" s="394"/>
      <c r="ANV191" s="394"/>
      <c r="ANW191" s="394"/>
      <c r="ANX191" s="394"/>
      <c r="ANY191" s="394"/>
      <c r="ANZ191" s="394"/>
      <c r="AOA191" s="394"/>
      <c r="AOB191" s="394"/>
      <c r="AOC191" s="394"/>
      <c r="AOD191" s="394"/>
      <c r="AOE191" s="394"/>
      <c r="AOF191" s="394"/>
      <c r="AOG191" s="394"/>
      <c r="AOH191" s="394"/>
      <c r="AOI191" s="394"/>
      <c r="AOJ191" s="394"/>
      <c r="AOK191" s="394"/>
      <c r="AOL191" s="394"/>
      <c r="AOM191" s="394"/>
      <c r="AON191" s="394"/>
      <c r="AOO191" s="394"/>
      <c r="AOP191" s="394"/>
      <c r="AOQ191" s="394"/>
      <c r="AOR191" s="394"/>
      <c r="AOS191" s="394"/>
      <c r="AOT191" s="394"/>
      <c r="AOU191" s="394"/>
      <c r="AOV191" s="394"/>
      <c r="AOW191" s="394"/>
      <c r="AOX191" s="394"/>
      <c r="AOY191" s="394"/>
      <c r="AOZ191" s="394"/>
      <c r="APA191" s="394"/>
      <c r="APB191" s="394"/>
      <c r="APC191" s="394"/>
      <c r="APD191" s="394"/>
      <c r="APE191" s="394"/>
      <c r="APF191" s="394"/>
      <c r="APG191" s="394"/>
      <c r="APH191" s="394"/>
      <c r="API191" s="394"/>
      <c r="APJ191" s="394"/>
      <c r="APK191" s="394"/>
      <c r="APL191" s="394"/>
      <c r="APM191" s="394"/>
      <c r="APN191" s="394"/>
      <c r="APO191" s="394"/>
      <c r="APP191" s="394"/>
      <c r="APQ191" s="394"/>
      <c r="APR191" s="394"/>
      <c r="APS191" s="394"/>
      <c r="APT191" s="394"/>
      <c r="APU191" s="394"/>
      <c r="APV191" s="394"/>
      <c r="APW191" s="394"/>
      <c r="APX191" s="394"/>
      <c r="APY191" s="394"/>
      <c r="APZ191" s="394"/>
      <c r="AQA191" s="394"/>
      <c r="AQB191" s="394"/>
      <c r="AQC191" s="394"/>
      <c r="AQD191" s="394"/>
      <c r="AQE191" s="394"/>
      <c r="AQF191" s="394"/>
      <c r="AQG191" s="394"/>
      <c r="AQH191" s="394"/>
      <c r="AQI191" s="394"/>
      <c r="AQJ191" s="394"/>
      <c r="AQK191" s="394"/>
      <c r="AQL191" s="394"/>
      <c r="AQM191" s="394"/>
      <c r="AQN191" s="394"/>
      <c r="AQO191" s="394"/>
      <c r="AQP191" s="394"/>
      <c r="AQQ191" s="394"/>
      <c r="AQR191" s="394"/>
      <c r="AQS191" s="394"/>
      <c r="AQT191" s="394"/>
      <c r="AQU191" s="394"/>
      <c r="AQV191" s="394"/>
      <c r="AQW191" s="394"/>
      <c r="AQX191" s="394"/>
      <c r="AQY191" s="394"/>
      <c r="AQZ191" s="394"/>
      <c r="ARA191" s="394"/>
      <c r="ARB191" s="394"/>
      <c r="ARC191" s="394"/>
      <c r="ARD191" s="394"/>
      <c r="ARE191" s="394"/>
      <c r="ARF191" s="394"/>
      <c r="ARG191" s="394"/>
      <c r="ARH191" s="394"/>
      <c r="ARI191" s="394"/>
      <c r="ARJ191" s="394"/>
      <c r="ARK191" s="394"/>
      <c r="ARL191" s="394"/>
      <c r="ARM191" s="394"/>
      <c r="ARN191" s="394"/>
      <c r="ARO191" s="394"/>
      <c r="ARP191" s="394"/>
      <c r="ARQ191" s="394"/>
      <c r="ARR191" s="394"/>
      <c r="ARS191" s="394"/>
      <c r="ART191" s="394"/>
      <c r="ARU191" s="394"/>
      <c r="ARV191" s="394"/>
      <c r="ARW191" s="394"/>
      <c r="ARX191" s="394"/>
      <c r="ARY191" s="394"/>
      <c r="ARZ191" s="394"/>
      <c r="ASA191" s="394"/>
      <c r="ASB191" s="394"/>
      <c r="ASC191" s="394"/>
      <c r="ASD191" s="394"/>
      <c r="ASE191" s="394"/>
      <c r="ASF191" s="394"/>
      <c r="ASG191" s="394"/>
      <c r="ASH191" s="394"/>
      <c r="ASI191" s="394"/>
      <c r="ASJ191" s="394"/>
      <c r="ASK191" s="394"/>
      <c r="ASL191" s="394"/>
      <c r="ASM191" s="394"/>
      <c r="ASN191" s="394"/>
      <c r="ASO191" s="394"/>
      <c r="ASP191" s="394"/>
      <c r="ASQ191" s="394"/>
      <c r="ASR191" s="394"/>
      <c r="ASS191" s="394"/>
      <c r="AST191" s="394"/>
      <c r="ASU191" s="394"/>
      <c r="ASV191" s="394"/>
      <c r="ASW191" s="394"/>
      <c r="ASX191" s="394"/>
      <c r="ASY191" s="394"/>
      <c r="ASZ191" s="394"/>
      <c r="ATA191" s="394"/>
      <c r="ATB191" s="394"/>
      <c r="ATC191" s="394"/>
      <c r="ATD191" s="394"/>
      <c r="ATE191" s="394"/>
      <c r="ATF191" s="394"/>
      <c r="ATG191" s="394"/>
      <c r="ATH191" s="394"/>
      <c r="ATI191" s="394"/>
      <c r="ATJ191" s="394"/>
      <c r="ATK191" s="394"/>
      <c r="ATL191" s="394"/>
      <c r="ATM191" s="394"/>
      <c r="ATN191" s="394"/>
      <c r="ATO191" s="394"/>
      <c r="ATP191" s="394"/>
      <c r="ATQ191" s="394"/>
      <c r="ATR191" s="394"/>
      <c r="ATS191" s="394"/>
      <c r="ATT191" s="394"/>
      <c r="ATU191" s="394"/>
      <c r="ATV191" s="394"/>
      <c r="ATW191" s="394"/>
      <c r="ATX191" s="394"/>
      <c r="ATY191" s="394"/>
      <c r="ATZ191" s="394"/>
      <c r="AUA191" s="394"/>
      <c r="AUB191" s="394"/>
      <c r="AUC191" s="394"/>
      <c r="AUD191" s="394"/>
      <c r="AUE191" s="394"/>
      <c r="AUF191" s="394"/>
      <c r="AUG191" s="394"/>
      <c r="AUH191" s="394"/>
      <c r="AUI191" s="394"/>
      <c r="AUJ191" s="394"/>
      <c r="AUK191" s="394"/>
      <c r="AUL191" s="394"/>
      <c r="AUM191" s="394"/>
      <c r="AUN191" s="394"/>
      <c r="AUO191" s="394"/>
      <c r="AUP191" s="394"/>
      <c r="AUQ191" s="394"/>
      <c r="AUR191" s="394"/>
      <c r="AUS191" s="394"/>
      <c r="AUT191" s="394"/>
      <c r="AUU191" s="394"/>
      <c r="AUV191" s="394"/>
      <c r="AUW191" s="394"/>
      <c r="AUX191" s="394"/>
      <c r="AUY191" s="394"/>
      <c r="AUZ191" s="394"/>
      <c r="AVA191" s="394"/>
      <c r="AVB191" s="394"/>
      <c r="AVC191" s="394"/>
      <c r="AVD191" s="394"/>
      <c r="AVE191" s="394"/>
      <c r="AVF191" s="394"/>
      <c r="AVG191" s="394"/>
      <c r="AVH191" s="394"/>
      <c r="AVI191" s="394"/>
      <c r="AVJ191" s="394"/>
      <c r="AVK191" s="394"/>
      <c r="AVL191" s="394"/>
      <c r="AVM191" s="394"/>
      <c r="AVN191" s="394"/>
      <c r="AVO191" s="394"/>
      <c r="AVP191" s="394"/>
      <c r="AVQ191" s="394"/>
      <c r="AVR191" s="394"/>
      <c r="AVS191" s="394"/>
      <c r="AVT191" s="394"/>
      <c r="AVU191" s="394"/>
      <c r="AVV191" s="394"/>
      <c r="AVW191" s="394"/>
      <c r="AVX191" s="394"/>
      <c r="AVY191" s="394"/>
      <c r="AVZ191" s="394"/>
      <c r="AWA191" s="394"/>
      <c r="AWB191" s="394"/>
      <c r="AWC191" s="394"/>
      <c r="AWD191" s="394"/>
      <c r="AWE191" s="394"/>
      <c r="AWF191" s="394"/>
      <c r="AWG191" s="394"/>
      <c r="AWH191" s="394"/>
      <c r="AWI191" s="394"/>
      <c r="AWJ191" s="394"/>
      <c r="AWK191" s="394"/>
      <c r="AWL191" s="394"/>
      <c r="AWM191" s="394"/>
      <c r="AWN191" s="394"/>
      <c r="AWO191" s="394"/>
      <c r="AWP191" s="394"/>
      <c r="AWQ191" s="394"/>
      <c r="AWR191" s="394"/>
      <c r="AWS191" s="394"/>
      <c r="AWT191" s="394"/>
      <c r="AWU191" s="394"/>
      <c r="AWV191" s="394"/>
      <c r="AWW191" s="394"/>
      <c r="AWX191" s="394"/>
      <c r="AWY191" s="394"/>
      <c r="AWZ191" s="394"/>
      <c r="AXA191" s="394"/>
      <c r="AXB191" s="394"/>
      <c r="AXC191" s="394"/>
      <c r="AXD191" s="394"/>
      <c r="AXE191" s="394"/>
      <c r="AXF191" s="394"/>
      <c r="AXG191" s="394"/>
      <c r="AXH191" s="394"/>
      <c r="AXI191" s="394"/>
      <c r="AXJ191" s="394"/>
      <c r="AXK191" s="394"/>
      <c r="AXL191" s="394"/>
      <c r="AXM191" s="394"/>
      <c r="AXN191" s="394"/>
      <c r="AXO191" s="394"/>
      <c r="AXP191" s="394"/>
      <c r="AXQ191" s="394"/>
      <c r="AXR191" s="394"/>
      <c r="AXS191" s="394"/>
      <c r="AXT191" s="394"/>
      <c r="AXU191" s="394"/>
      <c r="AXV191" s="394"/>
      <c r="AXW191" s="394"/>
      <c r="AXX191" s="394"/>
      <c r="AXY191" s="394"/>
      <c r="AXZ191" s="394"/>
      <c r="AYA191" s="394"/>
      <c r="AYB191" s="394"/>
      <c r="AYC191" s="394"/>
      <c r="AYD191" s="394"/>
      <c r="AYE191" s="394"/>
      <c r="AYF191" s="394"/>
      <c r="AYG191" s="394"/>
      <c r="AYH191" s="394"/>
      <c r="AYI191" s="394"/>
      <c r="AYJ191" s="394"/>
      <c r="AYK191" s="394"/>
      <c r="AYL191" s="394"/>
      <c r="AYM191" s="394"/>
      <c r="AYN191" s="394"/>
      <c r="AYO191" s="394"/>
      <c r="AYP191" s="394"/>
      <c r="AYQ191" s="394"/>
      <c r="AYR191" s="394"/>
      <c r="AYS191" s="394"/>
      <c r="AYT191" s="394"/>
      <c r="AYU191" s="394"/>
      <c r="AYV191" s="394"/>
      <c r="AYW191" s="394"/>
      <c r="AYX191" s="394"/>
      <c r="AYY191" s="394"/>
      <c r="AYZ191" s="394"/>
      <c r="AZA191" s="394"/>
      <c r="AZB191" s="394"/>
      <c r="AZC191" s="394"/>
      <c r="AZD191" s="394"/>
      <c r="AZE191" s="394"/>
      <c r="AZF191" s="394"/>
      <c r="AZG191" s="394"/>
      <c r="AZH191" s="394"/>
      <c r="AZI191" s="394"/>
      <c r="AZJ191" s="394"/>
      <c r="AZK191" s="394"/>
      <c r="AZL191" s="394"/>
      <c r="AZM191" s="394"/>
      <c r="AZN191" s="394"/>
      <c r="AZO191" s="394"/>
      <c r="AZP191" s="394"/>
      <c r="AZQ191" s="394"/>
      <c r="AZR191" s="394"/>
      <c r="AZS191" s="394"/>
      <c r="AZT191" s="394"/>
      <c r="AZU191" s="394"/>
      <c r="AZV191" s="394"/>
      <c r="AZW191" s="394"/>
      <c r="AZX191" s="394"/>
      <c r="AZY191" s="394"/>
      <c r="AZZ191" s="394"/>
      <c r="BAA191" s="394"/>
      <c r="BAB191" s="394"/>
      <c r="BAC191" s="394"/>
      <c r="BAD191" s="394"/>
      <c r="BAE191" s="394"/>
      <c r="BAF191" s="394"/>
      <c r="BAG191" s="394"/>
      <c r="BAH191" s="394"/>
      <c r="BAI191" s="394"/>
      <c r="BAJ191" s="394"/>
      <c r="BAK191" s="394"/>
      <c r="BAL191" s="394"/>
      <c r="BAM191" s="394"/>
      <c r="BAN191" s="394"/>
      <c r="BAO191" s="394"/>
      <c r="BAP191" s="394"/>
      <c r="BAQ191" s="394"/>
      <c r="BAR191" s="394"/>
      <c r="BAS191" s="394"/>
      <c r="BAT191" s="394"/>
      <c r="BAU191" s="394"/>
      <c r="BAV191" s="394"/>
      <c r="BAW191" s="394"/>
      <c r="BAX191" s="394"/>
      <c r="BAY191" s="394"/>
      <c r="BAZ191" s="394"/>
      <c r="BBA191" s="394"/>
      <c r="BBB191" s="394"/>
      <c r="BBC191" s="394"/>
      <c r="BBD191" s="394"/>
      <c r="BBE191" s="394"/>
      <c r="BBF191" s="394"/>
      <c r="BBG191" s="394"/>
      <c r="BBH191" s="394"/>
      <c r="BBI191" s="394"/>
      <c r="BBJ191" s="394"/>
      <c r="BBK191" s="394"/>
      <c r="BBL191" s="394"/>
      <c r="BBM191" s="394"/>
      <c r="BBN191" s="394"/>
      <c r="BBO191" s="394"/>
      <c r="BBP191" s="394"/>
      <c r="BBQ191" s="394"/>
      <c r="BBR191" s="394"/>
      <c r="BBS191" s="394"/>
      <c r="BBT191" s="394"/>
      <c r="BBU191" s="394"/>
      <c r="BBV191" s="394"/>
      <c r="BBW191" s="394"/>
      <c r="BBX191" s="394"/>
      <c r="BBY191" s="394"/>
      <c r="BBZ191" s="394"/>
      <c r="BCA191" s="394"/>
      <c r="BCB191" s="394"/>
      <c r="BCC191" s="394"/>
      <c r="BCD191" s="394"/>
      <c r="BCE191" s="394"/>
      <c r="BCF191" s="394"/>
      <c r="BCG191" s="394"/>
      <c r="BCH191" s="394"/>
      <c r="BCI191" s="394"/>
      <c r="BCJ191" s="394"/>
      <c r="BCK191" s="394"/>
      <c r="BCL191" s="394"/>
      <c r="BCM191" s="394"/>
      <c r="BCN191" s="394"/>
      <c r="BCO191" s="394"/>
      <c r="BCP191" s="394"/>
      <c r="BCQ191" s="394"/>
      <c r="BCR191" s="394"/>
      <c r="BCS191" s="394"/>
      <c r="BCT191" s="394"/>
      <c r="BCU191" s="394"/>
      <c r="BCV191" s="394"/>
      <c r="BCW191" s="394"/>
      <c r="BCX191" s="394"/>
      <c r="BCY191" s="394"/>
      <c r="BCZ191" s="394"/>
      <c r="BDA191" s="394"/>
      <c r="BDB191" s="394"/>
      <c r="BDC191" s="394"/>
      <c r="BDD191" s="394"/>
      <c r="BDE191" s="394"/>
      <c r="BDF191" s="394"/>
      <c r="BDG191" s="394"/>
      <c r="BDH191" s="394"/>
      <c r="BDI191" s="394"/>
      <c r="BDJ191" s="394"/>
      <c r="BDK191" s="394"/>
      <c r="BDL191" s="394"/>
      <c r="BDM191" s="394"/>
      <c r="BDN191" s="394"/>
      <c r="BDO191" s="394"/>
      <c r="BDP191" s="394"/>
      <c r="BDQ191" s="394"/>
      <c r="BDR191" s="394"/>
      <c r="BDS191" s="394"/>
      <c r="BDT191" s="394"/>
      <c r="BDU191" s="394"/>
      <c r="BDV191" s="394"/>
      <c r="BDW191" s="394"/>
      <c r="BDX191" s="394"/>
      <c r="BDY191" s="394"/>
      <c r="BDZ191" s="394"/>
      <c r="BEA191" s="394"/>
      <c r="BEB191" s="394"/>
      <c r="BEC191" s="394"/>
      <c r="BED191" s="394"/>
      <c r="BEE191" s="394"/>
      <c r="BEF191" s="394"/>
      <c r="BEG191" s="394"/>
      <c r="BEH191" s="394"/>
      <c r="BEI191" s="394"/>
      <c r="BEJ191" s="394"/>
      <c r="BEK191" s="394"/>
      <c r="BEL191" s="394"/>
      <c r="BEM191" s="394"/>
      <c r="BEN191" s="394"/>
      <c r="BEO191" s="394"/>
      <c r="BEP191" s="394"/>
      <c r="BEQ191" s="394"/>
      <c r="BER191" s="394"/>
      <c r="BES191" s="394"/>
      <c r="BET191" s="394"/>
      <c r="BEU191" s="394"/>
      <c r="BEV191" s="394"/>
      <c r="BEW191" s="394"/>
      <c r="BEX191" s="394"/>
      <c r="BEY191" s="394"/>
      <c r="BEZ191" s="394"/>
      <c r="BFA191" s="394"/>
      <c r="BFB191" s="394"/>
      <c r="BFC191" s="394"/>
      <c r="BFD191" s="394"/>
      <c r="BFE191" s="394"/>
      <c r="BFF191" s="394"/>
      <c r="BFG191" s="394"/>
      <c r="BFH191" s="394"/>
      <c r="BFI191" s="394"/>
      <c r="BFJ191" s="394"/>
      <c r="BFK191" s="394"/>
      <c r="BFL191" s="394"/>
      <c r="BFM191" s="394"/>
      <c r="BFN191" s="394"/>
      <c r="BFO191" s="394"/>
      <c r="BFP191" s="394"/>
      <c r="BFQ191" s="394"/>
      <c r="BFR191" s="394"/>
      <c r="BFS191" s="394"/>
      <c r="BFT191" s="394"/>
      <c r="BFU191" s="394"/>
      <c r="BFV191" s="394"/>
      <c r="BFW191" s="394"/>
      <c r="BFX191" s="394"/>
      <c r="BFY191" s="394"/>
      <c r="BFZ191" s="394"/>
      <c r="BGA191" s="394"/>
      <c r="BGB191" s="394"/>
      <c r="BGC191" s="394"/>
      <c r="BGD191" s="394"/>
      <c r="BGE191" s="394"/>
      <c r="BGF191" s="394"/>
      <c r="BGG191" s="394"/>
      <c r="BGH191" s="394"/>
      <c r="BGI191" s="394"/>
      <c r="BGJ191" s="394"/>
      <c r="BGK191" s="394"/>
      <c r="BGL191" s="394"/>
      <c r="BGM191" s="394"/>
      <c r="BGN191" s="394"/>
      <c r="BGO191" s="394"/>
      <c r="BGP191" s="394"/>
      <c r="BGQ191" s="394"/>
      <c r="BGR191" s="394"/>
      <c r="BGS191" s="394"/>
      <c r="BGT191" s="394"/>
      <c r="BGU191" s="394"/>
      <c r="BGV191" s="394"/>
      <c r="BGW191" s="394"/>
      <c r="BGX191" s="394"/>
      <c r="BGY191" s="394"/>
      <c r="BGZ191" s="394"/>
      <c r="BHA191" s="394"/>
      <c r="BHB191" s="394"/>
      <c r="BHC191" s="394"/>
      <c r="BHD191" s="394"/>
      <c r="BHE191" s="394"/>
      <c r="BHF191" s="394"/>
      <c r="BHG191" s="394"/>
      <c r="BHH191" s="394"/>
      <c r="BHI191" s="394"/>
      <c r="BHJ191" s="394"/>
      <c r="BHK191" s="394"/>
      <c r="BHL191" s="394"/>
      <c r="BHM191" s="394"/>
      <c r="BHN191" s="394"/>
      <c r="BHO191" s="394"/>
      <c r="BHP191" s="394"/>
      <c r="BHQ191" s="394"/>
      <c r="BHR191" s="394"/>
      <c r="BHS191" s="394"/>
      <c r="BHT191" s="394"/>
      <c r="BHU191" s="394"/>
      <c r="BHV191" s="394"/>
      <c r="BHW191" s="394"/>
      <c r="BHX191" s="394"/>
      <c r="BHY191" s="394"/>
      <c r="BHZ191" s="394"/>
      <c r="BIA191" s="394"/>
      <c r="BIB191" s="394"/>
      <c r="BIC191" s="394"/>
      <c r="BID191" s="394"/>
      <c r="BIE191" s="394"/>
      <c r="BIF191" s="394"/>
      <c r="BIG191" s="394"/>
      <c r="BIH191" s="394"/>
      <c r="BII191" s="394"/>
      <c r="BIJ191" s="394"/>
      <c r="BIK191" s="394"/>
      <c r="BIL191" s="394"/>
      <c r="BIM191" s="394"/>
      <c r="BIN191" s="394"/>
      <c r="BIO191" s="394"/>
      <c r="BIP191" s="394"/>
      <c r="BIQ191" s="394"/>
      <c r="BIR191" s="394"/>
      <c r="BIS191" s="394"/>
      <c r="BIT191" s="394"/>
      <c r="BIU191" s="394"/>
      <c r="BIV191" s="394"/>
      <c r="BIW191" s="394"/>
      <c r="BIX191" s="394"/>
      <c r="BIY191" s="394"/>
      <c r="BIZ191" s="394"/>
      <c r="BJA191" s="394"/>
      <c r="BJB191" s="394"/>
      <c r="BJC191" s="394"/>
      <c r="BJD191" s="394"/>
      <c r="BJE191" s="394"/>
      <c r="BJF191" s="394"/>
      <c r="BJG191" s="394"/>
      <c r="BJH191" s="394"/>
      <c r="BJI191" s="394"/>
      <c r="BJJ191" s="394"/>
      <c r="BJK191" s="394"/>
      <c r="BJL191" s="394"/>
      <c r="BJM191" s="394"/>
      <c r="BJN191" s="394"/>
      <c r="BJO191" s="394"/>
      <c r="BJP191" s="394"/>
      <c r="BJQ191" s="394"/>
      <c r="BJR191" s="394"/>
      <c r="BJS191" s="394"/>
      <c r="BJT191" s="394"/>
      <c r="BJU191" s="394"/>
      <c r="BJV191" s="394"/>
      <c r="BJW191" s="394"/>
      <c r="BJX191" s="394"/>
      <c r="BJY191" s="394"/>
      <c r="BJZ191" s="394"/>
      <c r="BKA191" s="394"/>
      <c r="BKB191" s="394"/>
      <c r="BKC191" s="394"/>
      <c r="BKD191" s="394"/>
      <c r="BKE191" s="394"/>
      <c r="BKF191" s="394"/>
      <c r="BKG191" s="394"/>
      <c r="BKH191" s="394"/>
      <c r="BKI191" s="394"/>
      <c r="BKJ191" s="394"/>
      <c r="BKK191" s="394"/>
      <c r="BKL191" s="394"/>
      <c r="BKM191" s="394"/>
      <c r="BKN191" s="394"/>
      <c r="BKO191" s="394"/>
      <c r="BKP191" s="394"/>
      <c r="BKQ191" s="394"/>
      <c r="BKR191" s="394"/>
      <c r="BKS191" s="394"/>
      <c r="BKT191" s="394"/>
      <c r="BKU191" s="394"/>
      <c r="BKV191" s="394"/>
      <c r="BKW191" s="394"/>
      <c r="BKX191" s="394"/>
      <c r="BKY191" s="394"/>
      <c r="BKZ191" s="394"/>
      <c r="BLA191" s="394"/>
      <c r="BLB191" s="394"/>
      <c r="BLC191" s="394"/>
      <c r="BLD191" s="394"/>
      <c r="BLE191" s="394"/>
      <c r="BLF191" s="394"/>
      <c r="BLG191" s="394"/>
      <c r="BLH191" s="394"/>
      <c r="BLI191" s="394"/>
      <c r="BLJ191" s="394"/>
      <c r="BLK191" s="394"/>
      <c r="BLL191" s="394"/>
      <c r="BLM191" s="394"/>
      <c r="BLN191" s="394"/>
      <c r="BLO191" s="394"/>
      <c r="BLP191" s="394"/>
      <c r="BLQ191" s="394"/>
      <c r="BLR191" s="394"/>
      <c r="BLS191" s="394"/>
      <c r="BLT191" s="394"/>
      <c r="BLU191" s="394"/>
      <c r="BLV191" s="394"/>
      <c r="BLW191" s="394"/>
      <c r="BLX191" s="394"/>
      <c r="BLY191" s="394"/>
      <c r="BLZ191" s="394"/>
      <c r="BMA191" s="394"/>
      <c r="BMB191" s="394"/>
      <c r="BMC191" s="394"/>
      <c r="BMD191" s="394"/>
      <c r="BME191" s="394"/>
      <c r="BMF191" s="394"/>
      <c r="BMG191" s="394"/>
      <c r="BMH191" s="394"/>
      <c r="BMI191" s="394"/>
      <c r="BMJ191" s="394"/>
      <c r="BMK191" s="394"/>
      <c r="BML191" s="394"/>
      <c r="BMM191" s="394"/>
      <c r="BMN191" s="394"/>
      <c r="BMO191" s="394"/>
      <c r="BMP191" s="394"/>
      <c r="BMQ191" s="394"/>
      <c r="BMR191" s="394"/>
      <c r="BMS191" s="394"/>
      <c r="BMT191" s="394"/>
      <c r="BMU191" s="394"/>
      <c r="BMV191" s="394"/>
      <c r="BMW191" s="394"/>
      <c r="BMX191" s="394"/>
      <c r="BMY191" s="394"/>
      <c r="BMZ191" s="394"/>
      <c r="BNA191" s="394"/>
      <c r="BNB191" s="394"/>
      <c r="BNC191" s="394"/>
      <c r="BND191" s="394"/>
      <c r="BNE191" s="394"/>
      <c r="BNF191" s="394"/>
      <c r="BNG191" s="394"/>
      <c r="BNH191" s="394"/>
      <c r="BNI191" s="394"/>
      <c r="BNJ191" s="394"/>
      <c r="BNK191" s="394"/>
      <c r="BNL191" s="394"/>
      <c r="BNM191" s="394"/>
      <c r="BNN191" s="394"/>
      <c r="BNO191" s="394"/>
      <c r="BNP191" s="394"/>
      <c r="BNQ191" s="394"/>
      <c r="BNR191" s="394"/>
      <c r="BNS191" s="394"/>
      <c r="BNT191" s="394"/>
      <c r="BNU191" s="394"/>
      <c r="BNV191" s="394"/>
      <c r="BNW191" s="394"/>
      <c r="BNX191" s="394"/>
      <c r="BNY191" s="394"/>
      <c r="BNZ191" s="394"/>
      <c r="BOA191" s="394"/>
      <c r="BOB191" s="394"/>
      <c r="BOC191" s="394"/>
      <c r="BOD191" s="394"/>
      <c r="BOE191" s="394"/>
      <c r="BOF191" s="394"/>
      <c r="BOG191" s="394"/>
      <c r="BOH191" s="394"/>
      <c r="BOI191" s="394"/>
      <c r="BOJ191" s="394"/>
      <c r="BOK191" s="394"/>
      <c r="BOL191" s="394"/>
      <c r="BOM191" s="394"/>
      <c r="BON191" s="394"/>
      <c r="BOO191" s="394"/>
      <c r="BOP191" s="394"/>
      <c r="BOQ191" s="394"/>
      <c r="BOR191" s="394"/>
      <c r="BOS191" s="394"/>
      <c r="BOT191" s="394"/>
      <c r="BOU191" s="394"/>
      <c r="BOV191" s="394"/>
      <c r="BOW191" s="394"/>
      <c r="BOX191" s="394"/>
      <c r="BOY191" s="394"/>
      <c r="BOZ191" s="394"/>
      <c r="BPA191" s="394"/>
      <c r="BPB191" s="394"/>
      <c r="BPC191" s="394"/>
      <c r="BPD191" s="394"/>
      <c r="BPE191" s="394"/>
      <c r="BPF191" s="394"/>
      <c r="BPG191" s="394"/>
      <c r="BPH191" s="394"/>
      <c r="BPI191" s="394"/>
      <c r="BPJ191" s="394"/>
      <c r="BPK191" s="394"/>
      <c r="BPL191" s="394"/>
      <c r="BPM191" s="394"/>
      <c r="BPN191" s="394"/>
      <c r="BPO191" s="394"/>
      <c r="BPP191" s="394"/>
      <c r="BPQ191" s="394"/>
      <c r="BPR191" s="394"/>
      <c r="BPS191" s="394"/>
      <c r="BPT191" s="394"/>
      <c r="BPU191" s="394"/>
      <c r="BPV191" s="394"/>
      <c r="BPW191" s="394"/>
      <c r="BPX191" s="394"/>
      <c r="BPY191" s="394"/>
      <c r="BPZ191" s="394"/>
      <c r="BQA191" s="394"/>
      <c r="BQB191" s="394"/>
      <c r="BQC191" s="394"/>
      <c r="BQD191" s="394"/>
      <c r="BQE191" s="394"/>
      <c r="BQF191" s="394"/>
      <c r="BQG191" s="394"/>
      <c r="BQH191" s="394"/>
      <c r="BQI191" s="394"/>
      <c r="BQJ191" s="394"/>
      <c r="BQK191" s="394"/>
      <c r="BQL191" s="394"/>
      <c r="BQM191" s="394"/>
      <c r="BQN191" s="394"/>
      <c r="BQO191" s="394"/>
      <c r="BQP191" s="394"/>
      <c r="BQQ191" s="394"/>
      <c r="BQR191" s="394"/>
      <c r="BQS191" s="394"/>
      <c r="BQT191" s="394"/>
      <c r="BQU191" s="394"/>
      <c r="BQV191" s="394"/>
      <c r="BQW191" s="394"/>
      <c r="BQX191" s="394"/>
      <c r="BQY191" s="394"/>
      <c r="BQZ191" s="394"/>
      <c r="BRA191" s="394"/>
      <c r="BRB191" s="394"/>
      <c r="BRC191" s="394"/>
      <c r="BRD191" s="394"/>
      <c r="BRE191" s="394"/>
      <c r="BRF191" s="394"/>
      <c r="BRG191" s="394"/>
      <c r="BRH191" s="394"/>
      <c r="BRI191" s="394"/>
      <c r="BRJ191" s="394"/>
      <c r="BRK191" s="394"/>
      <c r="BRL191" s="394"/>
      <c r="BRM191" s="394"/>
      <c r="BRN191" s="394"/>
      <c r="BRO191" s="394"/>
      <c r="BRP191" s="394"/>
      <c r="BRQ191" s="394"/>
      <c r="BRR191" s="394"/>
      <c r="BRS191" s="394"/>
      <c r="BRT191" s="394"/>
      <c r="BRU191" s="394"/>
      <c r="BRV191" s="394"/>
      <c r="BRW191" s="394"/>
      <c r="BRX191" s="394"/>
      <c r="BRY191" s="394"/>
      <c r="BRZ191" s="394"/>
      <c r="BSA191" s="394"/>
      <c r="BSB191" s="394"/>
      <c r="BSC191" s="394"/>
      <c r="BSD191" s="394"/>
      <c r="BSE191" s="394"/>
      <c r="BSF191" s="394"/>
      <c r="BSG191" s="394"/>
      <c r="BSH191" s="394"/>
      <c r="BSI191" s="394"/>
      <c r="BSJ191" s="394"/>
      <c r="BSK191" s="394"/>
      <c r="BSL191" s="394"/>
      <c r="BSM191" s="394"/>
      <c r="BSN191" s="394"/>
      <c r="BSO191" s="394"/>
      <c r="BSP191" s="394"/>
      <c r="BSQ191" s="394"/>
      <c r="BSR191" s="394"/>
      <c r="BSS191" s="394"/>
      <c r="BST191" s="394"/>
      <c r="BSU191" s="394"/>
      <c r="BSV191" s="394"/>
      <c r="BSW191" s="394"/>
      <c r="BSX191" s="394"/>
      <c r="BSY191" s="394"/>
      <c r="BSZ191" s="394"/>
      <c r="BTA191" s="394"/>
      <c r="BTB191" s="394"/>
      <c r="BTC191" s="394"/>
      <c r="BTD191" s="394"/>
      <c r="BTE191" s="394"/>
      <c r="BTF191" s="394"/>
      <c r="BTG191" s="394"/>
      <c r="BTH191" s="394"/>
      <c r="BTI191" s="394"/>
    </row>
    <row r="192" spans="1:1881" s="317" customFormat="1" ht="60" customHeight="1" x14ac:dyDescent="0.25">
      <c r="A192" s="188">
        <v>526</v>
      </c>
      <c r="B192" s="150" t="s">
        <v>593</v>
      </c>
      <c r="C192" s="184" t="s">
        <v>234</v>
      </c>
      <c r="D192" s="178" t="s">
        <v>46</v>
      </c>
      <c r="E192" s="32" t="e">
        <f>HLOOKUP($D$2,'2019 Data(H)'!$C$1:$CP$300,176,FALSE)</f>
        <v>#N/A</v>
      </c>
      <c r="F192" s="589"/>
      <c r="G192" s="581">
        <f>IF(F192&lt;0,"Error: Enter as positive.",)</f>
        <v>0</v>
      </c>
      <c r="H192" s="13"/>
      <c r="I192" s="31"/>
      <c r="J192" s="394"/>
      <c r="K192" s="394"/>
      <c r="L192" s="394"/>
      <c r="M192" s="394"/>
      <c r="N192"/>
      <c r="O192" s="394"/>
      <c r="P192" s="394"/>
      <c r="Q192" s="394"/>
      <c r="R192" s="394"/>
      <c r="S192" s="394"/>
      <c r="T192" s="394"/>
      <c r="U192" s="394"/>
      <c r="V192" s="394"/>
      <c r="W192" s="394"/>
      <c r="X192" s="394"/>
      <c r="Y192" s="394"/>
      <c r="Z192" s="394"/>
      <c r="AA192" s="394"/>
      <c r="AB192" s="394"/>
      <c r="AC192" s="394"/>
      <c r="AD192" s="394"/>
      <c r="AE192" s="394"/>
      <c r="AF192" s="394"/>
      <c r="AG192" s="394"/>
      <c r="AH192" s="394"/>
      <c r="AI192" s="394"/>
      <c r="AJ192" s="394"/>
      <c r="AK192" s="394"/>
      <c r="AL192" s="394"/>
      <c r="AM192" s="394"/>
      <c r="AN192" s="394"/>
      <c r="AO192" s="394"/>
      <c r="AP192" s="394"/>
      <c r="AQ192" s="394"/>
      <c r="AR192" s="394"/>
      <c r="AS192" s="394"/>
      <c r="AT192" s="394"/>
      <c r="AU192" s="394"/>
      <c r="AV192" s="394"/>
      <c r="AW192" s="394"/>
      <c r="AX192" s="394"/>
      <c r="AY192" s="394"/>
      <c r="AZ192" s="394"/>
      <c r="BA192" s="394"/>
      <c r="BB192" s="394"/>
      <c r="BC192" s="394"/>
      <c r="BD192" s="394"/>
      <c r="BE192" s="394"/>
      <c r="BF192" s="394"/>
      <c r="BG192" s="394"/>
      <c r="BH192" s="394"/>
      <c r="BI192" s="394"/>
      <c r="BJ192" s="394"/>
      <c r="BK192" s="394"/>
      <c r="BL192" s="394"/>
      <c r="BM192" s="394"/>
      <c r="BN192" s="394"/>
      <c r="BO192" s="394"/>
      <c r="BP192" s="394"/>
      <c r="BQ192" s="394"/>
      <c r="BR192" s="394"/>
      <c r="BS192" s="394"/>
      <c r="BT192" s="394"/>
      <c r="BU192" s="394"/>
      <c r="BV192" s="394"/>
      <c r="BW192" s="394"/>
      <c r="BX192" s="394"/>
      <c r="BY192" s="394"/>
      <c r="BZ192" s="394"/>
      <c r="CA192" s="394"/>
      <c r="CB192" s="394"/>
      <c r="CC192" s="394"/>
      <c r="CD192" s="394"/>
      <c r="CE192" s="394"/>
      <c r="CF192" s="394"/>
      <c r="CG192" s="394"/>
      <c r="CH192" s="394"/>
      <c r="CI192" s="394"/>
      <c r="CJ192" s="394"/>
      <c r="CK192" s="394"/>
      <c r="CL192" s="394"/>
      <c r="CM192" s="394"/>
      <c r="CN192" s="394"/>
      <c r="CO192" s="394"/>
      <c r="CP192" s="394"/>
      <c r="CQ192" s="394"/>
      <c r="CR192" s="394"/>
      <c r="CS192" s="394"/>
      <c r="CT192" s="394"/>
      <c r="CU192" s="394"/>
      <c r="CV192" s="394"/>
      <c r="CW192" s="394"/>
      <c r="CX192" s="394"/>
      <c r="CY192" s="394"/>
      <c r="CZ192" s="394"/>
      <c r="DA192" s="394"/>
      <c r="DB192" s="394"/>
      <c r="DC192" s="394"/>
      <c r="DD192" s="394"/>
      <c r="DE192" s="394"/>
      <c r="DF192" s="394"/>
      <c r="DG192" s="394"/>
      <c r="DH192" s="394"/>
      <c r="DI192" s="394"/>
      <c r="DJ192" s="394"/>
      <c r="DK192" s="394"/>
      <c r="DL192" s="394"/>
      <c r="DM192" s="394"/>
      <c r="DN192" s="394"/>
      <c r="DO192" s="394"/>
      <c r="DP192" s="394"/>
      <c r="DQ192" s="394"/>
      <c r="DR192" s="394"/>
      <c r="DS192" s="394"/>
      <c r="DT192" s="394"/>
      <c r="DU192" s="394"/>
      <c r="DV192" s="394"/>
      <c r="DW192" s="394"/>
      <c r="DX192" s="394"/>
      <c r="DY192" s="394"/>
      <c r="DZ192" s="394"/>
      <c r="EA192" s="394"/>
      <c r="EB192" s="394"/>
      <c r="EC192" s="394"/>
      <c r="ED192" s="394"/>
      <c r="EE192" s="394"/>
      <c r="EF192" s="394"/>
      <c r="EG192" s="394"/>
      <c r="EH192" s="394"/>
      <c r="EI192" s="394"/>
      <c r="EJ192" s="394"/>
      <c r="EK192" s="394"/>
      <c r="EL192" s="394"/>
      <c r="EM192" s="394"/>
      <c r="EN192" s="394"/>
      <c r="EO192" s="394"/>
      <c r="EP192" s="394"/>
      <c r="EQ192" s="394"/>
      <c r="ER192" s="394"/>
      <c r="ES192" s="394"/>
      <c r="ET192" s="394"/>
      <c r="EU192" s="394"/>
      <c r="EV192" s="394"/>
      <c r="EW192" s="394"/>
      <c r="EX192" s="394"/>
      <c r="EY192" s="394"/>
      <c r="EZ192" s="394"/>
      <c r="FA192" s="394"/>
      <c r="FB192" s="394"/>
      <c r="FC192" s="394"/>
      <c r="FD192" s="394"/>
      <c r="FE192" s="394"/>
      <c r="FF192" s="394"/>
      <c r="FG192" s="394"/>
      <c r="FH192" s="394"/>
      <c r="FI192" s="394"/>
      <c r="FJ192" s="394"/>
      <c r="FK192" s="394"/>
      <c r="FL192" s="394"/>
      <c r="FM192" s="394"/>
      <c r="FN192" s="394"/>
      <c r="FO192" s="394"/>
      <c r="FP192" s="394"/>
      <c r="FQ192" s="394"/>
      <c r="FR192" s="394"/>
      <c r="FS192" s="394"/>
      <c r="FT192" s="394"/>
      <c r="FU192" s="394"/>
      <c r="FV192" s="394"/>
      <c r="FW192" s="394"/>
      <c r="FX192" s="394"/>
      <c r="FY192" s="394"/>
      <c r="FZ192" s="394"/>
      <c r="GA192" s="394"/>
      <c r="GB192" s="394"/>
      <c r="GC192" s="394"/>
      <c r="GD192" s="394"/>
      <c r="GE192" s="394"/>
      <c r="GF192" s="394"/>
      <c r="GG192" s="394"/>
      <c r="GH192" s="394"/>
      <c r="GI192" s="394"/>
      <c r="GJ192" s="394"/>
      <c r="GK192" s="394"/>
      <c r="GL192" s="394"/>
      <c r="GM192" s="394"/>
      <c r="GN192" s="394"/>
      <c r="GO192" s="394"/>
      <c r="GP192" s="394"/>
      <c r="GQ192" s="394"/>
      <c r="GR192" s="394"/>
      <c r="GS192" s="394"/>
      <c r="GT192" s="394"/>
      <c r="GU192" s="394"/>
      <c r="GV192" s="394"/>
      <c r="GW192" s="394"/>
      <c r="GX192" s="394"/>
      <c r="GY192" s="394"/>
      <c r="GZ192" s="394"/>
      <c r="HA192" s="394"/>
      <c r="HB192" s="394"/>
      <c r="HC192" s="394"/>
      <c r="HD192" s="394"/>
      <c r="HE192" s="394"/>
      <c r="HF192" s="394"/>
      <c r="HG192" s="394"/>
      <c r="HH192" s="394"/>
      <c r="HI192" s="394"/>
      <c r="HJ192" s="394"/>
      <c r="HK192" s="394"/>
      <c r="HL192" s="394"/>
      <c r="HM192" s="394"/>
      <c r="HN192" s="394"/>
      <c r="HO192" s="394"/>
      <c r="HP192" s="394"/>
      <c r="HQ192" s="394"/>
      <c r="HR192" s="394"/>
      <c r="HS192" s="394"/>
      <c r="HT192" s="394"/>
      <c r="HU192" s="394"/>
      <c r="HV192" s="394"/>
      <c r="HW192" s="394"/>
      <c r="HX192" s="394"/>
      <c r="HY192" s="394"/>
      <c r="HZ192" s="394"/>
      <c r="IA192" s="394"/>
      <c r="IB192" s="394"/>
      <c r="IC192" s="394"/>
      <c r="ID192" s="394"/>
      <c r="IE192" s="394"/>
      <c r="IF192" s="394"/>
      <c r="IG192" s="394"/>
      <c r="IH192" s="394"/>
      <c r="II192" s="394"/>
      <c r="IJ192" s="394"/>
      <c r="IK192" s="394"/>
      <c r="IL192" s="394"/>
      <c r="IM192" s="394"/>
      <c r="IN192" s="394"/>
      <c r="IO192" s="394"/>
      <c r="IP192" s="394"/>
      <c r="IQ192" s="394"/>
      <c r="IR192" s="394"/>
      <c r="IS192" s="394"/>
      <c r="IT192" s="394"/>
      <c r="IU192" s="394"/>
      <c r="IV192" s="394"/>
      <c r="IW192" s="394"/>
      <c r="IX192" s="394"/>
      <c r="IY192" s="394"/>
      <c r="IZ192" s="394"/>
      <c r="JA192" s="394"/>
      <c r="JB192" s="394"/>
      <c r="JC192" s="394"/>
      <c r="JD192" s="394"/>
      <c r="JE192" s="394"/>
      <c r="JF192" s="394"/>
      <c r="JG192" s="394"/>
      <c r="JH192" s="394"/>
      <c r="JI192" s="394"/>
      <c r="JJ192" s="394"/>
      <c r="JK192" s="394"/>
      <c r="JL192" s="394"/>
      <c r="JM192" s="394"/>
      <c r="JN192" s="394"/>
      <c r="JO192" s="394"/>
      <c r="JP192" s="394"/>
      <c r="JQ192" s="394"/>
      <c r="JR192" s="394"/>
      <c r="JS192" s="394"/>
      <c r="JT192" s="394"/>
      <c r="JU192" s="394"/>
      <c r="JV192" s="394"/>
      <c r="JW192" s="394"/>
      <c r="JX192" s="394"/>
      <c r="JY192" s="394"/>
      <c r="JZ192" s="394"/>
      <c r="KA192" s="394"/>
      <c r="KB192" s="394"/>
      <c r="KC192" s="394"/>
      <c r="KD192" s="394"/>
      <c r="KE192" s="394"/>
      <c r="KF192" s="394"/>
      <c r="KG192" s="394"/>
      <c r="KH192" s="394"/>
      <c r="KI192" s="394"/>
      <c r="KJ192" s="394"/>
      <c r="KK192" s="394"/>
      <c r="KL192" s="394"/>
      <c r="KM192" s="394"/>
      <c r="KN192" s="394"/>
      <c r="KO192" s="394"/>
      <c r="KP192" s="394"/>
      <c r="KQ192" s="394"/>
      <c r="KR192" s="394"/>
      <c r="KS192" s="394"/>
      <c r="KT192" s="394"/>
      <c r="KU192" s="394"/>
      <c r="KV192" s="394"/>
      <c r="KW192" s="394"/>
      <c r="KX192" s="394"/>
      <c r="KY192" s="394"/>
      <c r="KZ192" s="394"/>
      <c r="LA192" s="394"/>
      <c r="LB192" s="394"/>
      <c r="LC192" s="394"/>
      <c r="LD192" s="394"/>
      <c r="LE192" s="394"/>
      <c r="LF192" s="394"/>
      <c r="LG192" s="394"/>
      <c r="LH192" s="394"/>
      <c r="LI192" s="394"/>
      <c r="LJ192" s="394"/>
      <c r="LK192" s="394"/>
      <c r="LL192" s="394"/>
      <c r="LM192" s="394"/>
      <c r="LN192" s="394"/>
      <c r="LO192" s="394"/>
      <c r="LP192" s="394"/>
      <c r="LQ192" s="394"/>
      <c r="LR192" s="394"/>
      <c r="LS192" s="394"/>
      <c r="LT192" s="394"/>
      <c r="LU192" s="394"/>
      <c r="LV192" s="394"/>
      <c r="LW192" s="394"/>
      <c r="LX192" s="394"/>
      <c r="LY192" s="394"/>
      <c r="LZ192" s="394"/>
      <c r="MA192" s="394"/>
      <c r="MB192" s="394"/>
      <c r="MC192" s="394"/>
      <c r="MD192" s="394"/>
      <c r="ME192" s="394"/>
      <c r="MF192" s="394"/>
      <c r="MG192" s="394"/>
      <c r="MH192" s="394"/>
      <c r="MI192" s="394"/>
      <c r="MJ192" s="394"/>
      <c r="MK192" s="394"/>
      <c r="ML192" s="394"/>
      <c r="MM192" s="394"/>
      <c r="MN192" s="394"/>
      <c r="MO192" s="394"/>
      <c r="MP192" s="394"/>
      <c r="MQ192" s="394"/>
      <c r="MR192" s="394"/>
      <c r="MS192" s="394"/>
      <c r="MT192" s="394"/>
      <c r="MU192" s="394"/>
      <c r="MV192" s="394"/>
      <c r="MW192" s="394"/>
      <c r="MX192" s="394"/>
      <c r="MY192" s="394"/>
      <c r="MZ192" s="394"/>
      <c r="NA192" s="394"/>
      <c r="NB192" s="394"/>
      <c r="NC192" s="394"/>
      <c r="ND192" s="394"/>
      <c r="NE192" s="394"/>
      <c r="NF192" s="394"/>
      <c r="NG192" s="394"/>
      <c r="NH192" s="394"/>
      <c r="NI192" s="394"/>
      <c r="NJ192" s="394"/>
      <c r="NK192" s="394"/>
      <c r="NL192" s="394"/>
      <c r="NM192" s="394"/>
      <c r="NN192" s="394"/>
      <c r="NO192" s="394"/>
      <c r="NP192" s="394"/>
      <c r="NQ192" s="394"/>
      <c r="NR192" s="394"/>
      <c r="NS192" s="394"/>
      <c r="NT192" s="394"/>
      <c r="NU192" s="394"/>
      <c r="NV192" s="394"/>
      <c r="NW192" s="394"/>
      <c r="NX192" s="394"/>
      <c r="NY192" s="394"/>
      <c r="NZ192" s="394"/>
      <c r="OA192" s="394"/>
      <c r="OB192" s="394"/>
      <c r="OC192" s="394"/>
      <c r="OD192" s="394"/>
      <c r="OE192" s="394"/>
      <c r="OF192" s="394"/>
      <c r="OG192" s="394"/>
      <c r="OH192" s="394"/>
      <c r="OI192" s="394"/>
      <c r="OJ192" s="394"/>
      <c r="OK192" s="394"/>
      <c r="OL192" s="394"/>
      <c r="OM192" s="394"/>
      <c r="ON192" s="394"/>
      <c r="OO192" s="394"/>
      <c r="OP192" s="394"/>
      <c r="OQ192" s="394"/>
      <c r="OR192" s="394"/>
      <c r="OS192" s="394"/>
      <c r="OT192" s="394"/>
      <c r="OU192" s="394"/>
      <c r="OV192" s="394"/>
      <c r="OW192" s="394"/>
      <c r="OX192" s="394"/>
      <c r="OY192" s="394"/>
      <c r="OZ192" s="394"/>
      <c r="PA192" s="394"/>
      <c r="PB192" s="394"/>
      <c r="PC192" s="394"/>
      <c r="PD192" s="394"/>
      <c r="PE192" s="394"/>
      <c r="PF192" s="394"/>
      <c r="PG192" s="394"/>
      <c r="PH192" s="394"/>
      <c r="PI192" s="394"/>
      <c r="PJ192" s="394"/>
      <c r="PK192" s="394"/>
      <c r="PL192" s="394"/>
      <c r="PM192" s="394"/>
      <c r="PN192" s="394"/>
      <c r="PO192" s="394"/>
      <c r="PP192" s="394"/>
      <c r="PQ192" s="394"/>
      <c r="PR192" s="394"/>
      <c r="PS192" s="394"/>
      <c r="PT192" s="394"/>
      <c r="PU192" s="394"/>
      <c r="PV192" s="394"/>
      <c r="PW192" s="394"/>
      <c r="PX192" s="394"/>
      <c r="PY192" s="394"/>
      <c r="PZ192" s="394"/>
      <c r="QA192" s="394"/>
      <c r="QB192" s="394"/>
      <c r="QC192" s="394"/>
      <c r="QD192" s="394"/>
      <c r="QE192" s="394"/>
      <c r="QF192" s="394"/>
      <c r="QG192" s="394"/>
      <c r="QH192" s="394"/>
      <c r="QI192" s="394"/>
      <c r="QJ192" s="394"/>
      <c r="QK192" s="394"/>
      <c r="QL192" s="394"/>
      <c r="QM192" s="394"/>
      <c r="QN192" s="394"/>
      <c r="QO192" s="394"/>
      <c r="QP192" s="394"/>
      <c r="QQ192" s="394"/>
      <c r="QR192" s="394"/>
      <c r="QS192" s="394"/>
      <c r="QT192" s="394"/>
      <c r="QU192" s="394"/>
      <c r="QV192" s="394"/>
      <c r="QW192" s="394"/>
      <c r="QX192" s="394"/>
      <c r="QY192" s="394"/>
      <c r="QZ192" s="394"/>
      <c r="RA192" s="394"/>
      <c r="RB192" s="394"/>
      <c r="RC192" s="394"/>
      <c r="RD192" s="394"/>
      <c r="RE192" s="394"/>
      <c r="RF192" s="394"/>
      <c r="RG192" s="394"/>
      <c r="RH192" s="394"/>
      <c r="RI192" s="394"/>
      <c r="RJ192" s="394"/>
      <c r="RK192" s="394"/>
      <c r="RL192" s="394"/>
      <c r="RM192" s="394"/>
      <c r="RN192" s="394"/>
      <c r="RO192" s="394"/>
      <c r="RP192" s="394"/>
      <c r="RQ192" s="394"/>
      <c r="RR192" s="394"/>
      <c r="RS192" s="394"/>
      <c r="RT192" s="394"/>
      <c r="RU192" s="394"/>
      <c r="RV192" s="394"/>
      <c r="RW192" s="394"/>
      <c r="RX192" s="394"/>
      <c r="RY192" s="394"/>
      <c r="RZ192" s="394"/>
      <c r="SA192" s="394"/>
      <c r="SB192" s="394"/>
      <c r="SC192" s="394"/>
      <c r="SD192" s="394"/>
      <c r="SE192" s="394"/>
      <c r="SF192" s="394"/>
      <c r="SG192" s="394"/>
      <c r="SH192" s="394"/>
      <c r="SI192" s="394"/>
      <c r="SJ192" s="394"/>
      <c r="SK192" s="394"/>
      <c r="SL192" s="394"/>
      <c r="SM192" s="394"/>
      <c r="SN192" s="394"/>
      <c r="SO192" s="394"/>
      <c r="SP192" s="394"/>
      <c r="SQ192" s="394"/>
      <c r="SR192" s="394"/>
      <c r="SS192" s="394"/>
      <c r="ST192" s="394"/>
      <c r="SU192" s="394"/>
      <c r="SV192" s="394"/>
      <c r="SW192" s="394"/>
      <c r="SX192" s="394"/>
      <c r="SY192" s="394"/>
      <c r="SZ192" s="394"/>
      <c r="TA192" s="394"/>
      <c r="TB192" s="394"/>
      <c r="TC192" s="394"/>
      <c r="TD192" s="394"/>
      <c r="TE192" s="394"/>
      <c r="TF192" s="394"/>
      <c r="TG192" s="394"/>
      <c r="TH192" s="394"/>
      <c r="TI192" s="394"/>
      <c r="TJ192" s="394"/>
      <c r="TK192" s="394"/>
      <c r="TL192" s="394"/>
      <c r="TM192" s="394"/>
      <c r="TN192" s="394"/>
      <c r="TO192" s="394"/>
      <c r="TP192" s="394"/>
      <c r="TQ192" s="394"/>
      <c r="TR192" s="394"/>
      <c r="TS192" s="394"/>
      <c r="TT192" s="394"/>
      <c r="TU192" s="394"/>
      <c r="TV192" s="394"/>
      <c r="TW192" s="394"/>
      <c r="TX192" s="394"/>
      <c r="TY192" s="394"/>
      <c r="TZ192" s="394"/>
      <c r="UA192" s="394"/>
      <c r="UB192" s="394"/>
      <c r="UC192" s="394"/>
      <c r="UD192" s="394"/>
      <c r="UE192" s="394"/>
      <c r="UF192" s="394"/>
      <c r="UG192" s="394"/>
      <c r="UH192" s="394"/>
      <c r="UI192" s="394"/>
      <c r="UJ192" s="394"/>
      <c r="UK192" s="394"/>
      <c r="UL192" s="394"/>
      <c r="UM192" s="394"/>
      <c r="UN192" s="394"/>
      <c r="UO192" s="394"/>
      <c r="UP192" s="394"/>
      <c r="UQ192" s="394"/>
      <c r="UR192" s="394"/>
      <c r="US192" s="394"/>
      <c r="UT192" s="394"/>
      <c r="UU192" s="394"/>
      <c r="UV192" s="394"/>
      <c r="UW192" s="394"/>
      <c r="UX192" s="394"/>
      <c r="UY192" s="394"/>
      <c r="UZ192" s="394"/>
      <c r="VA192" s="394"/>
      <c r="VB192" s="394"/>
      <c r="VC192" s="394"/>
      <c r="VD192" s="394"/>
      <c r="VE192" s="394"/>
      <c r="VF192" s="394"/>
      <c r="VG192" s="394"/>
      <c r="VH192" s="394"/>
      <c r="VI192" s="394"/>
      <c r="VJ192" s="394"/>
      <c r="VK192" s="394"/>
      <c r="VL192" s="394"/>
      <c r="VM192" s="394"/>
      <c r="VN192" s="394"/>
      <c r="VO192" s="394"/>
      <c r="VP192" s="394"/>
      <c r="VQ192" s="394"/>
      <c r="VR192" s="394"/>
      <c r="VS192" s="394"/>
      <c r="VT192" s="394"/>
      <c r="VU192" s="394"/>
      <c r="VV192" s="394"/>
      <c r="VW192" s="394"/>
      <c r="VX192" s="394"/>
      <c r="VY192" s="394"/>
      <c r="VZ192" s="394"/>
      <c r="WA192" s="394"/>
      <c r="WB192" s="394"/>
      <c r="WC192" s="394"/>
      <c r="WD192" s="394"/>
      <c r="WE192" s="394"/>
      <c r="WF192" s="394"/>
      <c r="WG192" s="394"/>
      <c r="WH192" s="394"/>
      <c r="WI192" s="394"/>
      <c r="WJ192" s="394"/>
      <c r="WK192" s="394"/>
      <c r="WL192" s="394"/>
      <c r="WM192" s="394"/>
      <c r="WN192" s="394"/>
      <c r="WO192" s="394"/>
      <c r="WP192" s="394"/>
      <c r="WQ192" s="394"/>
      <c r="WR192" s="394"/>
      <c r="WS192" s="394"/>
      <c r="WT192" s="394"/>
      <c r="WU192" s="394"/>
      <c r="WV192" s="394"/>
      <c r="WW192" s="394"/>
      <c r="WX192" s="394"/>
      <c r="WY192" s="394"/>
      <c r="WZ192" s="394"/>
      <c r="XA192" s="394"/>
      <c r="XB192" s="394"/>
      <c r="XC192" s="394"/>
      <c r="XD192" s="394"/>
      <c r="XE192" s="394"/>
      <c r="XF192" s="394"/>
      <c r="XG192" s="394"/>
      <c r="XH192" s="394"/>
      <c r="XI192" s="394"/>
      <c r="XJ192" s="394"/>
      <c r="XK192" s="394"/>
      <c r="XL192" s="394"/>
      <c r="XM192" s="394"/>
      <c r="XN192" s="394"/>
      <c r="XO192" s="394"/>
      <c r="XP192" s="394"/>
      <c r="XQ192" s="394"/>
      <c r="XR192" s="394"/>
      <c r="XS192" s="394"/>
      <c r="XT192" s="394"/>
      <c r="XU192" s="394"/>
      <c r="XV192" s="394"/>
      <c r="XW192" s="394"/>
      <c r="XX192" s="394"/>
      <c r="XY192" s="394"/>
      <c r="XZ192" s="394"/>
      <c r="YA192" s="394"/>
      <c r="YB192" s="394"/>
      <c r="YC192" s="394"/>
      <c r="YD192" s="394"/>
      <c r="YE192" s="394"/>
      <c r="YF192" s="394"/>
      <c r="YG192" s="394"/>
      <c r="YH192" s="394"/>
      <c r="YI192" s="394"/>
      <c r="YJ192" s="394"/>
      <c r="YK192" s="394"/>
      <c r="YL192" s="394"/>
      <c r="YM192" s="394"/>
      <c r="YN192" s="394"/>
      <c r="YO192" s="394"/>
      <c r="YP192" s="394"/>
      <c r="YQ192" s="394"/>
      <c r="YR192" s="394"/>
      <c r="YS192" s="394"/>
      <c r="YT192" s="394"/>
      <c r="YU192" s="394"/>
      <c r="YV192" s="394"/>
      <c r="YW192" s="394"/>
      <c r="YX192" s="394"/>
      <c r="YY192" s="394"/>
      <c r="YZ192" s="394"/>
      <c r="ZA192" s="394"/>
      <c r="ZB192" s="394"/>
      <c r="ZC192" s="394"/>
      <c r="ZD192" s="394"/>
      <c r="ZE192" s="394"/>
      <c r="ZF192" s="394"/>
      <c r="ZG192" s="394"/>
      <c r="ZH192" s="394"/>
      <c r="ZI192" s="394"/>
      <c r="ZJ192" s="394"/>
      <c r="ZK192" s="394"/>
      <c r="ZL192" s="394"/>
      <c r="ZM192" s="394"/>
      <c r="ZN192" s="394"/>
      <c r="ZO192" s="394"/>
      <c r="ZP192" s="394"/>
      <c r="ZQ192" s="394"/>
      <c r="ZR192" s="394"/>
      <c r="ZS192" s="394"/>
      <c r="ZT192" s="394"/>
      <c r="ZU192" s="394"/>
      <c r="ZV192" s="394"/>
      <c r="ZW192" s="394"/>
      <c r="ZX192" s="394"/>
      <c r="ZY192" s="394"/>
      <c r="ZZ192" s="394"/>
      <c r="AAA192" s="394"/>
      <c r="AAB192" s="394"/>
      <c r="AAC192" s="394"/>
      <c r="AAD192" s="394"/>
      <c r="AAE192" s="394"/>
      <c r="AAF192" s="394"/>
      <c r="AAG192" s="394"/>
      <c r="AAH192" s="394"/>
      <c r="AAI192" s="394"/>
      <c r="AAJ192" s="394"/>
      <c r="AAK192" s="394"/>
      <c r="AAL192" s="394"/>
      <c r="AAM192" s="394"/>
      <c r="AAN192" s="394"/>
      <c r="AAO192" s="394"/>
      <c r="AAP192" s="394"/>
      <c r="AAQ192" s="394"/>
      <c r="AAR192" s="394"/>
      <c r="AAS192" s="394"/>
      <c r="AAT192" s="394"/>
      <c r="AAU192" s="394"/>
      <c r="AAV192" s="394"/>
      <c r="AAW192" s="394"/>
      <c r="AAX192" s="394"/>
      <c r="AAY192" s="394"/>
      <c r="AAZ192" s="394"/>
      <c r="ABA192" s="394"/>
      <c r="ABB192" s="394"/>
      <c r="ABC192" s="394"/>
      <c r="ABD192" s="394"/>
      <c r="ABE192" s="394"/>
      <c r="ABF192" s="394"/>
      <c r="ABG192" s="394"/>
      <c r="ABH192" s="394"/>
      <c r="ABI192" s="394"/>
      <c r="ABJ192" s="394"/>
      <c r="ABK192" s="394"/>
      <c r="ABL192" s="394"/>
      <c r="ABM192" s="394"/>
      <c r="ABN192" s="394"/>
      <c r="ABO192" s="394"/>
      <c r="ABP192" s="394"/>
      <c r="ABQ192" s="394"/>
      <c r="ABR192" s="394"/>
      <c r="ABS192" s="394"/>
      <c r="ABT192" s="394"/>
      <c r="ABU192" s="394"/>
      <c r="ABV192" s="394"/>
      <c r="ABW192" s="394"/>
      <c r="ABX192" s="394"/>
      <c r="ABY192" s="394"/>
      <c r="ABZ192" s="394"/>
      <c r="ACA192" s="394"/>
      <c r="ACB192" s="394"/>
      <c r="ACC192" s="394"/>
      <c r="ACD192" s="394"/>
      <c r="ACE192" s="394"/>
      <c r="ACF192" s="394"/>
      <c r="ACG192" s="394"/>
      <c r="ACH192" s="394"/>
      <c r="ACI192" s="394"/>
      <c r="ACJ192" s="394"/>
      <c r="ACK192" s="394"/>
      <c r="ACL192" s="394"/>
      <c r="ACM192" s="394"/>
      <c r="ACN192" s="394"/>
      <c r="ACO192" s="394"/>
      <c r="ACP192" s="394"/>
      <c r="ACQ192" s="394"/>
      <c r="ACR192" s="394"/>
      <c r="ACS192" s="394"/>
      <c r="ACT192" s="394"/>
      <c r="ACU192" s="394"/>
      <c r="ACV192" s="394"/>
      <c r="ACW192" s="394"/>
      <c r="ACX192" s="394"/>
      <c r="ACY192" s="394"/>
      <c r="ACZ192" s="394"/>
      <c r="ADA192" s="394"/>
      <c r="ADB192" s="394"/>
      <c r="ADC192" s="394"/>
      <c r="ADD192" s="394"/>
      <c r="ADE192" s="394"/>
      <c r="ADF192" s="394"/>
      <c r="ADG192" s="394"/>
      <c r="ADH192" s="394"/>
      <c r="ADI192" s="394"/>
      <c r="ADJ192" s="394"/>
      <c r="ADK192" s="394"/>
      <c r="ADL192" s="394"/>
      <c r="ADM192" s="394"/>
      <c r="ADN192" s="394"/>
      <c r="ADO192" s="394"/>
      <c r="ADP192" s="394"/>
      <c r="ADQ192" s="394"/>
      <c r="ADR192" s="394"/>
      <c r="ADS192" s="394"/>
      <c r="ADT192" s="394"/>
      <c r="ADU192" s="394"/>
      <c r="ADV192" s="394"/>
      <c r="ADW192" s="394"/>
      <c r="ADX192" s="394"/>
      <c r="ADY192" s="394"/>
      <c r="ADZ192" s="394"/>
      <c r="AEA192" s="394"/>
      <c r="AEB192" s="394"/>
      <c r="AEC192" s="394"/>
      <c r="AED192" s="394"/>
      <c r="AEE192" s="394"/>
      <c r="AEF192" s="394"/>
      <c r="AEG192" s="394"/>
      <c r="AEH192" s="394"/>
      <c r="AEI192" s="394"/>
      <c r="AEJ192" s="394"/>
      <c r="AEK192" s="394"/>
      <c r="AEL192" s="394"/>
      <c r="AEM192" s="394"/>
      <c r="AEN192" s="394"/>
      <c r="AEO192" s="394"/>
      <c r="AEP192" s="394"/>
      <c r="AEQ192" s="394"/>
      <c r="AER192" s="394"/>
      <c r="AES192" s="394"/>
      <c r="AET192" s="394"/>
      <c r="AEU192" s="394"/>
      <c r="AEV192" s="394"/>
      <c r="AEW192" s="394"/>
      <c r="AEX192" s="394"/>
      <c r="AEY192" s="394"/>
      <c r="AEZ192" s="394"/>
      <c r="AFA192" s="394"/>
      <c r="AFB192" s="394"/>
      <c r="AFC192" s="394"/>
      <c r="AFD192" s="394"/>
      <c r="AFE192" s="394"/>
      <c r="AFF192" s="394"/>
      <c r="AFG192" s="394"/>
      <c r="AFH192" s="394"/>
      <c r="AFI192" s="394"/>
      <c r="AFJ192" s="394"/>
      <c r="AFK192" s="394"/>
      <c r="AFL192" s="394"/>
      <c r="AFM192" s="394"/>
      <c r="AFN192" s="394"/>
      <c r="AFO192" s="394"/>
      <c r="AFP192" s="394"/>
      <c r="AFQ192" s="394"/>
      <c r="AFR192" s="394"/>
      <c r="AFS192" s="394"/>
      <c r="AFT192" s="394"/>
      <c r="AFU192" s="394"/>
      <c r="AFV192" s="394"/>
      <c r="AFW192" s="394"/>
      <c r="AFX192" s="394"/>
      <c r="AFY192" s="394"/>
      <c r="AFZ192" s="394"/>
      <c r="AGA192" s="394"/>
      <c r="AGB192" s="394"/>
      <c r="AGC192" s="394"/>
      <c r="AGD192" s="394"/>
      <c r="AGE192" s="394"/>
      <c r="AGF192" s="394"/>
      <c r="AGG192" s="394"/>
      <c r="AGH192" s="394"/>
      <c r="AGI192" s="394"/>
      <c r="AGJ192" s="394"/>
      <c r="AGK192" s="394"/>
      <c r="AGL192" s="394"/>
      <c r="AGM192" s="394"/>
      <c r="AGN192" s="394"/>
      <c r="AGO192" s="394"/>
      <c r="AGP192" s="394"/>
      <c r="AGQ192" s="394"/>
      <c r="AGR192" s="394"/>
      <c r="AGS192" s="394"/>
      <c r="AGT192" s="394"/>
      <c r="AGU192" s="394"/>
      <c r="AGV192" s="394"/>
      <c r="AGW192" s="394"/>
      <c r="AGX192" s="394"/>
      <c r="AGY192" s="394"/>
      <c r="AGZ192" s="394"/>
      <c r="AHA192" s="394"/>
      <c r="AHB192" s="394"/>
      <c r="AHC192" s="394"/>
      <c r="AHD192" s="394"/>
      <c r="AHE192" s="394"/>
      <c r="AHF192" s="394"/>
      <c r="AHG192" s="394"/>
      <c r="AHH192" s="394"/>
      <c r="AHI192" s="394"/>
      <c r="AHJ192" s="394"/>
      <c r="AHK192" s="394"/>
      <c r="AHL192" s="394"/>
      <c r="AHM192" s="394"/>
      <c r="AHN192" s="394"/>
      <c r="AHO192" s="394"/>
      <c r="AHP192" s="394"/>
      <c r="AHQ192" s="394"/>
      <c r="AHR192" s="394"/>
      <c r="AHS192" s="394"/>
      <c r="AHT192" s="394"/>
      <c r="AHU192" s="394"/>
      <c r="AHV192" s="394"/>
      <c r="AHW192" s="394"/>
      <c r="AHX192" s="394"/>
      <c r="AHY192" s="394"/>
      <c r="AHZ192" s="394"/>
      <c r="AIA192" s="394"/>
      <c r="AIB192" s="394"/>
      <c r="AIC192" s="394"/>
      <c r="AID192" s="394"/>
      <c r="AIE192" s="394"/>
      <c r="AIF192" s="394"/>
      <c r="AIG192" s="394"/>
      <c r="AIH192" s="394"/>
      <c r="AII192" s="394"/>
      <c r="AIJ192" s="394"/>
      <c r="AIK192" s="394"/>
      <c r="AIL192" s="394"/>
      <c r="AIM192" s="394"/>
      <c r="AIN192" s="394"/>
      <c r="AIO192" s="394"/>
      <c r="AIP192" s="394"/>
      <c r="AIQ192" s="394"/>
      <c r="AIR192" s="394"/>
      <c r="AIS192" s="394"/>
      <c r="AIT192" s="394"/>
      <c r="AIU192" s="394"/>
      <c r="AIV192" s="394"/>
      <c r="AIW192" s="394"/>
      <c r="AIX192" s="394"/>
      <c r="AIY192" s="394"/>
      <c r="AIZ192" s="394"/>
      <c r="AJA192" s="394"/>
      <c r="AJB192" s="394"/>
      <c r="AJC192" s="394"/>
      <c r="AJD192" s="394"/>
      <c r="AJE192" s="394"/>
      <c r="AJF192" s="394"/>
      <c r="AJG192" s="394"/>
      <c r="AJH192" s="394"/>
      <c r="AJI192" s="394"/>
      <c r="AJJ192" s="394"/>
      <c r="AJK192" s="394"/>
      <c r="AJL192" s="394"/>
      <c r="AJM192" s="394"/>
      <c r="AJN192" s="394"/>
      <c r="AJO192" s="394"/>
      <c r="AJP192" s="394"/>
      <c r="AJQ192" s="394"/>
      <c r="AJR192" s="394"/>
      <c r="AJS192" s="394"/>
      <c r="AJT192" s="394"/>
      <c r="AJU192" s="394"/>
      <c r="AJV192" s="394"/>
      <c r="AJW192" s="394"/>
      <c r="AJX192" s="394"/>
      <c r="AJY192" s="394"/>
      <c r="AJZ192" s="394"/>
      <c r="AKA192" s="394"/>
      <c r="AKB192" s="394"/>
      <c r="AKC192" s="394"/>
      <c r="AKD192" s="394"/>
      <c r="AKE192" s="394"/>
      <c r="AKF192" s="394"/>
      <c r="AKG192" s="394"/>
      <c r="AKH192" s="394"/>
      <c r="AKI192" s="394"/>
      <c r="AKJ192" s="394"/>
      <c r="AKK192" s="394"/>
      <c r="AKL192" s="394"/>
      <c r="AKM192" s="394"/>
      <c r="AKN192" s="394"/>
      <c r="AKO192" s="394"/>
      <c r="AKP192" s="394"/>
      <c r="AKQ192" s="394"/>
      <c r="AKR192" s="394"/>
      <c r="AKS192" s="394"/>
      <c r="AKT192" s="394"/>
      <c r="AKU192" s="394"/>
      <c r="AKV192" s="394"/>
      <c r="AKW192" s="394"/>
      <c r="AKX192" s="394"/>
      <c r="AKY192" s="394"/>
      <c r="AKZ192" s="394"/>
      <c r="ALA192" s="394"/>
      <c r="ALB192" s="394"/>
      <c r="ALC192" s="394"/>
      <c r="ALD192" s="394"/>
      <c r="ALE192" s="394"/>
      <c r="ALF192" s="394"/>
      <c r="ALG192" s="394"/>
      <c r="ALH192" s="394"/>
      <c r="ALI192" s="394"/>
      <c r="ALJ192" s="394"/>
      <c r="ALK192" s="394"/>
      <c r="ALL192" s="394"/>
      <c r="ALM192" s="394"/>
      <c r="ALN192" s="394"/>
      <c r="ALO192" s="394"/>
      <c r="ALP192" s="394"/>
      <c r="ALQ192" s="394"/>
      <c r="ALR192" s="394"/>
      <c r="ALS192" s="394"/>
      <c r="ALT192" s="394"/>
      <c r="ALU192" s="394"/>
      <c r="ALV192" s="394"/>
      <c r="ALW192" s="394"/>
      <c r="ALX192" s="394"/>
      <c r="ALY192" s="394"/>
      <c r="ALZ192" s="394"/>
      <c r="AMA192" s="394"/>
      <c r="AMB192" s="394"/>
      <c r="AMC192" s="394"/>
      <c r="AMD192" s="394"/>
      <c r="AME192" s="394"/>
      <c r="AMF192" s="394"/>
      <c r="AMG192" s="394"/>
      <c r="AMH192" s="394"/>
      <c r="AMI192" s="394"/>
      <c r="AMJ192" s="394"/>
      <c r="AMK192" s="394"/>
      <c r="AML192" s="394"/>
      <c r="AMM192" s="394"/>
      <c r="AMN192" s="394"/>
      <c r="AMO192" s="394"/>
      <c r="AMP192" s="394"/>
      <c r="AMQ192" s="394"/>
      <c r="AMR192" s="394"/>
      <c r="AMS192" s="394"/>
      <c r="AMT192" s="394"/>
      <c r="AMU192" s="394"/>
      <c r="AMV192" s="394"/>
      <c r="AMW192" s="394"/>
      <c r="AMX192" s="394"/>
      <c r="AMY192" s="394"/>
      <c r="AMZ192" s="394"/>
      <c r="ANA192" s="394"/>
      <c r="ANB192" s="394"/>
      <c r="ANC192" s="394"/>
      <c r="AND192" s="394"/>
      <c r="ANE192" s="394"/>
      <c r="ANF192" s="394"/>
      <c r="ANG192" s="394"/>
      <c r="ANH192" s="394"/>
      <c r="ANI192" s="394"/>
      <c r="ANJ192" s="394"/>
      <c r="ANK192" s="394"/>
      <c r="ANL192" s="394"/>
      <c r="ANM192" s="394"/>
      <c r="ANN192" s="394"/>
      <c r="ANO192" s="394"/>
      <c r="ANP192" s="394"/>
      <c r="ANQ192" s="394"/>
      <c r="ANR192" s="394"/>
      <c r="ANS192" s="394"/>
      <c r="ANT192" s="394"/>
      <c r="ANU192" s="394"/>
      <c r="ANV192" s="394"/>
      <c r="ANW192" s="394"/>
      <c r="ANX192" s="394"/>
      <c r="ANY192" s="394"/>
      <c r="ANZ192" s="394"/>
      <c r="AOA192" s="394"/>
      <c r="AOB192" s="394"/>
      <c r="AOC192" s="394"/>
      <c r="AOD192" s="394"/>
      <c r="AOE192" s="394"/>
      <c r="AOF192" s="394"/>
      <c r="AOG192" s="394"/>
      <c r="AOH192" s="394"/>
      <c r="AOI192" s="394"/>
      <c r="AOJ192" s="394"/>
      <c r="AOK192" s="394"/>
      <c r="AOL192" s="394"/>
      <c r="AOM192" s="394"/>
      <c r="AON192" s="394"/>
      <c r="AOO192" s="394"/>
      <c r="AOP192" s="394"/>
      <c r="AOQ192" s="394"/>
      <c r="AOR192" s="394"/>
      <c r="AOS192" s="394"/>
      <c r="AOT192" s="394"/>
      <c r="AOU192" s="394"/>
      <c r="AOV192" s="394"/>
      <c r="AOW192" s="394"/>
      <c r="AOX192" s="394"/>
      <c r="AOY192" s="394"/>
      <c r="AOZ192" s="394"/>
      <c r="APA192" s="394"/>
      <c r="APB192" s="394"/>
      <c r="APC192" s="394"/>
      <c r="APD192" s="394"/>
      <c r="APE192" s="394"/>
      <c r="APF192" s="394"/>
      <c r="APG192" s="394"/>
      <c r="APH192" s="394"/>
      <c r="API192" s="394"/>
      <c r="APJ192" s="394"/>
      <c r="APK192" s="394"/>
      <c r="APL192" s="394"/>
      <c r="APM192" s="394"/>
      <c r="APN192" s="394"/>
      <c r="APO192" s="394"/>
      <c r="APP192" s="394"/>
      <c r="APQ192" s="394"/>
      <c r="APR192" s="394"/>
      <c r="APS192" s="394"/>
      <c r="APT192" s="394"/>
      <c r="APU192" s="394"/>
      <c r="APV192" s="394"/>
      <c r="APW192" s="394"/>
      <c r="APX192" s="394"/>
      <c r="APY192" s="394"/>
      <c r="APZ192" s="394"/>
      <c r="AQA192" s="394"/>
      <c r="AQB192" s="394"/>
      <c r="AQC192" s="394"/>
      <c r="AQD192" s="394"/>
      <c r="AQE192" s="394"/>
      <c r="AQF192" s="394"/>
      <c r="AQG192" s="394"/>
      <c r="AQH192" s="394"/>
      <c r="AQI192" s="394"/>
      <c r="AQJ192" s="394"/>
      <c r="AQK192" s="394"/>
      <c r="AQL192" s="394"/>
      <c r="AQM192" s="394"/>
      <c r="AQN192" s="394"/>
      <c r="AQO192" s="394"/>
      <c r="AQP192" s="394"/>
      <c r="AQQ192" s="394"/>
      <c r="AQR192" s="394"/>
      <c r="AQS192" s="394"/>
      <c r="AQT192" s="394"/>
      <c r="AQU192" s="394"/>
      <c r="AQV192" s="394"/>
      <c r="AQW192" s="394"/>
      <c r="AQX192" s="394"/>
      <c r="AQY192" s="394"/>
      <c r="AQZ192" s="394"/>
      <c r="ARA192" s="394"/>
      <c r="ARB192" s="394"/>
      <c r="ARC192" s="394"/>
      <c r="ARD192" s="394"/>
      <c r="ARE192" s="394"/>
      <c r="ARF192" s="394"/>
      <c r="ARG192" s="394"/>
      <c r="ARH192" s="394"/>
      <c r="ARI192" s="394"/>
      <c r="ARJ192" s="394"/>
      <c r="ARK192" s="394"/>
      <c r="ARL192" s="394"/>
      <c r="ARM192" s="394"/>
      <c r="ARN192" s="394"/>
      <c r="ARO192" s="394"/>
      <c r="ARP192" s="394"/>
      <c r="ARQ192" s="394"/>
      <c r="ARR192" s="394"/>
      <c r="ARS192" s="394"/>
      <c r="ART192" s="394"/>
      <c r="ARU192" s="394"/>
      <c r="ARV192" s="394"/>
      <c r="ARW192" s="394"/>
      <c r="ARX192" s="394"/>
      <c r="ARY192" s="394"/>
      <c r="ARZ192" s="394"/>
      <c r="ASA192" s="394"/>
      <c r="ASB192" s="394"/>
      <c r="ASC192" s="394"/>
      <c r="ASD192" s="394"/>
      <c r="ASE192" s="394"/>
      <c r="ASF192" s="394"/>
      <c r="ASG192" s="394"/>
      <c r="ASH192" s="394"/>
      <c r="ASI192" s="394"/>
      <c r="ASJ192" s="394"/>
      <c r="ASK192" s="394"/>
      <c r="ASL192" s="394"/>
      <c r="ASM192" s="394"/>
      <c r="ASN192" s="394"/>
      <c r="ASO192" s="394"/>
      <c r="ASP192" s="394"/>
      <c r="ASQ192" s="394"/>
      <c r="ASR192" s="394"/>
      <c r="ASS192" s="394"/>
      <c r="AST192" s="394"/>
      <c r="ASU192" s="394"/>
      <c r="ASV192" s="394"/>
      <c r="ASW192" s="394"/>
      <c r="ASX192" s="394"/>
      <c r="ASY192" s="394"/>
      <c r="ASZ192" s="394"/>
      <c r="ATA192" s="394"/>
      <c r="ATB192" s="394"/>
      <c r="ATC192" s="394"/>
      <c r="ATD192" s="394"/>
      <c r="ATE192" s="394"/>
      <c r="ATF192" s="394"/>
      <c r="ATG192" s="394"/>
      <c r="ATH192" s="394"/>
      <c r="ATI192" s="394"/>
      <c r="ATJ192" s="394"/>
      <c r="ATK192" s="394"/>
      <c r="ATL192" s="394"/>
      <c r="ATM192" s="394"/>
      <c r="ATN192" s="394"/>
      <c r="ATO192" s="394"/>
      <c r="ATP192" s="394"/>
      <c r="ATQ192" s="394"/>
      <c r="ATR192" s="394"/>
      <c r="ATS192" s="394"/>
      <c r="ATT192" s="394"/>
      <c r="ATU192" s="394"/>
      <c r="ATV192" s="394"/>
      <c r="ATW192" s="394"/>
      <c r="ATX192" s="394"/>
      <c r="ATY192" s="394"/>
      <c r="ATZ192" s="394"/>
      <c r="AUA192" s="394"/>
      <c r="AUB192" s="394"/>
      <c r="AUC192" s="394"/>
      <c r="AUD192" s="394"/>
      <c r="AUE192" s="394"/>
      <c r="AUF192" s="394"/>
      <c r="AUG192" s="394"/>
      <c r="AUH192" s="394"/>
      <c r="AUI192" s="394"/>
      <c r="AUJ192" s="394"/>
      <c r="AUK192" s="394"/>
      <c r="AUL192" s="394"/>
      <c r="AUM192" s="394"/>
      <c r="AUN192" s="394"/>
      <c r="AUO192" s="394"/>
      <c r="AUP192" s="394"/>
      <c r="AUQ192" s="394"/>
      <c r="AUR192" s="394"/>
      <c r="AUS192" s="394"/>
      <c r="AUT192" s="394"/>
      <c r="AUU192" s="394"/>
      <c r="AUV192" s="394"/>
      <c r="AUW192" s="394"/>
      <c r="AUX192" s="394"/>
      <c r="AUY192" s="394"/>
      <c r="AUZ192" s="394"/>
      <c r="AVA192" s="394"/>
      <c r="AVB192" s="394"/>
      <c r="AVC192" s="394"/>
      <c r="AVD192" s="394"/>
      <c r="AVE192" s="394"/>
      <c r="AVF192" s="394"/>
      <c r="AVG192" s="394"/>
      <c r="AVH192" s="394"/>
      <c r="AVI192" s="394"/>
      <c r="AVJ192" s="394"/>
      <c r="AVK192" s="394"/>
      <c r="AVL192" s="394"/>
      <c r="AVM192" s="394"/>
      <c r="AVN192" s="394"/>
      <c r="AVO192" s="394"/>
      <c r="AVP192" s="394"/>
      <c r="AVQ192" s="394"/>
      <c r="AVR192" s="394"/>
      <c r="AVS192" s="394"/>
      <c r="AVT192" s="394"/>
      <c r="AVU192" s="394"/>
      <c r="AVV192" s="394"/>
      <c r="AVW192" s="394"/>
      <c r="AVX192" s="394"/>
      <c r="AVY192" s="394"/>
      <c r="AVZ192" s="394"/>
      <c r="AWA192" s="394"/>
      <c r="AWB192" s="394"/>
      <c r="AWC192" s="394"/>
      <c r="AWD192" s="394"/>
      <c r="AWE192" s="394"/>
      <c r="AWF192" s="394"/>
      <c r="AWG192" s="394"/>
      <c r="AWH192" s="394"/>
      <c r="AWI192" s="394"/>
      <c r="AWJ192" s="394"/>
      <c r="AWK192" s="394"/>
      <c r="AWL192" s="394"/>
      <c r="AWM192" s="394"/>
      <c r="AWN192" s="394"/>
      <c r="AWO192" s="394"/>
      <c r="AWP192" s="394"/>
      <c r="AWQ192" s="394"/>
      <c r="AWR192" s="394"/>
      <c r="AWS192" s="394"/>
      <c r="AWT192" s="394"/>
      <c r="AWU192" s="394"/>
      <c r="AWV192" s="394"/>
      <c r="AWW192" s="394"/>
      <c r="AWX192" s="394"/>
      <c r="AWY192" s="394"/>
      <c r="AWZ192" s="394"/>
      <c r="AXA192" s="394"/>
      <c r="AXB192" s="394"/>
      <c r="AXC192" s="394"/>
      <c r="AXD192" s="394"/>
      <c r="AXE192" s="394"/>
      <c r="AXF192" s="394"/>
      <c r="AXG192" s="394"/>
      <c r="AXH192" s="394"/>
      <c r="AXI192" s="394"/>
      <c r="AXJ192" s="394"/>
      <c r="AXK192" s="394"/>
      <c r="AXL192" s="394"/>
      <c r="AXM192" s="394"/>
      <c r="AXN192" s="394"/>
      <c r="AXO192" s="394"/>
      <c r="AXP192" s="394"/>
      <c r="AXQ192" s="394"/>
      <c r="AXR192" s="394"/>
      <c r="AXS192" s="394"/>
      <c r="AXT192" s="394"/>
      <c r="AXU192" s="394"/>
      <c r="AXV192" s="394"/>
      <c r="AXW192" s="394"/>
      <c r="AXX192" s="394"/>
      <c r="AXY192" s="394"/>
      <c r="AXZ192" s="394"/>
      <c r="AYA192" s="394"/>
      <c r="AYB192" s="394"/>
      <c r="AYC192" s="394"/>
      <c r="AYD192" s="394"/>
      <c r="AYE192" s="394"/>
      <c r="AYF192" s="394"/>
      <c r="AYG192" s="394"/>
      <c r="AYH192" s="394"/>
      <c r="AYI192" s="394"/>
      <c r="AYJ192" s="394"/>
      <c r="AYK192" s="394"/>
      <c r="AYL192" s="394"/>
      <c r="AYM192" s="394"/>
      <c r="AYN192" s="394"/>
      <c r="AYO192" s="394"/>
      <c r="AYP192" s="394"/>
      <c r="AYQ192" s="394"/>
      <c r="AYR192" s="394"/>
      <c r="AYS192" s="394"/>
      <c r="AYT192" s="394"/>
      <c r="AYU192" s="394"/>
      <c r="AYV192" s="394"/>
      <c r="AYW192" s="394"/>
      <c r="AYX192" s="394"/>
      <c r="AYY192" s="394"/>
      <c r="AYZ192" s="394"/>
      <c r="AZA192" s="394"/>
      <c r="AZB192" s="394"/>
      <c r="AZC192" s="394"/>
      <c r="AZD192" s="394"/>
      <c r="AZE192" s="394"/>
      <c r="AZF192" s="394"/>
      <c r="AZG192" s="394"/>
      <c r="AZH192" s="394"/>
      <c r="AZI192" s="394"/>
      <c r="AZJ192" s="394"/>
      <c r="AZK192" s="394"/>
      <c r="AZL192" s="394"/>
      <c r="AZM192" s="394"/>
      <c r="AZN192" s="394"/>
      <c r="AZO192" s="394"/>
      <c r="AZP192" s="394"/>
      <c r="AZQ192" s="394"/>
      <c r="AZR192" s="394"/>
      <c r="AZS192" s="394"/>
      <c r="AZT192" s="394"/>
      <c r="AZU192" s="394"/>
      <c r="AZV192" s="394"/>
      <c r="AZW192" s="394"/>
      <c r="AZX192" s="394"/>
      <c r="AZY192" s="394"/>
      <c r="AZZ192" s="394"/>
      <c r="BAA192" s="394"/>
      <c r="BAB192" s="394"/>
      <c r="BAC192" s="394"/>
      <c r="BAD192" s="394"/>
      <c r="BAE192" s="394"/>
      <c r="BAF192" s="394"/>
      <c r="BAG192" s="394"/>
      <c r="BAH192" s="394"/>
      <c r="BAI192" s="394"/>
      <c r="BAJ192" s="394"/>
      <c r="BAK192" s="394"/>
      <c r="BAL192" s="394"/>
      <c r="BAM192" s="394"/>
      <c r="BAN192" s="394"/>
      <c r="BAO192" s="394"/>
      <c r="BAP192" s="394"/>
      <c r="BAQ192" s="394"/>
      <c r="BAR192" s="394"/>
      <c r="BAS192" s="394"/>
      <c r="BAT192" s="394"/>
      <c r="BAU192" s="394"/>
      <c r="BAV192" s="394"/>
      <c r="BAW192" s="394"/>
      <c r="BAX192" s="394"/>
      <c r="BAY192" s="394"/>
      <c r="BAZ192" s="394"/>
      <c r="BBA192" s="394"/>
      <c r="BBB192" s="394"/>
      <c r="BBC192" s="394"/>
      <c r="BBD192" s="394"/>
      <c r="BBE192" s="394"/>
      <c r="BBF192" s="394"/>
      <c r="BBG192" s="394"/>
      <c r="BBH192" s="394"/>
      <c r="BBI192" s="394"/>
      <c r="BBJ192" s="394"/>
      <c r="BBK192" s="394"/>
      <c r="BBL192" s="394"/>
      <c r="BBM192" s="394"/>
      <c r="BBN192" s="394"/>
      <c r="BBO192" s="394"/>
      <c r="BBP192" s="394"/>
      <c r="BBQ192" s="394"/>
      <c r="BBR192" s="394"/>
      <c r="BBS192" s="394"/>
      <c r="BBT192" s="394"/>
      <c r="BBU192" s="394"/>
      <c r="BBV192" s="394"/>
      <c r="BBW192" s="394"/>
      <c r="BBX192" s="394"/>
      <c r="BBY192" s="394"/>
      <c r="BBZ192" s="394"/>
      <c r="BCA192" s="394"/>
      <c r="BCB192" s="394"/>
      <c r="BCC192" s="394"/>
      <c r="BCD192" s="394"/>
      <c r="BCE192" s="394"/>
      <c r="BCF192" s="394"/>
      <c r="BCG192" s="394"/>
      <c r="BCH192" s="394"/>
      <c r="BCI192" s="394"/>
      <c r="BCJ192" s="394"/>
      <c r="BCK192" s="394"/>
      <c r="BCL192" s="394"/>
      <c r="BCM192" s="394"/>
      <c r="BCN192" s="394"/>
      <c r="BCO192" s="394"/>
      <c r="BCP192" s="394"/>
      <c r="BCQ192" s="394"/>
      <c r="BCR192" s="394"/>
      <c r="BCS192" s="394"/>
      <c r="BCT192" s="394"/>
      <c r="BCU192" s="394"/>
      <c r="BCV192" s="394"/>
      <c r="BCW192" s="394"/>
      <c r="BCX192" s="394"/>
      <c r="BCY192" s="394"/>
      <c r="BCZ192" s="394"/>
      <c r="BDA192" s="394"/>
      <c r="BDB192" s="394"/>
      <c r="BDC192" s="394"/>
      <c r="BDD192" s="394"/>
      <c r="BDE192" s="394"/>
      <c r="BDF192" s="394"/>
      <c r="BDG192" s="394"/>
      <c r="BDH192" s="394"/>
      <c r="BDI192" s="394"/>
      <c r="BDJ192" s="394"/>
      <c r="BDK192" s="394"/>
      <c r="BDL192" s="394"/>
      <c r="BDM192" s="394"/>
      <c r="BDN192" s="394"/>
      <c r="BDO192" s="394"/>
      <c r="BDP192" s="394"/>
      <c r="BDQ192" s="394"/>
      <c r="BDR192" s="394"/>
      <c r="BDS192" s="394"/>
      <c r="BDT192" s="394"/>
      <c r="BDU192" s="394"/>
      <c r="BDV192" s="394"/>
      <c r="BDW192" s="394"/>
      <c r="BDX192" s="394"/>
      <c r="BDY192" s="394"/>
      <c r="BDZ192" s="394"/>
      <c r="BEA192" s="394"/>
      <c r="BEB192" s="394"/>
      <c r="BEC192" s="394"/>
      <c r="BED192" s="394"/>
      <c r="BEE192" s="394"/>
      <c r="BEF192" s="394"/>
      <c r="BEG192" s="394"/>
      <c r="BEH192" s="394"/>
      <c r="BEI192" s="394"/>
      <c r="BEJ192" s="394"/>
      <c r="BEK192" s="394"/>
      <c r="BEL192" s="394"/>
      <c r="BEM192" s="394"/>
      <c r="BEN192" s="394"/>
      <c r="BEO192" s="394"/>
      <c r="BEP192" s="394"/>
      <c r="BEQ192" s="394"/>
      <c r="BER192" s="394"/>
      <c r="BES192" s="394"/>
      <c r="BET192" s="394"/>
      <c r="BEU192" s="394"/>
      <c r="BEV192" s="394"/>
      <c r="BEW192" s="394"/>
      <c r="BEX192" s="394"/>
      <c r="BEY192" s="394"/>
      <c r="BEZ192" s="394"/>
      <c r="BFA192" s="394"/>
      <c r="BFB192" s="394"/>
      <c r="BFC192" s="394"/>
      <c r="BFD192" s="394"/>
      <c r="BFE192" s="394"/>
      <c r="BFF192" s="394"/>
      <c r="BFG192" s="394"/>
      <c r="BFH192" s="394"/>
      <c r="BFI192" s="394"/>
      <c r="BFJ192" s="394"/>
      <c r="BFK192" s="394"/>
      <c r="BFL192" s="394"/>
      <c r="BFM192" s="394"/>
      <c r="BFN192" s="394"/>
      <c r="BFO192" s="394"/>
      <c r="BFP192" s="394"/>
      <c r="BFQ192" s="394"/>
      <c r="BFR192" s="394"/>
      <c r="BFS192" s="394"/>
      <c r="BFT192" s="394"/>
      <c r="BFU192" s="394"/>
      <c r="BFV192" s="394"/>
      <c r="BFW192" s="394"/>
      <c r="BFX192" s="394"/>
      <c r="BFY192" s="394"/>
      <c r="BFZ192" s="394"/>
      <c r="BGA192" s="394"/>
      <c r="BGB192" s="394"/>
      <c r="BGC192" s="394"/>
      <c r="BGD192" s="394"/>
      <c r="BGE192" s="394"/>
      <c r="BGF192" s="394"/>
      <c r="BGG192" s="394"/>
      <c r="BGH192" s="394"/>
      <c r="BGI192" s="394"/>
      <c r="BGJ192" s="394"/>
      <c r="BGK192" s="394"/>
      <c r="BGL192" s="394"/>
      <c r="BGM192" s="394"/>
      <c r="BGN192" s="394"/>
      <c r="BGO192" s="394"/>
      <c r="BGP192" s="394"/>
      <c r="BGQ192" s="394"/>
      <c r="BGR192" s="394"/>
      <c r="BGS192" s="394"/>
      <c r="BGT192" s="394"/>
      <c r="BGU192" s="394"/>
      <c r="BGV192" s="394"/>
      <c r="BGW192" s="394"/>
      <c r="BGX192" s="394"/>
      <c r="BGY192" s="394"/>
      <c r="BGZ192" s="394"/>
      <c r="BHA192" s="394"/>
      <c r="BHB192" s="394"/>
      <c r="BHC192" s="394"/>
      <c r="BHD192" s="394"/>
      <c r="BHE192" s="394"/>
      <c r="BHF192" s="394"/>
      <c r="BHG192" s="394"/>
      <c r="BHH192" s="394"/>
      <c r="BHI192" s="394"/>
      <c r="BHJ192" s="394"/>
      <c r="BHK192" s="394"/>
      <c r="BHL192" s="394"/>
      <c r="BHM192" s="394"/>
      <c r="BHN192" s="394"/>
      <c r="BHO192" s="394"/>
      <c r="BHP192" s="394"/>
      <c r="BHQ192" s="394"/>
      <c r="BHR192" s="394"/>
      <c r="BHS192" s="394"/>
      <c r="BHT192" s="394"/>
      <c r="BHU192" s="394"/>
      <c r="BHV192" s="394"/>
      <c r="BHW192" s="394"/>
      <c r="BHX192" s="394"/>
      <c r="BHY192" s="394"/>
      <c r="BHZ192" s="394"/>
      <c r="BIA192" s="394"/>
      <c r="BIB192" s="394"/>
      <c r="BIC192" s="394"/>
      <c r="BID192" s="394"/>
      <c r="BIE192" s="394"/>
      <c r="BIF192" s="394"/>
      <c r="BIG192" s="394"/>
      <c r="BIH192" s="394"/>
      <c r="BII192" s="394"/>
      <c r="BIJ192" s="394"/>
      <c r="BIK192" s="394"/>
      <c r="BIL192" s="394"/>
      <c r="BIM192" s="394"/>
      <c r="BIN192" s="394"/>
      <c r="BIO192" s="394"/>
      <c r="BIP192" s="394"/>
      <c r="BIQ192" s="394"/>
      <c r="BIR192" s="394"/>
      <c r="BIS192" s="394"/>
      <c r="BIT192" s="394"/>
      <c r="BIU192" s="394"/>
      <c r="BIV192" s="394"/>
      <c r="BIW192" s="394"/>
      <c r="BIX192" s="394"/>
      <c r="BIY192" s="394"/>
      <c r="BIZ192" s="394"/>
      <c r="BJA192" s="394"/>
      <c r="BJB192" s="394"/>
      <c r="BJC192" s="394"/>
      <c r="BJD192" s="394"/>
      <c r="BJE192" s="394"/>
      <c r="BJF192" s="394"/>
      <c r="BJG192" s="394"/>
      <c r="BJH192" s="394"/>
      <c r="BJI192" s="394"/>
      <c r="BJJ192" s="394"/>
      <c r="BJK192" s="394"/>
      <c r="BJL192" s="394"/>
      <c r="BJM192" s="394"/>
      <c r="BJN192" s="394"/>
      <c r="BJO192" s="394"/>
      <c r="BJP192" s="394"/>
      <c r="BJQ192" s="394"/>
      <c r="BJR192" s="394"/>
      <c r="BJS192" s="394"/>
      <c r="BJT192" s="394"/>
      <c r="BJU192" s="394"/>
      <c r="BJV192" s="394"/>
      <c r="BJW192" s="394"/>
      <c r="BJX192" s="394"/>
      <c r="BJY192" s="394"/>
      <c r="BJZ192" s="394"/>
      <c r="BKA192" s="394"/>
      <c r="BKB192" s="394"/>
      <c r="BKC192" s="394"/>
      <c r="BKD192" s="394"/>
      <c r="BKE192" s="394"/>
      <c r="BKF192" s="394"/>
      <c r="BKG192" s="394"/>
      <c r="BKH192" s="394"/>
      <c r="BKI192" s="394"/>
      <c r="BKJ192" s="394"/>
      <c r="BKK192" s="394"/>
      <c r="BKL192" s="394"/>
      <c r="BKM192" s="394"/>
      <c r="BKN192" s="394"/>
      <c r="BKO192" s="394"/>
      <c r="BKP192" s="394"/>
      <c r="BKQ192" s="394"/>
      <c r="BKR192" s="394"/>
      <c r="BKS192" s="394"/>
      <c r="BKT192" s="394"/>
      <c r="BKU192" s="394"/>
      <c r="BKV192" s="394"/>
      <c r="BKW192" s="394"/>
      <c r="BKX192" s="394"/>
      <c r="BKY192" s="394"/>
      <c r="BKZ192" s="394"/>
      <c r="BLA192" s="394"/>
      <c r="BLB192" s="394"/>
      <c r="BLC192" s="394"/>
      <c r="BLD192" s="394"/>
      <c r="BLE192" s="394"/>
      <c r="BLF192" s="394"/>
      <c r="BLG192" s="394"/>
      <c r="BLH192" s="394"/>
      <c r="BLI192" s="394"/>
      <c r="BLJ192" s="394"/>
      <c r="BLK192" s="394"/>
      <c r="BLL192" s="394"/>
      <c r="BLM192" s="394"/>
      <c r="BLN192" s="394"/>
      <c r="BLO192" s="394"/>
      <c r="BLP192" s="394"/>
      <c r="BLQ192" s="394"/>
      <c r="BLR192" s="394"/>
      <c r="BLS192" s="394"/>
      <c r="BLT192" s="394"/>
      <c r="BLU192" s="394"/>
      <c r="BLV192" s="394"/>
      <c r="BLW192" s="394"/>
      <c r="BLX192" s="394"/>
      <c r="BLY192" s="394"/>
      <c r="BLZ192" s="394"/>
      <c r="BMA192" s="394"/>
      <c r="BMB192" s="394"/>
      <c r="BMC192" s="394"/>
      <c r="BMD192" s="394"/>
      <c r="BME192" s="394"/>
      <c r="BMF192" s="394"/>
      <c r="BMG192" s="394"/>
      <c r="BMH192" s="394"/>
      <c r="BMI192" s="394"/>
      <c r="BMJ192" s="394"/>
      <c r="BMK192" s="394"/>
      <c r="BML192" s="394"/>
      <c r="BMM192" s="394"/>
      <c r="BMN192" s="394"/>
      <c r="BMO192" s="394"/>
      <c r="BMP192" s="394"/>
      <c r="BMQ192" s="394"/>
      <c r="BMR192" s="394"/>
      <c r="BMS192" s="394"/>
      <c r="BMT192" s="394"/>
      <c r="BMU192" s="394"/>
      <c r="BMV192" s="394"/>
      <c r="BMW192" s="394"/>
      <c r="BMX192" s="394"/>
      <c r="BMY192" s="394"/>
      <c r="BMZ192" s="394"/>
      <c r="BNA192" s="394"/>
      <c r="BNB192" s="394"/>
      <c r="BNC192" s="394"/>
      <c r="BND192" s="394"/>
      <c r="BNE192" s="394"/>
      <c r="BNF192" s="394"/>
      <c r="BNG192" s="394"/>
      <c r="BNH192" s="394"/>
      <c r="BNI192" s="394"/>
      <c r="BNJ192" s="394"/>
      <c r="BNK192" s="394"/>
      <c r="BNL192" s="394"/>
      <c r="BNM192" s="394"/>
      <c r="BNN192" s="394"/>
      <c r="BNO192" s="394"/>
      <c r="BNP192" s="394"/>
      <c r="BNQ192" s="394"/>
      <c r="BNR192" s="394"/>
      <c r="BNS192" s="394"/>
      <c r="BNT192" s="394"/>
      <c r="BNU192" s="394"/>
      <c r="BNV192" s="394"/>
      <c r="BNW192" s="394"/>
      <c r="BNX192" s="394"/>
      <c r="BNY192" s="394"/>
      <c r="BNZ192" s="394"/>
      <c r="BOA192" s="394"/>
      <c r="BOB192" s="394"/>
      <c r="BOC192" s="394"/>
      <c r="BOD192" s="394"/>
      <c r="BOE192" s="394"/>
      <c r="BOF192" s="394"/>
      <c r="BOG192" s="394"/>
      <c r="BOH192" s="394"/>
      <c r="BOI192" s="394"/>
      <c r="BOJ192" s="394"/>
      <c r="BOK192" s="394"/>
      <c r="BOL192" s="394"/>
      <c r="BOM192" s="394"/>
      <c r="BON192" s="394"/>
      <c r="BOO192" s="394"/>
      <c r="BOP192" s="394"/>
      <c r="BOQ192" s="394"/>
      <c r="BOR192" s="394"/>
      <c r="BOS192" s="394"/>
      <c r="BOT192" s="394"/>
      <c r="BOU192" s="394"/>
      <c r="BOV192" s="394"/>
      <c r="BOW192" s="394"/>
      <c r="BOX192" s="394"/>
      <c r="BOY192" s="394"/>
      <c r="BOZ192" s="394"/>
      <c r="BPA192" s="394"/>
      <c r="BPB192" s="394"/>
      <c r="BPC192" s="394"/>
      <c r="BPD192" s="394"/>
      <c r="BPE192" s="394"/>
      <c r="BPF192" s="394"/>
      <c r="BPG192" s="394"/>
      <c r="BPH192" s="394"/>
      <c r="BPI192" s="394"/>
      <c r="BPJ192" s="394"/>
      <c r="BPK192" s="394"/>
      <c r="BPL192" s="394"/>
      <c r="BPM192" s="394"/>
      <c r="BPN192" s="394"/>
      <c r="BPO192" s="394"/>
      <c r="BPP192" s="394"/>
      <c r="BPQ192" s="394"/>
      <c r="BPR192" s="394"/>
      <c r="BPS192" s="394"/>
      <c r="BPT192" s="394"/>
      <c r="BPU192" s="394"/>
      <c r="BPV192" s="394"/>
      <c r="BPW192" s="394"/>
      <c r="BPX192" s="394"/>
      <c r="BPY192" s="394"/>
      <c r="BPZ192" s="394"/>
      <c r="BQA192" s="394"/>
      <c r="BQB192" s="394"/>
      <c r="BQC192" s="394"/>
      <c r="BQD192" s="394"/>
      <c r="BQE192" s="394"/>
      <c r="BQF192" s="394"/>
      <c r="BQG192" s="394"/>
      <c r="BQH192" s="394"/>
      <c r="BQI192" s="394"/>
      <c r="BQJ192" s="394"/>
      <c r="BQK192" s="394"/>
      <c r="BQL192" s="394"/>
      <c r="BQM192" s="394"/>
      <c r="BQN192" s="394"/>
      <c r="BQO192" s="394"/>
      <c r="BQP192" s="394"/>
      <c r="BQQ192" s="394"/>
      <c r="BQR192" s="394"/>
      <c r="BQS192" s="394"/>
      <c r="BQT192" s="394"/>
      <c r="BQU192" s="394"/>
      <c r="BQV192" s="394"/>
      <c r="BQW192" s="394"/>
      <c r="BQX192" s="394"/>
      <c r="BQY192" s="394"/>
      <c r="BQZ192" s="394"/>
      <c r="BRA192" s="394"/>
      <c r="BRB192" s="394"/>
      <c r="BRC192" s="394"/>
      <c r="BRD192" s="394"/>
      <c r="BRE192" s="394"/>
      <c r="BRF192" s="394"/>
      <c r="BRG192" s="394"/>
      <c r="BRH192" s="394"/>
      <c r="BRI192" s="394"/>
      <c r="BRJ192" s="394"/>
      <c r="BRK192" s="394"/>
      <c r="BRL192" s="394"/>
      <c r="BRM192" s="394"/>
      <c r="BRN192" s="394"/>
      <c r="BRO192" s="394"/>
      <c r="BRP192" s="394"/>
      <c r="BRQ192" s="394"/>
      <c r="BRR192" s="394"/>
      <c r="BRS192" s="394"/>
      <c r="BRT192" s="394"/>
      <c r="BRU192" s="394"/>
      <c r="BRV192" s="394"/>
      <c r="BRW192" s="394"/>
      <c r="BRX192" s="394"/>
      <c r="BRY192" s="394"/>
      <c r="BRZ192" s="394"/>
      <c r="BSA192" s="394"/>
      <c r="BSB192" s="394"/>
      <c r="BSC192" s="394"/>
      <c r="BSD192" s="394"/>
      <c r="BSE192" s="394"/>
      <c r="BSF192" s="394"/>
      <c r="BSG192" s="394"/>
      <c r="BSH192" s="394"/>
      <c r="BSI192" s="394"/>
      <c r="BSJ192" s="394"/>
      <c r="BSK192" s="394"/>
      <c r="BSL192" s="394"/>
      <c r="BSM192" s="394"/>
      <c r="BSN192" s="394"/>
      <c r="BSO192" s="394"/>
      <c r="BSP192" s="394"/>
      <c r="BSQ192" s="394"/>
      <c r="BSR192" s="394"/>
      <c r="BSS192" s="394"/>
      <c r="BST192" s="394"/>
      <c r="BSU192" s="394"/>
      <c r="BSV192" s="394"/>
      <c r="BSW192" s="394"/>
      <c r="BSX192" s="394"/>
      <c r="BSY192" s="394"/>
      <c r="BSZ192" s="394"/>
      <c r="BTA192" s="394"/>
      <c r="BTB192" s="394"/>
      <c r="BTC192" s="394"/>
      <c r="BTD192" s="394"/>
      <c r="BTE192" s="394"/>
      <c r="BTF192" s="394"/>
      <c r="BTG192" s="394"/>
      <c r="BTH192" s="394"/>
      <c r="BTI192" s="394"/>
    </row>
    <row r="193" spans="1:1881" s="317" customFormat="1" ht="19.5" customHeight="1" x14ac:dyDescent="0.25">
      <c r="A193" s="188"/>
      <c r="B193" s="181"/>
      <c r="C193" s="181"/>
      <c r="D193" s="169" t="s">
        <v>38</v>
      </c>
      <c r="E193" s="369" t="e">
        <f>SUM(E189:E192)</f>
        <v>#N/A</v>
      </c>
      <c r="F193" s="736">
        <f>SUM(F189:F192)</f>
        <v>0</v>
      </c>
      <c r="G193" s="316"/>
      <c r="H193" s="13"/>
      <c r="I193" s="31"/>
      <c r="J193" s="394"/>
      <c r="K193" s="394"/>
      <c r="L193" s="394"/>
      <c r="M193" s="394"/>
      <c r="N193"/>
      <c r="O193" s="394"/>
      <c r="P193" s="394"/>
      <c r="Q193" s="394"/>
      <c r="R193" s="394"/>
      <c r="S193" s="394"/>
      <c r="T193" s="394"/>
      <c r="U193" s="394"/>
      <c r="V193" s="394"/>
      <c r="W193" s="394"/>
      <c r="X193" s="394"/>
      <c r="Y193" s="394"/>
      <c r="Z193" s="394"/>
      <c r="AA193" s="394"/>
      <c r="AB193" s="394"/>
      <c r="AC193" s="394"/>
      <c r="AD193" s="394"/>
      <c r="AE193" s="394"/>
      <c r="AF193" s="394"/>
      <c r="AG193" s="394"/>
      <c r="AH193" s="394"/>
      <c r="AI193" s="394"/>
      <c r="AJ193" s="394"/>
      <c r="AK193" s="394"/>
      <c r="AL193" s="394"/>
      <c r="AM193" s="394"/>
      <c r="AN193" s="394"/>
      <c r="AO193" s="394"/>
      <c r="AP193" s="394"/>
      <c r="AQ193" s="394"/>
      <c r="AR193" s="394"/>
      <c r="AS193" s="394"/>
      <c r="AT193" s="394"/>
      <c r="AU193" s="394"/>
      <c r="AV193" s="394"/>
      <c r="AW193" s="394"/>
      <c r="AX193" s="394"/>
      <c r="AY193" s="394"/>
      <c r="AZ193" s="394"/>
      <c r="BA193" s="394"/>
      <c r="BB193" s="394"/>
      <c r="BC193" s="394"/>
      <c r="BD193" s="394"/>
      <c r="BE193" s="394"/>
      <c r="BF193" s="394"/>
      <c r="BG193" s="394"/>
      <c r="BH193" s="394"/>
      <c r="BI193" s="394"/>
      <c r="BJ193" s="394"/>
      <c r="BK193" s="394"/>
      <c r="BL193" s="394"/>
      <c r="BM193" s="394"/>
      <c r="BN193" s="394"/>
      <c r="BO193" s="394"/>
      <c r="BP193" s="394"/>
      <c r="BQ193" s="394"/>
      <c r="BR193" s="394"/>
      <c r="BS193" s="394"/>
      <c r="BT193" s="394"/>
      <c r="BU193" s="394"/>
      <c r="BV193" s="394"/>
      <c r="BW193" s="394"/>
      <c r="BX193" s="394"/>
      <c r="BY193" s="394"/>
      <c r="BZ193" s="394"/>
      <c r="CA193" s="394"/>
      <c r="CB193" s="394"/>
      <c r="CC193" s="394"/>
      <c r="CD193" s="394"/>
      <c r="CE193" s="394"/>
      <c r="CF193" s="394"/>
      <c r="CG193" s="394"/>
      <c r="CH193" s="394"/>
      <c r="CI193" s="394"/>
      <c r="CJ193" s="394"/>
      <c r="CK193" s="394"/>
      <c r="CL193" s="394"/>
      <c r="CM193" s="394"/>
      <c r="CN193" s="394"/>
      <c r="CO193" s="394"/>
      <c r="CP193" s="394"/>
      <c r="CQ193" s="394"/>
      <c r="CR193" s="394"/>
      <c r="CS193" s="394"/>
      <c r="CT193" s="394"/>
      <c r="CU193" s="394"/>
      <c r="CV193" s="394"/>
      <c r="CW193" s="394"/>
      <c r="CX193" s="394"/>
      <c r="CY193" s="394"/>
      <c r="CZ193" s="394"/>
      <c r="DA193" s="394"/>
      <c r="DB193" s="394"/>
      <c r="DC193" s="394"/>
      <c r="DD193" s="394"/>
      <c r="DE193" s="394"/>
      <c r="DF193" s="394"/>
      <c r="DG193" s="394"/>
      <c r="DH193" s="394"/>
      <c r="DI193" s="394"/>
      <c r="DJ193" s="394"/>
      <c r="DK193" s="394"/>
      <c r="DL193" s="394"/>
      <c r="DM193" s="394"/>
      <c r="DN193" s="394"/>
      <c r="DO193" s="394"/>
      <c r="DP193" s="394"/>
      <c r="DQ193" s="394"/>
      <c r="DR193" s="394"/>
      <c r="DS193" s="394"/>
      <c r="DT193" s="394"/>
      <c r="DU193" s="394"/>
      <c r="DV193" s="394"/>
      <c r="DW193" s="394"/>
      <c r="DX193" s="394"/>
      <c r="DY193" s="394"/>
      <c r="DZ193" s="394"/>
      <c r="EA193" s="394"/>
      <c r="EB193" s="394"/>
      <c r="EC193" s="394"/>
      <c r="ED193" s="394"/>
      <c r="EE193" s="394"/>
      <c r="EF193" s="394"/>
      <c r="EG193" s="394"/>
      <c r="EH193" s="394"/>
      <c r="EI193" s="394"/>
      <c r="EJ193" s="394"/>
      <c r="EK193" s="394"/>
      <c r="EL193" s="394"/>
      <c r="EM193" s="394"/>
      <c r="EN193" s="394"/>
      <c r="EO193" s="394"/>
      <c r="EP193" s="394"/>
      <c r="EQ193" s="394"/>
      <c r="ER193" s="394"/>
      <c r="ES193" s="394"/>
      <c r="ET193" s="394"/>
      <c r="EU193" s="394"/>
      <c r="EV193" s="394"/>
      <c r="EW193" s="394"/>
      <c r="EX193" s="394"/>
      <c r="EY193" s="394"/>
      <c r="EZ193" s="394"/>
      <c r="FA193" s="394"/>
      <c r="FB193" s="394"/>
      <c r="FC193" s="394"/>
      <c r="FD193" s="394"/>
      <c r="FE193" s="394"/>
      <c r="FF193" s="394"/>
      <c r="FG193" s="394"/>
      <c r="FH193" s="394"/>
      <c r="FI193" s="394"/>
      <c r="FJ193" s="394"/>
      <c r="FK193" s="394"/>
      <c r="FL193" s="394"/>
      <c r="FM193" s="394"/>
      <c r="FN193" s="394"/>
      <c r="FO193" s="394"/>
      <c r="FP193" s="394"/>
      <c r="FQ193" s="394"/>
      <c r="FR193" s="394"/>
      <c r="FS193" s="394"/>
      <c r="FT193" s="394"/>
      <c r="FU193" s="394"/>
      <c r="FV193" s="394"/>
      <c r="FW193" s="394"/>
      <c r="FX193" s="394"/>
      <c r="FY193" s="394"/>
      <c r="FZ193" s="394"/>
      <c r="GA193" s="394"/>
      <c r="GB193" s="394"/>
      <c r="GC193" s="394"/>
      <c r="GD193" s="394"/>
      <c r="GE193" s="394"/>
      <c r="GF193" s="394"/>
      <c r="GG193" s="394"/>
      <c r="GH193" s="394"/>
      <c r="GI193" s="394"/>
      <c r="GJ193" s="394"/>
      <c r="GK193" s="394"/>
      <c r="GL193" s="394"/>
      <c r="GM193" s="394"/>
      <c r="GN193" s="394"/>
      <c r="GO193" s="394"/>
      <c r="GP193" s="394"/>
      <c r="GQ193" s="394"/>
      <c r="GR193" s="394"/>
      <c r="GS193" s="394"/>
      <c r="GT193" s="394"/>
      <c r="GU193" s="394"/>
      <c r="GV193" s="394"/>
      <c r="GW193" s="394"/>
      <c r="GX193" s="394"/>
      <c r="GY193" s="394"/>
      <c r="GZ193" s="394"/>
      <c r="HA193" s="394"/>
      <c r="HB193" s="394"/>
      <c r="HC193" s="394"/>
      <c r="HD193" s="394"/>
      <c r="HE193" s="394"/>
      <c r="HF193" s="394"/>
      <c r="HG193" s="394"/>
      <c r="HH193" s="394"/>
      <c r="HI193" s="394"/>
      <c r="HJ193" s="394"/>
      <c r="HK193" s="394"/>
      <c r="HL193" s="394"/>
      <c r="HM193" s="394"/>
      <c r="HN193" s="394"/>
      <c r="HO193" s="394"/>
      <c r="HP193" s="394"/>
      <c r="HQ193" s="394"/>
      <c r="HR193" s="394"/>
      <c r="HS193" s="394"/>
      <c r="HT193" s="394"/>
      <c r="HU193" s="394"/>
      <c r="HV193" s="394"/>
      <c r="HW193" s="394"/>
      <c r="HX193" s="394"/>
      <c r="HY193" s="394"/>
      <c r="HZ193" s="394"/>
      <c r="IA193" s="394"/>
      <c r="IB193" s="394"/>
      <c r="IC193" s="394"/>
      <c r="ID193" s="394"/>
      <c r="IE193" s="394"/>
      <c r="IF193" s="394"/>
      <c r="IG193" s="394"/>
      <c r="IH193" s="394"/>
      <c r="II193" s="394"/>
      <c r="IJ193" s="394"/>
      <c r="IK193" s="394"/>
      <c r="IL193" s="394"/>
      <c r="IM193" s="394"/>
      <c r="IN193" s="394"/>
      <c r="IO193" s="394"/>
      <c r="IP193" s="394"/>
      <c r="IQ193" s="394"/>
      <c r="IR193" s="394"/>
      <c r="IS193" s="394"/>
      <c r="IT193" s="394"/>
      <c r="IU193" s="394"/>
      <c r="IV193" s="394"/>
      <c r="IW193" s="394"/>
      <c r="IX193" s="394"/>
      <c r="IY193" s="394"/>
      <c r="IZ193" s="394"/>
      <c r="JA193" s="394"/>
      <c r="JB193" s="394"/>
      <c r="JC193" s="394"/>
      <c r="JD193" s="394"/>
      <c r="JE193" s="394"/>
      <c r="JF193" s="394"/>
      <c r="JG193" s="394"/>
      <c r="JH193" s="394"/>
      <c r="JI193" s="394"/>
      <c r="JJ193" s="394"/>
      <c r="JK193" s="394"/>
      <c r="JL193" s="394"/>
      <c r="JM193" s="394"/>
      <c r="JN193" s="394"/>
      <c r="JO193" s="394"/>
      <c r="JP193" s="394"/>
      <c r="JQ193" s="394"/>
      <c r="JR193" s="394"/>
      <c r="JS193" s="394"/>
      <c r="JT193" s="394"/>
      <c r="JU193" s="394"/>
      <c r="JV193" s="394"/>
      <c r="JW193" s="394"/>
      <c r="JX193" s="394"/>
      <c r="JY193" s="394"/>
      <c r="JZ193" s="394"/>
      <c r="KA193" s="394"/>
      <c r="KB193" s="394"/>
      <c r="KC193" s="394"/>
      <c r="KD193" s="394"/>
      <c r="KE193" s="394"/>
      <c r="KF193" s="394"/>
      <c r="KG193" s="394"/>
      <c r="KH193" s="394"/>
      <c r="KI193" s="394"/>
      <c r="KJ193" s="394"/>
      <c r="KK193" s="394"/>
      <c r="KL193" s="394"/>
      <c r="KM193" s="394"/>
      <c r="KN193" s="394"/>
      <c r="KO193" s="394"/>
      <c r="KP193" s="394"/>
      <c r="KQ193" s="394"/>
      <c r="KR193" s="394"/>
      <c r="KS193" s="394"/>
      <c r="KT193" s="394"/>
      <c r="KU193" s="394"/>
      <c r="KV193" s="394"/>
      <c r="KW193" s="394"/>
      <c r="KX193" s="394"/>
      <c r="KY193" s="394"/>
      <c r="KZ193" s="394"/>
      <c r="LA193" s="394"/>
      <c r="LB193" s="394"/>
      <c r="LC193" s="394"/>
      <c r="LD193" s="394"/>
      <c r="LE193" s="394"/>
      <c r="LF193" s="394"/>
      <c r="LG193" s="394"/>
      <c r="LH193" s="394"/>
      <c r="LI193" s="394"/>
      <c r="LJ193" s="394"/>
      <c r="LK193" s="394"/>
      <c r="LL193" s="394"/>
      <c r="LM193" s="394"/>
      <c r="LN193" s="394"/>
      <c r="LO193" s="394"/>
      <c r="LP193" s="394"/>
      <c r="LQ193" s="394"/>
      <c r="LR193" s="394"/>
      <c r="LS193" s="394"/>
      <c r="LT193" s="394"/>
      <c r="LU193" s="394"/>
      <c r="LV193" s="394"/>
      <c r="LW193" s="394"/>
      <c r="LX193" s="394"/>
      <c r="LY193" s="394"/>
      <c r="LZ193" s="394"/>
      <c r="MA193" s="394"/>
      <c r="MB193" s="394"/>
      <c r="MC193" s="394"/>
      <c r="MD193" s="394"/>
      <c r="ME193" s="394"/>
      <c r="MF193" s="394"/>
      <c r="MG193" s="394"/>
      <c r="MH193" s="394"/>
      <c r="MI193" s="394"/>
      <c r="MJ193" s="394"/>
      <c r="MK193" s="394"/>
      <c r="ML193" s="394"/>
      <c r="MM193" s="394"/>
      <c r="MN193" s="394"/>
      <c r="MO193" s="394"/>
      <c r="MP193" s="394"/>
      <c r="MQ193" s="394"/>
      <c r="MR193" s="394"/>
      <c r="MS193" s="394"/>
      <c r="MT193" s="394"/>
      <c r="MU193" s="394"/>
      <c r="MV193" s="394"/>
      <c r="MW193" s="394"/>
      <c r="MX193" s="394"/>
      <c r="MY193" s="394"/>
      <c r="MZ193" s="394"/>
      <c r="NA193" s="394"/>
      <c r="NB193" s="394"/>
      <c r="NC193" s="394"/>
      <c r="ND193" s="394"/>
      <c r="NE193" s="394"/>
      <c r="NF193" s="394"/>
      <c r="NG193" s="394"/>
      <c r="NH193" s="394"/>
      <c r="NI193" s="394"/>
      <c r="NJ193" s="394"/>
      <c r="NK193" s="394"/>
      <c r="NL193" s="394"/>
      <c r="NM193" s="394"/>
      <c r="NN193" s="394"/>
      <c r="NO193" s="394"/>
      <c r="NP193" s="394"/>
      <c r="NQ193" s="394"/>
      <c r="NR193" s="394"/>
      <c r="NS193" s="394"/>
      <c r="NT193" s="394"/>
      <c r="NU193" s="394"/>
      <c r="NV193" s="394"/>
      <c r="NW193" s="394"/>
      <c r="NX193" s="394"/>
      <c r="NY193" s="394"/>
      <c r="NZ193" s="394"/>
      <c r="OA193" s="394"/>
      <c r="OB193" s="394"/>
      <c r="OC193" s="394"/>
      <c r="OD193" s="394"/>
      <c r="OE193" s="394"/>
      <c r="OF193" s="394"/>
      <c r="OG193" s="394"/>
      <c r="OH193" s="394"/>
      <c r="OI193" s="394"/>
      <c r="OJ193" s="394"/>
      <c r="OK193" s="394"/>
      <c r="OL193" s="394"/>
      <c r="OM193" s="394"/>
      <c r="ON193" s="394"/>
      <c r="OO193" s="394"/>
      <c r="OP193" s="394"/>
      <c r="OQ193" s="394"/>
      <c r="OR193" s="394"/>
      <c r="OS193" s="394"/>
      <c r="OT193" s="394"/>
      <c r="OU193" s="394"/>
      <c r="OV193" s="394"/>
      <c r="OW193" s="394"/>
      <c r="OX193" s="394"/>
      <c r="OY193" s="394"/>
      <c r="OZ193" s="394"/>
      <c r="PA193" s="394"/>
      <c r="PB193" s="394"/>
      <c r="PC193" s="394"/>
      <c r="PD193" s="394"/>
      <c r="PE193" s="394"/>
      <c r="PF193" s="394"/>
      <c r="PG193" s="394"/>
      <c r="PH193" s="394"/>
      <c r="PI193" s="394"/>
      <c r="PJ193" s="394"/>
      <c r="PK193" s="394"/>
      <c r="PL193" s="394"/>
      <c r="PM193" s="394"/>
      <c r="PN193" s="394"/>
      <c r="PO193" s="394"/>
      <c r="PP193" s="394"/>
      <c r="PQ193" s="394"/>
      <c r="PR193" s="394"/>
      <c r="PS193" s="394"/>
      <c r="PT193" s="394"/>
      <c r="PU193" s="394"/>
      <c r="PV193" s="394"/>
      <c r="PW193" s="394"/>
      <c r="PX193" s="394"/>
      <c r="PY193" s="394"/>
      <c r="PZ193" s="394"/>
      <c r="QA193" s="394"/>
      <c r="QB193" s="394"/>
      <c r="QC193" s="394"/>
      <c r="QD193" s="394"/>
      <c r="QE193" s="394"/>
      <c r="QF193" s="394"/>
      <c r="QG193" s="394"/>
      <c r="QH193" s="394"/>
      <c r="QI193" s="394"/>
      <c r="QJ193" s="394"/>
      <c r="QK193" s="394"/>
      <c r="QL193" s="394"/>
      <c r="QM193" s="394"/>
      <c r="QN193" s="394"/>
      <c r="QO193" s="394"/>
      <c r="QP193" s="394"/>
      <c r="QQ193" s="394"/>
      <c r="QR193" s="394"/>
      <c r="QS193" s="394"/>
      <c r="QT193" s="394"/>
      <c r="QU193" s="394"/>
      <c r="QV193" s="394"/>
      <c r="QW193" s="394"/>
      <c r="QX193" s="394"/>
      <c r="QY193" s="394"/>
      <c r="QZ193" s="394"/>
      <c r="RA193" s="394"/>
      <c r="RB193" s="394"/>
      <c r="RC193" s="394"/>
      <c r="RD193" s="394"/>
      <c r="RE193" s="394"/>
      <c r="RF193" s="394"/>
      <c r="RG193" s="394"/>
      <c r="RH193" s="394"/>
      <c r="RI193" s="394"/>
      <c r="RJ193" s="394"/>
      <c r="RK193" s="394"/>
      <c r="RL193" s="394"/>
      <c r="RM193" s="394"/>
      <c r="RN193" s="394"/>
      <c r="RO193" s="394"/>
      <c r="RP193" s="394"/>
      <c r="RQ193" s="394"/>
      <c r="RR193" s="394"/>
      <c r="RS193" s="394"/>
      <c r="RT193" s="394"/>
      <c r="RU193" s="394"/>
      <c r="RV193" s="394"/>
      <c r="RW193" s="394"/>
      <c r="RX193" s="394"/>
      <c r="RY193" s="394"/>
      <c r="RZ193" s="394"/>
      <c r="SA193" s="394"/>
      <c r="SB193" s="394"/>
      <c r="SC193" s="394"/>
      <c r="SD193" s="394"/>
      <c r="SE193" s="394"/>
      <c r="SF193" s="394"/>
      <c r="SG193" s="394"/>
      <c r="SH193" s="394"/>
      <c r="SI193" s="394"/>
      <c r="SJ193" s="394"/>
      <c r="SK193" s="394"/>
      <c r="SL193" s="394"/>
      <c r="SM193" s="394"/>
      <c r="SN193" s="394"/>
      <c r="SO193" s="394"/>
      <c r="SP193" s="394"/>
      <c r="SQ193" s="394"/>
      <c r="SR193" s="394"/>
      <c r="SS193" s="394"/>
      <c r="ST193" s="394"/>
      <c r="SU193" s="394"/>
      <c r="SV193" s="394"/>
      <c r="SW193" s="394"/>
      <c r="SX193" s="394"/>
      <c r="SY193" s="394"/>
      <c r="SZ193" s="394"/>
      <c r="TA193" s="394"/>
      <c r="TB193" s="394"/>
      <c r="TC193" s="394"/>
      <c r="TD193" s="394"/>
      <c r="TE193" s="394"/>
      <c r="TF193" s="394"/>
      <c r="TG193" s="394"/>
      <c r="TH193" s="394"/>
      <c r="TI193" s="394"/>
      <c r="TJ193" s="394"/>
      <c r="TK193" s="394"/>
      <c r="TL193" s="394"/>
      <c r="TM193" s="394"/>
      <c r="TN193" s="394"/>
      <c r="TO193" s="394"/>
      <c r="TP193" s="394"/>
      <c r="TQ193" s="394"/>
      <c r="TR193" s="394"/>
      <c r="TS193" s="394"/>
      <c r="TT193" s="394"/>
      <c r="TU193" s="394"/>
      <c r="TV193" s="394"/>
      <c r="TW193" s="394"/>
      <c r="TX193" s="394"/>
      <c r="TY193" s="394"/>
      <c r="TZ193" s="394"/>
      <c r="UA193" s="394"/>
      <c r="UB193" s="394"/>
      <c r="UC193" s="394"/>
      <c r="UD193" s="394"/>
      <c r="UE193" s="394"/>
      <c r="UF193" s="394"/>
      <c r="UG193" s="394"/>
      <c r="UH193" s="394"/>
      <c r="UI193" s="394"/>
      <c r="UJ193" s="394"/>
      <c r="UK193" s="394"/>
      <c r="UL193" s="394"/>
      <c r="UM193" s="394"/>
      <c r="UN193" s="394"/>
      <c r="UO193" s="394"/>
      <c r="UP193" s="394"/>
      <c r="UQ193" s="394"/>
      <c r="UR193" s="394"/>
      <c r="US193" s="394"/>
      <c r="UT193" s="394"/>
      <c r="UU193" s="394"/>
      <c r="UV193" s="394"/>
      <c r="UW193" s="394"/>
      <c r="UX193" s="394"/>
      <c r="UY193" s="394"/>
      <c r="UZ193" s="394"/>
      <c r="VA193" s="394"/>
      <c r="VB193" s="394"/>
      <c r="VC193" s="394"/>
      <c r="VD193" s="394"/>
      <c r="VE193" s="394"/>
      <c r="VF193" s="394"/>
      <c r="VG193" s="394"/>
      <c r="VH193" s="394"/>
      <c r="VI193" s="394"/>
      <c r="VJ193" s="394"/>
      <c r="VK193" s="394"/>
      <c r="VL193" s="394"/>
      <c r="VM193" s="394"/>
      <c r="VN193" s="394"/>
      <c r="VO193" s="394"/>
      <c r="VP193" s="394"/>
      <c r="VQ193" s="394"/>
      <c r="VR193" s="394"/>
      <c r="VS193" s="394"/>
      <c r="VT193" s="394"/>
      <c r="VU193" s="394"/>
      <c r="VV193" s="394"/>
      <c r="VW193" s="394"/>
      <c r="VX193" s="394"/>
      <c r="VY193" s="394"/>
      <c r="VZ193" s="394"/>
      <c r="WA193" s="394"/>
      <c r="WB193" s="394"/>
      <c r="WC193" s="394"/>
      <c r="WD193" s="394"/>
      <c r="WE193" s="394"/>
      <c r="WF193" s="394"/>
      <c r="WG193" s="394"/>
      <c r="WH193" s="394"/>
      <c r="WI193" s="394"/>
      <c r="WJ193" s="394"/>
      <c r="WK193" s="394"/>
      <c r="WL193" s="394"/>
      <c r="WM193" s="394"/>
      <c r="WN193" s="394"/>
      <c r="WO193" s="394"/>
      <c r="WP193" s="394"/>
      <c r="WQ193" s="394"/>
      <c r="WR193" s="394"/>
      <c r="WS193" s="394"/>
      <c r="WT193" s="394"/>
      <c r="WU193" s="394"/>
      <c r="WV193" s="394"/>
      <c r="WW193" s="394"/>
      <c r="WX193" s="394"/>
      <c r="WY193" s="394"/>
      <c r="WZ193" s="394"/>
      <c r="XA193" s="394"/>
      <c r="XB193" s="394"/>
      <c r="XC193" s="394"/>
      <c r="XD193" s="394"/>
      <c r="XE193" s="394"/>
      <c r="XF193" s="394"/>
      <c r="XG193" s="394"/>
      <c r="XH193" s="394"/>
      <c r="XI193" s="394"/>
      <c r="XJ193" s="394"/>
      <c r="XK193" s="394"/>
      <c r="XL193" s="394"/>
      <c r="XM193" s="394"/>
      <c r="XN193" s="394"/>
      <c r="XO193" s="394"/>
      <c r="XP193" s="394"/>
      <c r="XQ193" s="394"/>
      <c r="XR193" s="394"/>
      <c r="XS193" s="394"/>
      <c r="XT193" s="394"/>
      <c r="XU193" s="394"/>
      <c r="XV193" s="394"/>
      <c r="XW193" s="394"/>
      <c r="XX193" s="394"/>
      <c r="XY193" s="394"/>
      <c r="XZ193" s="394"/>
      <c r="YA193" s="394"/>
      <c r="YB193" s="394"/>
      <c r="YC193" s="394"/>
      <c r="YD193" s="394"/>
      <c r="YE193" s="394"/>
      <c r="YF193" s="394"/>
      <c r="YG193" s="394"/>
      <c r="YH193" s="394"/>
      <c r="YI193" s="394"/>
      <c r="YJ193" s="394"/>
      <c r="YK193" s="394"/>
      <c r="YL193" s="394"/>
      <c r="YM193" s="394"/>
      <c r="YN193" s="394"/>
      <c r="YO193" s="394"/>
      <c r="YP193" s="394"/>
      <c r="YQ193" s="394"/>
      <c r="YR193" s="394"/>
      <c r="YS193" s="394"/>
      <c r="YT193" s="394"/>
      <c r="YU193" s="394"/>
      <c r="YV193" s="394"/>
      <c r="YW193" s="394"/>
      <c r="YX193" s="394"/>
      <c r="YY193" s="394"/>
      <c r="YZ193" s="394"/>
      <c r="ZA193" s="394"/>
      <c r="ZB193" s="394"/>
      <c r="ZC193" s="394"/>
      <c r="ZD193" s="394"/>
      <c r="ZE193" s="394"/>
      <c r="ZF193" s="394"/>
      <c r="ZG193" s="394"/>
      <c r="ZH193" s="394"/>
      <c r="ZI193" s="394"/>
      <c r="ZJ193" s="394"/>
      <c r="ZK193" s="394"/>
      <c r="ZL193" s="394"/>
      <c r="ZM193" s="394"/>
      <c r="ZN193" s="394"/>
      <c r="ZO193" s="394"/>
      <c r="ZP193" s="394"/>
      <c r="ZQ193" s="394"/>
      <c r="ZR193" s="394"/>
      <c r="ZS193" s="394"/>
      <c r="ZT193" s="394"/>
      <c r="ZU193" s="394"/>
      <c r="ZV193" s="394"/>
      <c r="ZW193" s="394"/>
      <c r="ZX193" s="394"/>
      <c r="ZY193" s="394"/>
      <c r="ZZ193" s="394"/>
      <c r="AAA193" s="394"/>
      <c r="AAB193" s="394"/>
      <c r="AAC193" s="394"/>
      <c r="AAD193" s="394"/>
      <c r="AAE193" s="394"/>
      <c r="AAF193" s="394"/>
      <c r="AAG193" s="394"/>
      <c r="AAH193" s="394"/>
      <c r="AAI193" s="394"/>
      <c r="AAJ193" s="394"/>
      <c r="AAK193" s="394"/>
      <c r="AAL193" s="394"/>
      <c r="AAM193" s="394"/>
      <c r="AAN193" s="394"/>
      <c r="AAO193" s="394"/>
      <c r="AAP193" s="394"/>
      <c r="AAQ193" s="394"/>
      <c r="AAR193" s="394"/>
      <c r="AAS193" s="394"/>
      <c r="AAT193" s="394"/>
      <c r="AAU193" s="394"/>
      <c r="AAV193" s="394"/>
      <c r="AAW193" s="394"/>
      <c r="AAX193" s="394"/>
      <c r="AAY193" s="394"/>
      <c r="AAZ193" s="394"/>
      <c r="ABA193" s="394"/>
      <c r="ABB193" s="394"/>
      <c r="ABC193" s="394"/>
      <c r="ABD193" s="394"/>
      <c r="ABE193" s="394"/>
      <c r="ABF193" s="394"/>
      <c r="ABG193" s="394"/>
      <c r="ABH193" s="394"/>
      <c r="ABI193" s="394"/>
      <c r="ABJ193" s="394"/>
      <c r="ABK193" s="394"/>
      <c r="ABL193" s="394"/>
      <c r="ABM193" s="394"/>
      <c r="ABN193" s="394"/>
      <c r="ABO193" s="394"/>
      <c r="ABP193" s="394"/>
      <c r="ABQ193" s="394"/>
      <c r="ABR193" s="394"/>
      <c r="ABS193" s="394"/>
      <c r="ABT193" s="394"/>
      <c r="ABU193" s="394"/>
      <c r="ABV193" s="394"/>
      <c r="ABW193" s="394"/>
      <c r="ABX193" s="394"/>
      <c r="ABY193" s="394"/>
      <c r="ABZ193" s="394"/>
      <c r="ACA193" s="394"/>
      <c r="ACB193" s="394"/>
      <c r="ACC193" s="394"/>
      <c r="ACD193" s="394"/>
      <c r="ACE193" s="394"/>
      <c r="ACF193" s="394"/>
      <c r="ACG193" s="394"/>
      <c r="ACH193" s="394"/>
      <c r="ACI193" s="394"/>
      <c r="ACJ193" s="394"/>
      <c r="ACK193" s="394"/>
      <c r="ACL193" s="394"/>
      <c r="ACM193" s="394"/>
      <c r="ACN193" s="394"/>
      <c r="ACO193" s="394"/>
      <c r="ACP193" s="394"/>
      <c r="ACQ193" s="394"/>
      <c r="ACR193" s="394"/>
      <c r="ACS193" s="394"/>
      <c r="ACT193" s="394"/>
      <c r="ACU193" s="394"/>
      <c r="ACV193" s="394"/>
      <c r="ACW193" s="394"/>
      <c r="ACX193" s="394"/>
      <c r="ACY193" s="394"/>
      <c r="ACZ193" s="394"/>
      <c r="ADA193" s="394"/>
      <c r="ADB193" s="394"/>
      <c r="ADC193" s="394"/>
      <c r="ADD193" s="394"/>
      <c r="ADE193" s="394"/>
      <c r="ADF193" s="394"/>
      <c r="ADG193" s="394"/>
      <c r="ADH193" s="394"/>
      <c r="ADI193" s="394"/>
      <c r="ADJ193" s="394"/>
      <c r="ADK193" s="394"/>
      <c r="ADL193" s="394"/>
      <c r="ADM193" s="394"/>
      <c r="ADN193" s="394"/>
      <c r="ADO193" s="394"/>
      <c r="ADP193" s="394"/>
      <c r="ADQ193" s="394"/>
      <c r="ADR193" s="394"/>
      <c r="ADS193" s="394"/>
      <c r="ADT193" s="394"/>
      <c r="ADU193" s="394"/>
      <c r="ADV193" s="394"/>
      <c r="ADW193" s="394"/>
      <c r="ADX193" s="394"/>
      <c r="ADY193" s="394"/>
      <c r="ADZ193" s="394"/>
      <c r="AEA193" s="394"/>
      <c r="AEB193" s="394"/>
      <c r="AEC193" s="394"/>
      <c r="AED193" s="394"/>
      <c r="AEE193" s="394"/>
      <c r="AEF193" s="394"/>
      <c r="AEG193" s="394"/>
      <c r="AEH193" s="394"/>
      <c r="AEI193" s="394"/>
      <c r="AEJ193" s="394"/>
      <c r="AEK193" s="394"/>
      <c r="AEL193" s="394"/>
      <c r="AEM193" s="394"/>
      <c r="AEN193" s="394"/>
      <c r="AEO193" s="394"/>
      <c r="AEP193" s="394"/>
      <c r="AEQ193" s="394"/>
      <c r="AER193" s="394"/>
      <c r="AES193" s="394"/>
      <c r="AET193" s="394"/>
      <c r="AEU193" s="394"/>
      <c r="AEV193" s="394"/>
      <c r="AEW193" s="394"/>
      <c r="AEX193" s="394"/>
      <c r="AEY193" s="394"/>
      <c r="AEZ193" s="394"/>
      <c r="AFA193" s="394"/>
      <c r="AFB193" s="394"/>
      <c r="AFC193" s="394"/>
      <c r="AFD193" s="394"/>
      <c r="AFE193" s="394"/>
      <c r="AFF193" s="394"/>
      <c r="AFG193" s="394"/>
      <c r="AFH193" s="394"/>
      <c r="AFI193" s="394"/>
      <c r="AFJ193" s="394"/>
      <c r="AFK193" s="394"/>
      <c r="AFL193" s="394"/>
      <c r="AFM193" s="394"/>
      <c r="AFN193" s="394"/>
      <c r="AFO193" s="394"/>
      <c r="AFP193" s="394"/>
      <c r="AFQ193" s="394"/>
      <c r="AFR193" s="394"/>
      <c r="AFS193" s="394"/>
      <c r="AFT193" s="394"/>
      <c r="AFU193" s="394"/>
      <c r="AFV193" s="394"/>
      <c r="AFW193" s="394"/>
      <c r="AFX193" s="394"/>
      <c r="AFY193" s="394"/>
      <c r="AFZ193" s="394"/>
      <c r="AGA193" s="394"/>
      <c r="AGB193" s="394"/>
      <c r="AGC193" s="394"/>
      <c r="AGD193" s="394"/>
      <c r="AGE193" s="394"/>
      <c r="AGF193" s="394"/>
      <c r="AGG193" s="394"/>
      <c r="AGH193" s="394"/>
      <c r="AGI193" s="394"/>
      <c r="AGJ193" s="394"/>
      <c r="AGK193" s="394"/>
      <c r="AGL193" s="394"/>
      <c r="AGM193" s="394"/>
      <c r="AGN193" s="394"/>
      <c r="AGO193" s="394"/>
      <c r="AGP193" s="394"/>
      <c r="AGQ193" s="394"/>
      <c r="AGR193" s="394"/>
      <c r="AGS193" s="394"/>
      <c r="AGT193" s="394"/>
      <c r="AGU193" s="394"/>
      <c r="AGV193" s="394"/>
      <c r="AGW193" s="394"/>
      <c r="AGX193" s="394"/>
      <c r="AGY193" s="394"/>
      <c r="AGZ193" s="394"/>
      <c r="AHA193" s="394"/>
      <c r="AHB193" s="394"/>
      <c r="AHC193" s="394"/>
      <c r="AHD193" s="394"/>
      <c r="AHE193" s="394"/>
      <c r="AHF193" s="394"/>
      <c r="AHG193" s="394"/>
      <c r="AHH193" s="394"/>
      <c r="AHI193" s="394"/>
      <c r="AHJ193" s="394"/>
      <c r="AHK193" s="394"/>
      <c r="AHL193" s="394"/>
      <c r="AHM193" s="394"/>
      <c r="AHN193" s="394"/>
      <c r="AHO193" s="394"/>
      <c r="AHP193" s="394"/>
      <c r="AHQ193" s="394"/>
      <c r="AHR193" s="394"/>
      <c r="AHS193" s="394"/>
      <c r="AHT193" s="394"/>
      <c r="AHU193" s="394"/>
      <c r="AHV193" s="394"/>
      <c r="AHW193" s="394"/>
      <c r="AHX193" s="394"/>
      <c r="AHY193" s="394"/>
      <c r="AHZ193" s="394"/>
      <c r="AIA193" s="394"/>
      <c r="AIB193" s="394"/>
      <c r="AIC193" s="394"/>
      <c r="AID193" s="394"/>
      <c r="AIE193" s="394"/>
      <c r="AIF193" s="394"/>
      <c r="AIG193" s="394"/>
      <c r="AIH193" s="394"/>
      <c r="AII193" s="394"/>
      <c r="AIJ193" s="394"/>
      <c r="AIK193" s="394"/>
      <c r="AIL193" s="394"/>
      <c r="AIM193" s="394"/>
      <c r="AIN193" s="394"/>
      <c r="AIO193" s="394"/>
      <c r="AIP193" s="394"/>
      <c r="AIQ193" s="394"/>
      <c r="AIR193" s="394"/>
      <c r="AIS193" s="394"/>
      <c r="AIT193" s="394"/>
      <c r="AIU193" s="394"/>
      <c r="AIV193" s="394"/>
      <c r="AIW193" s="394"/>
      <c r="AIX193" s="394"/>
      <c r="AIY193" s="394"/>
      <c r="AIZ193" s="394"/>
      <c r="AJA193" s="394"/>
      <c r="AJB193" s="394"/>
      <c r="AJC193" s="394"/>
      <c r="AJD193" s="394"/>
      <c r="AJE193" s="394"/>
      <c r="AJF193" s="394"/>
      <c r="AJG193" s="394"/>
      <c r="AJH193" s="394"/>
      <c r="AJI193" s="394"/>
      <c r="AJJ193" s="394"/>
      <c r="AJK193" s="394"/>
      <c r="AJL193" s="394"/>
      <c r="AJM193" s="394"/>
      <c r="AJN193" s="394"/>
      <c r="AJO193" s="394"/>
      <c r="AJP193" s="394"/>
      <c r="AJQ193" s="394"/>
      <c r="AJR193" s="394"/>
      <c r="AJS193" s="394"/>
      <c r="AJT193" s="394"/>
      <c r="AJU193" s="394"/>
      <c r="AJV193" s="394"/>
      <c r="AJW193" s="394"/>
      <c r="AJX193" s="394"/>
      <c r="AJY193" s="394"/>
      <c r="AJZ193" s="394"/>
      <c r="AKA193" s="394"/>
      <c r="AKB193" s="394"/>
      <c r="AKC193" s="394"/>
      <c r="AKD193" s="394"/>
      <c r="AKE193" s="394"/>
      <c r="AKF193" s="394"/>
      <c r="AKG193" s="394"/>
      <c r="AKH193" s="394"/>
      <c r="AKI193" s="394"/>
      <c r="AKJ193" s="394"/>
      <c r="AKK193" s="394"/>
      <c r="AKL193" s="394"/>
      <c r="AKM193" s="394"/>
      <c r="AKN193" s="394"/>
      <c r="AKO193" s="394"/>
      <c r="AKP193" s="394"/>
      <c r="AKQ193" s="394"/>
      <c r="AKR193" s="394"/>
      <c r="AKS193" s="394"/>
      <c r="AKT193" s="394"/>
      <c r="AKU193" s="394"/>
      <c r="AKV193" s="394"/>
      <c r="AKW193" s="394"/>
      <c r="AKX193" s="394"/>
      <c r="AKY193" s="394"/>
      <c r="AKZ193" s="394"/>
      <c r="ALA193" s="394"/>
      <c r="ALB193" s="394"/>
      <c r="ALC193" s="394"/>
      <c r="ALD193" s="394"/>
      <c r="ALE193" s="394"/>
      <c r="ALF193" s="394"/>
      <c r="ALG193" s="394"/>
      <c r="ALH193" s="394"/>
      <c r="ALI193" s="394"/>
      <c r="ALJ193" s="394"/>
      <c r="ALK193" s="394"/>
      <c r="ALL193" s="394"/>
      <c r="ALM193" s="394"/>
      <c r="ALN193" s="394"/>
      <c r="ALO193" s="394"/>
      <c r="ALP193" s="394"/>
      <c r="ALQ193" s="394"/>
      <c r="ALR193" s="394"/>
      <c r="ALS193" s="394"/>
      <c r="ALT193" s="394"/>
      <c r="ALU193" s="394"/>
      <c r="ALV193" s="394"/>
      <c r="ALW193" s="394"/>
      <c r="ALX193" s="394"/>
      <c r="ALY193" s="394"/>
      <c r="ALZ193" s="394"/>
      <c r="AMA193" s="394"/>
      <c r="AMB193" s="394"/>
      <c r="AMC193" s="394"/>
      <c r="AMD193" s="394"/>
      <c r="AME193" s="394"/>
      <c r="AMF193" s="394"/>
      <c r="AMG193" s="394"/>
      <c r="AMH193" s="394"/>
      <c r="AMI193" s="394"/>
      <c r="AMJ193" s="394"/>
      <c r="AMK193" s="394"/>
      <c r="AML193" s="394"/>
      <c r="AMM193" s="394"/>
      <c r="AMN193" s="394"/>
      <c r="AMO193" s="394"/>
      <c r="AMP193" s="394"/>
      <c r="AMQ193" s="394"/>
      <c r="AMR193" s="394"/>
      <c r="AMS193" s="394"/>
      <c r="AMT193" s="394"/>
      <c r="AMU193" s="394"/>
      <c r="AMV193" s="394"/>
      <c r="AMW193" s="394"/>
      <c r="AMX193" s="394"/>
      <c r="AMY193" s="394"/>
      <c r="AMZ193" s="394"/>
      <c r="ANA193" s="394"/>
      <c r="ANB193" s="394"/>
      <c r="ANC193" s="394"/>
      <c r="AND193" s="394"/>
      <c r="ANE193" s="394"/>
      <c r="ANF193" s="394"/>
      <c r="ANG193" s="394"/>
      <c r="ANH193" s="394"/>
      <c r="ANI193" s="394"/>
      <c r="ANJ193" s="394"/>
      <c r="ANK193" s="394"/>
      <c r="ANL193" s="394"/>
      <c r="ANM193" s="394"/>
      <c r="ANN193" s="394"/>
      <c r="ANO193" s="394"/>
      <c r="ANP193" s="394"/>
      <c r="ANQ193" s="394"/>
      <c r="ANR193" s="394"/>
      <c r="ANS193" s="394"/>
      <c r="ANT193" s="394"/>
      <c r="ANU193" s="394"/>
      <c r="ANV193" s="394"/>
      <c r="ANW193" s="394"/>
      <c r="ANX193" s="394"/>
      <c r="ANY193" s="394"/>
      <c r="ANZ193" s="394"/>
      <c r="AOA193" s="394"/>
      <c r="AOB193" s="394"/>
      <c r="AOC193" s="394"/>
      <c r="AOD193" s="394"/>
      <c r="AOE193" s="394"/>
      <c r="AOF193" s="394"/>
      <c r="AOG193" s="394"/>
      <c r="AOH193" s="394"/>
      <c r="AOI193" s="394"/>
      <c r="AOJ193" s="394"/>
      <c r="AOK193" s="394"/>
      <c r="AOL193" s="394"/>
      <c r="AOM193" s="394"/>
      <c r="AON193" s="394"/>
      <c r="AOO193" s="394"/>
      <c r="AOP193" s="394"/>
      <c r="AOQ193" s="394"/>
      <c r="AOR193" s="394"/>
      <c r="AOS193" s="394"/>
      <c r="AOT193" s="394"/>
      <c r="AOU193" s="394"/>
      <c r="AOV193" s="394"/>
      <c r="AOW193" s="394"/>
      <c r="AOX193" s="394"/>
      <c r="AOY193" s="394"/>
      <c r="AOZ193" s="394"/>
      <c r="APA193" s="394"/>
      <c r="APB193" s="394"/>
      <c r="APC193" s="394"/>
      <c r="APD193" s="394"/>
      <c r="APE193" s="394"/>
      <c r="APF193" s="394"/>
      <c r="APG193" s="394"/>
      <c r="APH193" s="394"/>
      <c r="API193" s="394"/>
      <c r="APJ193" s="394"/>
      <c r="APK193" s="394"/>
      <c r="APL193" s="394"/>
      <c r="APM193" s="394"/>
      <c r="APN193" s="394"/>
      <c r="APO193" s="394"/>
      <c r="APP193" s="394"/>
      <c r="APQ193" s="394"/>
      <c r="APR193" s="394"/>
      <c r="APS193" s="394"/>
      <c r="APT193" s="394"/>
      <c r="APU193" s="394"/>
      <c r="APV193" s="394"/>
      <c r="APW193" s="394"/>
      <c r="APX193" s="394"/>
      <c r="APY193" s="394"/>
      <c r="APZ193" s="394"/>
      <c r="AQA193" s="394"/>
      <c r="AQB193" s="394"/>
      <c r="AQC193" s="394"/>
      <c r="AQD193" s="394"/>
      <c r="AQE193" s="394"/>
      <c r="AQF193" s="394"/>
      <c r="AQG193" s="394"/>
      <c r="AQH193" s="394"/>
      <c r="AQI193" s="394"/>
      <c r="AQJ193" s="394"/>
      <c r="AQK193" s="394"/>
      <c r="AQL193" s="394"/>
      <c r="AQM193" s="394"/>
      <c r="AQN193" s="394"/>
      <c r="AQO193" s="394"/>
      <c r="AQP193" s="394"/>
      <c r="AQQ193" s="394"/>
      <c r="AQR193" s="394"/>
      <c r="AQS193" s="394"/>
      <c r="AQT193" s="394"/>
      <c r="AQU193" s="394"/>
      <c r="AQV193" s="394"/>
      <c r="AQW193" s="394"/>
      <c r="AQX193" s="394"/>
      <c r="AQY193" s="394"/>
      <c r="AQZ193" s="394"/>
      <c r="ARA193" s="394"/>
      <c r="ARB193" s="394"/>
      <c r="ARC193" s="394"/>
      <c r="ARD193" s="394"/>
      <c r="ARE193" s="394"/>
      <c r="ARF193" s="394"/>
      <c r="ARG193" s="394"/>
      <c r="ARH193" s="394"/>
      <c r="ARI193" s="394"/>
      <c r="ARJ193" s="394"/>
      <c r="ARK193" s="394"/>
      <c r="ARL193" s="394"/>
      <c r="ARM193" s="394"/>
      <c r="ARN193" s="394"/>
      <c r="ARO193" s="394"/>
      <c r="ARP193" s="394"/>
      <c r="ARQ193" s="394"/>
      <c r="ARR193" s="394"/>
      <c r="ARS193" s="394"/>
      <c r="ART193" s="394"/>
      <c r="ARU193" s="394"/>
      <c r="ARV193" s="394"/>
      <c r="ARW193" s="394"/>
      <c r="ARX193" s="394"/>
      <c r="ARY193" s="394"/>
      <c r="ARZ193" s="394"/>
      <c r="ASA193" s="394"/>
      <c r="ASB193" s="394"/>
      <c r="ASC193" s="394"/>
      <c r="ASD193" s="394"/>
      <c r="ASE193" s="394"/>
      <c r="ASF193" s="394"/>
      <c r="ASG193" s="394"/>
      <c r="ASH193" s="394"/>
      <c r="ASI193" s="394"/>
      <c r="ASJ193" s="394"/>
      <c r="ASK193" s="394"/>
      <c r="ASL193" s="394"/>
      <c r="ASM193" s="394"/>
      <c r="ASN193" s="394"/>
      <c r="ASO193" s="394"/>
      <c r="ASP193" s="394"/>
      <c r="ASQ193" s="394"/>
      <c r="ASR193" s="394"/>
      <c r="ASS193" s="394"/>
      <c r="AST193" s="394"/>
      <c r="ASU193" s="394"/>
      <c r="ASV193" s="394"/>
      <c r="ASW193" s="394"/>
      <c r="ASX193" s="394"/>
      <c r="ASY193" s="394"/>
      <c r="ASZ193" s="394"/>
      <c r="ATA193" s="394"/>
      <c r="ATB193" s="394"/>
      <c r="ATC193" s="394"/>
      <c r="ATD193" s="394"/>
      <c r="ATE193" s="394"/>
      <c r="ATF193" s="394"/>
      <c r="ATG193" s="394"/>
      <c r="ATH193" s="394"/>
      <c r="ATI193" s="394"/>
      <c r="ATJ193" s="394"/>
      <c r="ATK193" s="394"/>
      <c r="ATL193" s="394"/>
      <c r="ATM193" s="394"/>
      <c r="ATN193" s="394"/>
      <c r="ATO193" s="394"/>
      <c r="ATP193" s="394"/>
      <c r="ATQ193" s="394"/>
      <c r="ATR193" s="394"/>
      <c r="ATS193" s="394"/>
      <c r="ATT193" s="394"/>
      <c r="ATU193" s="394"/>
      <c r="ATV193" s="394"/>
      <c r="ATW193" s="394"/>
      <c r="ATX193" s="394"/>
      <c r="ATY193" s="394"/>
      <c r="ATZ193" s="394"/>
      <c r="AUA193" s="394"/>
      <c r="AUB193" s="394"/>
      <c r="AUC193" s="394"/>
      <c r="AUD193" s="394"/>
      <c r="AUE193" s="394"/>
      <c r="AUF193" s="394"/>
      <c r="AUG193" s="394"/>
      <c r="AUH193" s="394"/>
      <c r="AUI193" s="394"/>
      <c r="AUJ193" s="394"/>
      <c r="AUK193" s="394"/>
      <c r="AUL193" s="394"/>
      <c r="AUM193" s="394"/>
      <c r="AUN193" s="394"/>
      <c r="AUO193" s="394"/>
      <c r="AUP193" s="394"/>
      <c r="AUQ193" s="394"/>
      <c r="AUR193" s="394"/>
      <c r="AUS193" s="394"/>
      <c r="AUT193" s="394"/>
      <c r="AUU193" s="394"/>
      <c r="AUV193" s="394"/>
      <c r="AUW193" s="394"/>
      <c r="AUX193" s="394"/>
      <c r="AUY193" s="394"/>
      <c r="AUZ193" s="394"/>
      <c r="AVA193" s="394"/>
      <c r="AVB193" s="394"/>
      <c r="AVC193" s="394"/>
      <c r="AVD193" s="394"/>
      <c r="AVE193" s="394"/>
      <c r="AVF193" s="394"/>
      <c r="AVG193" s="394"/>
      <c r="AVH193" s="394"/>
      <c r="AVI193" s="394"/>
      <c r="AVJ193" s="394"/>
      <c r="AVK193" s="394"/>
      <c r="AVL193" s="394"/>
      <c r="AVM193" s="394"/>
      <c r="AVN193" s="394"/>
      <c r="AVO193" s="394"/>
      <c r="AVP193" s="394"/>
      <c r="AVQ193" s="394"/>
      <c r="AVR193" s="394"/>
      <c r="AVS193" s="394"/>
      <c r="AVT193" s="394"/>
      <c r="AVU193" s="394"/>
      <c r="AVV193" s="394"/>
      <c r="AVW193" s="394"/>
      <c r="AVX193" s="394"/>
      <c r="AVY193" s="394"/>
      <c r="AVZ193" s="394"/>
      <c r="AWA193" s="394"/>
      <c r="AWB193" s="394"/>
      <c r="AWC193" s="394"/>
      <c r="AWD193" s="394"/>
      <c r="AWE193" s="394"/>
      <c r="AWF193" s="394"/>
      <c r="AWG193" s="394"/>
      <c r="AWH193" s="394"/>
      <c r="AWI193" s="394"/>
      <c r="AWJ193" s="394"/>
      <c r="AWK193" s="394"/>
      <c r="AWL193" s="394"/>
      <c r="AWM193" s="394"/>
      <c r="AWN193" s="394"/>
      <c r="AWO193" s="394"/>
      <c r="AWP193" s="394"/>
      <c r="AWQ193" s="394"/>
      <c r="AWR193" s="394"/>
      <c r="AWS193" s="394"/>
      <c r="AWT193" s="394"/>
      <c r="AWU193" s="394"/>
      <c r="AWV193" s="394"/>
      <c r="AWW193" s="394"/>
      <c r="AWX193" s="394"/>
      <c r="AWY193" s="394"/>
      <c r="AWZ193" s="394"/>
      <c r="AXA193" s="394"/>
      <c r="AXB193" s="394"/>
      <c r="AXC193" s="394"/>
      <c r="AXD193" s="394"/>
      <c r="AXE193" s="394"/>
      <c r="AXF193" s="394"/>
      <c r="AXG193" s="394"/>
      <c r="AXH193" s="394"/>
      <c r="AXI193" s="394"/>
      <c r="AXJ193" s="394"/>
      <c r="AXK193" s="394"/>
      <c r="AXL193" s="394"/>
      <c r="AXM193" s="394"/>
      <c r="AXN193" s="394"/>
      <c r="AXO193" s="394"/>
      <c r="AXP193" s="394"/>
      <c r="AXQ193" s="394"/>
      <c r="AXR193" s="394"/>
      <c r="AXS193" s="394"/>
      <c r="AXT193" s="394"/>
      <c r="AXU193" s="394"/>
      <c r="AXV193" s="394"/>
      <c r="AXW193" s="394"/>
      <c r="AXX193" s="394"/>
      <c r="AXY193" s="394"/>
      <c r="AXZ193" s="394"/>
      <c r="AYA193" s="394"/>
      <c r="AYB193" s="394"/>
      <c r="AYC193" s="394"/>
      <c r="AYD193" s="394"/>
      <c r="AYE193" s="394"/>
      <c r="AYF193" s="394"/>
      <c r="AYG193" s="394"/>
      <c r="AYH193" s="394"/>
      <c r="AYI193" s="394"/>
      <c r="AYJ193" s="394"/>
      <c r="AYK193" s="394"/>
      <c r="AYL193" s="394"/>
      <c r="AYM193" s="394"/>
      <c r="AYN193" s="394"/>
      <c r="AYO193" s="394"/>
      <c r="AYP193" s="394"/>
      <c r="AYQ193" s="394"/>
      <c r="AYR193" s="394"/>
      <c r="AYS193" s="394"/>
      <c r="AYT193" s="394"/>
      <c r="AYU193" s="394"/>
      <c r="AYV193" s="394"/>
      <c r="AYW193" s="394"/>
      <c r="AYX193" s="394"/>
      <c r="AYY193" s="394"/>
      <c r="AYZ193" s="394"/>
      <c r="AZA193" s="394"/>
      <c r="AZB193" s="394"/>
      <c r="AZC193" s="394"/>
      <c r="AZD193" s="394"/>
      <c r="AZE193" s="394"/>
      <c r="AZF193" s="394"/>
      <c r="AZG193" s="394"/>
      <c r="AZH193" s="394"/>
      <c r="AZI193" s="394"/>
      <c r="AZJ193" s="394"/>
      <c r="AZK193" s="394"/>
      <c r="AZL193" s="394"/>
      <c r="AZM193" s="394"/>
      <c r="AZN193" s="394"/>
      <c r="AZO193" s="394"/>
      <c r="AZP193" s="394"/>
      <c r="AZQ193" s="394"/>
      <c r="AZR193" s="394"/>
      <c r="AZS193" s="394"/>
      <c r="AZT193" s="394"/>
      <c r="AZU193" s="394"/>
      <c r="AZV193" s="394"/>
      <c r="AZW193" s="394"/>
      <c r="AZX193" s="394"/>
      <c r="AZY193" s="394"/>
      <c r="AZZ193" s="394"/>
      <c r="BAA193" s="394"/>
      <c r="BAB193" s="394"/>
      <c r="BAC193" s="394"/>
      <c r="BAD193" s="394"/>
      <c r="BAE193" s="394"/>
      <c r="BAF193" s="394"/>
      <c r="BAG193" s="394"/>
      <c r="BAH193" s="394"/>
      <c r="BAI193" s="394"/>
      <c r="BAJ193" s="394"/>
      <c r="BAK193" s="394"/>
      <c r="BAL193" s="394"/>
      <c r="BAM193" s="394"/>
      <c r="BAN193" s="394"/>
      <c r="BAO193" s="394"/>
      <c r="BAP193" s="394"/>
      <c r="BAQ193" s="394"/>
      <c r="BAR193" s="394"/>
      <c r="BAS193" s="394"/>
      <c r="BAT193" s="394"/>
      <c r="BAU193" s="394"/>
      <c r="BAV193" s="394"/>
      <c r="BAW193" s="394"/>
      <c r="BAX193" s="394"/>
      <c r="BAY193" s="394"/>
      <c r="BAZ193" s="394"/>
      <c r="BBA193" s="394"/>
      <c r="BBB193" s="394"/>
      <c r="BBC193" s="394"/>
      <c r="BBD193" s="394"/>
      <c r="BBE193" s="394"/>
      <c r="BBF193" s="394"/>
      <c r="BBG193" s="394"/>
      <c r="BBH193" s="394"/>
      <c r="BBI193" s="394"/>
      <c r="BBJ193" s="394"/>
      <c r="BBK193" s="394"/>
      <c r="BBL193" s="394"/>
      <c r="BBM193" s="394"/>
      <c r="BBN193" s="394"/>
      <c r="BBO193" s="394"/>
      <c r="BBP193" s="394"/>
      <c r="BBQ193" s="394"/>
      <c r="BBR193" s="394"/>
      <c r="BBS193" s="394"/>
      <c r="BBT193" s="394"/>
      <c r="BBU193" s="394"/>
      <c r="BBV193" s="394"/>
      <c r="BBW193" s="394"/>
      <c r="BBX193" s="394"/>
      <c r="BBY193" s="394"/>
      <c r="BBZ193" s="394"/>
      <c r="BCA193" s="394"/>
      <c r="BCB193" s="394"/>
      <c r="BCC193" s="394"/>
      <c r="BCD193" s="394"/>
      <c r="BCE193" s="394"/>
      <c r="BCF193" s="394"/>
      <c r="BCG193" s="394"/>
      <c r="BCH193" s="394"/>
      <c r="BCI193" s="394"/>
      <c r="BCJ193" s="394"/>
      <c r="BCK193" s="394"/>
      <c r="BCL193" s="394"/>
      <c r="BCM193" s="394"/>
      <c r="BCN193" s="394"/>
      <c r="BCO193" s="394"/>
      <c r="BCP193" s="394"/>
      <c r="BCQ193" s="394"/>
      <c r="BCR193" s="394"/>
      <c r="BCS193" s="394"/>
      <c r="BCT193" s="394"/>
      <c r="BCU193" s="394"/>
      <c r="BCV193" s="394"/>
      <c r="BCW193" s="394"/>
      <c r="BCX193" s="394"/>
      <c r="BCY193" s="394"/>
      <c r="BCZ193" s="394"/>
      <c r="BDA193" s="394"/>
      <c r="BDB193" s="394"/>
      <c r="BDC193" s="394"/>
      <c r="BDD193" s="394"/>
      <c r="BDE193" s="394"/>
      <c r="BDF193" s="394"/>
      <c r="BDG193" s="394"/>
      <c r="BDH193" s="394"/>
      <c r="BDI193" s="394"/>
      <c r="BDJ193" s="394"/>
      <c r="BDK193" s="394"/>
      <c r="BDL193" s="394"/>
      <c r="BDM193" s="394"/>
      <c r="BDN193" s="394"/>
      <c r="BDO193" s="394"/>
      <c r="BDP193" s="394"/>
      <c r="BDQ193" s="394"/>
      <c r="BDR193" s="394"/>
      <c r="BDS193" s="394"/>
      <c r="BDT193" s="394"/>
      <c r="BDU193" s="394"/>
      <c r="BDV193" s="394"/>
      <c r="BDW193" s="394"/>
      <c r="BDX193" s="394"/>
      <c r="BDY193" s="394"/>
      <c r="BDZ193" s="394"/>
      <c r="BEA193" s="394"/>
      <c r="BEB193" s="394"/>
      <c r="BEC193" s="394"/>
      <c r="BED193" s="394"/>
      <c r="BEE193" s="394"/>
      <c r="BEF193" s="394"/>
      <c r="BEG193" s="394"/>
      <c r="BEH193" s="394"/>
      <c r="BEI193" s="394"/>
      <c r="BEJ193" s="394"/>
      <c r="BEK193" s="394"/>
      <c r="BEL193" s="394"/>
      <c r="BEM193" s="394"/>
      <c r="BEN193" s="394"/>
      <c r="BEO193" s="394"/>
      <c r="BEP193" s="394"/>
      <c r="BEQ193" s="394"/>
      <c r="BER193" s="394"/>
      <c r="BES193" s="394"/>
      <c r="BET193" s="394"/>
      <c r="BEU193" s="394"/>
      <c r="BEV193" s="394"/>
      <c r="BEW193" s="394"/>
      <c r="BEX193" s="394"/>
      <c r="BEY193" s="394"/>
      <c r="BEZ193" s="394"/>
      <c r="BFA193" s="394"/>
      <c r="BFB193" s="394"/>
      <c r="BFC193" s="394"/>
      <c r="BFD193" s="394"/>
      <c r="BFE193" s="394"/>
      <c r="BFF193" s="394"/>
      <c r="BFG193" s="394"/>
      <c r="BFH193" s="394"/>
      <c r="BFI193" s="394"/>
      <c r="BFJ193" s="394"/>
      <c r="BFK193" s="394"/>
      <c r="BFL193" s="394"/>
      <c r="BFM193" s="394"/>
      <c r="BFN193" s="394"/>
      <c r="BFO193" s="394"/>
      <c r="BFP193" s="394"/>
      <c r="BFQ193" s="394"/>
      <c r="BFR193" s="394"/>
      <c r="BFS193" s="394"/>
      <c r="BFT193" s="394"/>
      <c r="BFU193" s="394"/>
      <c r="BFV193" s="394"/>
      <c r="BFW193" s="394"/>
      <c r="BFX193" s="394"/>
      <c r="BFY193" s="394"/>
      <c r="BFZ193" s="394"/>
      <c r="BGA193" s="394"/>
      <c r="BGB193" s="394"/>
      <c r="BGC193" s="394"/>
      <c r="BGD193" s="394"/>
      <c r="BGE193" s="394"/>
      <c r="BGF193" s="394"/>
      <c r="BGG193" s="394"/>
      <c r="BGH193" s="394"/>
      <c r="BGI193" s="394"/>
      <c r="BGJ193" s="394"/>
      <c r="BGK193" s="394"/>
      <c r="BGL193" s="394"/>
      <c r="BGM193" s="394"/>
      <c r="BGN193" s="394"/>
      <c r="BGO193" s="394"/>
      <c r="BGP193" s="394"/>
      <c r="BGQ193" s="394"/>
      <c r="BGR193" s="394"/>
      <c r="BGS193" s="394"/>
      <c r="BGT193" s="394"/>
      <c r="BGU193" s="394"/>
      <c r="BGV193" s="394"/>
      <c r="BGW193" s="394"/>
      <c r="BGX193" s="394"/>
      <c r="BGY193" s="394"/>
      <c r="BGZ193" s="394"/>
      <c r="BHA193" s="394"/>
      <c r="BHB193" s="394"/>
      <c r="BHC193" s="394"/>
      <c r="BHD193" s="394"/>
      <c r="BHE193" s="394"/>
      <c r="BHF193" s="394"/>
      <c r="BHG193" s="394"/>
      <c r="BHH193" s="394"/>
      <c r="BHI193" s="394"/>
      <c r="BHJ193" s="394"/>
      <c r="BHK193" s="394"/>
      <c r="BHL193" s="394"/>
      <c r="BHM193" s="394"/>
      <c r="BHN193" s="394"/>
      <c r="BHO193" s="394"/>
      <c r="BHP193" s="394"/>
      <c r="BHQ193" s="394"/>
      <c r="BHR193" s="394"/>
      <c r="BHS193" s="394"/>
      <c r="BHT193" s="394"/>
      <c r="BHU193" s="394"/>
      <c r="BHV193" s="394"/>
      <c r="BHW193" s="394"/>
      <c r="BHX193" s="394"/>
      <c r="BHY193" s="394"/>
      <c r="BHZ193" s="394"/>
      <c r="BIA193" s="394"/>
      <c r="BIB193" s="394"/>
      <c r="BIC193" s="394"/>
      <c r="BID193" s="394"/>
      <c r="BIE193" s="394"/>
      <c r="BIF193" s="394"/>
      <c r="BIG193" s="394"/>
      <c r="BIH193" s="394"/>
      <c r="BII193" s="394"/>
      <c r="BIJ193" s="394"/>
      <c r="BIK193" s="394"/>
      <c r="BIL193" s="394"/>
      <c r="BIM193" s="394"/>
      <c r="BIN193" s="394"/>
      <c r="BIO193" s="394"/>
      <c r="BIP193" s="394"/>
      <c r="BIQ193" s="394"/>
      <c r="BIR193" s="394"/>
      <c r="BIS193" s="394"/>
      <c r="BIT193" s="394"/>
      <c r="BIU193" s="394"/>
      <c r="BIV193" s="394"/>
      <c r="BIW193" s="394"/>
      <c r="BIX193" s="394"/>
      <c r="BIY193" s="394"/>
      <c r="BIZ193" s="394"/>
      <c r="BJA193" s="394"/>
      <c r="BJB193" s="394"/>
      <c r="BJC193" s="394"/>
      <c r="BJD193" s="394"/>
      <c r="BJE193" s="394"/>
      <c r="BJF193" s="394"/>
      <c r="BJG193" s="394"/>
      <c r="BJH193" s="394"/>
      <c r="BJI193" s="394"/>
      <c r="BJJ193" s="394"/>
      <c r="BJK193" s="394"/>
      <c r="BJL193" s="394"/>
      <c r="BJM193" s="394"/>
      <c r="BJN193" s="394"/>
      <c r="BJO193" s="394"/>
      <c r="BJP193" s="394"/>
      <c r="BJQ193" s="394"/>
      <c r="BJR193" s="394"/>
      <c r="BJS193" s="394"/>
      <c r="BJT193" s="394"/>
      <c r="BJU193" s="394"/>
      <c r="BJV193" s="394"/>
      <c r="BJW193" s="394"/>
      <c r="BJX193" s="394"/>
      <c r="BJY193" s="394"/>
      <c r="BJZ193" s="394"/>
      <c r="BKA193" s="394"/>
      <c r="BKB193" s="394"/>
      <c r="BKC193" s="394"/>
      <c r="BKD193" s="394"/>
      <c r="BKE193" s="394"/>
      <c r="BKF193" s="394"/>
      <c r="BKG193" s="394"/>
      <c r="BKH193" s="394"/>
      <c r="BKI193" s="394"/>
      <c r="BKJ193" s="394"/>
      <c r="BKK193" s="394"/>
      <c r="BKL193" s="394"/>
      <c r="BKM193" s="394"/>
      <c r="BKN193" s="394"/>
      <c r="BKO193" s="394"/>
      <c r="BKP193" s="394"/>
      <c r="BKQ193" s="394"/>
      <c r="BKR193" s="394"/>
      <c r="BKS193" s="394"/>
      <c r="BKT193" s="394"/>
      <c r="BKU193" s="394"/>
      <c r="BKV193" s="394"/>
      <c r="BKW193" s="394"/>
      <c r="BKX193" s="394"/>
      <c r="BKY193" s="394"/>
      <c r="BKZ193" s="394"/>
      <c r="BLA193" s="394"/>
      <c r="BLB193" s="394"/>
      <c r="BLC193" s="394"/>
      <c r="BLD193" s="394"/>
      <c r="BLE193" s="394"/>
      <c r="BLF193" s="394"/>
      <c r="BLG193" s="394"/>
      <c r="BLH193" s="394"/>
      <c r="BLI193" s="394"/>
      <c r="BLJ193" s="394"/>
      <c r="BLK193" s="394"/>
      <c r="BLL193" s="394"/>
      <c r="BLM193" s="394"/>
      <c r="BLN193" s="394"/>
      <c r="BLO193" s="394"/>
      <c r="BLP193" s="394"/>
      <c r="BLQ193" s="394"/>
      <c r="BLR193" s="394"/>
      <c r="BLS193" s="394"/>
      <c r="BLT193" s="394"/>
      <c r="BLU193" s="394"/>
      <c r="BLV193" s="394"/>
      <c r="BLW193" s="394"/>
      <c r="BLX193" s="394"/>
      <c r="BLY193" s="394"/>
      <c r="BLZ193" s="394"/>
      <c r="BMA193" s="394"/>
      <c r="BMB193" s="394"/>
      <c r="BMC193" s="394"/>
      <c r="BMD193" s="394"/>
      <c r="BME193" s="394"/>
      <c r="BMF193" s="394"/>
      <c r="BMG193" s="394"/>
      <c r="BMH193" s="394"/>
      <c r="BMI193" s="394"/>
      <c r="BMJ193" s="394"/>
      <c r="BMK193" s="394"/>
      <c r="BML193" s="394"/>
      <c r="BMM193" s="394"/>
      <c r="BMN193" s="394"/>
      <c r="BMO193" s="394"/>
      <c r="BMP193" s="394"/>
      <c r="BMQ193" s="394"/>
      <c r="BMR193" s="394"/>
      <c r="BMS193" s="394"/>
      <c r="BMT193" s="394"/>
      <c r="BMU193" s="394"/>
      <c r="BMV193" s="394"/>
      <c r="BMW193" s="394"/>
      <c r="BMX193" s="394"/>
      <c r="BMY193" s="394"/>
      <c r="BMZ193" s="394"/>
      <c r="BNA193" s="394"/>
      <c r="BNB193" s="394"/>
      <c r="BNC193" s="394"/>
      <c r="BND193" s="394"/>
      <c r="BNE193" s="394"/>
      <c r="BNF193" s="394"/>
      <c r="BNG193" s="394"/>
      <c r="BNH193" s="394"/>
      <c r="BNI193" s="394"/>
      <c r="BNJ193" s="394"/>
      <c r="BNK193" s="394"/>
      <c r="BNL193" s="394"/>
      <c r="BNM193" s="394"/>
      <c r="BNN193" s="394"/>
      <c r="BNO193" s="394"/>
      <c r="BNP193" s="394"/>
      <c r="BNQ193" s="394"/>
      <c r="BNR193" s="394"/>
      <c r="BNS193" s="394"/>
      <c r="BNT193" s="394"/>
      <c r="BNU193" s="394"/>
      <c r="BNV193" s="394"/>
      <c r="BNW193" s="394"/>
      <c r="BNX193" s="394"/>
      <c r="BNY193" s="394"/>
      <c r="BNZ193" s="394"/>
      <c r="BOA193" s="394"/>
      <c r="BOB193" s="394"/>
      <c r="BOC193" s="394"/>
      <c r="BOD193" s="394"/>
      <c r="BOE193" s="394"/>
      <c r="BOF193" s="394"/>
      <c r="BOG193" s="394"/>
      <c r="BOH193" s="394"/>
      <c r="BOI193" s="394"/>
      <c r="BOJ193" s="394"/>
      <c r="BOK193" s="394"/>
      <c r="BOL193" s="394"/>
      <c r="BOM193" s="394"/>
      <c r="BON193" s="394"/>
      <c r="BOO193" s="394"/>
      <c r="BOP193" s="394"/>
      <c r="BOQ193" s="394"/>
      <c r="BOR193" s="394"/>
      <c r="BOS193" s="394"/>
      <c r="BOT193" s="394"/>
      <c r="BOU193" s="394"/>
      <c r="BOV193" s="394"/>
      <c r="BOW193" s="394"/>
      <c r="BOX193" s="394"/>
      <c r="BOY193" s="394"/>
      <c r="BOZ193" s="394"/>
      <c r="BPA193" s="394"/>
      <c r="BPB193" s="394"/>
      <c r="BPC193" s="394"/>
      <c r="BPD193" s="394"/>
      <c r="BPE193" s="394"/>
      <c r="BPF193" s="394"/>
      <c r="BPG193" s="394"/>
      <c r="BPH193" s="394"/>
      <c r="BPI193" s="394"/>
      <c r="BPJ193" s="394"/>
      <c r="BPK193" s="394"/>
      <c r="BPL193" s="394"/>
      <c r="BPM193" s="394"/>
      <c r="BPN193" s="394"/>
      <c r="BPO193" s="394"/>
      <c r="BPP193" s="394"/>
      <c r="BPQ193" s="394"/>
      <c r="BPR193" s="394"/>
      <c r="BPS193" s="394"/>
      <c r="BPT193" s="394"/>
      <c r="BPU193" s="394"/>
      <c r="BPV193" s="394"/>
      <c r="BPW193" s="394"/>
      <c r="BPX193" s="394"/>
      <c r="BPY193" s="394"/>
      <c r="BPZ193" s="394"/>
      <c r="BQA193" s="394"/>
      <c r="BQB193" s="394"/>
      <c r="BQC193" s="394"/>
      <c r="BQD193" s="394"/>
      <c r="BQE193" s="394"/>
      <c r="BQF193" s="394"/>
      <c r="BQG193" s="394"/>
      <c r="BQH193" s="394"/>
      <c r="BQI193" s="394"/>
      <c r="BQJ193" s="394"/>
      <c r="BQK193" s="394"/>
      <c r="BQL193" s="394"/>
      <c r="BQM193" s="394"/>
      <c r="BQN193" s="394"/>
      <c r="BQO193" s="394"/>
      <c r="BQP193" s="394"/>
      <c r="BQQ193" s="394"/>
      <c r="BQR193" s="394"/>
      <c r="BQS193" s="394"/>
      <c r="BQT193" s="394"/>
      <c r="BQU193" s="394"/>
      <c r="BQV193" s="394"/>
      <c r="BQW193" s="394"/>
      <c r="BQX193" s="394"/>
      <c r="BQY193" s="394"/>
      <c r="BQZ193" s="394"/>
      <c r="BRA193" s="394"/>
      <c r="BRB193" s="394"/>
      <c r="BRC193" s="394"/>
      <c r="BRD193" s="394"/>
      <c r="BRE193" s="394"/>
      <c r="BRF193" s="394"/>
      <c r="BRG193" s="394"/>
      <c r="BRH193" s="394"/>
      <c r="BRI193" s="394"/>
      <c r="BRJ193" s="394"/>
      <c r="BRK193" s="394"/>
      <c r="BRL193" s="394"/>
      <c r="BRM193" s="394"/>
      <c r="BRN193" s="394"/>
      <c r="BRO193" s="394"/>
      <c r="BRP193" s="394"/>
      <c r="BRQ193" s="394"/>
      <c r="BRR193" s="394"/>
      <c r="BRS193" s="394"/>
      <c r="BRT193" s="394"/>
      <c r="BRU193" s="394"/>
      <c r="BRV193" s="394"/>
      <c r="BRW193" s="394"/>
      <c r="BRX193" s="394"/>
      <c r="BRY193" s="394"/>
      <c r="BRZ193" s="394"/>
      <c r="BSA193" s="394"/>
      <c r="BSB193" s="394"/>
      <c r="BSC193" s="394"/>
      <c r="BSD193" s="394"/>
      <c r="BSE193" s="394"/>
      <c r="BSF193" s="394"/>
      <c r="BSG193" s="394"/>
      <c r="BSH193" s="394"/>
      <c r="BSI193" s="394"/>
      <c r="BSJ193" s="394"/>
      <c r="BSK193" s="394"/>
      <c r="BSL193" s="394"/>
      <c r="BSM193" s="394"/>
      <c r="BSN193" s="394"/>
      <c r="BSO193" s="394"/>
      <c r="BSP193" s="394"/>
      <c r="BSQ193" s="394"/>
      <c r="BSR193" s="394"/>
      <c r="BSS193" s="394"/>
      <c r="BST193" s="394"/>
      <c r="BSU193" s="394"/>
      <c r="BSV193" s="394"/>
      <c r="BSW193" s="394"/>
      <c r="BSX193" s="394"/>
      <c r="BSY193" s="394"/>
      <c r="BSZ193" s="394"/>
      <c r="BTA193" s="394"/>
      <c r="BTB193" s="394"/>
      <c r="BTC193" s="394"/>
      <c r="BTD193" s="394"/>
      <c r="BTE193" s="394"/>
      <c r="BTF193" s="394"/>
      <c r="BTG193" s="394"/>
      <c r="BTH193" s="394"/>
      <c r="BTI193" s="394"/>
    </row>
    <row r="194" spans="1:1881" s="69" customFormat="1" ht="19.5" customHeight="1" x14ac:dyDescent="0.25">
      <c r="A194" s="189"/>
      <c r="B194" s="181"/>
      <c r="C194" s="181"/>
      <c r="D194" s="170" t="s">
        <v>40</v>
      </c>
      <c r="E194" s="369" t="e">
        <f>E174+E181-E193</f>
        <v>#N/A</v>
      </c>
      <c r="F194" s="736">
        <f>F174+F181-F193</f>
        <v>0</v>
      </c>
      <c r="G194" s="316"/>
      <c r="H194" s="13"/>
      <c r="I194" s="31"/>
      <c r="J194" s="365"/>
      <c r="K194" s="394"/>
      <c r="L194" s="394"/>
      <c r="M194" s="394"/>
      <c r="N194"/>
      <c r="O194" s="394"/>
      <c r="P194" s="394"/>
      <c r="Q194" s="394"/>
      <c r="R194" s="394"/>
      <c r="S194" s="394"/>
      <c r="T194" s="394"/>
      <c r="U194" s="394"/>
      <c r="V194" s="394"/>
      <c r="W194" s="394"/>
      <c r="X194" s="394"/>
      <c r="Y194" s="394"/>
      <c r="Z194" s="394"/>
      <c r="AA194" s="394"/>
      <c r="AB194" s="394"/>
      <c r="AC194" s="394"/>
      <c r="AD194" s="394"/>
      <c r="AE194" s="394"/>
      <c r="AF194" s="394"/>
      <c r="AG194" s="394"/>
      <c r="AH194" s="394"/>
      <c r="AI194" s="394"/>
      <c r="AJ194" s="394"/>
      <c r="AK194" s="394"/>
      <c r="AL194" s="394"/>
      <c r="AM194" s="394"/>
      <c r="AN194" s="394"/>
      <c r="AO194" s="394"/>
      <c r="AP194" s="394"/>
      <c r="AQ194" s="394"/>
      <c r="AR194" s="394"/>
      <c r="AS194" s="394"/>
      <c r="AT194" s="394"/>
      <c r="AU194" s="394"/>
      <c r="AV194" s="394"/>
      <c r="AW194" s="394"/>
      <c r="AX194" s="394"/>
      <c r="AY194" s="394"/>
      <c r="AZ194" s="394"/>
      <c r="BA194" s="394"/>
      <c r="BB194" s="394"/>
      <c r="BC194" s="394"/>
      <c r="BD194" s="394"/>
      <c r="BE194" s="394"/>
      <c r="BF194" s="394"/>
      <c r="BG194" s="394"/>
      <c r="BH194" s="394"/>
      <c r="BI194" s="394"/>
      <c r="BJ194" s="394"/>
      <c r="BK194" s="394"/>
      <c r="BL194" s="394"/>
      <c r="BM194" s="394"/>
      <c r="BN194" s="394"/>
      <c r="BO194" s="394"/>
      <c r="BP194" s="394"/>
      <c r="BQ194" s="394"/>
      <c r="BR194" s="394"/>
      <c r="BS194" s="394"/>
      <c r="BT194" s="394"/>
      <c r="BU194" s="394"/>
      <c r="BV194" s="394"/>
      <c r="BW194" s="394"/>
      <c r="BX194" s="394"/>
      <c r="BY194" s="394"/>
      <c r="BZ194" s="394"/>
      <c r="CA194" s="394"/>
      <c r="CB194" s="394"/>
      <c r="CC194" s="394"/>
      <c r="CD194" s="394"/>
      <c r="CE194" s="394"/>
      <c r="CF194" s="394"/>
      <c r="CG194" s="394"/>
      <c r="CH194" s="394"/>
      <c r="CI194" s="394"/>
      <c r="CJ194" s="394"/>
      <c r="CK194" s="394"/>
      <c r="CL194" s="394"/>
      <c r="CM194" s="394"/>
      <c r="CN194" s="394"/>
      <c r="CO194" s="394"/>
      <c r="CP194" s="394"/>
      <c r="CQ194" s="394"/>
      <c r="CR194" s="394"/>
      <c r="CS194" s="394"/>
      <c r="CT194" s="394"/>
      <c r="CU194" s="394"/>
      <c r="CV194" s="394"/>
      <c r="CW194" s="394"/>
      <c r="CX194" s="394"/>
      <c r="CY194" s="394"/>
      <c r="CZ194" s="394"/>
      <c r="DA194" s="394"/>
      <c r="DB194" s="394"/>
      <c r="DC194" s="394"/>
      <c r="DD194" s="394"/>
      <c r="DE194" s="394"/>
      <c r="DF194" s="394"/>
      <c r="DG194" s="394"/>
      <c r="DH194" s="394"/>
      <c r="DI194" s="394"/>
      <c r="DJ194" s="394"/>
      <c r="DK194" s="394"/>
      <c r="DL194" s="394"/>
      <c r="DM194" s="394"/>
      <c r="DN194" s="394"/>
      <c r="DO194" s="394"/>
      <c r="DP194" s="394"/>
      <c r="DQ194" s="394"/>
      <c r="DR194" s="394"/>
      <c r="DS194" s="394"/>
      <c r="DT194" s="394"/>
      <c r="DU194" s="394"/>
      <c r="DV194" s="394"/>
      <c r="DW194" s="394"/>
      <c r="DX194" s="394"/>
      <c r="DY194" s="394"/>
      <c r="DZ194" s="394"/>
      <c r="EA194" s="394"/>
      <c r="EB194" s="394"/>
      <c r="EC194" s="394"/>
      <c r="ED194" s="394"/>
      <c r="EE194" s="394"/>
      <c r="EF194" s="394"/>
      <c r="EG194" s="394"/>
      <c r="EH194" s="394"/>
      <c r="EI194" s="394"/>
      <c r="EJ194" s="394"/>
      <c r="EK194" s="394"/>
      <c r="EL194" s="394"/>
      <c r="EM194" s="394"/>
      <c r="EN194" s="394"/>
      <c r="EO194" s="394"/>
      <c r="EP194" s="394"/>
      <c r="EQ194" s="394"/>
      <c r="ER194" s="394"/>
      <c r="ES194" s="394"/>
      <c r="ET194" s="394"/>
      <c r="EU194" s="394"/>
      <c r="EV194" s="394"/>
      <c r="EW194" s="394"/>
      <c r="EX194" s="394"/>
      <c r="EY194" s="394"/>
      <c r="EZ194" s="394"/>
      <c r="FA194" s="394"/>
      <c r="FB194" s="394"/>
      <c r="FC194" s="394"/>
      <c r="FD194" s="394"/>
      <c r="FE194" s="394"/>
      <c r="FF194" s="394"/>
      <c r="FG194" s="394"/>
      <c r="FH194" s="394"/>
      <c r="FI194" s="394"/>
      <c r="FJ194" s="394"/>
      <c r="FK194" s="394"/>
      <c r="FL194" s="394"/>
      <c r="FM194" s="394"/>
      <c r="FN194" s="394"/>
      <c r="FO194" s="394"/>
      <c r="FP194" s="394"/>
      <c r="FQ194" s="394"/>
      <c r="FR194" s="394"/>
      <c r="FS194" s="394"/>
      <c r="FT194" s="394"/>
      <c r="FU194" s="394"/>
      <c r="FV194" s="394"/>
      <c r="FW194" s="394"/>
      <c r="FX194" s="394"/>
      <c r="FY194" s="394"/>
      <c r="FZ194" s="394"/>
      <c r="GA194" s="394"/>
      <c r="GB194" s="394"/>
      <c r="GC194" s="394"/>
      <c r="GD194" s="394"/>
      <c r="GE194" s="394"/>
      <c r="GF194" s="394"/>
      <c r="GG194" s="394"/>
      <c r="GH194" s="394"/>
      <c r="GI194" s="394"/>
      <c r="GJ194" s="394"/>
      <c r="GK194" s="394"/>
      <c r="GL194" s="394"/>
      <c r="GM194" s="394"/>
      <c r="GN194" s="394"/>
      <c r="GO194" s="394"/>
      <c r="GP194" s="394"/>
      <c r="GQ194" s="394"/>
      <c r="GR194" s="394"/>
      <c r="GS194" s="394"/>
      <c r="GT194" s="394"/>
      <c r="GU194" s="394"/>
      <c r="GV194" s="394"/>
      <c r="GW194" s="394"/>
      <c r="GX194" s="394"/>
      <c r="GY194" s="394"/>
      <c r="GZ194" s="394"/>
      <c r="HA194" s="394"/>
      <c r="HB194" s="394"/>
      <c r="HC194" s="394"/>
      <c r="HD194" s="394"/>
      <c r="HE194" s="394"/>
      <c r="HF194" s="394"/>
      <c r="HG194" s="394"/>
      <c r="HH194" s="394"/>
      <c r="HI194" s="394"/>
      <c r="HJ194" s="394"/>
      <c r="HK194" s="394"/>
      <c r="HL194" s="394"/>
      <c r="HM194" s="394"/>
      <c r="HN194" s="394"/>
      <c r="HO194" s="394"/>
      <c r="HP194" s="394"/>
      <c r="HQ194" s="394"/>
      <c r="HR194" s="394"/>
      <c r="HS194" s="394"/>
      <c r="HT194" s="394"/>
      <c r="HU194" s="394"/>
      <c r="HV194" s="394"/>
      <c r="HW194" s="394"/>
      <c r="HX194" s="394"/>
      <c r="HY194" s="394"/>
      <c r="HZ194" s="394"/>
      <c r="IA194" s="394"/>
      <c r="IB194" s="394"/>
      <c r="IC194" s="394"/>
      <c r="ID194" s="394"/>
      <c r="IE194" s="394"/>
      <c r="IF194" s="394"/>
      <c r="IG194" s="394"/>
      <c r="IH194" s="394"/>
      <c r="II194" s="394"/>
      <c r="IJ194" s="394"/>
      <c r="IK194" s="394"/>
      <c r="IL194" s="394"/>
      <c r="IM194" s="394"/>
      <c r="IN194" s="394"/>
      <c r="IO194" s="394"/>
      <c r="IP194" s="394"/>
      <c r="IQ194" s="394"/>
      <c r="IR194" s="394"/>
      <c r="IS194" s="394"/>
      <c r="IT194" s="394"/>
      <c r="IU194" s="394"/>
      <c r="IV194" s="394"/>
      <c r="IW194" s="394"/>
      <c r="IX194" s="394"/>
      <c r="IY194" s="394"/>
      <c r="IZ194" s="394"/>
      <c r="JA194" s="394"/>
      <c r="JB194" s="394"/>
      <c r="JC194" s="394"/>
      <c r="JD194" s="394"/>
      <c r="JE194" s="394"/>
      <c r="JF194" s="394"/>
      <c r="JG194" s="394"/>
      <c r="JH194" s="394"/>
      <c r="JI194" s="394"/>
      <c r="JJ194" s="394"/>
      <c r="JK194" s="394"/>
      <c r="JL194" s="394"/>
      <c r="JM194" s="394"/>
      <c r="JN194" s="394"/>
      <c r="JO194" s="394"/>
      <c r="JP194" s="394"/>
      <c r="JQ194" s="394"/>
      <c r="JR194" s="394"/>
      <c r="JS194" s="394"/>
      <c r="JT194" s="394"/>
      <c r="JU194" s="394"/>
      <c r="JV194" s="394"/>
      <c r="JW194" s="394"/>
      <c r="JX194" s="394"/>
      <c r="JY194" s="394"/>
      <c r="JZ194" s="394"/>
      <c r="KA194" s="394"/>
      <c r="KB194" s="394"/>
      <c r="KC194" s="394"/>
      <c r="KD194" s="394"/>
      <c r="KE194" s="394"/>
      <c r="KF194" s="394"/>
      <c r="KG194" s="394"/>
      <c r="KH194" s="394"/>
      <c r="KI194" s="394"/>
      <c r="KJ194" s="394"/>
      <c r="KK194" s="394"/>
      <c r="KL194" s="394"/>
      <c r="KM194" s="394"/>
      <c r="KN194" s="394"/>
      <c r="KO194" s="394"/>
      <c r="KP194" s="394"/>
      <c r="KQ194" s="394"/>
      <c r="KR194" s="394"/>
      <c r="KS194" s="394"/>
      <c r="KT194" s="394"/>
      <c r="KU194" s="394"/>
      <c r="KV194" s="394"/>
      <c r="KW194" s="394"/>
      <c r="KX194" s="394"/>
      <c r="KY194" s="394"/>
      <c r="KZ194" s="394"/>
      <c r="LA194" s="394"/>
      <c r="LB194" s="394"/>
      <c r="LC194" s="394"/>
      <c r="LD194" s="394"/>
      <c r="LE194" s="394"/>
      <c r="LF194" s="394"/>
      <c r="LG194" s="394"/>
      <c r="LH194" s="394"/>
      <c r="LI194" s="394"/>
      <c r="LJ194" s="394"/>
      <c r="LK194" s="394"/>
      <c r="LL194" s="394"/>
      <c r="LM194" s="394"/>
      <c r="LN194" s="394"/>
      <c r="LO194" s="394"/>
      <c r="LP194" s="394"/>
      <c r="LQ194" s="394"/>
      <c r="LR194" s="394"/>
      <c r="LS194" s="394"/>
      <c r="LT194" s="394"/>
      <c r="LU194" s="394"/>
      <c r="LV194" s="394"/>
      <c r="LW194" s="394"/>
      <c r="LX194" s="394"/>
      <c r="LY194" s="394"/>
      <c r="LZ194" s="394"/>
      <c r="MA194" s="394"/>
      <c r="MB194" s="394"/>
      <c r="MC194" s="394"/>
      <c r="MD194" s="394"/>
      <c r="ME194" s="394"/>
      <c r="MF194" s="394"/>
      <c r="MG194" s="394"/>
      <c r="MH194" s="394"/>
      <c r="MI194" s="394"/>
      <c r="MJ194" s="394"/>
      <c r="MK194" s="394"/>
      <c r="ML194" s="394"/>
      <c r="MM194" s="394"/>
      <c r="MN194" s="394"/>
      <c r="MO194" s="394"/>
      <c r="MP194" s="394"/>
      <c r="MQ194" s="394"/>
      <c r="MR194" s="394"/>
      <c r="MS194" s="394"/>
      <c r="MT194" s="394"/>
      <c r="MU194" s="394"/>
      <c r="MV194" s="394"/>
      <c r="MW194" s="394"/>
      <c r="MX194" s="394"/>
      <c r="MY194" s="394"/>
      <c r="MZ194" s="394"/>
      <c r="NA194" s="394"/>
      <c r="NB194" s="394"/>
      <c r="NC194" s="394"/>
      <c r="ND194" s="394"/>
      <c r="NE194" s="394"/>
      <c r="NF194" s="394"/>
      <c r="NG194" s="394"/>
      <c r="NH194" s="394"/>
      <c r="NI194" s="394"/>
      <c r="NJ194" s="394"/>
      <c r="NK194" s="394"/>
      <c r="NL194" s="394"/>
      <c r="NM194" s="394"/>
      <c r="NN194" s="394"/>
      <c r="NO194" s="394"/>
      <c r="NP194" s="394"/>
      <c r="NQ194" s="394"/>
      <c r="NR194" s="394"/>
      <c r="NS194" s="394"/>
      <c r="NT194" s="394"/>
      <c r="NU194" s="394"/>
      <c r="NV194" s="394"/>
      <c r="NW194" s="394"/>
      <c r="NX194" s="394"/>
      <c r="NY194" s="394"/>
      <c r="NZ194" s="394"/>
      <c r="OA194" s="394"/>
      <c r="OB194" s="394"/>
      <c r="OC194" s="394"/>
      <c r="OD194" s="394"/>
      <c r="OE194" s="394"/>
      <c r="OF194" s="394"/>
      <c r="OG194" s="394"/>
      <c r="OH194" s="394"/>
      <c r="OI194" s="394"/>
      <c r="OJ194" s="394"/>
      <c r="OK194" s="394"/>
      <c r="OL194" s="394"/>
      <c r="OM194" s="394"/>
      <c r="ON194" s="394"/>
      <c r="OO194" s="394"/>
      <c r="OP194" s="394"/>
      <c r="OQ194" s="394"/>
      <c r="OR194" s="394"/>
      <c r="OS194" s="394"/>
      <c r="OT194" s="394"/>
      <c r="OU194" s="394"/>
      <c r="OV194" s="394"/>
      <c r="OW194" s="394"/>
      <c r="OX194" s="394"/>
      <c r="OY194" s="394"/>
      <c r="OZ194" s="394"/>
      <c r="PA194" s="394"/>
      <c r="PB194" s="394"/>
      <c r="PC194" s="394"/>
      <c r="PD194" s="394"/>
      <c r="PE194" s="394"/>
      <c r="PF194" s="394"/>
      <c r="PG194" s="394"/>
      <c r="PH194" s="394"/>
      <c r="PI194" s="394"/>
      <c r="PJ194" s="394"/>
      <c r="PK194" s="394"/>
      <c r="PL194" s="394"/>
      <c r="PM194" s="394"/>
      <c r="PN194" s="394"/>
      <c r="PO194" s="394"/>
      <c r="PP194" s="394"/>
      <c r="PQ194" s="394"/>
      <c r="PR194" s="394"/>
      <c r="PS194" s="394"/>
      <c r="PT194" s="394"/>
      <c r="PU194" s="394"/>
      <c r="PV194" s="394"/>
      <c r="PW194" s="394"/>
      <c r="PX194" s="394"/>
      <c r="PY194" s="394"/>
      <c r="PZ194" s="394"/>
      <c r="QA194" s="394"/>
      <c r="QB194" s="394"/>
      <c r="QC194" s="394"/>
      <c r="QD194" s="394"/>
      <c r="QE194" s="394"/>
      <c r="QF194" s="394"/>
      <c r="QG194" s="394"/>
      <c r="QH194" s="394"/>
      <c r="QI194" s="394"/>
      <c r="QJ194" s="394"/>
      <c r="QK194" s="394"/>
      <c r="QL194" s="394"/>
      <c r="QM194" s="394"/>
      <c r="QN194" s="394"/>
      <c r="QO194" s="394"/>
      <c r="QP194" s="394"/>
      <c r="QQ194" s="394"/>
      <c r="QR194" s="394"/>
      <c r="QS194" s="394"/>
      <c r="QT194" s="394"/>
      <c r="QU194" s="394"/>
      <c r="QV194" s="394"/>
      <c r="QW194" s="394"/>
      <c r="QX194" s="394"/>
      <c r="QY194" s="394"/>
      <c r="QZ194" s="394"/>
      <c r="RA194" s="394"/>
      <c r="RB194" s="394"/>
      <c r="RC194" s="394"/>
      <c r="RD194" s="394"/>
      <c r="RE194" s="394"/>
      <c r="RF194" s="394"/>
      <c r="RG194" s="394"/>
      <c r="RH194" s="394"/>
      <c r="RI194" s="394"/>
      <c r="RJ194" s="394"/>
      <c r="RK194" s="394"/>
      <c r="RL194" s="394"/>
      <c r="RM194" s="394"/>
      <c r="RN194" s="394"/>
      <c r="RO194" s="394"/>
      <c r="RP194" s="394"/>
      <c r="RQ194" s="394"/>
      <c r="RR194" s="394"/>
      <c r="RS194" s="394"/>
      <c r="RT194" s="394"/>
      <c r="RU194" s="394"/>
      <c r="RV194" s="394"/>
      <c r="RW194" s="394"/>
      <c r="RX194" s="394"/>
      <c r="RY194" s="394"/>
      <c r="RZ194" s="394"/>
      <c r="SA194" s="394"/>
      <c r="SB194" s="394"/>
      <c r="SC194" s="394"/>
      <c r="SD194" s="394"/>
      <c r="SE194" s="394"/>
      <c r="SF194" s="394"/>
      <c r="SG194" s="394"/>
      <c r="SH194" s="394"/>
      <c r="SI194" s="394"/>
      <c r="SJ194" s="394"/>
      <c r="SK194" s="394"/>
      <c r="SL194" s="394"/>
      <c r="SM194" s="394"/>
      <c r="SN194" s="394"/>
      <c r="SO194" s="394"/>
      <c r="SP194" s="394"/>
      <c r="SQ194" s="394"/>
      <c r="SR194" s="394"/>
      <c r="SS194" s="394"/>
      <c r="ST194" s="394"/>
      <c r="SU194" s="394"/>
      <c r="SV194" s="394"/>
      <c r="SW194" s="394"/>
      <c r="SX194" s="394"/>
      <c r="SY194" s="394"/>
      <c r="SZ194" s="394"/>
      <c r="TA194" s="394"/>
      <c r="TB194" s="394"/>
      <c r="TC194" s="394"/>
      <c r="TD194" s="394"/>
      <c r="TE194" s="394"/>
      <c r="TF194" s="394"/>
      <c r="TG194" s="394"/>
      <c r="TH194" s="394"/>
      <c r="TI194" s="394"/>
      <c r="TJ194" s="394"/>
      <c r="TK194" s="394"/>
      <c r="TL194" s="394"/>
      <c r="TM194" s="394"/>
      <c r="TN194" s="394"/>
      <c r="TO194" s="394"/>
      <c r="TP194" s="394"/>
      <c r="TQ194" s="394"/>
      <c r="TR194" s="394"/>
      <c r="TS194" s="394"/>
      <c r="TT194" s="394"/>
      <c r="TU194" s="394"/>
      <c r="TV194" s="394"/>
      <c r="TW194" s="394"/>
      <c r="TX194" s="394"/>
      <c r="TY194" s="394"/>
      <c r="TZ194" s="394"/>
      <c r="UA194" s="394"/>
      <c r="UB194" s="394"/>
      <c r="UC194" s="394"/>
      <c r="UD194" s="394"/>
      <c r="UE194" s="394"/>
      <c r="UF194" s="394"/>
      <c r="UG194" s="394"/>
      <c r="UH194" s="394"/>
      <c r="UI194" s="394"/>
      <c r="UJ194" s="394"/>
      <c r="UK194" s="394"/>
      <c r="UL194" s="394"/>
      <c r="UM194" s="394"/>
      <c r="UN194" s="394"/>
      <c r="UO194" s="394"/>
      <c r="UP194" s="394"/>
      <c r="UQ194" s="394"/>
      <c r="UR194" s="394"/>
      <c r="US194" s="394"/>
      <c r="UT194" s="394"/>
      <c r="UU194" s="394"/>
      <c r="UV194" s="394"/>
      <c r="UW194" s="394"/>
      <c r="UX194" s="394"/>
      <c r="UY194" s="394"/>
      <c r="UZ194" s="394"/>
      <c r="VA194" s="394"/>
      <c r="VB194" s="394"/>
      <c r="VC194" s="394"/>
      <c r="VD194" s="394"/>
      <c r="VE194" s="394"/>
      <c r="VF194" s="394"/>
      <c r="VG194" s="394"/>
      <c r="VH194" s="394"/>
      <c r="VI194" s="394"/>
      <c r="VJ194" s="394"/>
      <c r="VK194" s="394"/>
      <c r="VL194" s="394"/>
      <c r="VM194" s="394"/>
      <c r="VN194" s="394"/>
      <c r="VO194" s="394"/>
      <c r="VP194" s="394"/>
      <c r="VQ194" s="394"/>
      <c r="VR194" s="394"/>
      <c r="VS194" s="394"/>
      <c r="VT194" s="394"/>
      <c r="VU194" s="394"/>
      <c r="VV194" s="394"/>
      <c r="VW194" s="394"/>
      <c r="VX194" s="394"/>
      <c r="VY194" s="394"/>
      <c r="VZ194" s="394"/>
      <c r="WA194" s="394"/>
      <c r="WB194" s="394"/>
      <c r="WC194" s="394"/>
      <c r="WD194" s="394"/>
      <c r="WE194" s="394"/>
      <c r="WF194" s="394"/>
      <c r="WG194" s="394"/>
      <c r="WH194" s="394"/>
      <c r="WI194" s="394"/>
      <c r="WJ194" s="394"/>
      <c r="WK194" s="394"/>
      <c r="WL194" s="394"/>
      <c r="WM194" s="394"/>
      <c r="WN194" s="394"/>
      <c r="WO194" s="394"/>
      <c r="WP194" s="394"/>
      <c r="WQ194" s="394"/>
      <c r="WR194" s="394"/>
      <c r="WS194" s="394"/>
      <c r="WT194" s="394"/>
      <c r="WU194" s="394"/>
      <c r="WV194" s="394"/>
      <c r="WW194" s="394"/>
      <c r="WX194" s="394"/>
      <c r="WY194" s="394"/>
      <c r="WZ194" s="394"/>
      <c r="XA194" s="394"/>
      <c r="XB194" s="394"/>
      <c r="XC194" s="394"/>
      <c r="XD194" s="394"/>
      <c r="XE194" s="394"/>
      <c r="XF194" s="394"/>
      <c r="XG194" s="394"/>
      <c r="XH194" s="394"/>
      <c r="XI194" s="394"/>
      <c r="XJ194" s="394"/>
      <c r="XK194" s="394"/>
      <c r="XL194" s="394"/>
      <c r="XM194" s="394"/>
      <c r="XN194" s="394"/>
      <c r="XO194" s="394"/>
      <c r="XP194" s="394"/>
      <c r="XQ194" s="394"/>
      <c r="XR194" s="394"/>
      <c r="XS194" s="394"/>
      <c r="XT194" s="394"/>
      <c r="XU194" s="394"/>
      <c r="XV194" s="394"/>
      <c r="XW194" s="394"/>
      <c r="XX194" s="394"/>
      <c r="XY194" s="394"/>
      <c r="XZ194" s="394"/>
      <c r="YA194" s="394"/>
      <c r="YB194" s="394"/>
      <c r="YC194" s="394"/>
      <c r="YD194" s="394"/>
      <c r="YE194" s="394"/>
      <c r="YF194" s="394"/>
      <c r="YG194" s="394"/>
      <c r="YH194" s="394"/>
      <c r="YI194" s="394"/>
      <c r="YJ194" s="394"/>
      <c r="YK194" s="394"/>
      <c r="YL194" s="394"/>
      <c r="YM194" s="394"/>
      <c r="YN194" s="394"/>
      <c r="YO194" s="394"/>
      <c r="YP194" s="394"/>
      <c r="YQ194" s="394"/>
      <c r="YR194" s="394"/>
      <c r="YS194" s="394"/>
      <c r="YT194" s="394"/>
      <c r="YU194" s="394"/>
      <c r="YV194" s="394"/>
      <c r="YW194" s="394"/>
      <c r="YX194" s="394"/>
      <c r="YY194" s="394"/>
      <c r="YZ194" s="394"/>
      <c r="ZA194" s="394"/>
      <c r="ZB194" s="394"/>
      <c r="ZC194" s="394"/>
      <c r="ZD194" s="394"/>
      <c r="ZE194" s="394"/>
      <c r="ZF194" s="394"/>
      <c r="ZG194" s="394"/>
      <c r="ZH194" s="394"/>
      <c r="ZI194" s="394"/>
      <c r="ZJ194" s="394"/>
      <c r="ZK194" s="394"/>
      <c r="ZL194" s="394"/>
      <c r="ZM194" s="394"/>
      <c r="ZN194" s="394"/>
      <c r="ZO194" s="394"/>
      <c r="ZP194" s="394"/>
      <c r="ZQ194" s="394"/>
      <c r="ZR194" s="394"/>
      <c r="ZS194" s="394"/>
      <c r="ZT194" s="394"/>
      <c r="ZU194" s="394"/>
      <c r="ZV194" s="394"/>
      <c r="ZW194" s="394"/>
      <c r="ZX194" s="394"/>
      <c r="ZY194" s="394"/>
      <c r="ZZ194" s="394"/>
      <c r="AAA194" s="394"/>
      <c r="AAB194" s="394"/>
      <c r="AAC194" s="394"/>
      <c r="AAD194" s="394"/>
      <c r="AAE194" s="394"/>
      <c r="AAF194" s="394"/>
      <c r="AAG194" s="394"/>
      <c r="AAH194" s="394"/>
      <c r="AAI194" s="394"/>
      <c r="AAJ194" s="394"/>
      <c r="AAK194" s="394"/>
      <c r="AAL194" s="394"/>
      <c r="AAM194" s="394"/>
      <c r="AAN194" s="394"/>
      <c r="AAO194" s="394"/>
      <c r="AAP194" s="394"/>
      <c r="AAQ194" s="394"/>
      <c r="AAR194" s="394"/>
      <c r="AAS194" s="394"/>
      <c r="AAT194" s="394"/>
      <c r="AAU194" s="394"/>
      <c r="AAV194" s="394"/>
      <c r="AAW194" s="394"/>
      <c r="AAX194" s="394"/>
      <c r="AAY194" s="394"/>
      <c r="AAZ194" s="394"/>
      <c r="ABA194" s="394"/>
      <c r="ABB194" s="394"/>
      <c r="ABC194" s="394"/>
      <c r="ABD194" s="394"/>
      <c r="ABE194" s="394"/>
      <c r="ABF194" s="394"/>
      <c r="ABG194" s="394"/>
      <c r="ABH194" s="394"/>
      <c r="ABI194" s="394"/>
      <c r="ABJ194" s="394"/>
      <c r="ABK194" s="394"/>
      <c r="ABL194" s="394"/>
      <c r="ABM194" s="394"/>
      <c r="ABN194" s="394"/>
      <c r="ABO194" s="394"/>
      <c r="ABP194" s="394"/>
      <c r="ABQ194" s="394"/>
      <c r="ABR194" s="394"/>
      <c r="ABS194" s="394"/>
      <c r="ABT194" s="394"/>
      <c r="ABU194" s="394"/>
      <c r="ABV194" s="394"/>
      <c r="ABW194" s="394"/>
      <c r="ABX194" s="394"/>
      <c r="ABY194" s="394"/>
      <c r="ABZ194" s="394"/>
      <c r="ACA194" s="394"/>
      <c r="ACB194" s="394"/>
      <c r="ACC194" s="394"/>
      <c r="ACD194" s="394"/>
      <c r="ACE194" s="394"/>
      <c r="ACF194" s="394"/>
      <c r="ACG194" s="394"/>
      <c r="ACH194" s="394"/>
      <c r="ACI194" s="394"/>
      <c r="ACJ194" s="394"/>
      <c r="ACK194" s="394"/>
      <c r="ACL194" s="394"/>
      <c r="ACM194" s="394"/>
      <c r="ACN194" s="394"/>
      <c r="ACO194" s="394"/>
      <c r="ACP194" s="394"/>
      <c r="ACQ194" s="394"/>
      <c r="ACR194" s="394"/>
      <c r="ACS194" s="394"/>
      <c r="ACT194" s="394"/>
      <c r="ACU194" s="394"/>
      <c r="ACV194" s="394"/>
      <c r="ACW194" s="394"/>
      <c r="ACX194" s="394"/>
      <c r="ACY194" s="394"/>
      <c r="ACZ194" s="394"/>
      <c r="ADA194" s="394"/>
      <c r="ADB194" s="394"/>
      <c r="ADC194" s="394"/>
      <c r="ADD194" s="394"/>
      <c r="ADE194" s="394"/>
      <c r="ADF194" s="394"/>
      <c r="ADG194" s="394"/>
      <c r="ADH194" s="394"/>
      <c r="ADI194" s="394"/>
      <c r="ADJ194" s="394"/>
      <c r="ADK194" s="394"/>
      <c r="ADL194" s="394"/>
      <c r="ADM194" s="394"/>
      <c r="ADN194" s="394"/>
      <c r="ADO194" s="394"/>
      <c r="ADP194" s="394"/>
      <c r="ADQ194" s="394"/>
      <c r="ADR194" s="394"/>
      <c r="ADS194" s="394"/>
      <c r="ADT194" s="394"/>
      <c r="ADU194" s="394"/>
      <c r="ADV194" s="394"/>
      <c r="ADW194" s="394"/>
      <c r="ADX194" s="394"/>
      <c r="ADY194" s="394"/>
      <c r="ADZ194" s="394"/>
      <c r="AEA194" s="394"/>
      <c r="AEB194" s="394"/>
      <c r="AEC194" s="394"/>
      <c r="AED194" s="394"/>
      <c r="AEE194" s="394"/>
      <c r="AEF194" s="394"/>
      <c r="AEG194" s="394"/>
      <c r="AEH194" s="394"/>
      <c r="AEI194" s="394"/>
      <c r="AEJ194" s="394"/>
      <c r="AEK194" s="394"/>
      <c r="AEL194" s="394"/>
      <c r="AEM194" s="394"/>
      <c r="AEN194" s="394"/>
      <c r="AEO194" s="394"/>
      <c r="AEP194" s="394"/>
      <c r="AEQ194" s="394"/>
      <c r="AER194" s="394"/>
      <c r="AES194" s="394"/>
      <c r="AET194" s="394"/>
      <c r="AEU194" s="394"/>
      <c r="AEV194" s="394"/>
      <c r="AEW194" s="394"/>
      <c r="AEX194" s="394"/>
      <c r="AEY194" s="394"/>
      <c r="AEZ194" s="394"/>
      <c r="AFA194" s="394"/>
      <c r="AFB194" s="394"/>
      <c r="AFC194" s="394"/>
      <c r="AFD194" s="394"/>
      <c r="AFE194" s="394"/>
      <c r="AFF194" s="394"/>
      <c r="AFG194" s="394"/>
      <c r="AFH194" s="394"/>
      <c r="AFI194" s="394"/>
      <c r="AFJ194" s="394"/>
      <c r="AFK194" s="394"/>
      <c r="AFL194" s="394"/>
      <c r="AFM194" s="394"/>
      <c r="AFN194" s="394"/>
      <c r="AFO194" s="394"/>
      <c r="AFP194" s="394"/>
      <c r="AFQ194" s="394"/>
      <c r="AFR194" s="394"/>
      <c r="AFS194" s="394"/>
      <c r="AFT194" s="394"/>
      <c r="AFU194" s="394"/>
      <c r="AFV194" s="394"/>
      <c r="AFW194" s="394"/>
      <c r="AFX194" s="394"/>
      <c r="AFY194" s="394"/>
      <c r="AFZ194" s="394"/>
      <c r="AGA194" s="394"/>
      <c r="AGB194" s="394"/>
      <c r="AGC194" s="394"/>
      <c r="AGD194" s="394"/>
      <c r="AGE194" s="394"/>
      <c r="AGF194" s="394"/>
      <c r="AGG194" s="394"/>
      <c r="AGH194" s="394"/>
      <c r="AGI194" s="394"/>
      <c r="AGJ194" s="394"/>
      <c r="AGK194" s="394"/>
      <c r="AGL194" s="394"/>
      <c r="AGM194" s="394"/>
      <c r="AGN194" s="394"/>
      <c r="AGO194" s="394"/>
      <c r="AGP194" s="394"/>
      <c r="AGQ194" s="394"/>
      <c r="AGR194" s="394"/>
      <c r="AGS194" s="394"/>
      <c r="AGT194" s="394"/>
      <c r="AGU194" s="394"/>
      <c r="AGV194" s="394"/>
      <c r="AGW194" s="394"/>
      <c r="AGX194" s="394"/>
      <c r="AGY194" s="394"/>
      <c r="AGZ194" s="394"/>
      <c r="AHA194" s="394"/>
      <c r="AHB194" s="394"/>
      <c r="AHC194" s="394"/>
      <c r="AHD194" s="394"/>
      <c r="AHE194" s="394"/>
      <c r="AHF194" s="394"/>
      <c r="AHG194" s="394"/>
      <c r="AHH194" s="394"/>
      <c r="AHI194" s="394"/>
      <c r="AHJ194" s="394"/>
      <c r="AHK194" s="394"/>
      <c r="AHL194" s="394"/>
      <c r="AHM194" s="394"/>
      <c r="AHN194" s="394"/>
      <c r="AHO194" s="394"/>
      <c r="AHP194" s="394"/>
      <c r="AHQ194" s="394"/>
      <c r="AHR194" s="394"/>
      <c r="AHS194" s="394"/>
      <c r="AHT194" s="394"/>
      <c r="AHU194" s="394"/>
      <c r="AHV194" s="394"/>
      <c r="AHW194" s="394"/>
      <c r="AHX194" s="394"/>
      <c r="AHY194" s="394"/>
      <c r="AHZ194" s="394"/>
      <c r="AIA194" s="394"/>
      <c r="AIB194" s="394"/>
      <c r="AIC194" s="394"/>
      <c r="AID194" s="394"/>
      <c r="AIE194" s="394"/>
      <c r="AIF194" s="394"/>
      <c r="AIG194" s="394"/>
      <c r="AIH194" s="394"/>
      <c r="AII194" s="394"/>
      <c r="AIJ194" s="394"/>
      <c r="AIK194" s="394"/>
      <c r="AIL194" s="394"/>
      <c r="AIM194" s="394"/>
      <c r="AIN194" s="394"/>
      <c r="AIO194" s="394"/>
      <c r="AIP194" s="394"/>
      <c r="AIQ194" s="394"/>
      <c r="AIR194" s="394"/>
      <c r="AIS194" s="394"/>
      <c r="AIT194" s="394"/>
      <c r="AIU194" s="394"/>
      <c r="AIV194" s="394"/>
      <c r="AIW194" s="394"/>
      <c r="AIX194" s="394"/>
      <c r="AIY194" s="394"/>
      <c r="AIZ194" s="394"/>
      <c r="AJA194" s="394"/>
      <c r="AJB194" s="394"/>
      <c r="AJC194" s="394"/>
      <c r="AJD194" s="394"/>
      <c r="AJE194" s="394"/>
      <c r="AJF194" s="394"/>
      <c r="AJG194" s="394"/>
      <c r="AJH194" s="394"/>
      <c r="AJI194" s="394"/>
      <c r="AJJ194" s="394"/>
      <c r="AJK194" s="394"/>
      <c r="AJL194" s="394"/>
      <c r="AJM194" s="394"/>
      <c r="AJN194" s="394"/>
      <c r="AJO194" s="394"/>
      <c r="AJP194" s="394"/>
      <c r="AJQ194" s="394"/>
      <c r="AJR194" s="394"/>
      <c r="AJS194" s="394"/>
      <c r="AJT194" s="394"/>
      <c r="AJU194" s="394"/>
      <c r="AJV194" s="394"/>
      <c r="AJW194" s="394"/>
      <c r="AJX194" s="394"/>
      <c r="AJY194" s="394"/>
      <c r="AJZ194" s="394"/>
      <c r="AKA194" s="394"/>
      <c r="AKB194" s="394"/>
      <c r="AKC194" s="394"/>
      <c r="AKD194" s="394"/>
      <c r="AKE194" s="394"/>
      <c r="AKF194" s="394"/>
      <c r="AKG194" s="394"/>
      <c r="AKH194" s="394"/>
      <c r="AKI194" s="394"/>
      <c r="AKJ194" s="394"/>
      <c r="AKK194" s="394"/>
      <c r="AKL194" s="394"/>
      <c r="AKM194" s="394"/>
      <c r="AKN194" s="394"/>
      <c r="AKO194" s="394"/>
      <c r="AKP194" s="394"/>
      <c r="AKQ194" s="394"/>
      <c r="AKR194" s="394"/>
      <c r="AKS194" s="394"/>
      <c r="AKT194" s="394"/>
      <c r="AKU194" s="394"/>
      <c r="AKV194" s="394"/>
      <c r="AKW194" s="394"/>
      <c r="AKX194" s="394"/>
      <c r="AKY194" s="394"/>
      <c r="AKZ194" s="394"/>
      <c r="ALA194" s="394"/>
      <c r="ALB194" s="394"/>
      <c r="ALC194" s="394"/>
      <c r="ALD194" s="394"/>
      <c r="ALE194" s="394"/>
      <c r="ALF194" s="394"/>
      <c r="ALG194" s="394"/>
      <c r="ALH194" s="394"/>
      <c r="ALI194" s="394"/>
      <c r="ALJ194" s="394"/>
      <c r="ALK194" s="394"/>
      <c r="ALL194" s="394"/>
      <c r="ALM194" s="394"/>
      <c r="ALN194" s="394"/>
      <c r="ALO194" s="394"/>
      <c r="ALP194" s="394"/>
      <c r="ALQ194" s="394"/>
      <c r="ALR194" s="394"/>
      <c r="ALS194" s="394"/>
      <c r="ALT194" s="394"/>
      <c r="ALU194" s="394"/>
      <c r="ALV194" s="394"/>
      <c r="ALW194" s="394"/>
      <c r="ALX194" s="394"/>
      <c r="ALY194" s="394"/>
      <c r="ALZ194" s="394"/>
      <c r="AMA194" s="394"/>
      <c r="AMB194" s="394"/>
      <c r="AMC194" s="394"/>
      <c r="AMD194" s="394"/>
      <c r="AME194" s="394"/>
      <c r="AMF194" s="394"/>
      <c r="AMG194" s="394"/>
      <c r="AMH194" s="394"/>
      <c r="AMI194" s="394"/>
      <c r="AMJ194" s="394"/>
      <c r="AMK194" s="394"/>
      <c r="AML194" s="394"/>
      <c r="AMM194" s="394"/>
      <c r="AMN194" s="394"/>
      <c r="AMO194" s="394"/>
      <c r="AMP194" s="394"/>
      <c r="AMQ194" s="394"/>
      <c r="AMR194" s="394"/>
      <c r="AMS194" s="394"/>
      <c r="AMT194" s="394"/>
      <c r="AMU194" s="394"/>
      <c r="AMV194" s="394"/>
      <c r="AMW194" s="394"/>
      <c r="AMX194" s="394"/>
      <c r="AMY194" s="394"/>
      <c r="AMZ194" s="394"/>
      <c r="ANA194" s="394"/>
      <c r="ANB194" s="394"/>
      <c r="ANC194" s="394"/>
      <c r="AND194" s="394"/>
      <c r="ANE194" s="394"/>
      <c r="ANF194" s="394"/>
      <c r="ANG194" s="394"/>
      <c r="ANH194" s="394"/>
      <c r="ANI194" s="394"/>
      <c r="ANJ194" s="394"/>
      <c r="ANK194" s="394"/>
      <c r="ANL194" s="394"/>
      <c r="ANM194" s="394"/>
      <c r="ANN194" s="394"/>
      <c r="ANO194" s="394"/>
      <c r="ANP194" s="394"/>
      <c r="ANQ194" s="394"/>
      <c r="ANR194" s="394"/>
      <c r="ANS194" s="394"/>
      <c r="ANT194" s="394"/>
      <c r="ANU194" s="394"/>
      <c r="ANV194" s="394"/>
      <c r="ANW194" s="394"/>
      <c r="ANX194" s="394"/>
      <c r="ANY194" s="394"/>
      <c r="ANZ194" s="394"/>
      <c r="AOA194" s="394"/>
      <c r="AOB194" s="394"/>
      <c r="AOC194" s="394"/>
      <c r="AOD194" s="394"/>
      <c r="AOE194" s="394"/>
      <c r="AOF194" s="394"/>
      <c r="AOG194" s="394"/>
      <c r="AOH194" s="394"/>
      <c r="AOI194" s="394"/>
      <c r="AOJ194" s="394"/>
      <c r="AOK194" s="394"/>
      <c r="AOL194" s="394"/>
      <c r="AOM194" s="394"/>
      <c r="AON194" s="394"/>
      <c r="AOO194" s="394"/>
      <c r="AOP194" s="394"/>
      <c r="AOQ194" s="394"/>
      <c r="AOR194" s="394"/>
      <c r="AOS194" s="394"/>
      <c r="AOT194" s="394"/>
      <c r="AOU194" s="394"/>
      <c r="AOV194" s="394"/>
      <c r="AOW194" s="394"/>
      <c r="AOX194" s="394"/>
      <c r="AOY194" s="394"/>
      <c r="AOZ194" s="394"/>
      <c r="APA194" s="394"/>
      <c r="APB194" s="394"/>
      <c r="APC194" s="394"/>
      <c r="APD194" s="394"/>
      <c r="APE194" s="394"/>
      <c r="APF194" s="394"/>
      <c r="APG194" s="394"/>
      <c r="APH194" s="394"/>
      <c r="API194" s="394"/>
      <c r="APJ194" s="394"/>
      <c r="APK194" s="394"/>
      <c r="APL194" s="394"/>
      <c r="APM194" s="394"/>
      <c r="APN194" s="394"/>
      <c r="APO194" s="394"/>
      <c r="APP194" s="394"/>
      <c r="APQ194" s="394"/>
      <c r="APR194" s="394"/>
      <c r="APS194" s="394"/>
      <c r="APT194" s="394"/>
      <c r="APU194" s="394"/>
      <c r="APV194" s="394"/>
      <c r="APW194" s="394"/>
      <c r="APX194" s="394"/>
      <c r="APY194" s="394"/>
      <c r="APZ194" s="394"/>
      <c r="AQA194" s="394"/>
      <c r="AQB194" s="394"/>
      <c r="AQC194" s="394"/>
      <c r="AQD194" s="394"/>
      <c r="AQE194" s="394"/>
      <c r="AQF194" s="394"/>
      <c r="AQG194" s="394"/>
      <c r="AQH194" s="394"/>
      <c r="AQI194" s="394"/>
      <c r="AQJ194" s="394"/>
      <c r="AQK194" s="394"/>
      <c r="AQL194" s="394"/>
      <c r="AQM194" s="394"/>
      <c r="AQN194" s="394"/>
      <c r="AQO194" s="394"/>
      <c r="AQP194" s="394"/>
      <c r="AQQ194" s="394"/>
      <c r="AQR194" s="394"/>
      <c r="AQS194" s="394"/>
      <c r="AQT194" s="394"/>
      <c r="AQU194" s="394"/>
      <c r="AQV194" s="394"/>
      <c r="AQW194" s="394"/>
      <c r="AQX194" s="394"/>
      <c r="AQY194" s="394"/>
      <c r="AQZ194" s="394"/>
      <c r="ARA194" s="394"/>
      <c r="ARB194" s="394"/>
      <c r="ARC194" s="394"/>
      <c r="ARD194" s="394"/>
      <c r="ARE194" s="394"/>
      <c r="ARF194" s="394"/>
      <c r="ARG194" s="394"/>
      <c r="ARH194" s="394"/>
      <c r="ARI194" s="394"/>
      <c r="ARJ194" s="394"/>
      <c r="ARK194" s="394"/>
      <c r="ARL194" s="394"/>
      <c r="ARM194" s="394"/>
      <c r="ARN194" s="394"/>
      <c r="ARO194" s="394"/>
      <c r="ARP194" s="394"/>
      <c r="ARQ194" s="394"/>
      <c r="ARR194" s="394"/>
      <c r="ARS194" s="394"/>
      <c r="ART194" s="394"/>
      <c r="ARU194" s="394"/>
      <c r="ARV194" s="394"/>
      <c r="ARW194" s="394"/>
      <c r="ARX194" s="394"/>
      <c r="ARY194" s="394"/>
      <c r="ARZ194" s="394"/>
      <c r="ASA194" s="394"/>
      <c r="ASB194" s="394"/>
      <c r="ASC194" s="394"/>
      <c r="ASD194" s="394"/>
      <c r="ASE194" s="394"/>
      <c r="ASF194" s="394"/>
      <c r="ASG194" s="394"/>
      <c r="ASH194" s="394"/>
      <c r="ASI194" s="394"/>
      <c r="ASJ194" s="394"/>
      <c r="ASK194" s="394"/>
      <c r="ASL194" s="394"/>
      <c r="ASM194" s="394"/>
      <c r="ASN194" s="394"/>
      <c r="ASO194" s="394"/>
      <c r="ASP194" s="394"/>
      <c r="ASQ194" s="394"/>
      <c r="ASR194" s="394"/>
      <c r="ASS194" s="394"/>
      <c r="AST194" s="394"/>
      <c r="ASU194" s="394"/>
      <c r="ASV194" s="394"/>
      <c r="ASW194" s="394"/>
      <c r="ASX194" s="394"/>
      <c r="ASY194" s="394"/>
      <c r="ASZ194" s="394"/>
      <c r="ATA194" s="394"/>
      <c r="ATB194" s="394"/>
      <c r="ATC194" s="394"/>
      <c r="ATD194" s="394"/>
      <c r="ATE194" s="394"/>
      <c r="ATF194" s="394"/>
      <c r="ATG194" s="394"/>
      <c r="ATH194" s="394"/>
      <c r="ATI194" s="394"/>
      <c r="ATJ194" s="394"/>
      <c r="ATK194" s="394"/>
      <c r="ATL194" s="394"/>
      <c r="ATM194" s="394"/>
      <c r="ATN194" s="394"/>
      <c r="ATO194" s="394"/>
      <c r="ATP194" s="394"/>
      <c r="ATQ194" s="394"/>
      <c r="ATR194" s="394"/>
      <c r="ATS194" s="394"/>
      <c r="ATT194" s="394"/>
      <c r="ATU194" s="394"/>
      <c r="ATV194" s="394"/>
      <c r="ATW194" s="394"/>
      <c r="ATX194" s="394"/>
      <c r="ATY194" s="394"/>
      <c r="ATZ194" s="394"/>
      <c r="AUA194" s="394"/>
      <c r="AUB194" s="394"/>
      <c r="AUC194" s="394"/>
      <c r="AUD194" s="394"/>
      <c r="AUE194" s="394"/>
      <c r="AUF194" s="394"/>
      <c r="AUG194" s="394"/>
      <c r="AUH194" s="394"/>
      <c r="AUI194" s="394"/>
      <c r="AUJ194" s="394"/>
      <c r="AUK194" s="394"/>
      <c r="AUL194" s="394"/>
      <c r="AUM194" s="394"/>
      <c r="AUN194" s="394"/>
      <c r="AUO194" s="394"/>
      <c r="AUP194" s="394"/>
      <c r="AUQ194" s="394"/>
      <c r="AUR194" s="394"/>
      <c r="AUS194" s="394"/>
      <c r="AUT194" s="394"/>
      <c r="AUU194" s="394"/>
      <c r="AUV194" s="394"/>
      <c r="AUW194" s="394"/>
      <c r="AUX194" s="394"/>
      <c r="AUY194" s="394"/>
      <c r="AUZ194" s="394"/>
      <c r="AVA194" s="394"/>
      <c r="AVB194" s="394"/>
      <c r="AVC194" s="394"/>
      <c r="AVD194" s="394"/>
      <c r="AVE194" s="394"/>
      <c r="AVF194" s="394"/>
      <c r="AVG194" s="394"/>
      <c r="AVH194" s="394"/>
      <c r="AVI194" s="394"/>
      <c r="AVJ194" s="394"/>
      <c r="AVK194" s="394"/>
      <c r="AVL194" s="394"/>
      <c r="AVM194" s="394"/>
      <c r="AVN194" s="394"/>
      <c r="AVO194" s="394"/>
      <c r="AVP194" s="394"/>
      <c r="AVQ194" s="394"/>
      <c r="AVR194" s="394"/>
      <c r="AVS194" s="394"/>
      <c r="AVT194" s="394"/>
      <c r="AVU194" s="394"/>
      <c r="AVV194" s="394"/>
      <c r="AVW194" s="394"/>
      <c r="AVX194" s="394"/>
      <c r="AVY194" s="394"/>
      <c r="AVZ194" s="394"/>
      <c r="AWA194" s="394"/>
      <c r="AWB194" s="394"/>
      <c r="AWC194" s="394"/>
      <c r="AWD194" s="394"/>
      <c r="AWE194" s="394"/>
      <c r="AWF194" s="394"/>
      <c r="AWG194" s="394"/>
      <c r="AWH194" s="394"/>
      <c r="AWI194" s="394"/>
      <c r="AWJ194" s="394"/>
      <c r="AWK194" s="394"/>
      <c r="AWL194" s="394"/>
      <c r="AWM194" s="394"/>
      <c r="AWN194" s="394"/>
      <c r="AWO194" s="394"/>
      <c r="AWP194" s="394"/>
      <c r="AWQ194" s="394"/>
      <c r="AWR194" s="394"/>
      <c r="AWS194" s="394"/>
      <c r="AWT194" s="394"/>
      <c r="AWU194" s="394"/>
      <c r="AWV194" s="394"/>
      <c r="AWW194" s="394"/>
      <c r="AWX194" s="394"/>
      <c r="AWY194" s="394"/>
      <c r="AWZ194" s="394"/>
      <c r="AXA194" s="394"/>
      <c r="AXB194" s="394"/>
      <c r="AXC194" s="394"/>
      <c r="AXD194" s="394"/>
      <c r="AXE194" s="394"/>
      <c r="AXF194" s="394"/>
      <c r="AXG194" s="394"/>
      <c r="AXH194" s="394"/>
      <c r="AXI194" s="394"/>
      <c r="AXJ194" s="394"/>
      <c r="AXK194" s="394"/>
      <c r="AXL194" s="394"/>
      <c r="AXM194" s="394"/>
      <c r="AXN194" s="394"/>
      <c r="AXO194" s="394"/>
      <c r="AXP194" s="394"/>
      <c r="AXQ194" s="394"/>
      <c r="AXR194" s="394"/>
      <c r="AXS194" s="394"/>
      <c r="AXT194" s="394"/>
      <c r="AXU194" s="394"/>
      <c r="AXV194" s="394"/>
      <c r="AXW194" s="394"/>
      <c r="AXX194" s="394"/>
      <c r="AXY194" s="394"/>
      <c r="AXZ194" s="394"/>
      <c r="AYA194" s="394"/>
      <c r="AYB194" s="394"/>
      <c r="AYC194" s="394"/>
      <c r="AYD194" s="394"/>
      <c r="AYE194" s="394"/>
      <c r="AYF194" s="394"/>
      <c r="AYG194" s="394"/>
      <c r="AYH194" s="394"/>
      <c r="AYI194" s="394"/>
      <c r="AYJ194" s="394"/>
      <c r="AYK194" s="394"/>
      <c r="AYL194" s="394"/>
      <c r="AYM194" s="394"/>
      <c r="AYN194" s="394"/>
      <c r="AYO194" s="394"/>
      <c r="AYP194" s="394"/>
      <c r="AYQ194" s="394"/>
      <c r="AYR194" s="394"/>
      <c r="AYS194" s="394"/>
      <c r="AYT194" s="394"/>
      <c r="AYU194" s="394"/>
      <c r="AYV194" s="394"/>
      <c r="AYW194" s="394"/>
      <c r="AYX194" s="394"/>
      <c r="AYY194" s="394"/>
      <c r="AYZ194" s="394"/>
      <c r="AZA194" s="394"/>
      <c r="AZB194" s="394"/>
      <c r="AZC194" s="394"/>
      <c r="AZD194" s="394"/>
      <c r="AZE194" s="394"/>
      <c r="AZF194" s="394"/>
      <c r="AZG194" s="394"/>
      <c r="AZH194" s="394"/>
      <c r="AZI194" s="394"/>
      <c r="AZJ194" s="394"/>
      <c r="AZK194" s="394"/>
      <c r="AZL194" s="394"/>
      <c r="AZM194" s="394"/>
      <c r="AZN194" s="394"/>
      <c r="AZO194" s="394"/>
      <c r="AZP194" s="394"/>
      <c r="AZQ194" s="394"/>
      <c r="AZR194" s="394"/>
      <c r="AZS194" s="394"/>
      <c r="AZT194" s="394"/>
      <c r="AZU194" s="394"/>
      <c r="AZV194" s="394"/>
      <c r="AZW194" s="394"/>
      <c r="AZX194" s="394"/>
      <c r="AZY194" s="394"/>
      <c r="AZZ194" s="394"/>
      <c r="BAA194" s="394"/>
      <c r="BAB194" s="394"/>
      <c r="BAC194" s="394"/>
      <c r="BAD194" s="394"/>
      <c r="BAE194" s="394"/>
      <c r="BAF194" s="394"/>
      <c r="BAG194" s="394"/>
      <c r="BAH194" s="394"/>
      <c r="BAI194" s="394"/>
      <c r="BAJ194" s="394"/>
      <c r="BAK194" s="394"/>
      <c r="BAL194" s="394"/>
      <c r="BAM194" s="394"/>
      <c r="BAN194" s="394"/>
      <c r="BAO194" s="394"/>
      <c r="BAP194" s="394"/>
      <c r="BAQ194" s="394"/>
      <c r="BAR194" s="394"/>
      <c r="BAS194" s="394"/>
      <c r="BAT194" s="394"/>
      <c r="BAU194" s="394"/>
      <c r="BAV194" s="394"/>
      <c r="BAW194" s="394"/>
      <c r="BAX194" s="394"/>
      <c r="BAY194" s="394"/>
      <c r="BAZ194" s="394"/>
      <c r="BBA194" s="394"/>
      <c r="BBB194" s="394"/>
      <c r="BBC194" s="394"/>
      <c r="BBD194" s="394"/>
      <c r="BBE194" s="394"/>
      <c r="BBF194" s="394"/>
      <c r="BBG194" s="394"/>
      <c r="BBH194" s="394"/>
      <c r="BBI194" s="394"/>
      <c r="BBJ194" s="394"/>
      <c r="BBK194" s="394"/>
      <c r="BBL194" s="394"/>
      <c r="BBM194" s="394"/>
      <c r="BBN194" s="394"/>
      <c r="BBO194" s="394"/>
      <c r="BBP194" s="394"/>
      <c r="BBQ194" s="394"/>
      <c r="BBR194" s="394"/>
      <c r="BBS194" s="394"/>
      <c r="BBT194" s="394"/>
      <c r="BBU194" s="394"/>
      <c r="BBV194" s="394"/>
      <c r="BBW194" s="394"/>
      <c r="BBX194" s="394"/>
      <c r="BBY194" s="394"/>
      <c r="BBZ194" s="394"/>
      <c r="BCA194" s="394"/>
      <c r="BCB194" s="394"/>
      <c r="BCC194" s="394"/>
      <c r="BCD194" s="394"/>
      <c r="BCE194" s="394"/>
      <c r="BCF194" s="394"/>
      <c r="BCG194" s="394"/>
      <c r="BCH194" s="394"/>
      <c r="BCI194" s="394"/>
      <c r="BCJ194" s="394"/>
      <c r="BCK194" s="394"/>
      <c r="BCL194" s="394"/>
      <c r="BCM194" s="394"/>
      <c r="BCN194" s="394"/>
      <c r="BCO194" s="394"/>
      <c r="BCP194" s="394"/>
      <c r="BCQ194" s="394"/>
      <c r="BCR194" s="394"/>
      <c r="BCS194" s="394"/>
      <c r="BCT194" s="394"/>
      <c r="BCU194" s="394"/>
      <c r="BCV194" s="394"/>
      <c r="BCW194" s="394"/>
      <c r="BCX194" s="394"/>
      <c r="BCY194" s="394"/>
      <c r="BCZ194" s="394"/>
      <c r="BDA194" s="394"/>
      <c r="BDB194" s="394"/>
      <c r="BDC194" s="394"/>
      <c r="BDD194" s="394"/>
      <c r="BDE194" s="394"/>
      <c r="BDF194" s="394"/>
      <c r="BDG194" s="394"/>
      <c r="BDH194" s="394"/>
      <c r="BDI194" s="394"/>
      <c r="BDJ194" s="394"/>
      <c r="BDK194" s="394"/>
      <c r="BDL194" s="394"/>
      <c r="BDM194" s="394"/>
      <c r="BDN194" s="394"/>
      <c r="BDO194" s="394"/>
      <c r="BDP194" s="394"/>
      <c r="BDQ194" s="394"/>
      <c r="BDR194" s="394"/>
      <c r="BDS194" s="394"/>
      <c r="BDT194" s="394"/>
      <c r="BDU194" s="394"/>
      <c r="BDV194" s="394"/>
      <c r="BDW194" s="394"/>
      <c r="BDX194" s="394"/>
      <c r="BDY194" s="394"/>
      <c r="BDZ194" s="394"/>
      <c r="BEA194" s="394"/>
      <c r="BEB194" s="394"/>
      <c r="BEC194" s="394"/>
      <c r="BED194" s="394"/>
      <c r="BEE194" s="394"/>
      <c r="BEF194" s="394"/>
      <c r="BEG194" s="394"/>
      <c r="BEH194" s="394"/>
      <c r="BEI194" s="394"/>
      <c r="BEJ194" s="394"/>
      <c r="BEK194" s="394"/>
      <c r="BEL194" s="394"/>
      <c r="BEM194" s="394"/>
      <c r="BEN194" s="394"/>
      <c r="BEO194" s="394"/>
      <c r="BEP194" s="394"/>
      <c r="BEQ194" s="394"/>
      <c r="BER194" s="394"/>
      <c r="BES194" s="394"/>
      <c r="BET194" s="394"/>
      <c r="BEU194" s="394"/>
      <c r="BEV194" s="394"/>
      <c r="BEW194" s="394"/>
      <c r="BEX194" s="394"/>
      <c r="BEY194" s="394"/>
      <c r="BEZ194" s="394"/>
      <c r="BFA194" s="394"/>
      <c r="BFB194" s="394"/>
      <c r="BFC194" s="394"/>
      <c r="BFD194" s="394"/>
      <c r="BFE194" s="394"/>
      <c r="BFF194" s="394"/>
      <c r="BFG194" s="394"/>
      <c r="BFH194" s="394"/>
      <c r="BFI194" s="394"/>
      <c r="BFJ194" s="394"/>
      <c r="BFK194" s="394"/>
      <c r="BFL194" s="394"/>
      <c r="BFM194" s="394"/>
      <c r="BFN194" s="394"/>
      <c r="BFO194" s="394"/>
      <c r="BFP194" s="394"/>
      <c r="BFQ194" s="394"/>
      <c r="BFR194" s="394"/>
      <c r="BFS194" s="394"/>
      <c r="BFT194" s="394"/>
      <c r="BFU194" s="394"/>
      <c r="BFV194" s="394"/>
      <c r="BFW194" s="394"/>
      <c r="BFX194" s="394"/>
      <c r="BFY194" s="394"/>
      <c r="BFZ194" s="394"/>
      <c r="BGA194" s="394"/>
      <c r="BGB194" s="394"/>
      <c r="BGC194" s="394"/>
      <c r="BGD194" s="394"/>
      <c r="BGE194" s="394"/>
      <c r="BGF194" s="394"/>
      <c r="BGG194" s="394"/>
      <c r="BGH194" s="394"/>
      <c r="BGI194" s="394"/>
      <c r="BGJ194" s="394"/>
      <c r="BGK194" s="394"/>
      <c r="BGL194" s="394"/>
      <c r="BGM194" s="394"/>
      <c r="BGN194" s="394"/>
      <c r="BGO194" s="394"/>
      <c r="BGP194" s="394"/>
      <c r="BGQ194" s="394"/>
      <c r="BGR194" s="394"/>
      <c r="BGS194" s="394"/>
      <c r="BGT194" s="394"/>
      <c r="BGU194" s="394"/>
      <c r="BGV194" s="394"/>
      <c r="BGW194" s="394"/>
      <c r="BGX194" s="394"/>
      <c r="BGY194" s="394"/>
      <c r="BGZ194" s="394"/>
      <c r="BHA194" s="394"/>
      <c r="BHB194" s="394"/>
      <c r="BHC194" s="394"/>
      <c r="BHD194" s="394"/>
      <c r="BHE194" s="394"/>
      <c r="BHF194" s="394"/>
      <c r="BHG194" s="394"/>
      <c r="BHH194" s="394"/>
      <c r="BHI194" s="394"/>
      <c r="BHJ194" s="394"/>
      <c r="BHK194" s="394"/>
      <c r="BHL194" s="394"/>
      <c r="BHM194" s="394"/>
      <c r="BHN194" s="394"/>
      <c r="BHO194" s="394"/>
      <c r="BHP194" s="394"/>
      <c r="BHQ194" s="394"/>
      <c r="BHR194" s="394"/>
      <c r="BHS194" s="394"/>
      <c r="BHT194" s="394"/>
      <c r="BHU194" s="394"/>
      <c r="BHV194" s="394"/>
      <c r="BHW194" s="394"/>
      <c r="BHX194" s="394"/>
      <c r="BHY194" s="394"/>
      <c r="BHZ194" s="394"/>
      <c r="BIA194" s="394"/>
      <c r="BIB194" s="394"/>
      <c r="BIC194" s="394"/>
      <c r="BID194" s="394"/>
      <c r="BIE194" s="394"/>
      <c r="BIF194" s="394"/>
      <c r="BIG194" s="394"/>
      <c r="BIH194" s="394"/>
      <c r="BII194" s="394"/>
      <c r="BIJ194" s="394"/>
      <c r="BIK194" s="394"/>
      <c r="BIL194" s="394"/>
      <c r="BIM194" s="394"/>
      <c r="BIN194" s="394"/>
      <c r="BIO194" s="394"/>
      <c r="BIP194" s="394"/>
      <c r="BIQ194" s="394"/>
      <c r="BIR194" s="394"/>
      <c r="BIS194" s="394"/>
      <c r="BIT194" s="394"/>
      <c r="BIU194" s="394"/>
      <c r="BIV194" s="394"/>
      <c r="BIW194" s="394"/>
      <c r="BIX194" s="394"/>
      <c r="BIY194" s="394"/>
      <c r="BIZ194" s="394"/>
      <c r="BJA194" s="394"/>
      <c r="BJB194" s="394"/>
      <c r="BJC194" s="394"/>
      <c r="BJD194" s="394"/>
      <c r="BJE194" s="394"/>
      <c r="BJF194" s="394"/>
      <c r="BJG194" s="394"/>
      <c r="BJH194" s="394"/>
      <c r="BJI194" s="394"/>
      <c r="BJJ194" s="394"/>
      <c r="BJK194" s="394"/>
      <c r="BJL194" s="394"/>
      <c r="BJM194" s="394"/>
      <c r="BJN194" s="394"/>
      <c r="BJO194" s="394"/>
      <c r="BJP194" s="394"/>
      <c r="BJQ194" s="394"/>
      <c r="BJR194" s="394"/>
      <c r="BJS194" s="394"/>
      <c r="BJT194" s="394"/>
      <c r="BJU194" s="394"/>
      <c r="BJV194" s="394"/>
      <c r="BJW194" s="394"/>
      <c r="BJX194" s="394"/>
      <c r="BJY194" s="394"/>
      <c r="BJZ194" s="394"/>
      <c r="BKA194" s="394"/>
      <c r="BKB194" s="394"/>
      <c r="BKC194" s="394"/>
      <c r="BKD194" s="394"/>
      <c r="BKE194" s="394"/>
      <c r="BKF194" s="394"/>
      <c r="BKG194" s="394"/>
      <c r="BKH194" s="394"/>
      <c r="BKI194" s="394"/>
      <c r="BKJ194" s="394"/>
      <c r="BKK194" s="394"/>
      <c r="BKL194" s="394"/>
      <c r="BKM194" s="394"/>
      <c r="BKN194" s="394"/>
      <c r="BKO194" s="394"/>
      <c r="BKP194" s="394"/>
      <c r="BKQ194" s="394"/>
      <c r="BKR194" s="394"/>
      <c r="BKS194" s="394"/>
      <c r="BKT194" s="394"/>
      <c r="BKU194" s="394"/>
      <c r="BKV194" s="394"/>
      <c r="BKW194" s="394"/>
      <c r="BKX194" s="394"/>
      <c r="BKY194" s="394"/>
      <c r="BKZ194" s="394"/>
      <c r="BLA194" s="394"/>
      <c r="BLB194" s="394"/>
      <c r="BLC194" s="394"/>
      <c r="BLD194" s="394"/>
      <c r="BLE194" s="394"/>
      <c r="BLF194" s="394"/>
      <c r="BLG194" s="394"/>
      <c r="BLH194" s="394"/>
      <c r="BLI194" s="394"/>
      <c r="BLJ194" s="394"/>
      <c r="BLK194" s="394"/>
      <c r="BLL194" s="394"/>
      <c r="BLM194" s="394"/>
      <c r="BLN194" s="394"/>
      <c r="BLO194" s="394"/>
      <c r="BLP194" s="394"/>
      <c r="BLQ194" s="394"/>
      <c r="BLR194" s="394"/>
      <c r="BLS194" s="394"/>
      <c r="BLT194" s="394"/>
      <c r="BLU194" s="394"/>
      <c r="BLV194" s="394"/>
      <c r="BLW194" s="394"/>
      <c r="BLX194" s="394"/>
      <c r="BLY194" s="394"/>
      <c r="BLZ194" s="394"/>
      <c r="BMA194" s="394"/>
      <c r="BMB194" s="394"/>
      <c r="BMC194" s="394"/>
      <c r="BMD194" s="394"/>
      <c r="BME194" s="394"/>
      <c r="BMF194" s="394"/>
      <c r="BMG194" s="394"/>
      <c r="BMH194" s="394"/>
      <c r="BMI194" s="394"/>
      <c r="BMJ194" s="394"/>
      <c r="BMK194" s="394"/>
      <c r="BML194" s="394"/>
      <c r="BMM194" s="394"/>
      <c r="BMN194" s="394"/>
      <c r="BMO194" s="394"/>
      <c r="BMP194" s="394"/>
      <c r="BMQ194" s="394"/>
      <c r="BMR194" s="394"/>
      <c r="BMS194" s="394"/>
      <c r="BMT194" s="394"/>
      <c r="BMU194" s="394"/>
      <c r="BMV194" s="394"/>
      <c r="BMW194" s="394"/>
      <c r="BMX194" s="394"/>
      <c r="BMY194" s="394"/>
      <c r="BMZ194" s="394"/>
      <c r="BNA194" s="394"/>
      <c r="BNB194" s="394"/>
      <c r="BNC194" s="394"/>
      <c r="BND194" s="394"/>
      <c r="BNE194" s="394"/>
      <c r="BNF194" s="394"/>
      <c r="BNG194" s="394"/>
      <c r="BNH194" s="394"/>
      <c r="BNI194" s="394"/>
      <c r="BNJ194" s="394"/>
      <c r="BNK194" s="394"/>
      <c r="BNL194" s="394"/>
      <c r="BNM194" s="394"/>
      <c r="BNN194" s="394"/>
      <c r="BNO194" s="394"/>
      <c r="BNP194" s="394"/>
      <c r="BNQ194" s="394"/>
      <c r="BNR194" s="394"/>
      <c r="BNS194" s="394"/>
      <c r="BNT194" s="394"/>
      <c r="BNU194" s="394"/>
      <c r="BNV194" s="394"/>
      <c r="BNW194" s="394"/>
      <c r="BNX194" s="394"/>
      <c r="BNY194" s="394"/>
      <c r="BNZ194" s="394"/>
      <c r="BOA194" s="394"/>
      <c r="BOB194" s="394"/>
      <c r="BOC194" s="394"/>
      <c r="BOD194" s="394"/>
      <c r="BOE194" s="394"/>
      <c r="BOF194" s="394"/>
      <c r="BOG194" s="394"/>
      <c r="BOH194" s="394"/>
      <c r="BOI194" s="394"/>
      <c r="BOJ194" s="394"/>
      <c r="BOK194" s="394"/>
      <c r="BOL194" s="394"/>
      <c r="BOM194" s="394"/>
      <c r="BON194" s="394"/>
      <c r="BOO194" s="394"/>
      <c r="BOP194" s="394"/>
      <c r="BOQ194" s="394"/>
      <c r="BOR194" s="394"/>
      <c r="BOS194" s="394"/>
      <c r="BOT194" s="394"/>
      <c r="BOU194" s="394"/>
      <c r="BOV194" s="394"/>
      <c r="BOW194" s="394"/>
      <c r="BOX194" s="394"/>
      <c r="BOY194" s="394"/>
      <c r="BOZ194" s="394"/>
      <c r="BPA194" s="394"/>
      <c r="BPB194" s="394"/>
      <c r="BPC194" s="394"/>
      <c r="BPD194" s="394"/>
      <c r="BPE194" s="394"/>
      <c r="BPF194" s="394"/>
      <c r="BPG194" s="394"/>
      <c r="BPH194" s="394"/>
      <c r="BPI194" s="394"/>
      <c r="BPJ194" s="394"/>
      <c r="BPK194" s="394"/>
      <c r="BPL194" s="394"/>
      <c r="BPM194" s="394"/>
      <c r="BPN194" s="394"/>
      <c r="BPO194" s="394"/>
      <c r="BPP194" s="394"/>
      <c r="BPQ194" s="394"/>
      <c r="BPR194" s="394"/>
      <c r="BPS194" s="394"/>
      <c r="BPT194" s="394"/>
      <c r="BPU194" s="394"/>
      <c r="BPV194" s="394"/>
      <c r="BPW194" s="394"/>
      <c r="BPX194" s="394"/>
      <c r="BPY194" s="394"/>
      <c r="BPZ194" s="394"/>
      <c r="BQA194" s="394"/>
      <c r="BQB194" s="394"/>
      <c r="BQC194" s="394"/>
      <c r="BQD194" s="394"/>
      <c r="BQE194" s="394"/>
      <c r="BQF194" s="394"/>
      <c r="BQG194" s="394"/>
      <c r="BQH194" s="394"/>
      <c r="BQI194" s="394"/>
      <c r="BQJ194" s="394"/>
      <c r="BQK194" s="394"/>
      <c r="BQL194" s="394"/>
      <c r="BQM194" s="394"/>
      <c r="BQN194" s="394"/>
      <c r="BQO194" s="394"/>
      <c r="BQP194" s="394"/>
      <c r="BQQ194" s="394"/>
      <c r="BQR194" s="394"/>
      <c r="BQS194" s="394"/>
      <c r="BQT194" s="394"/>
      <c r="BQU194" s="394"/>
      <c r="BQV194" s="394"/>
      <c r="BQW194" s="394"/>
      <c r="BQX194" s="394"/>
      <c r="BQY194" s="394"/>
      <c r="BQZ194" s="394"/>
      <c r="BRA194" s="394"/>
      <c r="BRB194" s="394"/>
      <c r="BRC194" s="394"/>
      <c r="BRD194" s="394"/>
      <c r="BRE194" s="394"/>
      <c r="BRF194" s="394"/>
      <c r="BRG194" s="394"/>
      <c r="BRH194" s="394"/>
      <c r="BRI194" s="394"/>
      <c r="BRJ194" s="394"/>
      <c r="BRK194" s="394"/>
      <c r="BRL194" s="394"/>
      <c r="BRM194" s="394"/>
      <c r="BRN194" s="394"/>
      <c r="BRO194" s="394"/>
      <c r="BRP194" s="394"/>
      <c r="BRQ194" s="394"/>
      <c r="BRR194" s="394"/>
      <c r="BRS194" s="394"/>
      <c r="BRT194" s="394"/>
      <c r="BRU194" s="394"/>
      <c r="BRV194" s="394"/>
      <c r="BRW194" s="394"/>
      <c r="BRX194" s="394"/>
      <c r="BRY194" s="394"/>
      <c r="BRZ194" s="394"/>
      <c r="BSA194" s="394"/>
      <c r="BSB194" s="394"/>
      <c r="BSC194" s="394"/>
      <c r="BSD194" s="394"/>
      <c r="BSE194" s="394"/>
      <c r="BSF194" s="394"/>
      <c r="BSG194" s="394"/>
      <c r="BSH194" s="394"/>
      <c r="BSI194" s="394"/>
      <c r="BSJ194" s="394"/>
      <c r="BSK194" s="394"/>
      <c r="BSL194" s="394"/>
      <c r="BSM194" s="394"/>
      <c r="BSN194" s="394"/>
      <c r="BSO194" s="394"/>
      <c r="BSP194" s="394"/>
      <c r="BSQ194" s="394"/>
      <c r="BSR194" s="394"/>
      <c r="BSS194" s="394"/>
      <c r="BST194" s="394"/>
      <c r="BSU194" s="394"/>
      <c r="BSV194" s="394"/>
      <c r="BSW194" s="394"/>
      <c r="BSX194" s="394"/>
      <c r="BSY194" s="394"/>
      <c r="BSZ194" s="394"/>
      <c r="BTA194" s="394"/>
      <c r="BTB194" s="394"/>
      <c r="BTC194" s="394"/>
      <c r="BTD194" s="394"/>
      <c r="BTE194" s="394"/>
      <c r="BTF194" s="394"/>
      <c r="BTG194" s="394"/>
      <c r="BTH194" s="394"/>
      <c r="BTI194" s="394"/>
    </row>
    <row r="195" spans="1:1881" s="69" customFormat="1" ht="70.5" customHeight="1" x14ac:dyDescent="0.3">
      <c r="A195" s="189"/>
      <c r="B195" s="180"/>
      <c r="C195" s="180"/>
      <c r="D195" s="167"/>
      <c r="E195" s="9"/>
      <c r="F195" s="734"/>
      <c r="G195" s="316"/>
      <c r="H195" s="13"/>
      <c r="I195" s="31"/>
      <c r="J195" s="365"/>
      <c r="K195" s="394"/>
      <c r="L195" s="394"/>
      <c r="M195" s="394"/>
      <c r="N195"/>
      <c r="O195" s="394"/>
      <c r="P195" s="394"/>
      <c r="Q195" s="394"/>
      <c r="R195" s="394"/>
      <c r="S195" s="394"/>
      <c r="T195" s="394"/>
      <c r="U195" s="394"/>
      <c r="V195" s="394"/>
      <c r="W195" s="394"/>
      <c r="X195" s="394"/>
      <c r="Y195" s="394"/>
      <c r="Z195" s="394"/>
      <c r="AA195" s="394"/>
      <c r="AB195" s="394"/>
      <c r="AC195" s="394"/>
      <c r="AD195" s="394"/>
      <c r="AE195" s="394"/>
      <c r="AF195" s="394"/>
      <c r="AG195" s="394"/>
      <c r="AH195" s="394"/>
      <c r="AI195" s="394"/>
      <c r="AJ195" s="394"/>
      <c r="AK195" s="394"/>
      <c r="AL195" s="394"/>
      <c r="AM195" s="394"/>
      <c r="AN195" s="394"/>
      <c r="AO195" s="394"/>
      <c r="AP195" s="394"/>
      <c r="AQ195" s="394"/>
      <c r="AR195" s="394"/>
      <c r="AS195" s="394"/>
      <c r="AT195" s="394"/>
      <c r="AU195" s="394"/>
      <c r="AV195" s="394"/>
      <c r="AW195" s="394"/>
      <c r="AX195" s="394"/>
      <c r="AY195" s="394"/>
      <c r="AZ195" s="394"/>
      <c r="BA195" s="394"/>
      <c r="BB195" s="394"/>
      <c r="BC195" s="394"/>
      <c r="BD195" s="394"/>
      <c r="BE195" s="394"/>
      <c r="BF195" s="394"/>
      <c r="BG195" s="394"/>
      <c r="BH195" s="394"/>
      <c r="BI195" s="394"/>
      <c r="BJ195" s="394"/>
      <c r="BK195" s="394"/>
      <c r="BL195" s="394"/>
      <c r="BM195" s="394"/>
      <c r="BN195" s="394"/>
      <c r="BO195" s="394"/>
      <c r="BP195" s="394"/>
      <c r="BQ195" s="394"/>
      <c r="BR195" s="394"/>
      <c r="BS195" s="394"/>
      <c r="BT195" s="394"/>
      <c r="BU195" s="394"/>
      <c r="BV195" s="394"/>
      <c r="BW195" s="394"/>
      <c r="BX195" s="394"/>
      <c r="BY195" s="394"/>
      <c r="BZ195" s="394"/>
      <c r="CA195" s="394"/>
      <c r="CB195" s="394"/>
      <c r="CC195" s="394"/>
      <c r="CD195" s="394"/>
      <c r="CE195" s="394"/>
      <c r="CF195" s="394"/>
      <c r="CG195" s="394"/>
      <c r="CH195" s="394"/>
      <c r="CI195" s="394"/>
      <c r="CJ195" s="394"/>
      <c r="CK195" s="394"/>
      <c r="CL195" s="394"/>
      <c r="CM195" s="394"/>
      <c r="CN195" s="394"/>
      <c r="CO195" s="394"/>
      <c r="CP195" s="394"/>
      <c r="CQ195" s="394"/>
      <c r="CR195" s="394"/>
      <c r="CS195" s="394"/>
      <c r="CT195" s="394"/>
      <c r="CU195" s="394"/>
      <c r="CV195" s="394"/>
      <c r="CW195" s="394"/>
      <c r="CX195" s="394"/>
      <c r="CY195" s="394"/>
      <c r="CZ195" s="394"/>
      <c r="DA195" s="394"/>
      <c r="DB195" s="394"/>
      <c r="DC195" s="394"/>
      <c r="DD195" s="394"/>
      <c r="DE195" s="394"/>
      <c r="DF195" s="394"/>
      <c r="DG195" s="394"/>
      <c r="DH195" s="394"/>
      <c r="DI195" s="394"/>
      <c r="DJ195" s="394"/>
      <c r="DK195" s="394"/>
      <c r="DL195" s="394"/>
      <c r="DM195" s="394"/>
      <c r="DN195" s="394"/>
      <c r="DO195" s="394"/>
      <c r="DP195" s="394"/>
      <c r="DQ195" s="394"/>
      <c r="DR195" s="394"/>
      <c r="DS195" s="394"/>
      <c r="DT195" s="394"/>
      <c r="DU195" s="394"/>
      <c r="DV195" s="394"/>
      <c r="DW195" s="394"/>
      <c r="DX195" s="394"/>
      <c r="DY195" s="394"/>
      <c r="DZ195" s="394"/>
      <c r="EA195" s="394"/>
      <c r="EB195" s="394"/>
      <c r="EC195" s="394"/>
      <c r="ED195" s="394"/>
      <c r="EE195" s="394"/>
      <c r="EF195" s="394"/>
      <c r="EG195" s="394"/>
      <c r="EH195" s="394"/>
      <c r="EI195" s="394"/>
      <c r="EJ195" s="394"/>
      <c r="EK195" s="394"/>
      <c r="EL195" s="394"/>
      <c r="EM195" s="394"/>
      <c r="EN195" s="394"/>
      <c r="EO195" s="394"/>
      <c r="EP195" s="394"/>
      <c r="EQ195" s="394"/>
      <c r="ER195" s="394"/>
      <c r="ES195" s="394"/>
      <c r="ET195" s="394"/>
      <c r="EU195" s="394"/>
      <c r="EV195" s="394"/>
      <c r="EW195" s="394"/>
      <c r="EX195" s="394"/>
      <c r="EY195" s="394"/>
      <c r="EZ195" s="394"/>
      <c r="FA195" s="394"/>
      <c r="FB195" s="394"/>
      <c r="FC195" s="394"/>
      <c r="FD195" s="394"/>
      <c r="FE195" s="394"/>
      <c r="FF195" s="394"/>
      <c r="FG195" s="394"/>
      <c r="FH195" s="394"/>
      <c r="FI195" s="394"/>
      <c r="FJ195" s="394"/>
      <c r="FK195" s="394"/>
      <c r="FL195" s="394"/>
      <c r="FM195" s="394"/>
      <c r="FN195" s="394"/>
      <c r="FO195" s="394"/>
      <c r="FP195" s="394"/>
      <c r="FQ195" s="394"/>
      <c r="FR195" s="394"/>
      <c r="FS195" s="394"/>
      <c r="FT195" s="394"/>
      <c r="FU195" s="394"/>
      <c r="FV195" s="394"/>
      <c r="FW195" s="394"/>
      <c r="FX195" s="394"/>
      <c r="FY195" s="394"/>
      <c r="FZ195" s="394"/>
      <c r="GA195" s="394"/>
      <c r="GB195" s="394"/>
      <c r="GC195" s="394"/>
      <c r="GD195" s="394"/>
      <c r="GE195" s="394"/>
      <c r="GF195" s="394"/>
      <c r="GG195" s="394"/>
      <c r="GH195" s="394"/>
      <c r="GI195" s="394"/>
      <c r="GJ195" s="394"/>
      <c r="GK195" s="394"/>
      <c r="GL195" s="394"/>
      <c r="GM195" s="394"/>
      <c r="GN195" s="394"/>
      <c r="GO195" s="394"/>
      <c r="GP195" s="394"/>
      <c r="GQ195" s="394"/>
      <c r="GR195" s="394"/>
      <c r="GS195" s="394"/>
      <c r="GT195" s="394"/>
      <c r="GU195" s="394"/>
      <c r="GV195" s="394"/>
      <c r="GW195" s="394"/>
      <c r="GX195" s="394"/>
      <c r="GY195" s="394"/>
      <c r="GZ195" s="394"/>
      <c r="HA195" s="394"/>
      <c r="HB195" s="394"/>
      <c r="HC195" s="394"/>
      <c r="HD195" s="394"/>
      <c r="HE195" s="394"/>
      <c r="HF195" s="394"/>
      <c r="HG195" s="394"/>
      <c r="HH195" s="394"/>
      <c r="HI195" s="394"/>
      <c r="HJ195" s="394"/>
      <c r="HK195" s="394"/>
      <c r="HL195" s="394"/>
      <c r="HM195" s="394"/>
      <c r="HN195" s="394"/>
      <c r="HO195" s="394"/>
      <c r="HP195" s="394"/>
      <c r="HQ195" s="394"/>
      <c r="HR195" s="394"/>
      <c r="HS195" s="394"/>
      <c r="HT195" s="394"/>
      <c r="HU195" s="394"/>
      <c r="HV195" s="394"/>
      <c r="HW195" s="394"/>
      <c r="HX195" s="394"/>
      <c r="HY195" s="394"/>
      <c r="HZ195" s="394"/>
      <c r="IA195" s="394"/>
      <c r="IB195" s="394"/>
      <c r="IC195" s="394"/>
      <c r="ID195" s="394"/>
      <c r="IE195" s="394"/>
      <c r="IF195" s="394"/>
      <c r="IG195" s="394"/>
      <c r="IH195" s="394"/>
      <c r="II195" s="394"/>
      <c r="IJ195" s="394"/>
      <c r="IK195" s="394"/>
      <c r="IL195" s="394"/>
      <c r="IM195" s="394"/>
      <c r="IN195" s="394"/>
      <c r="IO195" s="394"/>
      <c r="IP195" s="394"/>
      <c r="IQ195" s="394"/>
      <c r="IR195" s="394"/>
      <c r="IS195" s="394"/>
      <c r="IT195" s="394"/>
      <c r="IU195" s="394"/>
      <c r="IV195" s="394"/>
      <c r="IW195" s="394"/>
      <c r="IX195" s="394"/>
      <c r="IY195" s="394"/>
      <c r="IZ195" s="394"/>
      <c r="JA195" s="394"/>
      <c r="JB195" s="394"/>
      <c r="JC195" s="394"/>
      <c r="JD195" s="394"/>
      <c r="JE195" s="394"/>
      <c r="JF195" s="394"/>
      <c r="JG195" s="394"/>
      <c r="JH195" s="394"/>
      <c r="JI195" s="394"/>
      <c r="JJ195" s="394"/>
      <c r="JK195" s="394"/>
      <c r="JL195" s="394"/>
      <c r="JM195" s="394"/>
      <c r="JN195" s="394"/>
      <c r="JO195" s="394"/>
      <c r="JP195" s="394"/>
      <c r="JQ195" s="394"/>
      <c r="JR195" s="394"/>
      <c r="JS195" s="394"/>
      <c r="JT195" s="394"/>
      <c r="JU195" s="394"/>
      <c r="JV195" s="394"/>
      <c r="JW195" s="394"/>
      <c r="JX195" s="394"/>
      <c r="JY195" s="394"/>
      <c r="JZ195" s="394"/>
      <c r="KA195" s="394"/>
      <c r="KB195" s="394"/>
      <c r="KC195" s="394"/>
      <c r="KD195" s="394"/>
      <c r="KE195" s="394"/>
      <c r="KF195" s="394"/>
      <c r="KG195" s="394"/>
      <c r="KH195" s="394"/>
      <c r="KI195" s="394"/>
      <c r="KJ195" s="394"/>
      <c r="KK195" s="394"/>
      <c r="KL195" s="394"/>
      <c r="KM195" s="394"/>
      <c r="KN195" s="394"/>
      <c r="KO195" s="394"/>
      <c r="KP195" s="394"/>
      <c r="KQ195" s="394"/>
      <c r="KR195" s="394"/>
      <c r="KS195" s="394"/>
      <c r="KT195" s="394"/>
      <c r="KU195" s="394"/>
      <c r="KV195" s="394"/>
      <c r="KW195" s="394"/>
      <c r="KX195" s="394"/>
      <c r="KY195" s="394"/>
      <c r="KZ195" s="394"/>
      <c r="LA195" s="394"/>
      <c r="LB195" s="394"/>
      <c r="LC195" s="394"/>
      <c r="LD195" s="394"/>
      <c r="LE195" s="394"/>
      <c r="LF195" s="394"/>
      <c r="LG195" s="394"/>
      <c r="LH195" s="394"/>
      <c r="LI195" s="394"/>
      <c r="LJ195" s="394"/>
      <c r="LK195" s="394"/>
      <c r="LL195" s="394"/>
      <c r="LM195" s="394"/>
      <c r="LN195" s="394"/>
      <c r="LO195" s="394"/>
      <c r="LP195" s="394"/>
      <c r="LQ195" s="394"/>
      <c r="LR195" s="394"/>
      <c r="LS195" s="394"/>
      <c r="LT195" s="394"/>
      <c r="LU195" s="394"/>
      <c r="LV195" s="394"/>
      <c r="LW195" s="394"/>
      <c r="LX195" s="394"/>
      <c r="LY195" s="394"/>
      <c r="LZ195" s="394"/>
      <c r="MA195" s="394"/>
      <c r="MB195" s="394"/>
      <c r="MC195" s="394"/>
      <c r="MD195" s="394"/>
      <c r="ME195" s="394"/>
      <c r="MF195" s="394"/>
      <c r="MG195" s="394"/>
      <c r="MH195" s="394"/>
      <c r="MI195" s="394"/>
      <c r="MJ195" s="394"/>
      <c r="MK195" s="394"/>
      <c r="ML195" s="394"/>
      <c r="MM195" s="394"/>
      <c r="MN195" s="394"/>
      <c r="MO195" s="394"/>
      <c r="MP195" s="394"/>
      <c r="MQ195" s="394"/>
      <c r="MR195" s="394"/>
      <c r="MS195" s="394"/>
      <c r="MT195" s="394"/>
      <c r="MU195" s="394"/>
      <c r="MV195" s="394"/>
      <c r="MW195" s="394"/>
      <c r="MX195" s="394"/>
      <c r="MY195" s="394"/>
      <c r="MZ195" s="394"/>
      <c r="NA195" s="394"/>
      <c r="NB195" s="394"/>
      <c r="NC195" s="394"/>
      <c r="ND195" s="394"/>
      <c r="NE195" s="394"/>
      <c r="NF195" s="394"/>
      <c r="NG195" s="394"/>
      <c r="NH195" s="394"/>
      <c r="NI195" s="394"/>
      <c r="NJ195" s="394"/>
      <c r="NK195" s="394"/>
      <c r="NL195" s="394"/>
      <c r="NM195" s="394"/>
      <c r="NN195" s="394"/>
      <c r="NO195" s="394"/>
      <c r="NP195" s="394"/>
      <c r="NQ195" s="394"/>
      <c r="NR195" s="394"/>
      <c r="NS195" s="394"/>
      <c r="NT195" s="394"/>
      <c r="NU195" s="394"/>
      <c r="NV195" s="394"/>
      <c r="NW195" s="394"/>
      <c r="NX195" s="394"/>
      <c r="NY195" s="394"/>
      <c r="NZ195" s="394"/>
      <c r="OA195" s="394"/>
      <c r="OB195" s="394"/>
      <c r="OC195" s="394"/>
      <c r="OD195" s="394"/>
      <c r="OE195" s="394"/>
      <c r="OF195" s="394"/>
      <c r="OG195" s="394"/>
      <c r="OH195" s="394"/>
      <c r="OI195" s="394"/>
      <c r="OJ195" s="394"/>
      <c r="OK195" s="394"/>
      <c r="OL195" s="394"/>
      <c r="OM195" s="394"/>
      <c r="ON195" s="394"/>
      <c r="OO195" s="394"/>
      <c r="OP195" s="394"/>
      <c r="OQ195" s="394"/>
      <c r="OR195" s="394"/>
      <c r="OS195" s="394"/>
      <c r="OT195" s="394"/>
      <c r="OU195" s="394"/>
      <c r="OV195" s="394"/>
      <c r="OW195" s="394"/>
      <c r="OX195" s="394"/>
      <c r="OY195" s="394"/>
      <c r="OZ195" s="394"/>
      <c r="PA195" s="394"/>
      <c r="PB195" s="394"/>
      <c r="PC195" s="394"/>
      <c r="PD195" s="394"/>
      <c r="PE195" s="394"/>
      <c r="PF195" s="394"/>
      <c r="PG195" s="394"/>
      <c r="PH195" s="394"/>
      <c r="PI195" s="394"/>
      <c r="PJ195" s="394"/>
      <c r="PK195" s="394"/>
      <c r="PL195" s="394"/>
      <c r="PM195" s="394"/>
      <c r="PN195" s="394"/>
      <c r="PO195" s="394"/>
      <c r="PP195" s="394"/>
      <c r="PQ195" s="394"/>
      <c r="PR195" s="394"/>
      <c r="PS195" s="394"/>
      <c r="PT195" s="394"/>
      <c r="PU195" s="394"/>
      <c r="PV195" s="394"/>
      <c r="PW195" s="394"/>
      <c r="PX195" s="394"/>
      <c r="PY195" s="394"/>
      <c r="PZ195" s="394"/>
      <c r="QA195" s="394"/>
      <c r="QB195" s="394"/>
      <c r="QC195" s="394"/>
      <c r="QD195" s="394"/>
      <c r="QE195" s="394"/>
      <c r="QF195" s="394"/>
      <c r="QG195" s="394"/>
      <c r="QH195" s="394"/>
      <c r="QI195" s="394"/>
      <c r="QJ195" s="394"/>
      <c r="QK195" s="394"/>
      <c r="QL195" s="394"/>
      <c r="QM195" s="394"/>
      <c r="QN195" s="394"/>
      <c r="QO195" s="394"/>
      <c r="QP195" s="394"/>
      <c r="QQ195" s="394"/>
      <c r="QR195" s="394"/>
      <c r="QS195" s="394"/>
      <c r="QT195" s="394"/>
      <c r="QU195" s="394"/>
      <c r="QV195" s="394"/>
      <c r="QW195" s="394"/>
      <c r="QX195" s="394"/>
      <c r="QY195" s="394"/>
      <c r="QZ195" s="394"/>
      <c r="RA195" s="394"/>
      <c r="RB195" s="394"/>
      <c r="RC195" s="394"/>
      <c r="RD195" s="394"/>
      <c r="RE195" s="394"/>
      <c r="RF195" s="394"/>
      <c r="RG195" s="394"/>
      <c r="RH195" s="394"/>
      <c r="RI195" s="394"/>
      <c r="RJ195" s="394"/>
      <c r="RK195" s="394"/>
      <c r="RL195" s="394"/>
      <c r="RM195" s="394"/>
      <c r="RN195" s="394"/>
      <c r="RO195" s="394"/>
      <c r="RP195" s="394"/>
      <c r="RQ195" s="394"/>
      <c r="RR195" s="394"/>
      <c r="RS195" s="394"/>
      <c r="RT195" s="394"/>
      <c r="RU195" s="394"/>
      <c r="RV195" s="394"/>
      <c r="RW195" s="394"/>
      <c r="RX195" s="394"/>
      <c r="RY195" s="394"/>
      <c r="RZ195" s="394"/>
      <c r="SA195" s="394"/>
      <c r="SB195" s="394"/>
      <c r="SC195" s="394"/>
      <c r="SD195" s="394"/>
      <c r="SE195" s="394"/>
      <c r="SF195" s="394"/>
      <c r="SG195" s="394"/>
      <c r="SH195" s="394"/>
      <c r="SI195" s="394"/>
      <c r="SJ195" s="394"/>
      <c r="SK195" s="394"/>
      <c r="SL195" s="394"/>
      <c r="SM195" s="394"/>
      <c r="SN195" s="394"/>
      <c r="SO195" s="394"/>
      <c r="SP195" s="394"/>
      <c r="SQ195" s="394"/>
      <c r="SR195" s="394"/>
      <c r="SS195" s="394"/>
      <c r="ST195" s="394"/>
      <c r="SU195" s="394"/>
      <c r="SV195" s="394"/>
      <c r="SW195" s="394"/>
      <c r="SX195" s="394"/>
      <c r="SY195" s="394"/>
      <c r="SZ195" s="394"/>
      <c r="TA195" s="394"/>
      <c r="TB195" s="394"/>
      <c r="TC195" s="394"/>
      <c r="TD195" s="394"/>
      <c r="TE195" s="394"/>
      <c r="TF195" s="394"/>
      <c r="TG195" s="394"/>
      <c r="TH195" s="394"/>
      <c r="TI195" s="394"/>
      <c r="TJ195" s="394"/>
      <c r="TK195" s="394"/>
      <c r="TL195" s="394"/>
      <c r="TM195" s="394"/>
      <c r="TN195" s="394"/>
      <c r="TO195" s="394"/>
      <c r="TP195" s="394"/>
      <c r="TQ195" s="394"/>
      <c r="TR195" s="394"/>
      <c r="TS195" s="394"/>
      <c r="TT195" s="394"/>
      <c r="TU195" s="394"/>
      <c r="TV195" s="394"/>
      <c r="TW195" s="394"/>
      <c r="TX195" s="394"/>
      <c r="TY195" s="394"/>
      <c r="TZ195" s="394"/>
      <c r="UA195" s="394"/>
      <c r="UB195" s="394"/>
      <c r="UC195" s="394"/>
      <c r="UD195" s="394"/>
      <c r="UE195" s="394"/>
      <c r="UF195" s="394"/>
      <c r="UG195" s="394"/>
      <c r="UH195" s="394"/>
      <c r="UI195" s="394"/>
      <c r="UJ195" s="394"/>
      <c r="UK195" s="394"/>
      <c r="UL195" s="394"/>
      <c r="UM195" s="394"/>
      <c r="UN195" s="394"/>
      <c r="UO195" s="394"/>
      <c r="UP195" s="394"/>
      <c r="UQ195" s="394"/>
      <c r="UR195" s="394"/>
      <c r="US195" s="394"/>
      <c r="UT195" s="394"/>
      <c r="UU195" s="394"/>
      <c r="UV195" s="394"/>
      <c r="UW195" s="394"/>
      <c r="UX195" s="394"/>
      <c r="UY195" s="394"/>
      <c r="UZ195" s="394"/>
      <c r="VA195" s="394"/>
      <c r="VB195" s="394"/>
      <c r="VC195" s="394"/>
      <c r="VD195" s="394"/>
      <c r="VE195" s="394"/>
      <c r="VF195" s="394"/>
      <c r="VG195" s="394"/>
      <c r="VH195" s="394"/>
      <c r="VI195" s="394"/>
      <c r="VJ195" s="394"/>
      <c r="VK195" s="394"/>
      <c r="VL195" s="394"/>
      <c r="VM195" s="394"/>
      <c r="VN195" s="394"/>
      <c r="VO195" s="394"/>
      <c r="VP195" s="394"/>
      <c r="VQ195" s="394"/>
      <c r="VR195" s="394"/>
      <c r="VS195" s="394"/>
      <c r="VT195" s="394"/>
      <c r="VU195" s="394"/>
      <c r="VV195" s="394"/>
      <c r="VW195" s="394"/>
      <c r="VX195" s="394"/>
      <c r="VY195" s="394"/>
      <c r="VZ195" s="394"/>
      <c r="WA195" s="394"/>
      <c r="WB195" s="394"/>
      <c r="WC195" s="394"/>
      <c r="WD195" s="394"/>
      <c r="WE195" s="394"/>
      <c r="WF195" s="394"/>
      <c r="WG195" s="394"/>
      <c r="WH195" s="394"/>
      <c r="WI195" s="394"/>
      <c r="WJ195" s="394"/>
      <c r="WK195" s="394"/>
      <c r="WL195" s="394"/>
      <c r="WM195" s="394"/>
      <c r="WN195" s="394"/>
      <c r="WO195" s="394"/>
      <c r="WP195" s="394"/>
      <c r="WQ195" s="394"/>
      <c r="WR195" s="394"/>
      <c r="WS195" s="394"/>
      <c r="WT195" s="394"/>
      <c r="WU195" s="394"/>
      <c r="WV195" s="394"/>
      <c r="WW195" s="394"/>
      <c r="WX195" s="394"/>
      <c r="WY195" s="394"/>
      <c r="WZ195" s="394"/>
      <c r="XA195" s="394"/>
      <c r="XB195" s="394"/>
      <c r="XC195" s="394"/>
      <c r="XD195" s="394"/>
      <c r="XE195" s="394"/>
      <c r="XF195" s="394"/>
      <c r="XG195" s="394"/>
      <c r="XH195" s="394"/>
      <c r="XI195" s="394"/>
      <c r="XJ195" s="394"/>
      <c r="XK195" s="394"/>
      <c r="XL195" s="394"/>
      <c r="XM195" s="394"/>
      <c r="XN195" s="394"/>
      <c r="XO195" s="394"/>
      <c r="XP195" s="394"/>
      <c r="XQ195" s="394"/>
      <c r="XR195" s="394"/>
      <c r="XS195" s="394"/>
      <c r="XT195" s="394"/>
      <c r="XU195" s="394"/>
      <c r="XV195" s="394"/>
      <c r="XW195" s="394"/>
      <c r="XX195" s="394"/>
      <c r="XY195" s="394"/>
      <c r="XZ195" s="394"/>
      <c r="YA195" s="394"/>
      <c r="YB195" s="394"/>
      <c r="YC195" s="394"/>
      <c r="YD195" s="394"/>
      <c r="YE195" s="394"/>
      <c r="YF195" s="394"/>
      <c r="YG195" s="394"/>
      <c r="YH195" s="394"/>
      <c r="YI195" s="394"/>
      <c r="YJ195" s="394"/>
      <c r="YK195" s="394"/>
      <c r="YL195" s="394"/>
      <c r="YM195" s="394"/>
      <c r="YN195" s="394"/>
      <c r="YO195" s="394"/>
      <c r="YP195" s="394"/>
      <c r="YQ195" s="394"/>
      <c r="YR195" s="394"/>
      <c r="YS195" s="394"/>
      <c r="YT195" s="394"/>
      <c r="YU195" s="394"/>
      <c r="YV195" s="394"/>
      <c r="YW195" s="394"/>
      <c r="YX195" s="394"/>
      <c r="YY195" s="394"/>
      <c r="YZ195" s="394"/>
      <c r="ZA195" s="394"/>
      <c r="ZB195" s="394"/>
      <c r="ZC195" s="394"/>
      <c r="ZD195" s="394"/>
      <c r="ZE195" s="394"/>
      <c r="ZF195" s="394"/>
      <c r="ZG195" s="394"/>
      <c r="ZH195" s="394"/>
      <c r="ZI195" s="394"/>
      <c r="ZJ195" s="394"/>
      <c r="ZK195" s="394"/>
      <c r="ZL195" s="394"/>
      <c r="ZM195" s="394"/>
      <c r="ZN195" s="394"/>
      <c r="ZO195" s="394"/>
      <c r="ZP195" s="394"/>
      <c r="ZQ195" s="394"/>
      <c r="ZR195" s="394"/>
      <c r="ZS195" s="394"/>
      <c r="ZT195" s="394"/>
      <c r="ZU195" s="394"/>
      <c r="ZV195" s="394"/>
      <c r="ZW195" s="394"/>
      <c r="ZX195" s="394"/>
      <c r="ZY195" s="394"/>
      <c r="ZZ195" s="394"/>
      <c r="AAA195" s="394"/>
      <c r="AAB195" s="394"/>
      <c r="AAC195" s="394"/>
      <c r="AAD195" s="394"/>
      <c r="AAE195" s="394"/>
      <c r="AAF195" s="394"/>
      <c r="AAG195" s="394"/>
      <c r="AAH195" s="394"/>
      <c r="AAI195" s="394"/>
      <c r="AAJ195" s="394"/>
      <c r="AAK195" s="394"/>
      <c r="AAL195" s="394"/>
      <c r="AAM195" s="394"/>
      <c r="AAN195" s="394"/>
      <c r="AAO195" s="394"/>
      <c r="AAP195" s="394"/>
      <c r="AAQ195" s="394"/>
      <c r="AAR195" s="394"/>
      <c r="AAS195" s="394"/>
      <c r="AAT195" s="394"/>
      <c r="AAU195" s="394"/>
      <c r="AAV195" s="394"/>
      <c r="AAW195" s="394"/>
      <c r="AAX195" s="394"/>
      <c r="AAY195" s="394"/>
      <c r="AAZ195" s="394"/>
      <c r="ABA195" s="394"/>
      <c r="ABB195" s="394"/>
      <c r="ABC195" s="394"/>
      <c r="ABD195" s="394"/>
      <c r="ABE195" s="394"/>
      <c r="ABF195" s="394"/>
      <c r="ABG195" s="394"/>
      <c r="ABH195" s="394"/>
      <c r="ABI195" s="394"/>
      <c r="ABJ195" s="394"/>
      <c r="ABK195" s="394"/>
      <c r="ABL195" s="394"/>
      <c r="ABM195" s="394"/>
      <c r="ABN195" s="394"/>
      <c r="ABO195" s="394"/>
      <c r="ABP195" s="394"/>
      <c r="ABQ195" s="394"/>
      <c r="ABR195" s="394"/>
      <c r="ABS195" s="394"/>
      <c r="ABT195" s="394"/>
      <c r="ABU195" s="394"/>
      <c r="ABV195" s="394"/>
      <c r="ABW195" s="394"/>
      <c r="ABX195" s="394"/>
      <c r="ABY195" s="394"/>
      <c r="ABZ195" s="394"/>
      <c r="ACA195" s="394"/>
      <c r="ACB195" s="394"/>
      <c r="ACC195" s="394"/>
      <c r="ACD195" s="394"/>
      <c r="ACE195" s="394"/>
      <c r="ACF195" s="394"/>
      <c r="ACG195" s="394"/>
      <c r="ACH195" s="394"/>
      <c r="ACI195" s="394"/>
      <c r="ACJ195" s="394"/>
      <c r="ACK195" s="394"/>
      <c r="ACL195" s="394"/>
      <c r="ACM195" s="394"/>
      <c r="ACN195" s="394"/>
      <c r="ACO195" s="394"/>
      <c r="ACP195" s="394"/>
      <c r="ACQ195" s="394"/>
      <c r="ACR195" s="394"/>
      <c r="ACS195" s="394"/>
      <c r="ACT195" s="394"/>
      <c r="ACU195" s="394"/>
      <c r="ACV195" s="394"/>
      <c r="ACW195" s="394"/>
      <c r="ACX195" s="394"/>
      <c r="ACY195" s="394"/>
      <c r="ACZ195" s="394"/>
      <c r="ADA195" s="394"/>
      <c r="ADB195" s="394"/>
      <c r="ADC195" s="394"/>
      <c r="ADD195" s="394"/>
      <c r="ADE195" s="394"/>
      <c r="ADF195" s="394"/>
      <c r="ADG195" s="394"/>
      <c r="ADH195" s="394"/>
      <c r="ADI195" s="394"/>
      <c r="ADJ195" s="394"/>
      <c r="ADK195" s="394"/>
      <c r="ADL195" s="394"/>
      <c r="ADM195" s="394"/>
      <c r="ADN195" s="394"/>
      <c r="ADO195" s="394"/>
      <c r="ADP195" s="394"/>
      <c r="ADQ195" s="394"/>
      <c r="ADR195" s="394"/>
      <c r="ADS195" s="394"/>
      <c r="ADT195" s="394"/>
      <c r="ADU195" s="394"/>
      <c r="ADV195" s="394"/>
      <c r="ADW195" s="394"/>
      <c r="ADX195" s="394"/>
      <c r="ADY195" s="394"/>
      <c r="ADZ195" s="394"/>
      <c r="AEA195" s="394"/>
      <c r="AEB195" s="394"/>
      <c r="AEC195" s="394"/>
      <c r="AED195" s="394"/>
      <c r="AEE195" s="394"/>
      <c r="AEF195" s="394"/>
      <c r="AEG195" s="394"/>
      <c r="AEH195" s="394"/>
      <c r="AEI195" s="394"/>
      <c r="AEJ195" s="394"/>
      <c r="AEK195" s="394"/>
      <c r="AEL195" s="394"/>
      <c r="AEM195" s="394"/>
      <c r="AEN195" s="394"/>
      <c r="AEO195" s="394"/>
      <c r="AEP195" s="394"/>
      <c r="AEQ195" s="394"/>
      <c r="AER195" s="394"/>
      <c r="AES195" s="394"/>
      <c r="AET195" s="394"/>
      <c r="AEU195" s="394"/>
      <c r="AEV195" s="394"/>
      <c r="AEW195" s="394"/>
      <c r="AEX195" s="394"/>
      <c r="AEY195" s="394"/>
      <c r="AEZ195" s="394"/>
      <c r="AFA195" s="394"/>
      <c r="AFB195" s="394"/>
      <c r="AFC195" s="394"/>
      <c r="AFD195" s="394"/>
      <c r="AFE195" s="394"/>
      <c r="AFF195" s="394"/>
      <c r="AFG195" s="394"/>
      <c r="AFH195" s="394"/>
      <c r="AFI195" s="394"/>
      <c r="AFJ195" s="394"/>
      <c r="AFK195" s="394"/>
      <c r="AFL195" s="394"/>
      <c r="AFM195" s="394"/>
      <c r="AFN195" s="394"/>
      <c r="AFO195" s="394"/>
      <c r="AFP195" s="394"/>
      <c r="AFQ195" s="394"/>
      <c r="AFR195" s="394"/>
      <c r="AFS195" s="394"/>
      <c r="AFT195" s="394"/>
      <c r="AFU195" s="394"/>
      <c r="AFV195" s="394"/>
      <c r="AFW195" s="394"/>
      <c r="AFX195" s="394"/>
      <c r="AFY195" s="394"/>
      <c r="AFZ195" s="394"/>
      <c r="AGA195" s="394"/>
      <c r="AGB195" s="394"/>
      <c r="AGC195" s="394"/>
      <c r="AGD195" s="394"/>
      <c r="AGE195" s="394"/>
      <c r="AGF195" s="394"/>
      <c r="AGG195" s="394"/>
      <c r="AGH195" s="394"/>
      <c r="AGI195" s="394"/>
      <c r="AGJ195" s="394"/>
      <c r="AGK195" s="394"/>
      <c r="AGL195" s="394"/>
      <c r="AGM195" s="394"/>
      <c r="AGN195" s="394"/>
      <c r="AGO195" s="394"/>
      <c r="AGP195" s="394"/>
      <c r="AGQ195" s="394"/>
      <c r="AGR195" s="394"/>
      <c r="AGS195" s="394"/>
      <c r="AGT195" s="394"/>
      <c r="AGU195" s="394"/>
      <c r="AGV195" s="394"/>
      <c r="AGW195" s="394"/>
      <c r="AGX195" s="394"/>
      <c r="AGY195" s="394"/>
      <c r="AGZ195" s="394"/>
      <c r="AHA195" s="394"/>
      <c r="AHB195" s="394"/>
      <c r="AHC195" s="394"/>
      <c r="AHD195" s="394"/>
      <c r="AHE195" s="394"/>
      <c r="AHF195" s="394"/>
      <c r="AHG195" s="394"/>
      <c r="AHH195" s="394"/>
      <c r="AHI195" s="394"/>
      <c r="AHJ195" s="394"/>
      <c r="AHK195" s="394"/>
      <c r="AHL195" s="394"/>
      <c r="AHM195" s="394"/>
      <c r="AHN195" s="394"/>
      <c r="AHO195" s="394"/>
      <c r="AHP195" s="394"/>
      <c r="AHQ195" s="394"/>
      <c r="AHR195" s="394"/>
      <c r="AHS195" s="394"/>
      <c r="AHT195" s="394"/>
      <c r="AHU195" s="394"/>
      <c r="AHV195" s="394"/>
      <c r="AHW195" s="394"/>
      <c r="AHX195" s="394"/>
      <c r="AHY195" s="394"/>
      <c r="AHZ195" s="394"/>
      <c r="AIA195" s="394"/>
      <c r="AIB195" s="394"/>
      <c r="AIC195" s="394"/>
      <c r="AID195" s="394"/>
      <c r="AIE195" s="394"/>
      <c r="AIF195" s="394"/>
      <c r="AIG195" s="394"/>
      <c r="AIH195" s="394"/>
      <c r="AII195" s="394"/>
      <c r="AIJ195" s="394"/>
      <c r="AIK195" s="394"/>
      <c r="AIL195" s="394"/>
      <c r="AIM195" s="394"/>
      <c r="AIN195" s="394"/>
      <c r="AIO195" s="394"/>
      <c r="AIP195" s="394"/>
      <c r="AIQ195" s="394"/>
      <c r="AIR195" s="394"/>
      <c r="AIS195" s="394"/>
      <c r="AIT195" s="394"/>
      <c r="AIU195" s="394"/>
      <c r="AIV195" s="394"/>
      <c r="AIW195" s="394"/>
      <c r="AIX195" s="394"/>
      <c r="AIY195" s="394"/>
      <c r="AIZ195" s="394"/>
      <c r="AJA195" s="394"/>
      <c r="AJB195" s="394"/>
      <c r="AJC195" s="394"/>
      <c r="AJD195" s="394"/>
      <c r="AJE195" s="394"/>
      <c r="AJF195" s="394"/>
      <c r="AJG195" s="394"/>
      <c r="AJH195" s="394"/>
      <c r="AJI195" s="394"/>
      <c r="AJJ195" s="394"/>
      <c r="AJK195" s="394"/>
      <c r="AJL195" s="394"/>
      <c r="AJM195" s="394"/>
      <c r="AJN195" s="394"/>
      <c r="AJO195" s="394"/>
      <c r="AJP195" s="394"/>
      <c r="AJQ195" s="394"/>
      <c r="AJR195" s="394"/>
      <c r="AJS195" s="394"/>
      <c r="AJT195" s="394"/>
      <c r="AJU195" s="394"/>
      <c r="AJV195" s="394"/>
      <c r="AJW195" s="394"/>
      <c r="AJX195" s="394"/>
      <c r="AJY195" s="394"/>
      <c r="AJZ195" s="394"/>
      <c r="AKA195" s="394"/>
      <c r="AKB195" s="394"/>
      <c r="AKC195" s="394"/>
      <c r="AKD195" s="394"/>
      <c r="AKE195" s="394"/>
      <c r="AKF195" s="394"/>
      <c r="AKG195" s="394"/>
      <c r="AKH195" s="394"/>
      <c r="AKI195" s="394"/>
      <c r="AKJ195" s="394"/>
      <c r="AKK195" s="394"/>
      <c r="AKL195" s="394"/>
      <c r="AKM195" s="394"/>
      <c r="AKN195" s="394"/>
      <c r="AKO195" s="394"/>
      <c r="AKP195" s="394"/>
      <c r="AKQ195" s="394"/>
      <c r="AKR195" s="394"/>
      <c r="AKS195" s="394"/>
      <c r="AKT195" s="394"/>
      <c r="AKU195" s="394"/>
      <c r="AKV195" s="394"/>
      <c r="AKW195" s="394"/>
      <c r="AKX195" s="394"/>
      <c r="AKY195" s="394"/>
      <c r="AKZ195" s="394"/>
      <c r="ALA195" s="394"/>
      <c r="ALB195" s="394"/>
      <c r="ALC195" s="394"/>
      <c r="ALD195" s="394"/>
      <c r="ALE195" s="394"/>
      <c r="ALF195" s="394"/>
      <c r="ALG195" s="394"/>
      <c r="ALH195" s="394"/>
      <c r="ALI195" s="394"/>
      <c r="ALJ195" s="394"/>
      <c r="ALK195" s="394"/>
      <c r="ALL195" s="394"/>
      <c r="ALM195" s="394"/>
      <c r="ALN195" s="394"/>
      <c r="ALO195" s="394"/>
      <c r="ALP195" s="394"/>
      <c r="ALQ195" s="394"/>
      <c r="ALR195" s="394"/>
      <c r="ALS195" s="394"/>
      <c r="ALT195" s="394"/>
      <c r="ALU195" s="394"/>
      <c r="ALV195" s="394"/>
      <c r="ALW195" s="394"/>
      <c r="ALX195" s="394"/>
      <c r="ALY195" s="394"/>
      <c r="ALZ195" s="394"/>
      <c r="AMA195" s="394"/>
      <c r="AMB195" s="394"/>
      <c r="AMC195" s="394"/>
      <c r="AMD195" s="394"/>
      <c r="AME195" s="394"/>
      <c r="AMF195" s="394"/>
      <c r="AMG195" s="394"/>
      <c r="AMH195" s="394"/>
      <c r="AMI195" s="394"/>
      <c r="AMJ195" s="394"/>
      <c r="AMK195" s="394"/>
      <c r="AML195" s="394"/>
      <c r="AMM195" s="394"/>
      <c r="AMN195" s="394"/>
      <c r="AMO195" s="394"/>
      <c r="AMP195" s="394"/>
      <c r="AMQ195" s="394"/>
      <c r="AMR195" s="394"/>
      <c r="AMS195" s="394"/>
      <c r="AMT195" s="394"/>
      <c r="AMU195" s="394"/>
      <c r="AMV195" s="394"/>
      <c r="AMW195" s="394"/>
      <c r="AMX195" s="394"/>
      <c r="AMY195" s="394"/>
      <c r="AMZ195" s="394"/>
      <c r="ANA195" s="394"/>
      <c r="ANB195" s="394"/>
      <c r="ANC195" s="394"/>
      <c r="AND195" s="394"/>
      <c r="ANE195" s="394"/>
      <c r="ANF195" s="394"/>
      <c r="ANG195" s="394"/>
      <c r="ANH195" s="394"/>
      <c r="ANI195" s="394"/>
      <c r="ANJ195" s="394"/>
      <c r="ANK195" s="394"/>
      <c r="ANL195" s="394"/>
      <c r="ANM195" s="394"/>
      <c r="ANN195" s="394"/>
      <c r="ANO195" s="394"/>
      <c r="ANP195" s="394"/>
      <c r="ANQ195" s="394"/>
      <c r="ANR195" s="394"/>
      <c r="ANS195" s="394"/>
      <c r="ANT195" s="394"/>
      <c r="ANU195" s="394"/>
      <c r="ANV195" s="394"/>
      <c r="ANW195" s="394"/>
      <c r="ANX195" s="394"/>
      <c r="ANY195" s="394"/>
      <c r="ANZ195" s="394"/>
      <c r="AOA195" s="394"/>
      <c r="AOB195" s="394"/>
      <c r="AOC195" s="394"/>
      <c r="AOD195" s="394"/>
      <c r="AOE195" s="394"/>
      <c r="AOF195" s="394"/>
      <c r="AOG195" s="394"/>
      <c r="AOH195" s="394"/>
      <c r="AOI195" s="394"/>
      <c r="AOJ195" s="394"/>
      <c r="AOK195" s="394"/>
      <c r="AOL195" s="394"/>
      <c r="AOM195" s="394"/>
      <c r="AON195" s="394"/>
      <c r="AOO195" s="394"/>
      <c r="AOP195" s="394"/>
      <c r="AOQ195" s="394"/>
      <c r="AOR195" s="394"/>
      <c r="AOS195" s="394"/>
      <c r="AOT195" s="394"/>
      <c r="AOU195" s="394"/>
      <c r="AOV195" s="394"/>
      <c r="AOW195" s="394"/>
      <c r="AOX195" s="394"/>
      <c r="AOY195" s="394"/>
      <c r="AOZ195" s="394"/>
      <c r="APA195" s="394"/>
      <c r="APB195" s="394"/>
      <c r="APC195" s="394"/>
      <c r="APD195" s="394"/>
      <c r="APE195" s="394"/>
      <c r="APF195" s="394"/>
      <c r="APG195" s="394"/>
      <c r="APH195" s="394"/>
      <c r="API195" s="394"/>
      <c r="APJ195" s="394"/>
      <c r="APK195" s="394"/>
      <c r="APL195" s="394"/>
      <c r="APM195" s="394"/>
      <c r="APN195" s="394"/>
      <c r="APO195" s="394"/>
      <c r="APP195" s="394"/>
      <c r="APQ195" s="394"/>
      <c r="APR195" s="394"/>
      <c r="APS195" s="394"/>
      <c r="APT195" s="394"/>
      <c r="APU195" s="394"/>
      <c r="APV195" s="394"/>
      <c r="APW195" s="394"/>
      <c r="APX195" s="394"/>
      <c r="APY195" s="394"/>
      <c r="APZ195" s="394"/>
      <c r="AQA195" s="394"/>
      <c r="AQB195" s="394"/>
      <c r="AQC195" s="394"/>
      <c r="AQD195" s="394"/>
      <c r="AQE195" s="394"/>
      <c r="AQF195" s="394"/>
      <c r="AQG195" s="394"/>
      <c r="AQH195" s="394"/>
      <c r="AQI195" s="394"/>
      <c r="AQJ195" s="394"/>
      <c r="AQK195" s="394"/>
      <c r="AQL195" s="394"/>
      <c r="AQM195" s="394"/>
      <c r="AQN195" s="394"/>
      <c r="AQO195" s="394"/>
      <c r="AQP195" s="394"/>
      <c r="AQQ195" s="394"/>
      <c r="AQR195" s="394"/>
      <c r="AQS195" s="394"/>
      <c r="AQT195" s="394"/>
      <c r="AQU195" s="394"/>
      <c r="AQV195" s="394"/>
      <c r="AQW195" s="394"/>
      <c r="AQX195" s="394"/>
      <c r="AQY195" s="394"/>
      <c r="AQZ195" s="394"/>
      <c r="ARA195" s="394"/>
      <c r="ARB195" s="394"/>
      <c r="ARC195" s="394"/>
      <c r="ARD195" s="394"/>
      <c r="ARE195" s="394"/>
      <c r="ARF195" s="394"/>
      <c r="ARG195" s="394"/>
      <c r="ARH195" s="394"/>
      <c r="ARI195" s="394"/>
      <c r="ARJ195" s="394"/>
      <c r="ARK195" s="394"/>
      <c r="ARL195" s="394"/>
      <c r="ARM195" s="394"/>
      <c r="ARN195" s="394"/>
      <c r="ARO195" s="394"/>
      <c r="ARP195" s="394"/>
      <c r="ARQ195" s="394"/>
      <c r="ARR195" s="394"/>
      <c r="ARS195" s="394"/>
      <c r="ART195" s="394"/>
      <c r="ARU195" s="394"/>
      <c r="ARV195" s="394"/>
      <c r="ARW195" s="394"/>
      <c r="ARX195" s="394"/>
      <c r="ARY195" s="394"/>
      <c r="ARZ195" s="394"/>
      <c r="ASA195" s="394"/>
      <c r="ASB195" s="394"/>
      <c r="ASC195" s="394"/>
      <c r="ASD195" s="394"/>
      <c r="ASE195" s="394"/>
      <c r="ASF195" s="394"/>
      <c r="ASG195" s="394"/>
      <c r="ASH195" s="394"/>
      <c r="ASI195" s="394"/>
      <c r="ASJ195" s="394"/>
      <c r="ASK195" s="394"/>
      <c r="ASL195" s="394"/>
      <c r="ASM195" s="394"/>
      <c r="ASN195" s="394"/>
      <c r="ASO195" s="394"/>
      <c r="ASP195" s="394"/>
      <c r="ASQ195" s="394"/>
      <c r="ASR195" s="394"/>
      <c r="ASS195" s="394"/>
      <c r="AST195" s="394"/>
      <c r="ASU195" s="394"/>
      <c r="ASV195" s="394"/>
      <c r="ASW195" s="394"/>
      <c r="ASX195" s="394"/>
      <c r="ASY195" s="394"/>
      <c r="ASZ195" s="394"/>
      <c r="ATA195" s="394"/>
      <c r="ATB195" s="394"/>
      <c r="ATC195" s="394"/>
      <c r="ATD195" s="394"/>
      <c r="ATE195" s="394"/>
      <c r="ATF195" s="394"/>
      <c r="ATG195" s="394"/>
      <c r="ATH195" s="394"/>
      <c r="ATI195" s="394"/>
      <c r="ATJ195" s="394"/>
      <c r="ATK195" s="394"/>
      <c r="ATL195" s="394"/>
      <c r="ATM195" s="394"/>
      <c r="ATN195" s="394"/>
      <c r="ATO195" s="394"/>
      <c r="ATP195" s="394"/>
      <c r="ATQ195" s="394"/>
      <c r="ATR195" s="394"/>
      <c r="ATS195" s="394"/>
      <c r="ATT195" s="394"/>
      <c r="ATU195" s="394"/>
      <c r="ATV195" s="394"/>
      <c r="ATW195" s="394"/>
      <c r="ATX195" s="394"/>
      <c r="ATY195" s="394"/>
      <c r="ATZ195" s="394"/>
      <c r="AUA195" s="394"/>
      <c r="AUB195" s="394"/>
      <c r="AUC195" s="394"/>
      <c r="AUD195" s="394"/>
      <c r="AUE195" s="394"/>
      <c r="AUF195" s="394"/>
      <c r="AUG195" s="394"/>
      <c r="AUH195" s="394"/>
      <c r="AUI195" s="394"/>
      <c r="AUJ195" s="394"/>
      <c r="AUK195" s="394"/>
      <c r="AUL195" s="394"/>
      <c r="AUM195" s="394"/>
      <c r="AUN195" s="394"/>
      <c r="AUO195" s="394"/>
      <c r="AUP195" s="394"/>
      <c r="AUQ195" s="394"/>
      <c r="AUR195" s="394"/>
      <c r="AUS195" s="394"/>
      <c r="AUT195" s="394"/>
      <c r="AUU195" s="394"/>
      <c r="AUV195" s="394"/>
      <c r="AUW195" s="394"/>
      <c r="AUX195" s="394"/>
      <c r="AUY195" s="394"/>
      <c r="AUZ195" s="394"/>
      <c r="AVA195" s="394"/>
      <c r="AVB195" s="394"/>
      <c r="AVC195" s="394"/>
      <c r="AVD195" s="394"/>
      <c r="AVE195" s="394"/>
      <c r="AVF195" s="394"/>
      <c r="AVG195" s="394"/>
      <c r="AVH195" s="394"/>
      <c r="AVI195" s="394"/>
      <c r="AVJ195" s="394"/>
      <c r="AVK195" s="394"/>
      <c r="AVL195" s="394"/>
      <c r="AVM195" s="394"/>
      <c r="AVN195" s="394"/>
      <c r="AVO195" s="394"/>
      <c r="AVP195" s="394"/>
      <c r="AVQ195" s="394"/>
      <c r="AVR195" s="394"/>
      <c r="AVS195" s="394"/>
      <c r="AVT195" s="394"/>
      <c r="AVU195" s="394"/>
      <c r="AVV195" s="394"/>
      <c r="AVW195" s="394"/>
      <c r="AVX195" s="394"/>
      <c r="AVY195" s="394"/>
      <c r="AVZ195" s="394"/>
      <c r="AWA195" s="394"/>
      <c r="AWB195" s="394"/>
      <c r="AWC195" s="394"/>
      <c r="AWD195" s="394"/>
      <c r="AWE195" s="394"/>
      <c r="AWF195" s="394"/>
      <c r="AWG195" s="394"/>
      <c r="AWH195" s="394"/>
      <c r="AWI195" s="394"/>
      <c r="AWJ195" s="394"/>
      <c r="AWK195" s="394"/>
      <c r="AWL195" s="394"/>
      <c r="AWM195" s="394"/>
      <c r="AWN195" s="394"/>
      <c r="AWO195" s="394"/>
      <c r="AWP195" s="394"/>
      <c r="AWQ195" s="394"/>
      <c r="AWR195" s="394"/>
      <c r="AWS195" s="394"/>
      <c r="AWT195" s="394"/>
      <c r="AWU195" s="394"/>
      <c r="AWV195" s="394"/>
      <c r="AWW195" s="394"/>
      <c r="AWX195" s="394"/>
      <c r="AWY195" s="394"/>
      <c r="AWZ195" s="394"/>
      <c r="AXA195" s="394"/>
      <c r="AXB195" s="394"/>
      <c r="AXC195" s="394"/>
      <c r="AXD195" s="394"/>
      <c r="AXE195" s="394"/>
      <c r="AXF195" s="394"/>
      <c r="AXG195" s="394"/>
      <c r="AXH195" s="394"/>
      <c r="AXI195" s="394"/>
      <c r="AXJ195" s="394"/>
      <c r="AXK195" s="394"/>
      <c r="AXL195" s="394"/>
      <c r="AXM195" s="394"/>
      <c r="AXN195" s="394"/>
      <c r="AXO195" s="394"/>
      <c r="AXP195" s="394"/>
      <c r="AXQ195" s="394"/>
      <c r="AXR195" s="394"/>
      <c r="AXS195" s="394"/>
      <c r="AXT195" s="394"/>
      <c r="AXU195" s="394"/>
      <c r="AXV195" s="394"/>
      <c r="AXW195" s="394"/>
      <c r="AXX195" s="394"/>
      <c r="AXY195" s="394"/>
      <c r="AXZ195" s="394"/>
      <c r="AYA195" s="394"/>
      <c r="AYB195" s="394"/>
      <c r="AYC195" s="394"/>
      <c r="AYD195" s="394"/>
      <c r="AYE195" s="394"/>
      <c r="AYF195" s="394"/>
      <c r="AYG195" s="394"/>
      <c r="AYH195" s="394"/>
      <c r="AYI195" s="394"/>
      <c r="AYJ195" s="394"/>
      <c r="AYK195" s="394"/>
      <c r="AYL195" s="394"/>
      <c r="AYM195" s="394"/>
      <c r="AYN195" s="394"/>
      <c r="AYO195" s="394"/>
      <c r="AYP195" s="394"/>
      <c r="AYQ195" s="394"/>
      <c r="AYR195" s="394"/>
      <c r="AYS195" s="394"/>
      <c r="AYT195" s="394"/>
      <c r="AYU195" s="394"/>
      <c r="AYV195" s="394"/>
      <c r="AYW195" s="394"/>
      <c r="AYX195" s="394"/>
      <c r="AYY195" s="394"/>
      <c r="AYZ195" s="394"/>
      <c r="AZA195" s="394"/>
      <c r="AZB195" s="394"/>
      <c r="AZC195" s="394"/>
      <c r="AZD195" s="394"/>
      <c r="AZE195" s="394"/>
      <c r="AZF195" s="394"/>
      <c r="AZG195" s="394"/>
      <c r="AZH195" s="394"/>
      <c r="AZI195" s="394"/>
      <c r="AZJ195" s="394"/>
      <c r="AZK195" s="394"/>
      <c r="AZL195" s="394"/>
      <c r="AZM195" s="394"/>
      <c r="AZN195" s="394"/>
      <c r="AZO195" s="394"/>
      <c r="AZP195" s="394"/>
      <c r="AZQ195" s="394"/>
      <c r="AZR195" s="394"/>
      <c r="AZS195" s="394"/>
      <c r="AZT195" s="394"/>
      <c r="AZU195" s="394"/>
      <c r="AZV195" s="394"/>
      <c r="AZW195" s="394"/>
      <c r="AZX195" s="394"/>
      <c r="AZY195" s="394"/>
      <c r="AZZ195" s="394"/>
      <c r="BAA195" s="394"/>
      <c r="BAB195" s="394"/>
      <c r="BAC195" s="394"/>
      <c r="BAD195" s="394"/>
      <c r="BAE195" s="394"/>
      <c r="BAF195" s="394"/>
      <c r="BAG195" s="394"/>
      <c r="BAH195" s="394"/>
      <c r="BAI195" s="394"/>
      <c r="BAJ195" s="394"/>
      <c r="BAK195" s="394"/>
      <c r="BAL195" s="394"/>
      <c r="BAM195" s="394"/>
      <c r="BAN195" s="394"/>
      <c r="BAO195" s="394"/>
      <c r="BAP195" s="394"/>
      <c r="BAQ195" s="394"/>
      <c r="BAR195" s="394"/>
      <c r="BAS195" s="394"/>
      <c r="BAT195" s="394"/>
      <c r="BAU195" s="394"/>
      <c r="BAV195" s="394"/>
      <c r="BAW195" s="394"/>
      <c r="BAX195" s="394"/>
      <c r="BAY195" s="394"/>
      <c r="BAZ195" s="394"/>
      <c r="BBA195" s="394"/>
      <c r="BBB195" s="394"/>
      <c r="BBC195" s="394"/>
      <c r="BBD195" s="394"/>
      <c r="BBE195" s="394"/>
      <c r="BBF195" s="394"/>
      <c r="BBG195" s="394"/>
      <c r="BBH195" s="394"/>
      <c r="BBI195" s="394"/>
      <c r="BBJ195" s="394"/>
      <c r="BBK195" s="394"/>
      <c r="BBL195" s="394"/>
      <c r="BBM195" s="394"/>
      <c r="BBN195" s="394"/>
      <c r="BBO195" s="394"/>
      <c r="BBP195" s="394"/>
      <c r="BBQ195" s="394"/>
      <c r="BBR195" s="394"/>
      <c r="BBS195" s="394"/>
      <c r="BBT195" s="394"/>
      <c r="BBU195" s="394"/>
      <c r="BBV195" s="394"/>
      <c r="BBW195" s="394"/>
      <c r="BBX195" s="394"/>
      <c r="BBY195" s="394"/>
      <c r="BBZ195" s="394"/>
      <c r="BCA195" s="394"/>
      <c r="BCB195" s="394"/>
      <c r="BCC195" s="394"/>
      <c r="BCD195" s="394"/>
      <c r="BCE195" s="394"/>
      <c r="BCF195" s="394"/>
      <c r="BCG195" s="394"/>
      <c r="BCH195" s="394"/>
      <c r="BCI195" s="394"/>
      <c r="BCJ195" s="394"/>
      <c r="BCK195" s="394"/>
      <c r="BCL195" s="394"/>
      <c r="BCM195" s="394"/>
      <c r="BCN195" s="394"/>
      <c r="BCO195" s="394"/>
      <c r="BCP195" s="394"/>
      <c r="BCQ195" s="394"/>
      <c r="BCR195" s="394"/>
      <c r="BCS195" s="394"/>
      <c r="BCT195" s="394"/>
      <c r="BCU195" s="394"/>
      <c r="BCV195" s="394"/>
      <c r="BCW195" s="394"/>
      <c r="BCX195" s="394"/>
      <c r="BCY195" s="394"/>
      <c r="BCZ195" s="394"/>
      <c r="BDA195" s="394"/>
      <c r="BDB195" s="394"/>
      <c r="BDC195" s="394"/>
      <c r="BDD195" s="394"/>
      <c r="BDE195" s="394"/>
      <c r="BDF195" s="394"/>
      <c r="BDG195" s="394"/>
      <c r="BDH195" s="394"/>
      <c r="BDI195" s="394"/>
      <c r="BDJ195" s="394"/>
      <c r="BDK195" s="394"/>
      <c r="BDL195" s="394"/>
      <c r="BDM195" s="394"/>
      <c r="BDN195" s="394"/>
      <c r="BDO195" s="394"/>
      <c r="BDP195" s="394"/>
      <c r="BDQ195" s="394"/>
      <c r="BDR195" s="394"/>
      <c r="BDS195" s="394"/>
      <c r="BDT195" s="394"/>
      <c r="BDU195" s="394"/>
      <c r="BDV195" s="394"/>
      <c r="BDW195" s="394"/>
      <c r="BDX195" s="394"/>
      <c r="BDY195" s="394"/>
      <c r="BDZ195" s="394"/>
      <c r="BEA195" s="394"/>
      <c r="BEB195" s="394"/>
      <c r="BEC195" s="394"/>
      <c r="BED195" s="394"/>
      <c r="BEE195" s="394"/>
      <c r="BEF195" s="394"/>
      <c r="BEG195" s="394"/>
      <c r="BEH195" s="394"/>
      <c r="BEI195" s="394"/>
      <c r="BEJ195" s="394"/>
      <c r="BEK195" s="394"/>
      <c r="BEL195" s="394"/>
      <c r="BEM195" s="394"/>
      <c r="BEN195" s="394"/>
      <c r="BEO195" s="394"/>
      <c r="BEP195" s="394"/>
      <c r="BEQ195" s="394"/>
      <c r="BER195" s="394"/>
      <c r="BES195" s="394"/>
      <c r="BET195" s="394"/>
      <c r="BEU195" s="394"/>
      <c r="BEV195" s="394"/>
      <c r="BEW195" s="394"/>
      <c r="BEX195" s="394"/>
      <c r="BEY195" s="394"/>
      <c r="BEZ195" s="394"/>
      <c r="BFA195" s="394"/>
      <c r="BFB195" s="394"/>
      <c r="BFC195" s="394"/>
      <c r="BFD195" s="394"/>
      <c r="BFE195" s="394"/>
      <c r="BFF195" s="394"/>
      <c r="BFG195" s="394"/>
      <c r="BFH195" s="394"/>
      <c r="BFI195" s="394"/>
      <c r="BFJ195" s="394"/>
      <c r="BFK195" s="394"/>
      <c r="BFL195" s="394"/>
      <c r="BFM195" s="394"/>
      <c r="BFN195" s="394"/>
      <c r="BFO195" s="394"/>
      <c r="BFP195" s="394"/>
      <c r="BFQ195" s="394"/>
      <c r="BFR195" s="394"/>
      <c r="BFS195" s="394"/>
      <c r="BFT195" s="394"/>
      <c r="BFU195" s="394"/>
      <c r="BFV195" s="394"/>
      <c r="BFW195" s="394"/>
      <c r="BFX195" s="394"/>
      <c r="BFY195" s="394"/>
      <c r="BFZ195" s="394"/>
      <c r="BGA195" s="394"/>
      <c r="BGB195" s="394"/>
      <c r="BGC195" s="394"/>
      <c r="BGD195" s="394"/>
      <c r="BGE195" s="394"/>
      <c r="BGF195" s="394"/>
      <c r="BGG195" s="394"/>
      <c r="BGH195" s="394"/>
      <c r="BGI195" s="394"/>
      <c r="BGJ195" s="394"/>
      <c r="BGK195" s="394"/>
      <c r="BGL195" s="394"/>
      <c r="BGM195" s="394"/>
      <c r="BGN195" s="394"/>
      <c r="BGO195" s="394"/>
      <c r="BGP195" s="394"/>
      <c r="BGQ195" s="394"/>
      <c r="BGR195" s="394"/>
      <c r="BGS195" s="394"/>
      <c r="BGT195" s="394"/>
      <c r="BGU195" s="394"/>
      <c r="BGV195" s="394"/>
      <c r="BGW195" s="394"/>
      <c r="BGX195" s="394"/>
      <c r="BGY195" s="394"/>
      <c r="BGZ195" s="394"/>
      <c r="BHA195" s="394"/>
      <c r="BHB195" s="394"/>
      <c r="BHC195" s="394"/>
      <c r="BHD195" s="394"/>
      <c r="BHE195" s="394"/>
      <c r="BHF195" s="394"/>
      <c r="BHG195" s="394"/>
      <c r="BHH195" s="394"/>
      <c r="BHI195" s="394"/>
      <c r="BHJ195" s="394"/>
      <c r="BHK195" s="394"/>
      <c r="BHL195" s="394"/>
      <c r="BHM195" s="394"/>
      <c r="BHN195" s="394"/>
      <c r="BHO195" s="394"/>
      <c r="BHP195" s="394"/>
      <c r="BHQ195" s="394"/>
      <c r="BHR195" s="394"/>
      <c r="BHS195" s="394"/>
      <c r="BHT195" s="394"/>
      <c r="BHU195" s="394"/>
      <c r="BHV195" s="394"/>
      <c r="BHW195" s="394"/>
      <c r="BHX195" s="394"/>
      <c r="BHY195" s="394"/>
      <c r="BHZ195" s="394"/>
      <c r="BIA195" s="394"/>
      <c r="BIB195" s="394"/>
      <c r="BIC195" s="394"/>
      <c r="BID195" s="394"/>
      <c r="BIE195" s="394"/>
      <c r="BIF195" s="394"/>
      <c r="BIG195" s="394"/>
      <c r="BIH195" s="394"/>
      <c r="BII195" s="394"/>
      <c r="BIJ195" s="394"/>
      <c r="BIK195" s="394"/>
      <c r="BIL195" s="394"/>
      <c r="BIM195" s="394"/>
      <c r="BIN195" s="394"/>
      <c r="BIO195" s="394"/>
      <c r="BIP195" s="394"/>
      <c r="BIQ195" s="394"/>
      <c r="BIR195" s="394"/>
      <c r="BIS195" s="394"/>
      <c r="BIT195" s="394"/>
      <c r="BIU195" s="394"/>
      <c r="BIV195" s="394"/>
      <c r="BIW195" s="394"/>
      <c r="BIX195" s="394"/>
      <c r="BIY195" s="394"/>
      <c r="BIZ195" s="394"/>
      <c r="BJA195" s="394"/>
      <c r="BJB195" s="394"/>
      <c r="BJC195" s="394"/>
      <c r="BJD195" s="394"/>
      <c r="BJE195" s="394"/>
      <c r="BJF195" s="394"/>
      <c r="BJG195" s="394"/>
      <c r="BJH195" s="394"/>
      <c r="BJI195" s="394"/>
      <c r="BJJ195" s="394"/>
      <c r="BJK195" s="394"/>
      <c r="BJL195" s="394"/>
      <c r="BJM195" s="394"/>
      <c r="BJN195" s="394"/>
      <c r="BJO195" s="394"/>
      <c r="BJP195" s="394"/>
      <c r="BJQ195" s="394"/>
      <c r="BJR195" s="394"/>
      <c r="BJS195" s="394"/>
      <c r="BJT195" s="394"/>
      <c r="BJU195" s="394"/>
      <c r="BJV195" s="394"/>
      <c r="BJW195" s="394"/>
      <c r="BJX195" s="394"/>
      <c r="BJY195" s="394"/>
      <c r="BJZ195" s="394"/>
      <c r="BKA195" s="394"/>
      <c r="BKB195" s="394"/>
      <c r="BKC195" s="394"/>
      <c r="BKD195" s="394"/>
      <c r="BKE195" s="394"/>
      <c r="BKF195" s="394"/>
      <c r="BKG195" s="394"/>
      <c r="BKH195" s="394"/>
      <c r="BKI195" s="394"/>
      <c r="BKJ195" s="394"/>
      <c r="BKK195" s="394"/>
      <c r="BKL195" s="394"/>
      <c r="BKM195" s="394"/>
      <c r="BKN195" s="394"/>
      <c r="BKO195" s="394"/>
      <c r="BKP195" s="394"/>
      <c r="BKQ195" s="394"/>
      <c r="BKR195" s="394"/>
      <c r="BKS195" s="394"/>
      <c r="BKT195" s="394"/>
      <c r="BKU195" s="394"/>
      <c r="BKV195" s="394"/>
      <c r="BKW195" s="394"/>
      <c r="BKX195" s="394"/>
      <c r="BKY195" s="394"/>
      <c r="BKZ195" s="394"/>
      <c r="BLA195" s="394"/>
      <c r="BLB195" s="394"/>
      <c r="BLC195" s="394"/>
      <c r="BLD195" s="394"/>
      <c r="BLE195" s="394"/>
      <c r="BLF195" s="394"/>
      <c r="BLG195" s="394"/>
      <c r="BLH195" s="394"/>
      <c r="BLI195" s="394"/>
      <c r="BLJ195" s="394"/>
      <c r="BLK195" s="394"/>
      <c r="BLL195" s="394"/>
      <c r="BLM195" s="394"/>
      <c r="BLN195" s="394"/>
      <c r="BLO195" s="394"/>
      <c r="BLP195" s="394"/>
      <c r="BLQ195" s="394"/>
      <c r="BLR195" s="394"/>
      <c r="BLS195" s="394"/>
      <c r="BLT195" s="394"/>
      <c r="BLU195" s="394"/>
      <c r="BLV195" s="394"/>
      <c r="BLW195" s="394"/>
      <c r="BLX195" s="394"/>
      <c r="BLY195" s="394"/>
      <c r="BLZ195" s="394"/>
      <c r="BMA195" s="394"/>
      <c r="BMB195" s="394"/>
      <c r="BMC195" s="394"/>
      <c r="BMD195" s="394"/>
      <c r="BME195" s="394"/>
      <c r="BMF195" s="394"/>
      <c r="BMG195" s="394"/>
      <c r="BMH195" s="394"/>
      <c r="BMI195" s="394"/>
      <c r="BMJ195" s="394"/>
      <c r="BMK195" s="394"/>
      <c r="BML195" s="394"/>
      <c r="BMM195" s="394"/>
      <c r="BMN195" s="394"/>
      <c r="BMO195" s="394"/>
      <c r="BMP195" s="394"/>
      <c r="BMQ195" s="394"/>
      <c r="BMR195" s="394"/>
      <c r="BMS195" s="394"/>
      <c r="BMT195" s="394"/>
      <c r="BMU195" s="394"/>
      <c r="BMV195" s="394"/>
      <c r="BMW195" s="394"/>
      <c r="BMX195" s="394"/>
      <c r="BMY195" s="394"/>
      <c r="BMZ195" s="394"/>
      <c r="BNA195" s="394"/>
      <c r="BNB195" s="394"/>
      <c r="BNC195" s="394"/>
      <c r="BND195" s="394"/>
      <c r="BNE195" s="394"/>
      <c r="BNF195" s="394"/>
      <c r="BNG195" s="394"/>
      <c r="BNH195" s="394"/>
      <c r="BNI195" s="394"/>
      <c r="BNJ195" s="394"/>
      <c r="BNK195" s="394"/>
      <c r="BNL195" s="394"/>
      <c r="BNM195" s="394"/>
      <c r="BNN195" s="394"/>
      <c r="BNO195" s="394"/>
      <c r="BNP195" s="394"/>
      <c r="BNQ195" s="394"/>
      <c r="BNR195" s="394"/>
      <c r="BNS195" s="394"/>
      <c r="BNT195" s="394"/>
      <c r="BNU195" s="394"/>
      <c r="BNV195" s="394"/>
      <c r="BNW195" s="394"/>
      <c r="BNX195" s="394"/>
      <c r="BNY195" s="394"/>
      <c r="BNZ195" s="394"/>
      <c r="BOA195" s="394"/>
      <c r="BOB195" s="394"/>
      <c r="BOC195" s="394"/>
      <c r="BOD195" s="394"/>
      <c r="BOE195" s="394"/>
      <c r="BOF195" s="394"/>
      <c r="BOG195" s="394"/>
      <c r="BOH195" s="394"/>
      <c r="BOI195" s="394"/>
      <c r="BOJ195" s="394"/>
      <c r="BOK195" s="394"/>
      <c r="BOL195" s="394"/>
      <c r="BOM195" s="394"/>
      <c r="BON195" s="394"/>
      <c r="BOO195" s="394"/>
      <c r="BOP195" s="394"/>
      <c r="BOQ195" s="394"/>
      <c r="BOR195" s="394"/>
      <c r="BOS195" s="394"/>
      <c r="BOT195" s="394"/>
      <c r="BOU195" s="394"/>
      <c r="BOV195" s="394"/>
      <c r="BOW195" s="394"/>
      <c r="BOX195" s="394"/>
      <c r="BOY195" s="394"/>
      <c r="BOZ195" s="394"/>
      <c r="BPA195" s="394"/>
      <c r="BPB195" s="394"/>
      <c r="BPC195" s="394"/>
      <c r="BPD195" s="394"/>
      <c r="BPE195" s="394"/>
      <c r="BPF195" s="394"/>
      <c r="BPG195" s="394"/>
      <c r="BPH195" s="394"/>
      <c r="BPI195" s="394"/>
      <c r="BPJ195" s="394"/>
      <c r="BPK195" s="394"/>
      <c r="BPL195" s="394"/>
      <c r="BPM195" s="394"/>
      <c r="BPN195" s="394"/>
      <c r="BPO195" s="394"/>
      <c r="BPP195" s="394"/>
      <c r="BPQ195" s="394"/>
      <c r="BPR195" s="394"/>
      <c r="BPS195" s="394"/>
      <c r="BPT195" s="394"/>
      <c r="BPU195" s="394"/>
      <c r="BPV195" s="394"/>
      <c r="BPW195" s="394"/>
      <c r="BPX195" s="394"/>
      <c r="BPY195" s="394"/>
      <c r="BPZ195" s="394"/>
      <c r="BQA195" s="394"/>
      <c r="BQB195" s="394"/>
      <c r="BQC195" s="394"/>
      <c r="BQD195" s="394"/>
      <c r="BQE195" s="394"/>
      <c r="BQF195" s="394"/>
      <c r="BQG195" s="394"/>
      <c r="BQH195" s="394"/>
      <c r="BQI195" s="394"/>
      <c r="BQJ195" s="394"/>
      <c r="BQK195" s="394"/>
      <c r="BQL195" s="394"/>
      <c r="BQM195" s="394"/>
      <c r="BQN195" s="394"/>
      <c r="BQO195" s="394"/>
      <c r="BQP195" s="394"/>
      <c r="BQQ195" s="394"/>
      <c r="BQR195" s="394"/>
      <c r="BQS195" s="394"/>
      <c r="BQT195" s="394"/>
      <c r="BQU195" s="394"/>
      <c r="BQV195" s="394"/>
      <c r="BQW195" s="394"/>
      <c r="BQX195" s="394"/>
      <c r="BQY195" s="394"/>
      <c r="BQZ195" s="394"/>
      <c r="BRA195" s="394"/>
      <c r="BRB195" s="394"/>
      <c r="BRC195" s="394"/>
      <c r="BRD195" s="394"/>
      <c r="BRE195" s="394"/>
      <c r="BRF195" s="394"/>
      <c r="BRG195" s="394"/>
      <c r="BRH195" s="394"/>
      <c r="BRI195" s="394"/>
      <c r="BRJ195" s="394"/>
      <c r="BRK195" s="394"/>
      <c r="BRL195" s="394"/>
      <c r="BRM195" s="394"/>
      <c r="BRN195" s="394"/>
      <c r="BRO195" s="394"/>
      <c r="BRP195" s="394"/>
      <c r="BRQ195" s="394"/>
      <c r="BRR195" s="394"/>
      <c r="BRS195" s="394"/>
      <c r="BRT195" s="394"/>
      <c r="BRU195" s="394"/>
      <c r="BRV195" s="394"/>
      <c r="BRW195" s="394"/>
      <c r="BRX195" s="394"/>
      <c r="BRY195" s="394"/>
      <c r="BRZ195" s="394"/>
      <c r="BSA195" s="394"/>
      <c r="BSB195" s="394"/>
      <c r="BSC195" s="394"/>
      <c r="BSD195" s="394"/>
      <c r="BSE195" s="394"/>
      <c r="BSF195" s="394"/>
      <c r="BSG195" s="394"/>
      <c r="BSH195" s="394"/>
      <c r="BSI195" s="394"/>
      <c r="BSJ195" s="394"/>
      <c r="BSK195" s="394"/>
      <c r="BSL195" s="394"/>
      <c r="BSM195" s="394"/>
      <c r="BSN195" s="394"/>
      <c r="BSO195" s="394"/>
      <c r="BSP195" s="394"/>
      <c r="BSQ195" s="394"/>
      <c r="BSR195" s="394"/>
      <c r="BSS195" s="394"/>
      <c r="BST195" s="394"/>
      <c r="BSU195" s="394"/>
      <c r="BSV195" s="394"/>
      <c r="BSW195" s="394"/>
      <c r="BSX195" s="394"/>
      <c r="BSY195" s="394"/>
      <c r="BSZ195" s="394"/>
      <c r="BTA195" s="394"/>
      <c r="BTB195" s="394"/>
      <c r="BTC195" s="394"/>
      <c r="BTD195" s="394"/>
      <c r="BTE195" s="394"/>
      <c r="BTF195" s="394"/>
      <c r="BTG195" s="394"/>
      <c r="BTH195" s="394"/>
      <c r="BTI195" s="394"/>
    </row>
    <row r="196" spans="1:1881" s="69" customFormat="1" ht="27" customHeight="1" x14ac:dyDescent="0.25">
      <c r="A196" s="189"/>
      <c r="B196" s="179"/>
      <c r="C196" s="179"/>
      <c r="D196" s="173" t="s">
        <v>9</v>
      </c>
      <c r="E196" s="6"/>
      <c r="F196" s="733"/>
      <c r="G196" s="316"/>
      <c r="H196" s="13"/>
      <c r="I196" s="31"/>
      <c r="J196" s="394"/>
      <c r="K196" s="394"/>
      <c r="L196" s="394"/>
      <c r="M196" s="394"/>
      <c r="N196"/>
      <c r="O196" s="394"/>
      <c r="P196" s="394"/>
      <c r="Q196" s="394"/>
      <c r="R196" s="394"/>
      <c r="S196" s="394"/>
      <c r="T196" s="394"/>
      <c r="U196" s="394"/>
      <c r="V196" s="394"/>
      <c r="W196" s="394"/>
      <c r="X196" s="394"/>
      <c r="Y196" s="394"/>
      <c r="Z196" s="394"/>
      <c r="AA196" s="394"/>
      <c r="AB196" s="394"/>
      <c r="AC196" s="394"/>
      <c r="AD196" s="394"/>
      <c r="AE196" s="394"/>
      <c r="AF196" s="394"/>
      <c r="AG196" s="394"/>
      <c r="AH196" s="394"/>
      <c r="AI196" s="394"/>
      <c r="AJ196" s="394"/>
      <c r="AK196" s="394"/>
      <c r="AL196" s="394"/>
      <c r="AM196" s="394"/>
      <c r="AN196" s="394"/>
      <c r="AO196" s="394"/>
      <c r="AP196" s="394"/>
      <c r="AQ196" s="394"/>
      <c r="AR196" s="394"/>
      <c r="AS196" s="394"/>
      <c r="AT196" s="394"/>
      <c r="AU196" s="394"/>
      <c r="AV196" s="394"/>
      <c r="AW196" s="394"/>
      <c r="AX196" s="394"/>
      <c r="AY196" s="394"/>
      <c r="AZ196" s="394"/>
      <c r="BA196" s="394"/>
      <c r="BB196" s="394"/>
      <c r="BC196" s="394"/>
      <c r="BD196" s="394"/>
      <c r="BE196" s="394"/>
      <c r="BF196" s="394"/>
      <c r="BG196" s="394"/>
      <c r="BH196" s="394"/>
      <c r="BI196" s="394"/>
      <c r="BJ196" s="394"/>
      <c r="BK196" s="394"/>
      <c r="BL196" s="394"/>
      <c r="BM196" s="394"/>
      <c r="BN196" s="394"/>
      <c r="BO196" s="394"/>
      <c r="BP196" s="394"/>
      <c r="BQ196" s="394"/>
      <c r="BR196" s="394"/>
      <c r="BS196" s="394"/>
      <c r="BT196" s="394"/>
      <c r="BU196" s="394"/>
      <c r="BV196" s="394"/>
      <c r="BW196" s="394"/>
      <c r="BX196" s="394"/>
      <c r="BY196" s="394"/>
      <c r="BZ196" s="394"/>
      <c r="CA196" s="394"/>
      <c r="CB196" s="394"/>
      <c r="CC196" s="394"/>
      <c r="CD196" s="394"/>
      <c r="CE196" s="394"/>
      <c r="CF196" s="394"/>
      <c r="CG196" s="394"/>
      <c r="CH196" s="394"/>
      <c r="CI196" s="394"/>
      <c r="CJ196" s="394"/>
      <c r="CK196" s="394"/>
      <c r="CL196" s="394"/>
      <c r="CM196" s="394"/>
      <c r="CN196" s="394"/>
      <c r="CO196" s="394"/>
      <c r="CP196" s="394"/>
      <c r="CQ196" s="394"/>
      <c r="CR196" s="394"/>
      <c r="CS196" s="394"/>
      <c r="CT196" s="394"/>
      <c r="CU196" s="394"/>
      <c r="CV196" s="394"/>
      <c r="CW196" s="394"/>
      <c r="CX196" s="394"/>
      <c r="CY196" s="394"/>
      <c r="CZ196" s="394"/>
      <c r="DA196" s="394"/>
      <c r="DB196" s="394"/>
      <c r="DC196" s="394"/>
      <c r="DD196" s="394"/>
      <c r="DE196" s="394"/>
      <c r="DF196" s="394"/>
      <c r="DG196" s="394"/>
      <c r="DH196" s="394"/>
      <c r="DI196" s="394"/>
      <c r="DJ196" s="394"/>
      <c r="DK196" s="394"/>
      <c r="DL196" s="394"/>
      <c r="DM196" s="394"/>
      <c r="DN196" s="394"/>
      <c r="DO196" s="394"/>
      <c r="DP196" s="394"/>
      <c r="DQ196" s="394"/>
      <c r="DR196" s="394"/>
      <c r="DS196" s="394"/>
      <c r="DT196" s="394"/>
      <c r="DU196" s="394"/>
      <c r="DV196" s="394"/>
      <c r="DW196" s="394"/>
      <c r="DX196" s="394"/>
      <c r="DY196" s="394"/>
      <c r="DZ196" s="394"/>
      <c r="EA196" s="394"/>
      <c r="EB196" s="394"/>
      <c r="EC196" s="394"/>
      <c r="ED196" s="394"/>
      <c r="EE196" s="394"/>
      <c r="EF196" s="394"/>
      <c r="EG196" s="394"/>
      <c r="EH196" s="394"/>
      <c r="EI196" s="394"/>
      <c r="EJ196" s="394"/>
      <c r="EK196" s="394"/>
      <c r="EL196" s="394"/>
      <c r="EM196" s="394"/>
      <c r="EN196" s="394"/>
      <c r="EO196" s="394"/>
      <c r="EP196" s="394"/>
      <c r="EQ196" s="394"/>
      <c r="ER196" s="394"/>
      <c r="ES196" s="394"/>
      <c r="ET196" s="394"/>
      <c r="EU196" s="394"/>
      <c r="EV196" s="394"/>
      <c r="EW196" s="394"/>
      <c r="EX196" s="394"/>
      <c r="EY196" s="394"/>
      <c r="EZ196" s="394"/>
      <c r="FA196" s="394"/>
      <c r="FB196" s="394"/>
      <c r="FC196" s="394"/>
      <c r="FD196" s="394"/>
      <c r="FE196" s="394"/>
      <c r="FF196" s="394"/>
      <c r="FG196" s="394"/>
      <c r="FH196" s="394"/>
      <c r="FI196" s="394"/>
      <c r="FJ196" s="394"/>
      <c r="FK196" s="394"/>
      <c r="FL196" s="394"/>
      <c r="FM196" s="394"/>
      <c r="FN196" s="394"/>
      <c r="FO196" s="394"/>
      <c r="FP196" s="394"/>
      <c r="FQ196" s="394"/>
      <c r="FR196" s="394"/>
      <c r="FS196" s="394"/>
      <c r="FT196" s="394"/>
      <c r="FU196" s="394"/>
      <c r="FV196" s="394"/>
      <c r="FW196" s="394"/>
      <c r="FX196" s="394"/>
      <c r="FY196" s="394"/>
      <c r="FZ196" s="394"/>
      <c r="GA196" s="394"/>
      <c r="GB196" s="394"/>
      <c r="GC196" s="394"/>
      <c r="GD196" s="394"/>
      <c r="GE196" s="394"/>
      <c r="GF196" s="394"/>
      <c r="GG196" s="394"/>
      <c r="GH196" s="394"/>
      <c r="GI196" s="394"/>
      <c r="GJ196" s="394"/>
      <c r="GK196" s="394"/>
      <c r="GL196" s="394"/>
      <c r="GM196" s="394"/>
      <c r="GN196" s="394"/>
      <c r="GO196" s="394"/>
      <c r="GP196" s="394"/>
      <c r="GQ196" s="394"/>
      <c r="GR196" s="394"/>
      <c r="GS196" s="394"/>
      <c r="GT196" s="394"/>
      <c r="GU196" s="394"/>
      <c r="GV196" s="394"/>
      <c r="GW196" s="394"/>
      <c r="GX196" s="394"/>
      <c r="GY196" s="394"/>
      <c r="GZ196" s="394"/>
      <c r="HA196" s="394"/>
      <c r="HB196" s="394"/>
      <c r="HC196" s="394"/>
      <c r="HD196" s="394"/>
      <c r="HE196" s="394"/>
      <c r="HF196" s="394"/>
      <c r="HG196" s="394"/>
      <c r="HH196" s="394"/>
      <c r="HI196" s="394"/>
      <c r="HJ196" s="394"/>
      <c r="HK196" s="394"/>
      <c r="HL196" s="394"/>
      <c r="HM196" s="394"/>
      <c r="HN196" s="394"/>
      <c r="HO196" s="394"/>
      <c r="HP196" s="394"/>
      <c r="HQ196" s="394"/>
      <c r="HR196" s="394"/>
      <c r="HS196" s="394"/>
      <c r="HT196" s="394"/>
      <c r="HU196" s="394"/>
      <c r="HV196" s="394"/>
      <c r="HW196" s="394"/>
      <c r="HX196" s="394"/>
      <c r="HY196" s="394"/>
      <c r="HZ196" s="394"/>
      <c r="IA196" s="394"/>
      <c r="IB196" s="394"/>
      <c r="IC196" s="394"/>
      <c r="ID196" s="394"/>
      <c r="IE196" s="394"/>
      <c r="IF196" s="394"/>
      <c r="IG196" s="394"/>
      <c r="IH196" s="394"/>
      <c r="II196" s="394"/>
      <c r="IJ196" s="394"/>
      <c r="IK196" s="394"/>
      <c r="IL196" s="394"/>
      <c r="IM196" s="394"/>
      <c r="IN196" s="394"/>
      <c r="IO196" s="394"/>
      <c r="IP196" s="394"/>
      <c r="IQ196" s="394"/>
      <c r="IR196" s="394"/>
      <c r="IS196" s="394"/>
      <c r="IT196" s="394"/>
      <c r="IU196" s="394"/>
      <c r="IV196" s="394"/>
      <c r="IW196" s="394"/>
      <c r="IX196" s="394"/>
      <c r="IY196" s="394"/>
      <c r="IZ196" s="394"/>
      <c r="JA196" s="394"/>
      <c r="JB196" s="394"/>
      <c r="JC196" s="394"/>
      <c r="JD196" s="394"/>
      <c r="JE196" s="394"/>
      <c r="JF196" s="394"/>
      <c r="JG196" s="394"/>
      <c r="JH196" s="394"/>
      <c r="JI196" s="394"/>
      <c r="JJ196" s="394"/>
      <c r="JK196" s="394"/>
      <c r="JL196" s="394"/>
      <c r="JM196" s="394"/>
      <c r="JN196" s="394"/>
      <c r="JO196" s="394"/>
      <c r="JP196" s="394"/>
      <c r="JQ196" s="394"/>
      <c r="JR196" s="394"/>
      <c r="JS196" s="394"/>
      <c r="JT196" s="394"/>
      <c r="JU196" s="394"/>
      <c r="JV196" s="394"/>
      <c r="JW196" s="394"/>
      <c r="JX196" s="394"/>
      <c r="JY196" s="394"/>
      <c r="JZ196" s="394"/>
      <c r="KA196" s="394"/>
      <c r="KB196" s="394"/>
      <c r="KC196" s="394"/>
      <c r="KD196" s="394"/>
      <c r="KE196" s="394"/>
      <c r="KF196" s="394"/>
      <c r="KG196" s="394"/>
      <c r="KH196" s="394"/>
      <c r="KI196" s="394"/>
      <c r="KJ196" s="394"/>
      <c r="KK196" s="394"/>
      <c r="KL196" s="394"/>
      <c r="KM196" s="394"/>
      <c r="KN196" s="394"/>
      <c r="KO196" s="394"/>
      <c r="KP196" s="394"/>
      <c r="KQ196" s="394"/>
      <c r="KR196" s="394"/>
      <c r="KS196" s="394"/>
      <c r="KT196" s="394"/>
      <c r="KU196" s="394"/>
      <c r="KV196" s="394"/>
      <c r="KW196" s="394"/>
      <c r="KX196" s="394"/>
      <c r="KY196" s="394"/>
      <c r="KZ196" s="394"/>
      <c r="LA196" s="394"/>
      <c r="LB196" s="394"/>
      <c r="LC196" s="394"/>
      <c r="LD196" s="394"/>
      <c r="LE196" s="394"/>
      <c r="LF196" s="394"/>
      <c r="LG196" s="394"/>
      <c r="LH196" s="394"/>
      <c r="LI196" s="394"/>
      <c r="LJ196" s="394"/>
      <c r="LK196" s="394"/>
      <c r="LL196" s="394"/>
      <c r="LM196" s="394"/>
      <c r="LN196" s="394"/>
      <c r="LO196" s="394"/>
      <c r="LP196" s="394"/>
      <c r="LQ196" s="394"/>
      <c r="LR196" s="394"/>
      <c r="LS196" s="394"/>
      <c r="LT196" s="394"/>
      <c r="LU196" s="394"/>
      <c r="LV196" s="394"/>
      <c r="LW196" s="394"/>
      <c r="LX196" s="394"/>
      <c r="LY196" s="394"/>
      <c r="LZ196" s="394"/>
      <c r="MA196" s="394"/>
      <c r="MB196" s="394"/>
      <c r="MC196" s="394"/>
      <c r="MD196" s="394"/>
      <c r="ME196" s="394"/>
      <c r="MF196" s="394"/>
      <c r="MG196" s="394"/>
      <c r="MH196" s="394"/>
      <c r="MI196" s="394"/>
      <c r="MJ196" s="394"/>
      <c r="MK196" s="394"/>
      <c r="ML196" s="394"/>
      <c r="MM196" s="394"/>
      <c r="MN196" s="394"/>
      <c r="MO196" s="394"/>
      <c r="MP196" s="394"/>
      <c r="MQ196" s="394"/>
      <c r="MR196" s="394"/>
      <c r="MS196" s="394"/>
      <c r="MT196" s="394"/>
      <c r="MU196" s="394"/>
      <c r="MV196" s="394"/>
      <c r="MW196" s="394"/>
      <c r="MX196" s="394"/>
      <c r="MY196" s="394"/>
      <c r="MZ196" s="394"/>
      <c r="NA196" s="394"/>
      <c r="NB196" s="394"/>
      <c r="NC196" s="394"/>
      <c r="ND196" s="394"/>
      <c r="NE196" s="394"/>
      <c r="NF196" s="394"/>
      <c r="NG196" s="394"/>
      <c r="NH196" s="394"/>
      <c r="NI196" s="394"/>
      <c r="NJ196" s="394"/>
      <c r="NK196" s="394"/>
      <c r="NL196" s="394"/>
      <c r="NM196" s="394"/>
      <c r="NN196" s="394"/>
      <c r="NO196" s="394"/>
      <c r="NP196" s="394"/>
      <c r="NQ196" s="394"/>
      <c r="NR196" s="394"/>
      <c r="NS196" s="394"/>
      <c r="NT196" s="394"/>
      <c r="NU196" s="394"/>
      <c r="NV196" s="394"/>
      <c r="NW196" s="394"/>
      <c r="NX196" s="394"/>
      <c r="NY196" s="394"/>
      <c r="NZ196" s="394"/>
      <c r="OA196" s="394"/>
      <c r="OB196" s="394"/>
      <c r="OC196" s="394"/>
      <c r="OD196" s="394"/>
      <c r="OE196" s="394"/>
      <c r="OF196" s="394"/>
      <c r="OG196" s="394"/>
      <c r="OH196" s="394"/>
      <c r="OI196" s="394"/>
      <c r="OJ196" s="394"/>
      <c r="OK196" s="394"/>
      <c r="OL196" s="394"/>
      <c r="OM196" s="394"/>
      <c r="ON196" s="394"/>
      <c r="OO196" s="394"/>
      <c r="OP196" s="394"/>
      <c r="OQ196" s="394"/>
      <c r="OR196" s="394"/>
      <c r="OS196" s="394"/>
      <c r="OT196" s="394"/>
      <c r="OU196" s="394"/>
      <c r="OV196" s="394"/>
      <c r="OW196" s="394"/>
      <c r="OX196" s="394"/>
      <c r="OY196" s="394"/>
      <c r="OZ196" s="394"/>
      <c r="PA196" s="394"/>
      <c r="PB196" s="394"/>
      <c r="PC196" s="394"/>
      <c r="PD196" s="394"/>
      <c r="PE196" s="394"/>
      <c r="PF196" s="394"/>
      <c r="PG196" s="394"/>
      <c r="PH196" s="394"/>
      <c r="PI196" s="394"/>
      <c r="PJ196" s="394"/>
      <c r="PK196" s="394"/>
      <c r="PL196" s="394"/>
      <c r="PM196" s="394"/>
      <c r="PN196" s="394"/>
      <c r="PO196" s="394"/>
      <c r="PP196" s="394"/>
      <c r="PQ196" s="394"/>
      <c r="PR196" s="394"/>
      <c r="PS196" s="394"/>
      <c r="PT196" s="394"/>
      <c r="PU196" s="394"/>
      <c r="PV196" s="394"/>
      <c r="PW196" s="394"/>
      <c r="PX196" s="394"/>
      <c r="PY196" s="394"/>
      <c r="PZ196" s="394"/>
      <c r="QA196" s="394"/>
      <c r="QB196" s="394"/>
      <c r="QC196" s="394"/>
      <c r="QD196" s="394"/>
      <c r="QE196" s="394"/>
      <c r="QF196" s="394"/>
      <c r="QG196" s="394"/>
      <c r="QH196" s="394"/>
      <c r="QI196" s="394"/>
      <c r="QJ196" s="394"/>
      <c r="QK196" s="394"/>
      <c r="QL196" s="394"/>
      <c r="QM196" s="394"/>
      <c r="QN196" s="394"/>
      <c r="QO196" s="394"/>
      <c r="QP196" s="394"/>
      <c r="QQ196" s="394"/>
      <c r="QR196" s="394"/>
      <c r="QS196" s="394"/>
      <c r="QT196" s="394"/>
      <c r="QU196" s="394"/>
      <c r="QV196" s="394"/>
      <c r="QW196" s="394"/>
      <c r="QX196" s="394"/>
      <c r="QY196" s="394"/>
      <c r="QZ196" s="394"/>
      <c r="RA196" s="394"/>
      <c r="RB196" s="394"/>
      <c r="RC196" s="394"/>
      <c r="RD196" s="394"/>
      <c r="RE196" s="394"/>
      <c r="RF196" s="394"/>
      <c r="RG196" s="394"/>
      <c r="RH196" s="394"/>
      <c r="RI196" s="394"/>
      <c r="RJ196" s="394"/>
      <c r="RK196" s="394"/>
      <c r="RL196" s="394"/>
      <c r="RM196" s="394"/>
      <c r="RN196" s="394"/>
      <c r="RO196" s="394"/>
      <c r="RP196" s="394"/>
      <c r="RQ196" s="394"/>
      <c r="RR196" s="394"/>
      <c r="RS196" s="394"/>
      <c r="RT196" s="394"/>
      <c r="RU196" s="394"/>
      <c r="RV196" s="394"/>
      <c r="RW196" s="394"/>
      <c r="RX196" s="394"/>
      <c r="RY196" s="394"/>
      <c r="RZ196" s="394"/>
      <c r="SA196" s="394"/>
      <c r="SB196" s="394"/>
      <c r="SC196" s="394"/>
      <c r="SD196" s="394"/>
      <c r="SE196" s="394"/>
      <c r="SF196" s="394"/>
      <c r="SG196" s="394"/>
      <c r="SH196" s="394"/>
      <c r="SI196" s="394"/>
      <c r="SJ196" s="394"/>
      <c r="SK196" s="394"/>
      <c r="SL196" s="394"/>
      <c r="SM196" s="394"/>
      <c r="SN196" s="394"/>
      <c r="SO196" s="394"/>
      <c r="SP196" s="394"/>
      <c r="SQ196" s="394"/>
      <c r="SR196" s="394"/>
      <c r="SS196" s="394"/>
      <c r="ST196" s="394"/>
      <c r="SU196" s="394"/>
      <c r="SV196" s="394"/>
      <c r="SW196" s="394"/>
      <c r="SX196" s="394"/>
      <c r="SY196" s="394"/>
      <c r="SZ196" s="394"/>
      <c r="TA196" s="394"/>
      <c r="TB196" s="394"/>
      <c r="TC196" s="394"/>
      <c r="TD196" s="394"/>
      <c r="TE196" s="394"/>
      <c r="TF196" s="394"/>
      <c r="TG196" s="394"/>
      <c r="TH196" s="394"/>
      <c r="TI196" s="394"/>
      <c r="TJ196" s="394"/>
      <c r="TK196" s="394"/>
      <c r="TL196" s="394"/>
      <c r="TM196" s="394"/>
      <c r="TN196" s="394"/>
      <c r="TO196" s="394"/>
      <c r="TP196" s="394"/>
      <c r="TQ196" s="394"/>
      <c r="TR196" s="394"/>
      <c r="TS196" s="394"/>
      <c r="TT196" s="394"/>
      <c r="TU196" s="394"/>
      <c r="TV196" s="394"/>
      <c r="TW196" s="394"/>
      <c r="TX196" s="394"/>
      <c r="TY196" s="394"/>
      <c r="TZ196" s="394"/>
      <c r="UA196" s="394"/>
      <c r="UB196" s="394"/>
      <c r="UC196" s="394"/>
      <c r="UD196" s="394"/>
      <c r="UE196" s="394"/>
      <c r="UF196" s="394"/>
      <c r="UG196" s="394"/>
      <c r="UH196" s="394"/>
      <c r="UI196" s="394"/>
      <c r="UJ196" s="394"/>
      <c r="UK196" s="394"/>
      <c r="UL196" s="394"/>
      <c r="UM196" s="394"/>
      <c r="UN196" s="394"/>
      <c r="UO196" s="394"/>
      <c r="UP196" s="394"/>
      <c r="UQ196" s="394"/>
      <c r="UR196" s="394"/>
      <c r="US196" s="394"/>
      <c r="UT196" s="394"/>
      <c r="UU196" s="394"/>
      <c r="UV196" s="394"/>
      <c r="UW196" s="394"/>
      <c r="UX196" s="394"/>
      <c r="UY196" s="394"/>
      <c r="UZ196" s="394"/>
      <c r="VA196" s="394"/>
      <c r="VB196" s="394"/>
      <c r="VC196" s="394"/>
      <c r="VD196" s="394"/>
      <c r="VE196" s="394"/>
      <c r="VF196" s="394"/>
      <c r="VG196" s="394"/>
      <c r="VH196" s="394"/>
      <c r="VI196" s="394"/>
      <c r="VJ196" s="394"/>
      <c r="VK196" s="394"/>
      <c r="VL196" s="394"/>
      <c r="VM196" s="394"/>
      <c r="VN196" s="394"/>
      <c r="VO196" s="394"/>
      <c r="VP196" s="394"/>
      <c r="VQ196" s="394"/>
      <c r="VR196" s="394"/>
      <c r="VS196" s="394"/>
      <c r="VT196" s="394"/>
      <c r="VU196" s="394"/>
      <c r="VV196" s="394"/>
      <c r="VW196" s="394"/>
      <c r="VX196" s="394"/>
      <c r="VY196" s="394"/>
      <c r="VZ196" s="394"/>
      <c r="WA196" s="394"/>
      <c r="WB196" s="394"/>
      <c r="WC196" s="394"/>
      <c r="WD196" s="394"/>
      <c r="WE196" s="394"/>
      <c r="WF196" s="394"/>
      <c r="WG196" s="394"/>
      <c r="WH196" s="394"/>
      <c r="WI196" s="394"/>
      <c r="WJ196" s="394"/>
      <c r="WK196" s="394"/>
      <c r="WL196" s="394"/>
      <c r="WM196" s="394"/>
      <c r="WN196" s="394"/>
      <c r="WO196" s="394"/>
      <c r="WP196" s="394"/>
      <c r="WQ196" s="394"/>
      <c r="WR196" s="394"/>
      <c r="WS196" s="394"/>
      <c r="WT196" s="394"/>
      <c r="WU196" s="394"/>
      <c r="WV196" s="394"/>
      <c r="WW196" s="394"/>
      <c r="WX196" s="394"/>
      <c r="WY196" s="394"/>
      <c r="WZ196" s="394"/>
      <c r="XA196" s="394"/>
      <c r="XB196" s="394"/>
      <c r="XC196" s="394"/>
      <c r="XD196" s="394"/>
      <c r="XE196" s="394"/>
      <c r="XF196" s="394"/>
      <c r="XG196" s="394"/>
      <c r="XH196" s="394"/>
      <c r="XI196" s="394"/>
      <c r="XJ196" s="394"/>
      <c r="XK196" s="394"/>
      <c r="XL196" s="394"/>
      <c r="XM196" s="394"/>
      <c r="XN196" s="394"/>
      <c r="XO196" s="394"/>
      <c r="XP196" s="394"/>
      <c r="XQ196" s="394"/>
      <c r="XR196" s="394"/>
      <c r="XS196" s="394"/>
      <c r="XT196" s="394"/>
      <c r="XU196" s="394"/>
      <c r="XV196" s="394"/>
      <c r="XW196" s="394"/>
      <c r="XX196" s="394"/>
      <c r="XY196" s="394"/>
      <c r="XZ196" s="394"/>
      <c r="YA196" s="394"/>
      <c r="YB196" s="394"/>
      <c r="YC196" s="394"/>
      <c r="YD196" s="394"/>
      <c r="YE196" s="394"/>
      <c r="YF196" s="394"/>
      <c r="YG196" s="394"/>
      <c r="YH196" s="394"/>
      <c r="YI196" s="394"/>
      <c r="YJ196" s="394"/>
      <c r="YK196" s="394"/>
      <c r="YL196" s="394"/>
      <c r="YM196" s="394"/>
      <c r="YN196" s="394"/>
      <c r="YO196" s="394"/>
      <c r="YP196" s="394"/>
      <c r="YQ196" s="394"/>
      <c r="YR196" s="394"/>
      <c r="YS196" s="394"/>
      <c r="YT196" s="394"/>
      <c r="YU196" s="394"/>
      <c r="YV196" s="394"/>
      <c r="YW196" s="394"/>
      <c r="YX196" s="394"/>
      <c r="YY196" s="394"/>
      <c r="YZ196" s="394"/>
      <c r="ZA196" s="394"/>
      <c r="ZB196" s="394"/>
      <c r="ZC196" s="394"/>
      <c r="ZD196" s="394"/>
      <c r="ZE196" s="394"/>
      <c r="ZF196" s="394"/>
      <c r="ZG196" s="394"/>
      <c r="ZH196" s="394"/>
      <c r="ZI196" s="394"/>
      <c r="ZJ196" s="394"/>
      <c r="ZK196" s="394"/>
      <c r="ZL196" s="394"/>
      <c r="ZM196" s="394"/>
      <c r="ZN196" s="394"/>
      <c r="ZO196" s="394"/>
      <c r="ZP196" s="394"/>
      <c r="ZQ196" s="394"/>
      <c r="ZR196" s="394"/>
      <c r="ZS196" s="394"/>
      <c r="ZT196" s="394"/>
      <c r="ZU196" s="394"/>
      <c r="ZV196" s="394"/>
      <c r="ZW196" s="394"/>
      <c r="ZX196" s="394"/>
      <c r="ZY196" s="394"/>
      <c r="ZZ196" s="394"/>
      <c r="AAA196" s="394"/>
      <c r="AAB196" s="394"/>
      <c r="AAC196" s="394"/>
      <c r="AAD196" s="394"/>
      <c r="AAE196" s="394"/>
      <c r="AAF196" s="394"/>
      <c r="AAG196" s="394"/>
      <c r="AAH196" s="394"/>
      <c r="AAI196" s="394"/>
      <c r="AAJ196" s="394"/>
      <c r="AAK196" s="394"/>
      <c r="AAL196" s="394"/>
      <c r="AAM196" s="394"/>
      <c r="AAN196" s="394"/>
      <c r="AAO196" s="394"/>
      <c r="AAP196" s="394"/>
      <c r="AAQ196" s="394"/>
      <c r="AAR196" s="394"/>
      <c r="AAS196" s="394"/>
      <c r="AAT196" s="394"/>
      <c r="AAU196" s="394"/>
      <c r="AAV196" s="394"/>
      <c r="AAW196" s="394"/>
      <c r="AAX196" s="394"/>
      <c r="AAY196" s="394"/>
      <c r="AAZ196" s="394"/>
      <c r="ABA196" s="394"/>
      <c r="ABB196" s="394"/>
      <c r="ABC196" s="394"/>
      <c r="ABD196" s="394"/>
      <c r="ABE196" s="394"/>
      <c r="ABF196" s="394"/>
      <c r="ABG196" s="394"/>
      <c r="ABH196" s="394"/>
      <c r="ABI196" s="394"/>
      <c r="ABJ196" s="394"/>
      <c r="ABK196" s="394"/>
      <c r="ABL196" s="394"/>
      <c r="ABM196" s="394"/>
      <c r="ABN196" s="394"/>
      <c r="ABO196" s="394"/>
      <c r="ABP196" s="394"/>
      <c r="ABQ196" s="394"/>
      <c r="ABR196" s="394"/>
      <c r="ABS196" s="394"/>
      <c r="ABT196" s="394"/>
      <c r="ABU196" s="394"/>
      <c r="ABV196" s="394"/>
      <c r="ABW196" s="394"/>
      <c r="ABX196" s="394"/>
      <c r="ABY196" s="394"/>
      <c r="ABZ196" s="394"/>
      <c r="ACA196" s="394"/>
      <c r="ACB196" s="394"/>
      <c r="ACC196" s="394"/>
      <c r="ACD196" s="394"/>
      <c r="ACE196" s="394"/>
      <c r="ACF196" s="394"/>
      <c r="ACG196" s="394"/>
      <c r="ACH196" s="394"/>
      <c r="ACI196" s="394"/>
      <c r="ACJ196" s="394"/>
      <c r="ACK196" s="394"/>
      <c r="ACL196" s="394"/>
      <c r="ACM196" s="394"/>
      <c r="ACN196" s="394"/>
      <c r="ACO196" s="394"/>
      <c r="ACP196" s="394"/>
      <c r="ACQ196" s="394"/>
      <c r="ACR196" s="394"/>
      <c r="ACS196" s="394"/>
      <c r="ACT196" s="394"/>
      <c r="ACU196" s="394"/>
      <c r="ACV196" s="394"/>
      <c r="ACW196" s="394"/>
      <c r="ACX196" s="394"/>
      <c r="ACY196" s="394"/>
      <c r="ACZ196" s="394"/>
      <c r="ADA196" s="394"/>
      <c r="ADB196" s="394"/>
      <c r="ADC196" s="394"/>
      <c r="ADD196" s="394"/>
      <c r="ADE196" s="394"/>
      <c r="ADF196" s="394"/>
      <c r="ADG196" s="394"/>
      <c r="ADH196" s="394"/>
      <c r="ADI196" s="394"/>
      <c r="ADJ196" s="394"/>
      <c r="ADK196" s="394"/>
      <c r="ADL196" s="394"/>
      <c r="ADM196" s="394"/>
      <c r="ADN196" s="394"/>
      <c r="ADO196" s="394"/>
      <c r="ADP196" s="394"/>
      <c r="ADQ196" s="394"/>
      <c r="ADR196" s="394"/>
      <c r="ADS196" s="394"/>
      <c r="ADT196" s="394"/>
      <c r="ADU196" s="394"/>
      <c r="ADV196" s="394"/>
      <c r="ADW196" s="394"/>
      <c r="ADX196" s="394"/>
      <c r="ADY196" s="394"/>
      <c r="ADZ196" s="394"/>
      <c r="AEA196" s="394"/>
      <c r="AEB196" s="394"/>
      <c r="AEC196" s="394"/>
      <c r="AED196" s="394"/>
      <c r="AEE196" s="394"/>
      <c r="AEF196" s="394"/>
      <c r="AEG196" s="394"/>
      <c r="AEH196" s="394"/>
      <c r="AEI196" s="394"/>
      <c r="AEJ196" s="394"/>
      <c r="AEK196" s="394"/>
      <c r="AEL196" s="394"/>
      <c r="AEM196" s="394"/>
      <c r="AEN196" s="394"/>
      <c r="AEO196" s="394"/>
      <c r="AEP196" s="394"/>
      <c r="AEQ196" s="394"/>
      <c r="AER196" s="394"/>
      <c r="AES196" s="394"/>
      <c r="AET196" s="394"/>
      <c r="AEU196" s="394"/>
      <c r="AEV196" s="394"/>
      <c r="AEW196" s="394"/>
      <c r="AEX196" s="394"/>
      <c r="AEY196" s="394"/>
      <c r="AEZ196" s="394"/>
      <c r="AFA196" s="394"/>
      <c r="AFB196" s="394"/>
      <c r="AFC196" s="394"/>
      <c r="AFD196" s="394"/>
      <c r="AFE196" s="394"/>
      <c r="AFF196" s="394"/>
      <c r="AFG196" s="394"/>
      <c r="AFH196" s="394"/>
      <c r="AFI196" s="394"/>
      <c r="AFJ196" s="394"/>
      <c r="AFK196" s="394"/>
      <c r="AFL196" s="394"/>
      <c r="AFM196" s="394"/>
      <c r="AFN196" s="394"/>
      <c r="AFO196" s="394"/>
      <c r="AFP196" s="394"/>
      <c r="AFQ196" s="394"/>
      <c r="AFR196" s="394"/>
      <c r="AFS196" s="394"/>
      <c r="AFT196" s="394"/>
      <c r="AFU196" s="394"/>
      <c r="AFV196" s="394"/>
      <c r="AFW196" s="394"/>
      <c r="AFX196" s="394"/>
      <c r="AFY196" s="394"/>
      <c r="AFZ196" s="394"/>
      <c r="AGA196" s="394"/>
      <c r="AGB196" s="394"/>
      <c r="AGC196" s="394"/>
      <c r="AGD196" s="394"/>
      <c r="AGE196" s="394"/>
      <c r="AGF196" s="394"/>
      <c r="AGG196" s="394"/>
      <c r="AGH196" s="394"/>
      <c r="AGI196" s="394"/>
      <c r="AGJ196" s="394"/>
      <c r="AGK196" s="394"/>
      <c r="AGL196" s="394"/>
      <c r="AGM196" s="394"/>
      <c r="AGN196" s="394"/>
      <c r="AGO196" s="394"/>
      <c r="AGP196" s="394"/>
      <c r="AGQ196" s="394"/>
      <c r="AGR196" s="394"/>
      <c r="AGS196" s="394"/>
      <c r="AGT196" s="394"/>
      <c r="AGU196" s="394"/>
      <c r="AGV196" s="394"/>
      <c r="AGW196" s="394"/>
      <c r="AGX196" s="394"/>
      <c r="AGY196" s="394"/>
      <c r="AGZ196" s="394"/>
      <c r="AHA196" s="394"/>
      <c r="AHB196" s="394"/>
      <c r="AHC196" s="394"/>
      <c r="AHD196" s="394"/>
      <c r="AHE196" s="394"/>
      <c r="AHF196" s="394"/>
      <c r="AHG196" s="394"/>
      <c r="AHH196" s="394"/>
      <c r="AHI196" s="394"/>
      <c r="AHJ196" s="394"/>
      <c r="AHK196" s="394"/>
      <c r="AHL196" s="394"/>
      <c r="AHM196" s="394"/>
      <c r="AHN196" s="394"/>
      <c r="AHO196" s="394"/>
      <c r="AHP196" s="394"/>
      <c r="AHQ196" s="394"/>
      <c r="AHR196" s="394"/>
      <c r="AHS196" s="394"/>
      <c r="AHT196" s="394"/>
      <c r="AHU196" s="394"/>
      <c r="AHV196" s="394"/>
      <c r="AHW196" s="394"/>
      <c r="AHX196" s="394"/>
      <c r="AHY196" s="394"/>
      <c r="AHZ196" s="394"/>
      <c r="AIA196" s="394"/>
      <c r="AIB196" s="394"/>
      <c r="AIC196" s="394"/>
      <c r="AID196" s="394"/>
      <c r="AIE196" s="394"/>
      <c r="AIF196" s="394"/>
      <c r="AIG196" s="394"/>
      <c r="AIH196" s="394"/>
      <c r="AII196" s="394"/>
      <c r="AIJ196" s="394"/>
      <c r="AIK196" s="394"/>
      <c r="AIL196" s="394"/>
      <c r="AIM196" s="394"/>
      <c r="AIN196" s="394"/>
      <c r="AIO196" s="394"/>
      <c r="AIP196" s="394"/>
      <c r="AIQ196" s="394"/>
      <c r="AIR196" s="394"/>
      <c r="AIS196" s="394"/>
      <c r="AIT196" s="394"/>
      <c r="AIU196" s="394"/>
      <c r="AIV196" s="394"/>
      <c r="AIW196" s="394"/>
      <c r="AIX196" s="394"/>
      <c r="AIY196" s="394"/>
      <c r="AIZ196" s="394"/>
      <c r="AJA196" s="394"/>
      <c r="AJB196" s="394"/>
      <c r="AJC196" s="394"/>
      <c r="AJD196" s="394"/>
      <c r="AJE196" s="394"/>
      <c r="AJF196" s="394"/>
      <c r="AJG196" s="394"/>
      <c r="AJH196" s="394"/>
      <c r="AJI196" s="394"/>
      <c r="AJJ196" s="394"/>
      <c r="AJK196" s="394"/>
      <c r="AJL196" s="394"/>
      <c r="AJM196" s="394"/>
      <c r="AJN196" s="394"/>
      <c r="AJO196" s="394"/>
      <c r="AJP196" s="394"/>
      <c r="AJQ196" s="394"/>
      <c r="AJR196" s="394"/>
      <c r="AJS196" s="394"/>
      <c r="AJT196" s="394"/>
      <c r="AJU196" s="394"/>
      <c r="AJV196" s="394"/>
      <c r="AJW196" s="394"/>
      <c r="AJX196" s="394"/>
      <c r="AJY196" s="394"/>
      <c r="AJZ196" s="394"/>
      <c r="AKA196" s="394"/>
      <c r="AKB196" s="394"/>
      <c r="AKC196" s="394"/>
      <c r="AKD196" s="394"/>
      <c r="AKE196" s="394"/>
      <c r="AKF196" s="394"/>
      <c r="AKG196" s="394"/>
      <c r="AKH196" s="394"/>
      <c r="AKI196" s="394"/>
      <c r="AKJ196" s="394"/>
      <c r="AKK196" s="394"/>
      <c r="AKL196" s="394"/>
      <c r="AKM196" s="394"/>
      <c r="AKN196" s="394"/>
      <c r="AKO196" s="394"/>
      <c r="AKP196" s="394"/>
      <c r="AKQ196" s="394"/>
      <c r="AKR196" s="394"/>
      <c r="AKS196" s="394"/>
      <c r="AKT196" s="394"/>
      <c r="AKU196" s="394"/>
      <c r="AKV196" s="394"/>
      <c r="AKW196" s="394"/>
      <c r="AKX196" s="394"/>
      <c r="AKY196" s="394"/>
      <c r="AKZ196" s="394"/>
      <c r="ALA196" s="394"/>
      <c r="ALB196" s="394"/>
      <c r="ALC196" s="394"/>
      <c r="ALD196" s="394"/>
      <c r="ALE196" s="394"/>
      <c r="ALF196" s="394"/>
      <c r="ALG196" s="394"/>
      <c r="ALH196" s="394"/>
      <c r="ALI196" s="394"/>
      <c r="ALJ196" s="394"/>
      <c r="ALK196" s="394"/>
      <c r="ALL196" s="394"/>
      <c r="ALM196" s="394"/>
      <c r="ALN196" s="394"/>
      <c r="ALO196" s="394"/>
      <c r="ALP196" s="394"/>
      <c r="ALQ196" s="394"/>
      <c r="ALR196" s="394"/>
      <c r="ALS196" s="394"/>
      <c r="ALT196" s="394"/>
      <c r="ALU196" s="394"/>
      <c r="ALV196" s="394"/>
      <c r="ALW196" s="394"/>
      <c r="ALX196" s="394"/>
      <c r="ALY196" s="394"/>
      <c r="ALZ196" s="394"/>
      <c r="AMA196" s="394"/>
      <c r="AMB196" s="394"/>
      <c r="AMC196" s="394"/>
      <c r="AMD196" s="394"/>
      <c r="AME196" s="394"/>
      <c r="AMF196" s="394"/>
      <c r="AMG196" s="394"/>
      <c r="AMH196" s="394"/>
      <c r="AMI196" s="394"/>
      <c r="AMJ196" s="394"/>
      <c r="AMK196" s="394"/>
      <c r="AML196" s="394"/>
      <c r="AMM196" s="394"/>
      <c r="AMN196" s="394"/>
      <c r="AMO196" s="394"/>
      <c r="AMP196" s="394"/>
      <c r="AMQ196" s="394"/>
      <c r="AMR196" s="394"/>
      <c r="AMS196" s="394"/>
      <c r="AMT196" s="394"/>
      <c r="AMU196" s="394"/>
      <c r="AMV196" s="394"/>
      <c r="AMW196" s="394"/>
      <c r="AMX196" s="394"/>
      <c r="AMY196" s="394"/>
      <c r="AMZ196" s="394"/>
      <c r="ANA196" s="394"/>
      <c r="ANB196" s="394"/>
      <c r="ANC196" s="394"/>
      <c r="AND196" s="394"/>
      <c r="ANE196" s="394"/>
      <c r="ANF196" s="394"/>
      <c r="ANG196" s="394"/>
      <c r="ANH196" s="394"/>
      <c r="ANI196" s="394"/>
      <c r="ANJ196" s="394"/>
      <c r="ANK196" s="394"/>
      <c r="ANL196" s="394"/>
      <c r="ANM196" s="394"/>
      <c r="ANN196" s="394"/>
      <c r="ANO196" s="394"/>
      <c r="ANP196" s="394"/>
      <c r="ANQ196" s="394"/>
      <c r="ANR196" s="394"/>
      <c r="ANS196" s="394"/>
      <c r="ANT196" s="394"/>
      <c r="ANU196" s="394"/>
      <c r="ANV196" s="394"/>
      <c r="ANW196" s="394"/>
      <c r="ANX196" s="394"/>
      <c r="ANY196" s="394"/>
      <c r="ANZ196" s="394"/>
      <c r="AOA196" s="394"/>
      <c r="AOB196" s="394"/>
      <c r="AOC196" s="394"/>
      <c r="AOD196" s="394"/>
      <c r="AOE196" s="394"/>
      <c r="AOF196" s="394"/>
      <c r="AOG196" s="394"/>
      <c r="AOH196" s="394"/>
      <c r="AOI196" s="394"/>
      <c r="AOJ196" s="394"/>
      <c r="AOK196" s="394"/>
      <c r="AOL196" s="394"/>
      <c r="AOM196" s="394"/>
      <c r="AON196" s="394"/>
      <c r="AOO196" s="394"/>
      <c r="AOP196" s="394"/>
      <c r="AOQ196" s="394"/>
      <c r="AOR196" s="394"/>
      <c r="AOS196" s="394"/>
      <c r="AOT196" s="394"/>
      <c r="AOU196" s="394"/>
      <c r="AOV196" s="394"/>
      <c r="AOW196" s="394"/>
      <c r="AOX196" s="394"/>
      <c r="AOY196" s="394"/>
      <c r="AOZ196" s="394"/>
      <c r="APA196" s="394"/>
      <c r="APB196" s="394"/>
      <c r="APC196" s="394"/>
      <c r="APD196" s="394"/>
      <c r="APE196" s="394"/>
      <c r="APF196" s="394"/>
      <c r="APG196" s="394"/>
      <c r="APH196" s="394"/>
      <c r="API196" s="394"/>
      <c r="APJ196" s="394"/>
      <c r="APK196" s="394"/>
      <c r="APL196" s="394"/>
      <c r="APM196" s="394"/>
      <c r="APN196" s="394"/>
      <c r="APO196" s="394"/>
      <c r="APP196" s="394"/>
      <c r="APQ196" s="394"/>
      <c r="APR196" s="394"/>
      <c r="APS196" s="394"/>
      <c r="APT196" s="394"/>
      <c r="APU196" s="394"/>
      <c r="APV196" s="394"/>
      <c r="APW196" s="394"/>
      <c r="APX196" s="394"/>
      <c r="APY196" s="394"/>
      <c r="APZ196" s="394"/>
      <c r="AQA196" s="394"/>
      <c r="AQB196" s="394"/>
      <c r="AQC196" s="394"/>
      <c r="AQD196" s="394"/>
      <c r="AQE196" s="394"/>
      <c r="AQF196" s="394"/>
      <c r="AQG196" s="394"/>
      <c r="AQH196" s="394"/>
      <c r="AQI196" s="394"/>
      <c r="AQJ196" s="394"/>
      <c r="AQK196" s="394"/>
      <c r="AQL196" s="394"/>
      <c r="AQM196" s="394"/>
      <c r="AQN196" s="394"/>
      <c r="AQO196" s="394"/>
      <c r="AQP196" s="394"/>
      <c r="AQQ196" s="394"/>
      <c r="AQR196" s="394"/>
      <c r="AQS196" s="394"/>
      <c r="AQT196" s="394"/>
      <c r="AQU196" s="394"/>
      <c r="AQV196" s="394"/>
      <c r="AQW196" s="394"/>
      <c r="AQX196" s="394"/>
      <c r="AQY196" s="394"/>
      <c r="AQZ196" s="394"/>
      <c r="ARA196" s="394"/>
      <c r="ARB196" s="394"/>
      <c r="ARC196" s="394"/>
      <c r="ARD196" s="394"/>
      <c r="ARE196" s="394"/>
      <c r="ARF196" s="394"/>
      <c r="ARG196" s="394"/>
      <c r="ARH196" s="394"/>
      <c r="ARI196" s="394"/>
      <c r="ARJ196" s="394"/>
      <c r="ARK196" s="394"/>
      <c r="ARL196" s="394"/>
      <c r="ARM196" s="394"/>
      <c r="ARN196" s="394"/>
      <c r="ARO196" s="394"/>
      <c r="ARP196" s="394"/>
      <c r="ARQ196" s="394"/>
      <c r="ARR196" s="394"/>
      <c r="ARS196" s="394"/>
      <c r="ART196" s="394"/>
      <c r="ARU196" s="394"/>
      <c r="ARV196" s="394"/>
      <c r="ARW196" s="394"/>
      <c r="ARX196" s="394"/>
      <c r="ARY196" s="394"/>
      <c r="ARZ196" s="394"/>
      <c r="ASA196" s="394"/>
      <c r="ASB196" s="394"/>
      <c r="ASC196" s="394"/>
      <c r="ASD196" s="394"/>
      <c r="ASE196" s="394"/>
      <c r="ASF196" s="394"/>
      <c r="ASG196" s="394"/>
      <c r="ASH196" s="394"/>
      <c r="ASI196" s="394"/>
      <c r="ASJ196" s="394"/>
      <c r="ASK196" s="394"/>
      <c r="ASL196" s="394"/>
      <c r="ASM196" s="394"/>
      <c r="ASN196" s="394"/>
      <c r="ASO196" s="394"/>
      <c r="ASP196" s="394"/>
      <c r="ASQ196" s="394"/>
      <c r="ASR196" s="394"/>
      <c r="ASS196" s="394"/>
      <c r="AST196" s="394"/>
      <c r="ASU196" s="394"/>
      <c r="ASV196" s="394"/>
      <c r="ASW196" s="394"/>
      <c r="ASX196" s="394"/>
      <c r="ASY196" s="394"/>
      <c r="ASZ196" s="394"/>
      <c r="ATA196" s="394"/>
      <c r="ATB196" s="394"/>
      <c r="ATC196" s="394"/>
      <c r="ATD196" s="394"/>
      <c r="ATE196" s="394"/>
      <c r="ATF196" s="394"/>
      <c r="ATG196" s="394"/>
      <c r="ATH196" s="394"/>
      <c r="ATI196" s="394"/>
      <c r="ATJ196" s="394"/>
      <c r="ATK196" s="394"/>
      <c r="ATL196" s="394"/>
      <c r="ATM196" s="394"/>
      <c r="ATN196" s="394"/>
      <c r="ATO196" s="394"/>
      <c r="ATP196" s="394"/>
      <c r="ATQ196" s="394"/>
      <c r="ATR196" s="394"/>
      <c r="ATS196" s="394"/>
      <c r="ATT196" s="394"/>
      <c r="ATU196" s="394"/>
      <c r="ATV196" s="394"/>
      <c r="ATW196" s="394"/>
      <c r="ATX196" s="394"/>
      <c r="ATY196" s="394"/>
      <c r="ATZ196" s="394"/>
      <c r="AUA196" s="394"/>
      <c r="AUB196" s="394"/>
      <c r="AUC196" s="394"/>
      <c r="AUD196" s="394"/>
      <c r="AUE196" s="394"/>
      <c r="AUF196" s="394"/>
      <c r="AUG196" s="394"/>
      <c r="AUH196" s="394"/>
      <c r="AUI196" s="394"/>
      <c r="AUJ196" s="394"/>
      <c r="AUK196" s="394"/>
      <c r="AUL196" s="394"/>
      <c r="AUM196" s="394"/>
      <c r="AUN196" s="394"/>
      <c r="AUO196" s="394"/>
      <c r="AUP196" s="394"/>
      <c r="AUQ196" s="394"/>
      <c r="AUR196" s="394"/>
      <c r="AUS196" s="394"/>
      <c r="AUT196" s="394"/>
      <c r="AUU196" s="394"/>
      <c r="AUV196" s="394"/>
      <c r="AUW196" s="394"/>
      <c r="AUX196" s="394"/>
      <c r="AUY196" s="394"/>
      <c r="AUZ196" s="394"/>
      <c r="AVA196" s="394"/>
      <c r="AVB196" s="394"/>
      <c r="AVC196" s="394"/>
      <c r="AVD196" s="394"/>
      <c r="AVE196" s="394"/>
      <c r="AVF196" s="394"/>
      <c r="AVG196" s="394"/>
      <c r="AVH196" s="394"/>
      <c r="AVI196" s="394"/>
      <c r="AVJ196" s="394"/>
      <c r="AVK196" s="394"/>
      <c r="AVL196" s="394"/>
      <c r="AVM196" s="394"/>
      <c r="AVN196" s="394"/>
      <c r="AVO196" s="394"/>
      <c r="AVP196" s="394"/>
      <c r="AVQ196" s="394"/>
      <c r="AVR196" s="394"/>
      <c r="AVS196" s="394"/>
      <c r="AVT196" s="394"/>
      <c r="AVU196" s="394"/>
      <c r="AVV196" s="394"/>
      <c r="AVW196" s="394"/>
      <c r="AVX196" s="394"/>
      <c r="AVY196" s="394"/>
      <c r="AVZ196" s="394"/>
      <c r="AWA196" s="394"/>
      <c r="AWB196" s="394"/>
      <c r="AWC196" s="394"/>
      <c r="AWD196" s="394"/>
      <c r="AWE196" s="394"/>
      <c r="AWF196" s="394"/>
      <c r="AWG196" s="394"/>
      <c r="AWH196" s="394"/>
      <c r="AWI196" s="394"/>
      <c r="AWJ196" s="394"/>
      <c r="AWK196" s="394"/>
      <c r="AWL196" s="394"/>
      <c r="AWM196" s="394"/>
      <c r="AWN196" s="394"/>
      <c r="AWO196" s="394"/>
      <c r="AWP196" s="394"/>
      <c r="AWQ196" s="394"/>
      <c r="AWR196" s="394"/>
      <c r="AWS196" s="394"/>
      <c r="AWT196" s="394"/>
      <c r="AWU196" s="394"/>
      <c r="AWV196" s="394"/>
      <c r="AWW196" s="394"/>
      <c r="AWX196" s="394"/>
      <c r="AWY196" s="394"/>
      <c r="AWZ196" s="394"/>
      <c r="AXA196" s="394"/>
      <c r="AXB196" s="394"/>
      <c r="AXC196" s="394"/>
      <c r="AXD196" s="394"/>
      <c r="AXE196" s="394"/>
      <c r="AXF196" s="394"/>
      <c r="AXG196" s="394"/>
      <c r="AXH196" s="394"/>
      <c r="AXI196" s="394"/>
      <c r="AXJ196" s="394"/>
      <c r="AXK196" s="394"/>
      <c r="AXL196" s="394"/>
      <c r="AXM196" s="394"/>
      <c r="AXN196" s="394"/>
      <c r="AXO196" s="394"/>
      <c r="AXP196" s="394"/>
      <c r="AXQ196" s="394"/>
      <c r="AXR196" s="394"/>
      <c r="AXS196" s="394"/>
      <c r="AXT196" s="394"/>
      <c r="AXU196" s="394"/>
      <c r="AXV196" s="394"/>
      <c r="AXW196" s="394"/>
      <c r="AXX196" s="394"/>
      <c r="AXY196" s="394"/>
      <c r="AXZ196" s="394"/>
      <c r="AYA196" s="394"/>
      <c r="AYB196" s="394"/>
      <c r="AYC196" s="394"/>
      <c r="AYD196" s="394"/>
      <c r="AYE196" s="394"/>
      <c r="AYF196" s="394"/>
      <c r="AYG196" s="394"/>
      <c r="AYH196" s="394"/>
      <c r="AYI196" s="394"/>
      <c r="AYJ196" s="394"/>
      <c r="AYK196" s="394"/>
      <c r="AYL196" s="394"/>
      <c r="AYM196" s="394"/>
      <c r="AYN196" s="394"/>
      <c r="AYO196" s="394"/>
      <c r="AYP196" s="394"/>
      <c r="AYQ196" s="394"/>
      <c r="AYR196" s="394"/>
      <c r="AYS196" s="394"/>
      <c r="AYT196" s="394"/>
      <c r="AYU196" s="394"/>
      <c r="AYV196" s="394"/>
      <c r="AYW196" s="394"/>
      <c r="AYX196" s="394"/>
      <c r="AYY196" s="394"/>
      <c r="AYZ196" s="394"/>
      <c r="AZA196" s="394"/>
      <c r="AZB196" s="394"/>
      <c r="AZC196" s="394"/>
      <c r="AZD196" s="394"/>
      <c r="AZE196" s="394"/>
      <c r="AZF196" s="394"/>
      <c r="AZG196" s="394"/>
      <c r="AZH196" s="394"/>
      <c r="AZI196" s="394"/>
      <c r="AZJ196" s="394"/>
      <c r="AZK196" s="394"/>
      <c r="AZL196" s="394"/>
      <c r="AZM196" s="394"/>
      <c r="AZN196" s="394"/>
      <c r="AZO196" s="394"/>
      <c r="AZP196" s="394"/>
      <c r="AZQ196" s="394"/>
      <c r="AZR196" s="394"/>
      <c r="AZS196" s="394"/>
      <c r="AZT196" s="394"/>
      <c r="AZU196" s="394"/>
      <c r="AZV196" s="394"/>
      <c r="AZW196" s="394"/>
      <c r="AZX196" s="394"/>
      <c r="AZY196" s="394"/>
      <c r="AZZ196" s="394"/>
      <c r="BAA196" s="394"/>
      <c r="BAB196" s="394"/>
      <c r="BAC196" s="394"/>
      <c r="BAD196" s="394"/>
      <c r="BAE196" s="394"/>
      <c r="BAF196" s="394"/>
      <c r="BAG196" s="394"/>
      <c r="BAH196" s="394"/>
      <c r="BAI196" s="394"/>
      <c r="BAJ196" s="394"/>
      <c r="BAK196" s="394"/>
      <c r="BAL196" s="394"/>
      <c r="BAM196" s="394"/>
      <c r="BAN196" s="394"/>
      <c r="BAO196" s="394"/>
      <c r="BAP196" s="394"/>
      <c r="BAQ196" s="394"/>
      <c r="BAR196" s="394"/>
      <c r="BAS196" s="394"/>
      <c r="BAT196" s="394"/>
      <c r="BAU196" s="394"/>
      <c r="BAV196" s="394"/>
      <c r="BAW196" s="394"/>
      <c r="BAX196" s="394"/>
      <c r="BAY196" s="394"/>
      <c r="BAZ196" s="394"/>
      <c r="BBA196" s="394"/>
      <c r="BBB196" s="394"/>
      <c r="BBC196" s="394"/>
      <c r="BBD196" s="394"/>
      <c r="BBE196" s="394"/>
      <c r="BBF196" s="394"/>
      <c r="BBG196" s="394"/>
      <c r="BBH196" s="394"/>
      <c r="BBI196" s="394"/>
      <c r="BBJ196" s="394"/>
      <c r="BBK196" s="394"/>
      <c r="BBL196" s="394"/>
      <c r="BBM196" s="394"/>
      <c r="BBN196" s="394"/>
      <c r="BBO196" s="394"/>
      <c r="BBP196" s="394"/>
      <c r="BBQ196" s="394"/>
      <c r="BBR196" s="394"/>
      <c r="BBS196" s="394"/>
      <c r="BBT196" s="394"/>
      <c r="BBU196" s="394"/>
      <c r="BBV196" s="394"/>
      <c r="BBW196" s="394"/>
      <c r="BBX196" s="394"/>
      <c r="BBY196" s="394"/>
      <c r="BBZ196" s="394"/>
      <c r="BCA196" s="394"/>
      <c r="BCB196" s="394"/>
      <c r="BCC196" s="394"/>
      <c r="BCD196" s="394"/>
      <c r="BCE196" s="394"/>
      <c r="BCF196" s="394"/>
      <c r="BCG196" s="394"/>
      <c r="BCH196" s="394"/>
      <c r="BCI196" s="394"/>
      <c r="BCJ196" s="394"/>
      <c r="BCK196" s="394"/>
      <c r="BCL196" s="394"/>
      <c r="BCM196" s="394"/>
      <c r="BCN196" s="394"/>
      <c r="BCO196" s="394"/>
      <c r="BCP196" s="394"/>
      <c r="BCQ196" s="394"/>
      <c r="BCR196" s="394"/>
      <c r="BCS196" s="394"/>
      <c r="BCT196" s="394"/>
      <c r="BCU196" s="394"/>
      <c r="BCV196" s="394"/>
      <c r="BCW196" s="394"/>
      <c r="BCX196" s="394"/>
      <c r="BCY196" s="394"/>
      <c r="BCZ196" s="394"/>
      <c r="BDA196" s="394"/>
      <c r="BDB196" s="394"/>
      <c r="BDC196" s="394"/>
      <c r="BDD196" s="394"/>
      <c r="BDE196" s="394"/>
      <c r="BDF196" s="394"/>
      <c r="BDG196" s="394"/>
      <c r="BDH196" s="394"/>
      <c r="BDI196" s="394"/>
      <c r="BDJ196" s="394"/>
      <c r="BDK196" s="394"/>
      <c r="BDL196" s="394"/>
      <c r="BDM196" s="394"/>
      <c r="BDN196" s="394"/>
      <c r="BDO196" s="394"/>
      <c r="BDP196" s="394"/>
      <c r="BDQ196" s="394"/>
      <c r="BDR196" s="394"/>
      <c r="BDS196" s="394"/>
      <c r="BDT196" s="394"/>
      <c r="BDU196" s="394"/>
      <c r="BDV196" s="394"/>
      <c r="BDW196" s="394"/>
      <c r="BDX196" s="394"/>
      <c r="BDY196" s="394"/>
      <c r="BDZ196" s="394"/>
      <c r="BEA196" s="394"/>
      <c r="BEB196" s="394"/>
      <c r="BEC196" s="394"/>
      <c r="BED196" s="394"/>
      <c r="BEE196" s="394"/>
      <c r="BEF196" s="394"/>
      <c r="BEG196" s="394"/>
      <c r="BEH196" s="394"/>
      <c r="BEI196" s="394"/>
      <c r="BEJ196" s="394"/>
      <c r="BEK196" s="394"/>
      <c r="BEL196" s="394"/>
      <c r="BEM196" s="394"/>
      <c r="BEN196" s="394"/>
      <c r="BEO196" s="394"/>
      <c r="BEP196" s="394"/>
      <c r="BEQ196" s="394"/>
      <c r="BER196" s="394"/>
      <c r="BES196" s="394"/>
      <c r="BET196" s="394"/>
      <c r="BEU196" s="394"/>
      <c r="BEV196" s="394"/>
      <c r="BEW196" s="394"/>
      <c r="BEX196" s="394"/>
      <c r="BEY196" s="394"/>
      <c r="BEZ196" s="394"/>
      <c r="BFA196" s="394"/>
      <c r="BFB196" s="394"/>
      <c r="BFC196" s="394"/>
      <c r="BFD196" s="394"/>
      <c r="BFE196" s="394"/>
      <c r="BFF196" s="394"/>
      <c r="BFG196" s="394"/>
      <c r="BFH196" s="394"/>
      <c r="BFI196" s="394"/>
      <c r="BFJ196" s="394"/>
      <c r="BFK196" s="394"/>
      <c r="BFL196" s="394"/>
      <c r="BFM196" s="394"/>
      <c r="BFN196" s="394"/>
      <c r="BFO196" s="394"/>
      <c r="BFP196" s="394"/>
      <c r="BFQ196" s="394"/>
      <c r="BFR196" s="394"/>
      <c r="BFS196" s="394"/>
      <c r="BFT196" s="394"/>
      <c r="BFU196" s="394"/>
      <c r="BFV196" s="394"/>
      <c r="BFW196" s="394"/>
      <c r="BFX196" s="394"/>
      <c r="BFY196" s="394"/>
      <c r="BFZ196" s="394"/>
      <c r="BGA196" s="394"/>
      <c r="BGB196" s="394"/>
      <c r="BGC196" s="394"/>
      <c r="BGD196" s="394"/>
      <c r="BGE196" s="394"/>
      <c r="BGF196" s="394"/>
      <c r="BGG196" s="394"/>
      <c r="BGH196" s="394"/>
      <c r="BGI196" s="394"/>
      <c r="BGJ196" s="394"/>
      <c r="BGK196" s="394"/>
      <c r="BGL196" s="394"/>
      <c r="BGM196" s="394"/>
      <c r="BGN196" s="394"/>
      <c r="BGO196" s="394"/>
      <c r="BGP196" s="394"/>
      <c r="BGQ196" s="394"/>
      <c r="BGR196" s="394"/>
      <c r="BGS196" s="394"/>
      <c r="BGT196" s="394"/>
      <c r="BGU196" s="394"/>
      <c r="BGV196" s="394"/>
      <c r="BGW196" s="394"/>
      <c r="BGX196" s="394"/>
      <c r="BGY196" s="394"/>
      <c r="BGZ196" s="394"/>
      <c r="BHA196" s="394"/>
      <c r="BHB196" s="394"/>
      <c r="BHC196" s="394"/>
      <c r="BHD196" s="394"/>
      <c r="BHE196" s="394"/>
      <c r="BHF196" s="394"/>
      <c r="BHG196" s="394"/>
      <c r="BHH196" s="394"/>
      <c r="BHI196" s="394"/>
      <c r="BHJ196" s="394"/>
      <c r="BHK196" s="394"/>
      <c r="BHL196" s="394"/>
      <c r="BHM196" s="394"/>
      <c r="BHN196" s="394"/>
      <c r="BHO196" s="394"/>
      <c r="BHP196" s="394"/>
      <c r="BHQ196" s="394"/>
      <c r="BHR196" s="394"/>
      <c r="BHS196" s="394"/>
      <c r="BHT196" s="394"/>
      <c r="BHU196" s="394"/>
      <c r="BHV196" s="394"/>
      <c r="BHW196" s="394"/>
      <c r="BHX196" s="394"/>
      <c r="BHY196" s="394"/>
      <c r="BHZ196" s="394"/>
      <c r="BIA196" s="394"/>
      <c r="BIB196" s="394"/>
      <c r="BIC196" s="394"/>
      <c r="BID196" s="394"/>
      <c r="BIE196" s="394"/>
      <c r="BIF196" s="394"/>
      <c r="BIG196" s="394"/>
      <c r="BIH196" s="394"/>
      <c r="BII196" s="394"/>
      <c r="BIJ196" s="394"/>
      <c r="BIK196" s="394"/>
      <c r="BIL196" s="394"/>
      <c r="BIM196" s="394"/>
      <c r="BIN196" s="394"/>
      <c r="BIO196" s="394"/>
      <c r="BIP196" s="394"/>
      <c r="BIQ196" s="394"/>
      <c r="BIR196" s="394"/>
      <c r="BIS196" s="394"/>
      <c r="BIT196" s="394"/>
      <c r="BIU196" s="394"/>
      <c r="BIV196" s="394"/>
      <c r="BIW196" s="394"/>
      <c r="BIX196" s="394"/>
      <c r="BIY196" s="394"/>
      <c r="BIZ196" s="394"/>
      <c r="BJA196" s="394"/>
      <c r="BJB196" s="394"/>
      <c r="BJC196" s="394"/>
      <c r="BJD196" s="394"/>
      <c r="BJE196" s="394"/>
      <c r="BJF196" s="394"/>
      <c r="BJG196" s="394"/>
      <c r="BJH196" s="394"/>
      <c r="BJI196" s="394"/>
      <c r="BJJ196" s="394"/>
      <c r="BJK196" s="394"/>
      <c r="BJL196" s="394"/>
      <c r="BJM196" s="394"/>
      <c r="BJN196" s="394"/>
      <c r="BJO196" s="394"/>
      <c r="BJP196" s="394"/>
      <c r="BJQ196" s="394"/>
      <c r="BJR196" s="394"/>
      <c r="BJS196" s="394"/>
      <c r="BJT196" s="394"/>
      <c r="BJU196" s="394"/>
      <c r="BJV196" s="394"/>
      <c r="BJW196" s="394"/>
      <c r="BJX196" s="394"/>
      <c r="BJY196" s="394"/>
      <c r="BJZ196" s="394"/>
      <c r="BKA196" s="394"/>
      <c r="BKB196" s="394"/>
      <c r="BKC196" s="394"/>
      <c r="BKD196" s="394"/>
      <c r="BKE196" s="394"/>
      <c r="BKF196" s="394"/>
      <c r="BKG196" s="394"/>
      <c r="BKH196" s="394"/>
      <c r="BKI196" s="394"/>
      <c r="BKJ196" s="394"/>
      <c r="BKK196" s="394"/>
      <c r="BKL196" s="394"/>
      <c r="BKM196" s="394"/>
      <c r="BKN196" s="394"/>
      <c r="BKO196" s="394"/>
      <c r="BKP196" s="394"/>
      <c r="BKQ196" s="394"/>
      <c r="BKR196" s="394"/>
      <c r="BKS196" s="394"/>
      <c r="BKT196" s="394"/>
      <c r="BKU196" s="394"/>
      <c r="BKV196" s="394"/>
      <c r="BKW196" s="394"/>
      <c r="BKX196" s="394"/>
      <c r="BKY196" s="394"/>
      <c r="BKZ196" s="394"/>
      <c r="BLA196" s="394"/>
      <c r="BLB196" s="394"/>
      <c r="BLC196" s="394"/>
      <c r="BLD196" s="394"/>
      <c r="BLE196" s="394"/>
      <c r="BLF196" s="394"/>
      <c r="BLG196" s="394"/>
      <c r="BLH196" s="394"/>
      <c r="BLI196" s="394"/>
      <c r="BLJ196" s="394"/>
      <c r="BLK196" s="394"/>
      <c r="BLL196" s="394"/>
      <c r="BLM196" s="394"/>
      <c r="BLN196" s="394"/>
      <c r="BLO196" s="394"/>
      <c r="BLP196" s="394"/>
      <c r="BLQ196" s="394"/>
      <c r="BLR196" s="394"/>
      <c r="BLS196" s="394"/>
      <c r="BLT196" s="394"/>
      <c r="BLU196" s="394"/>
      <c r="BLV196" s="394"/>
      <c r="BLW196" s="394"/>
      <c r="BLX196" s="394"/>
      <c r="BLY196" s="394"/>
      <c r="BLZ196" s="394"/>
      <c r="BMA196" s="394"/>
      <c r="BMB196" s="394"/>
      <c r="BMC196" s="394"/>
      <c r="BMD196" s="394"/>
      <c r="BME196" s="394"/>
      <c r="BMF196" s="394"/>
      <c r="BMG196" s="394"/>
      <c r="BMH196" s="394"/>
      <c r="BMI196" s="394"/>
      <c r="BMJ196" s="394"/>
      <c r="BMK196" s="394"/>
      <c r="BML196" s="394"/>
      <c r="BMM196" s="394"/>
      <c r="BMN196" s="394"/>
      <c r="BMO196" s="394"/>
      <c r="BMP196" s="394"/>
      <c r="BMQ196" s="394"/>
      <c r="BMR196" s="394"/>
      <c r="BMS196" s="394"/>
      <c r="BMT196" s="394"/>
      <c r="BMU196" s="394"/>
      <c r="BMV196" s="394"/>
      <c r="BMW196" s="394"/>
      <c r="BMX196" s="394"/>
      <c r="BMY196" s="394"/>
      <c r="BMZ196" s="394"/>
      <c r="BNA196" s="394"/>
      <c r="BNB196" s="394"/>
      <c r="BNC196" s="394"/>
      <c r="BND196" s="394"/>
      <c r="BNE196" s="394"/>
      <c r="BNF196" s="394"/>
      <c r="BNG196" s="394"/>
      <c r="BNH196" s="394"/>
      <c r="BNI196" s="394"/>
      <c r="BNJ196" s="394"/>
      <c r="BNK196" s="394"/>
      <c r="BNL196" s="394"/>
      <c r="BNM196" s="394"/>
      <c r="BNN196" s="394"/>
      <c r="BNO196" s="394"/>
      <c r="BNP196" s="394"/>
      <c r="BNQ196" s="394"/>
      <c r="BNR196" s="394"/>
      <c r="BNS196" s="394"/>
      <c r="BNT196" s="394"/>
      <c r="BNU196" s="394"/>
      <c r="BNV196" s="394"/>
      <c r="BNW196" s="394"/>
      <c r="BNX196" s="394"/>
      <c r="BNY196" s="394"/>
      <c r="BNZ196" s="394"/>
      <c r="BOA196" s="394"/>
      <c r="BOB196" s="394"/>
      <c r="BOC196" s="394"/>
      <c r="BOD196" s="394"/>
      <c r="BOE196" s="394"/>
      <c r="BOF196" s="394"/>
      <c r="BOG196" s="394"/>
      <c r="BOH196" s="394"/>
      <c r="BOI196" s="394"/>
      <c r="BOJ196" s="394"/>
      <c r="BOK196" s="394"/>
      <c r="BOL196" s="394"/>
      <c r="BOM196" s="394"/>
      <c r="BON196" s="394"/>
      <c r="BOO196" s="394"/>
      <c r="BOP196" s="394"/>
      <c r="BOQ196" s="394"/>
      <c r="BOR196" s="394"/>
      <c r="BOS196" s="394"/>
      <c r="BOT196" s="394"/>
      <c r="BOU196" s="394"/>
      <c r="BOV196" s="394"/>
      <c r="BOW196" s="394"/>
      <c r="BOX196" s="394"/>
      <c r="BOY196" s="394"/>
      <c r="BOZ196" s="394"/>
      <c r="BPA196" s="394"/>
      <c r="BPB196" s="394"/>
      <c r="BPC196" s="394"/>
      <c r="BPD196" s="394"/>
      <c r="BPE196" s="394"/>
      <c r="BPF196" s="394"/>
      <c r="BPG196" s="394"/>
      <c r="BPH196" s="394"/>
      <c r="BPI196" s="394"/>
      <c r="BPJ196" s="394"/>
      <c r="BPK196" s="394"/>
      <c r="BPL196" s="394"/>
      <c r="BPM196" s="394"/>
      <c r="BPN196" s="394"/>
      <c r="BPO196" s="394"/>
      <c r="BPP196" s="394"/>
      <c r="BPQ196" s="394"/>
      <c r="BPR196" s="394"/>
      <c r="BPS196" s="394"/>
      <c r="BPT196" s="394"/>
      <c r="BPU196" s="394"/>
      <c r="BPV196" s="394"/>
      <c r="BPW196" s="394"/>
      <c r="BPX196" s="394"/>
      <c r="BPY196" s="394"/>
      <c r="BPZ196" s="394"/>
      <c r="BQA196" s="394"/>
      <c r="BQB196" s="394"/>
      <c r="BQC196" s="394"/>
      <c r="BQD196" s="394"/>
      <c r="BQE196" s="394"/>
      <c r="BQF196" s="394"/>
      <c r="BQG196" s="394"/>
      <c r="BQH196" s="394"/>
      <c r="BQI196" s="394"/>
      <c r="BQJ196" s="394"/>
      <c r="BQK196" s="394"/>
      <c r="BQL196" s="394"/>
      <c r="BQM196" s="394"/>
      <c r="BQN196" s="394"/>
      <c r="BQO196" s="394"/>
      <c r="BQP196" s="394"/>
      <c r="BQQ196" s="394"/>
      <c r="BQR196" s="394"/>
      <c r="BQS196" s="394"/>
      <c r="BQT196" s="394"/>
      <c r="BQU196" s="394"/>
      <c r="BQV196" s="394"/>
      <c r="BQW196" s="394"/>
      <c r="BQX196" s="394"/>
      <c r="BQY196" s="394"/>
      <c r="BQZ196" s="394"/>
      <c r="BRA196" s="394"/>
      <c r="BRB196" s="394"/>
      <c r="BRC196" s="394"/>
      <c r="BRD196" s="394"/>
      <c r="BRE196" s="394"/>
      <c r="BRF196" s="394"/>
      <c r="BRG196" s="394"/>
      <c r="BRH196" s="394"/>
      <c r="BRI196" s="394"/>
      <c r="BRJ196" s="394"/>
      <c r="BRK196" s="394"/>
      <c r="BRL196" s="394"/>
      <c r="BRM196" s="394"/>
      <c r="BRN196" s="394"/>
      <c r="BRO196" s="394"/>
      <c r="BRP196" s="394"/>
      <c r="BRQ196" s="394"/>
      <c r="BRR196" s="394"/>
      <c r="BRS196" s="394"/>
      <c r="BRT196" s="394"/>
      <c r="BRU196" s="394"/>
      <c r="BRV196" s="394"/>
      <c r="BRW196" s="394"/>
      <c r="BRX196" s="394"/>
      <c r="BRY196" s="394"/>
      <c r="BRZ196" s="394"/>
      <c r="BSA196" s="394"/>
      <c r="BSB196" s="394"/>
      <c r="BSC196" s="394"/>
      <c r="BSD196" s="394"/>
      <c r="BSE196" s="394"/>
      <c r="BSF196" s="394"/>
      <c r="BSG196" s="394"/>
      <c r="BSH196" s="394"/>
      <c r="BSI196" s="394"/>
      <c r="BSJ196" s="394"/>
      <c r="BSK196" s="394"/>
      <c r="BSL196" s="394"/>
      <c r="BSM196" s="394"/>
      <c r="BSN196" s="394"/>
      <c r="BSO196" s="394"/>
      <c r="BSP196" s="394"/>
      <c r="BSQ196" s="394"/>
      <c r="BSR196" s="394"/>
      <c r="BSS196" s="394"/>
      <c r="BST196" s="394"/>
      <c r="BSU196" s="394"/>
      <c r="BSV196" s="394"/>
      <c r="BSW196" s="394"/>
      <c r="BSX196" s="394"/>
      <c r="BSY196" s="394"/>
      <c r="BSZ196" s="394"/>
      <c r="BTA196" s="394"/>
      <c r="BTB196" s="394"/>
      <c r="BTC196" s="394"/>
      <c r="BTD196" s="394"/>
      <c r="BTE196" s="394"/>
      <c r="BTF196" s="394"/>
      <c r="BTG196" s="394"/>
      <c r="BTH196" s="394"/>
      <c r="BTI196" s="394"/>
    </row>
    <row r="197" spans="1:1881" s="225" customFormat="1" ht="52.5" customHeight="1" x14ac:dyDescent="0.25">
      <c r="A197" s="188">
        <v>527</v>
      </c>
      <c r="B197" s="150" t="s">
        <v>65</v>
      </c>
      <c r="C197" s="182" t="s">
        <v>235</v>
      </c>
      <c r="D197" s="175" t="s">
        <v>230</v>
      </c>
      <c r="E197" s="32" t="e">
        <f>HLOOKUP($D$2,'2019 Data(H)'!$C$1:$CP$300,177,FALSE)</f>
        <v>#N/A</v>
      </c>
      <c r="F197" s="589"/>
      <c r="G197" s="316"/>
      <c r="H197" s="13"/>
      <c r="I197" s="297"/>
      <c r="J197" s="394"/>
      <c r="K197" s="394"/>
      <c r="L197" s="394"/>
      <c r="M197" s="394"/>
      <c r="N197"/>
      <c r="O197" s="394"/>
      <c r="P197" s="394"/>
      <c r="Q197" s="394"/>
      <c r="R197" s="394"/>
      <c r="S197" s="394"/>
      <c r="T197" s="394"/>
      <c r="U197" s="394"/>
      <c r="V197" s="394"/>
      <c r="W197" s="394"/>
      <c r="X197" s="394"/>
      <c r="Y197" s="394"/>
      <c r="Z197" s="394"/>
      <c r="AA197" s="394"/>
      <c r="AB197" s="394"/>
      <c r="AC197" s="394"/>
      <c r="AD197" s="394"/>
      <c r="AE197" s="394"/>
      <c r="AF197" s="394"/>
      <c r="AG197" s="394"/>
      <c r="AH197" s="394"/>
      <c r="AI197" s="394"/>
      <c r="AJ197" s="394"/>
      <c r="AK197" s="394"/>
      <c r="AL197" s="394"/>
      <c r="AM197" s="394"/>
      <c r="AN197" s="394"/>
      <c r="AO197" s="394"/>
      <c r="AP197" s="394"/>
      <c r="AQ197" s="394"/>
      <c r="AR197" s="394"/>
      <c r="AS197" s="394"/>
      <c r="AT197" s="394"/>
      <c r="AU197" s="394"/>
      <c r="AV197" s="394"/>
      <c r="AW197" s="394"/>
      <c r="AX197" s="394"/>
      <c r="AY197" s="394"/>
      <c r="AZ197" s="394"/>
      <c r="BA197" s="394"/>
      <c r="BB197" s="394"/>
      <c r="BC197" s="394"/>
      <c r="BD197" s="394"/>
      <c r="BE197" s="394"/>
      <c r="BF197" s="394"/>
      <c r="BG197" s="394"/>
      <c r="BH197" s="394"/>
      <c r="BI197" s="394"/>
      <c r="BJ197" s="394"/>
      <c r="BK197" s="394"/>
      <c r="BL197" s="394"/>
      <c r="BM197" s="394"/>
      <c r="BN197" s="394"/>
      <c r="BO197" s="394"/>
      <c r="BP197" s="394"/>
      <c r="BQ197" s="394"/>
      <c r="BR197" s="394"/>
      <c r="BS197" s="394"/>
      <c r="BT197" s="394"/>
      <c r="BU197" s="394"/>
      <c r="BV197" s="394"/>
      <c r="BW197" s="394"/>
      <c r="BX197" s="394"/>
      <c r="BY197" s="394"/>
      <c r="BZ197" s="394"/>
      <c r="CA197" s="394"/>
      <c r="CB197" s="394"/>
      <c r="CC197" s="394"/>
      <c r="CD197" s="394"/>
      <c r="CE197" s="394"/>
      <c r="CF197" s="394"/>
      <c r="CG197" s="394"/>
      <c r="CH197" s="394"/>
      <c r="CI197" s="394"/>
      <c r="CJ197" s="394"/>
      <c r="CK197" s="394"/>
      <c r="CL197" s="394"/>
      <c r="CM197" s="394"/>
      <c r="CN197" s="394"/>
      <c r="CO197" s="394"/>
      <c r="CP197" s="394"/>
      <c r="CQ197" s="394"/>
      <c r="CR197" s="394"/>
      <c r="CS197" s="394"/>
      <c r="CT197" s="394"/>
      <c r="CU197" s="394"/>
      <c r="CV197" s="394"/>
      <c r="CW197" s="394"/>
      <c r="CX197" s="394"/>
      <c r="CY197" s="394"/>
      <c r="CZ197" s="394"/>
      <c r="DA197" s="394"/>
      <c r="DB197" s="394"/>
      <c r="DC197" s="394"/>
      <c r="DD197" s="394"/>
      <c r="DE197" s="394"/>
      <c r="DF197" s="394"/>
      <c r="DG197" s="394"/>
      <c r="DH197" s="394"/>
      <c r="DI197" s="394"/>
      <c r="DJ197" s="394"/>
      <c r="DK197" s="394"/>
      <c r="DL197" s="394"/>
      <c r="DM197" s="394"/>
      <c r="DN197" s="394"/>
      <c r="DO197" s="394"/>
      <c r="DP197" s="394"/>
      <c r="DQ197" s="394"/>
      <c r="DR197" s="394"/>
      <c r="DS197" s="394"/>
      <c r="DT197" s="394"/>
      <c r="DU197" s="394"/>
      <c r="DV197" s="394"/>
      <c r="DW197" s="394"/>
      <c r="DX197" s="394"/>
      <c r="DY197" s="394"/>
      <c r="DZ197" s="394"/>
      <c r="EA197" s="394"/>
      <c r="EB197" s="394"/>
      <c r="EC197" s="394"/>
      <c r="ED197" s="394"/>
      <c r="EE197" s="394"/>
      <c r="EF197" s="394"/>
      <c r="EG197" s="394"/>
      <c r="EH197" s="394"/>
      <c r="EI197" s="394"/>
      <c r="EJ197" s="394"/>
      <c r="EK197" s="394"/>
      <c r="EL197" s="394"/>
      <c r="EM197" s="394"/>
      <c r="EN197" s="394"/>
      <c r="EO197" s="394"/>
      <c r="EP197" s="394"/>
      <c r="EQ197" s="394"/>
      <c r="ER197" s="394"/>
      <c r="ES197" s="394"/>
      <c r="ET197" s="394"/>
      <c r="EU197" s="394"/>
      <c r="EV197" s="394"/>
      <c r="EW197" s="394"/>
      <c r="EX197" s="394"/>
      <c r="EY197" s="394"/>
      <c r="EZ197" s="394"/>
      <c r="FA197" s="394"/>
      <c r="FB197" s="394"/>
      <c r="FC197" s="394"/>
      <c r="FD197" s="394"/>
      <c r="FE197" s="394"/>
      <c r="FF197" s="394"/>
      <c r="FG197" s="394"/>
      <c r="FH197" s="394"/>
      <c r="FI197" s="394"/>
      <c r="FJ197" s="394"/>
      <c r="FK197" s="394"/>
      <c r="FL197" s="394"/>
      <c r="FM197" s="394"/>
      <c r="FN197" s="394"/>
      <c r="FO197" s="394"/>
      <c r="FP197" s="394"/>
      <c r="FQ197" s="394"/>
      <c r="FR197" s="394"/>
      <c r="FS197" s="394"/>
      <c r="FT197" s="394"/>
      <c r="FU197" s="394"/>
      <c r="FV197" s="394"/>
      <c r="FW197" s="394"/>
      <c r="FX197" s="394"/>
      <c r="FY197" s="394"/>
      <c r="FZ197" s="394"/>
      <c r="GA197" s="394"/>
      <c r="GB197" s="394"/>
      <c r="GC197" s="394"/>
      <c r="GD197" s="394"/>
      <c r="GE197" s="394"/>
      <c r="GF197" s="394"/>
      <c r="GG197" s="394"/>
      <c r="GH197" s="394"/>
      <c r="GI197" s="394"/>
      <c r="GJ197" s="394"/>
      <c r="GK197" s="394"/>
      <c r="GL197" s="394"/>
      <c r="GM197" s="394"/>
      <c r="GN197" s="394"/>
      <c r="GO197" s="394"/>
      <c r="GP197" s="394"/>
      <c r="GQ197" s="394"/>
      <c r="GR197" s="394"/>
      <c r="GS197" s="394"/>
      <c r="GT197" s="394"/>
      <c r="GU197" s="394"/>
      <c r="GV197" s="394"/>
      <c r="GW197" s="394"/>
      <c r="GX197" s="394"/>
      <c r="GY197" s="394"/>
      <c r="GZ197" s="394"/>
      <c r="HA197" s="394"/>
      <c r="HB197" s="394"/>
      <c r="HC197" s="394"/>
      <c r="HD197" s="394"/>
      <c r="HE197" s="394"/>
      <c r="HF197" s="394"/>
      <c r="HG197" s="394"/>
      <c r="HH197" s="394"/>
      <c r="HI197" s="394"/>
      <c r="HJ197" s="394"/>
      <c r="HK197" s="394"/>
      <c r="HL197" s="394"/>
      <c r="HM197" s="394"/>
      <c r="HN197" s="394"/>
      <c r="HO197" s="394"/>
      <c r="HP197" s="394"/>
      <c r="HQ197" s="394"/>
      <c r="HR197" s="394"/>
      <c r="HS197" s="394"/>
      <c r="HT197" s="394"/>
      <c r="HU197" s="394"/>
      <c r="HV197" s="394"/>
      <c r="HW197" s="394"/>
      <c r="HX197" s="394"/>
      <c r="HY197" s="394"/>
      <c r="HZ197" s="394"/>
      <c r="IA197" s="394"/>
      <c r="IB197" s="394"/>
      <c r="IC197" s="394"/>
      <c r="ID197" s="394"/>
      <c r="IE197" s="394"/>
      <c r="IF197" s="394"/>
      <c r="IG197" s="394"/>
      <c r="IH197" s="394"/>
      <c r="II197" s="394"/>
      <c r="IJ197" s="394"/>
      <c r="IK197" s="394"/>
      <c r="IL197" s="394"/>
      <c r="IM197" s="394"/>
      <c r="IN197" s="394"/>
      <c r="IO197" s="394"/>
      <c r="IP197" s="394"/>
      <c r="IQ197" s="394"/>
      <c r="IR197" s="394"/>
      <c r="IS197" s="394"/>
      <c r="IT197" s="394"/>
      <c r="IU197" s="394"/>
      <c r="IV197" s="394"/>
      <c r="IW197" s="394"/>
      <c r="IX197" s="394"/>
      <c r="IY197" s="394"/>
      <c r="IZ197" s="394"/>
      <c r="JA197" s="394"/>
      <c r="JB197" s="394"/>
      <c r="JC197" s="394"/>
      <c r="JD197" s="394"/>
      <c r="JE197" s="394"/>
      <c r="JF197" s="394"/>
      <c r="JG197" s="394"/>
      <c r="JH197" s="394"/>
      <c r="JI197" s="394"/>
      <c r="JJ197" s="394"/>
      <c r="JK197" s="394"/>
      <c r="JL197" s="394"/>
      <c r="JM197" s="394"/>
      <c r="JN197" s="394"/>
      <c r="JO197" s="394"/>
      <c r="JP197" s="394"/>
      <c r="JQ197" s="394"/>
      <c r="JR197" s="394"/>
      <c r="JS197" s="394"/>
      <c r="JT197" s="394"/>
      <c r="JU197" s="394"/>
      <c r="JV197" s="394"/>
      <c r="JW197" s="394"/>
      <c r="JX197" s="394"/>
      <c r="JY197" s="394"/>
      <c r="JZ197" s="394"/>
      <c r="KA197" s="394"/>
      <c r="KB197" s="394"/>
      <c r="KC197" s="394"/>
      <c r="KD197" s="394"/>
      <c r="KE197" s="394"/>
      <c r="KF197" s="394"/>
      <c r="KG197" s="394"/>
      <c r="KH197" s="394"/>
      <c r="KI197" s="394"/>
      <c r="KJ197" s="394"/>
      <c r="KK197" s="394"/>
      <c r="KL197" s="394"/>
      <c r="KM197" s="394"/>
      <c r="KN197" s="394"/>
      <c r="KO197" s="394"/>
      <c r="KP197" s="394"/>
      <c r="KQ197" s="394"/>
      <c r="KR197" s="394"/>
      <c r="KS197" s="394"/>
      <c r="KT197" s="394"/>
      <c r="KU197" s="394"/>
      <c r="KV197" s="394"/>
      <c r="KW197" s="394"/>
      <c r="KX197" s="394"/>
      <c r="KY197" s="394"/>
      <c r="KZ197" s="394"/>
      <c r="LA197" s="394"/>
      <c r="LB197" s="394"/>
      <c r="LC197" s="394"/>
      <c r="LD197" s="394"/>
      <c r="LE197" s="394"/>
      <c r="LF197" s="394"/>
      <c r="LG197" s="394"/>
      <c r="LH197" s="394"/>
      <c r="LI197" s="394"/>
      <c r="LJ197" s="394"/>
      <c r="LK197" s="394"/>
      <c r="LL197" s="394"/>
      <c r="LM197" s="394"/>
      <c r="LN197" s="394"/>
      <c r="LO197" s="394"/>
      <c r="LP197" s="394"/>
      <c r="LQ197" s="394"/>
      <c r="LR197" s="394"/>
      <c r="LS197" s="394"/>
      <c r="LT197" s="394"/>
      <c r="LU197" s="394"/>
      <c r="LV197" s="394"/>
      <c r="LW197" s="394"/>
      <c r="LX197" s="394"/>
      <c r="LY197" s="394"/>
      <c r="LZ197" s="394"/>
      <c r="MA197" s="394"/>
      <c r="MB197" s="394"/>
      <c r="MC197" s="394"/>
      <c r="MD197" s="394"/>
      <c r="ME197" s="394"/>
      <c r="MF197" s="394"/>
      <c r="MG197" s="394"/>
      <c r="MH197" s="394"/>
      <c r="MI197" s="394"/>
      <c r="MJ197" s="394"/>
      <c r="MK197" s="394"/>
      <c r="ML197" s="394"/>
      <c r="MM197" s="394"/>
      <c r="MN197" s="394"/>
      <c r="MO197" s="394"/>
      <c r="MP197" s="394"/>
      <c r="MQ197" s="394"/>
      <c r="MR197" s="394"/>
      <c r="MS197" s="394"/>
      <c r="MT197" s="394"/>
      <c r="MU197" s="394"/>
      <c r="MV197" s="394"/>
      <c r="MW197" s="394"/>
      <c r="MX197" s="394"/>
      <c r="MY197" s="394"/>
      <c r="MZ197" s="394"/>
      <c r="NA197" s="394"/>
      <c r="NB197" s="394"/>
      <c r="NC197" s="394"/>
      <c r="ND197" s="394"/>
      <c r="NE197" s="394"/>
      <c r="NF197" s="394"/>
      <c r="NG197" s="394"/>
      <c r="NH197" s="394"/>
      <c r="NI197" s="394"/>
      <c r="NJ197" s="394"/>
      <c r="NK197" s="394"/>
      <c r="NL197" s="394"/>
      <c r="NM197" s="394"/>
      <c r="NN197" s="394"/>
      <c r="NO197" s="394"/>
      <c r="NP197" s="394"/>
      <c r="NQ197" s="394"/>
      <c r="NR197" s="394"/>
      <c r="NS197" s="394"/>
      <c r="NT197" s="394"/>
      <c r="NU197" s="394"/>
      <c r="NV197" s="394"/>
      <c r="NW197" s="394"/>
      <c r="NX197" s="394"/>
      <c r="NY197" s="394"/>
      <c r="NZ197" s="394"/>
      <c r="OA197" s="394"/>
      <c r="OB197" s="394"/>
      <c r="OC197" s="394"/>
      <c r="OD197" s="394"/>
      <c r="OE197" s="394"/>
      <c r="OF197" s="394"/>
      <c r="OG197" s="394"/>
      <c r="OH197" s="394"/>
      <c r="OI197" s="394"/>
      <c r="OJ197" s="394"/>
      <c r="OK197" s="394"/>
      <c r="OL197" s="394"/>
      <c r="OM197" s="394"/>
      <c r="ON197" s="394"/>
      <c r="OO197" s="394"/>
      <c r="OP197" s="394"/>
      <c r="OQ197" s="394"/>
      <c r="OR197" s="394"/>
      <c r="OS197" s="394"/>
      <c r="OT197" s="394"/>
      <c r="OU197" s="394"/>
      <c r="OV197" s="394"/>
      <c r="OW197" s="394"/>
      <c r="OX197" s="394"/>
      <c r="OY197" s="394"/>
      <c r="OZ197" s="394"/>
      <c r="PA197" s="394"/>
      <c r="PB197" s="394"/>
      <c r="PC197" s="394"/>
      <c r="PD197" s="394"/>
      <c r="PE197" s="394"/>
      <c r="PF197" s="394"/>
      <c r="PG197" s="394"/>
      <c r="PH197" s="394"/>
      <c r="PI197" s="394"/>
      <c r="PJ197" s="394"/>
      <c r="PK197" s="394"/>
      <c r="PL197" s="394"/>
      <c r="PM197" s="394"/>
      <c r="PN197" s="394"/>
      <c r="PO197" s="394"/>
      <c r="PP197" s="394"/>
      <c r="PQ197" s="394"/>
      <c r="PR197" s="394"/>
      <c r="PS197" s="394"/>
      <c r="PT197" s="394"/>
      <c r="PU197" s="394"/>
      <c r="PV197" s="394"/>
      <c r="PW197" s="394"/>
      <c r="PX197" s="394"/>
      <c r="PY197" s="394"/>
      <c r="PZ197" s="394"/>
      <c r="QA197" s="394"/>
      <c r="QB197" s="394"/>
      <c r="QC197" s="394"/>
      <c r="QD197" s="394"/>
      <c r="QE197" s="394"/>
      <c r="QF197" s="394"/>
      <c r="QG197" s="394"/>
      <c r="QH197" s="394"/>
      <c r="QI197" s="394"/>
      <c r="QJ197" s="394"/>
      <c r="QK197" s="394"/>
      <c r="QL197" s="394"/>
      <c r="QM197" s="394"/>
      <c r="QN197" s="394"/>
      <c r="QO197" s="394"/>
      <c r="QP197" s="394"/>
      <c r="QQ197" s="394"/>
      <c r="QR197" s="394"/>
      <c r="QS197" s="394"/>
      <c r="QT197" s="394"/>
      <c r="QU197" s="394"/>
      <c r="QV197" s="394"/>
      <c r="QW197" s="394"/>
      <c r="QX197" s="394"/>
      <c r="QY197" s="394"/>
      <c r="QZ197" s="394"/>
      <c r="RA197" s="394"/>
      <c r="RB197" s="394"/>
      <c r="RC197" s="394"/>
      <c r="RD197" s="394"/>
      <c r="RE197" s="394"/>
      <c r="RF197" s="394"/>
      <c r="RG197" s="394"/>
      <c r="RH197" s="394"/>
      <c r="RI197" s="394"/>
      <c r="RJ197" s="394"/>
      <c r="RK197" s="394"/>
      <c r="RL197" s="394"/>
      <c r="RM197" s="394"/>
      <c r="RN197" s="394"/>
      <c r="RO197" s="394"/>
      <c r="RP197" s="394"/>
      <c r="RQ197" s="394"/>
      <c r="RR197" s="394"/>
      <c r="RS197" s="394"/>
      <c r="RT197" s="394"/>
      <c r="RU197" s="394"/>
      <c r="RV197" s="394"/>
      <c r="RW197" s="394"/>
      <c r="RX197" s="394"/>
      <c r="RY197" s="394"/>
      <c r="RZ197" s="394"/>
      <c r="SA197" s="394"/>
      <c r="SB197" s="394"/>
      <c r="SC197" s="394"/>
      <c r="SD197" s="394"/>
      <c r="SE197" s="394"/>
      <c r="SF197" s="394"/>
      <c r="SG197" s="394"/>
      <c r="SH197" s="394"/>
      <c r="SI197" s="394"/>
      <c r="SJ197" s="394"/>
      <c r="SK197" s="394"/>
      <c r="SL197" s="394"/>
      <c r="SM197" s="394"/>
      <c r="SN197" s="394"/>
      <c r="SO197" s="394"/>
      <c r="SP197" s="394"/>
      <c r="SQ197" s="394"/>
      <c r="SR197" s="394"/>
      <c r="SS197" s="394"/>
      <c r="ST197" s="394"/>
      <c r="SU197" s="394"/>
      <c r="SV197" s="394"/>
      <c r="SW197" s="394"/>
      <c r="SX197" s="394"/>
      <c r="SY197" s="394"/>
      <c r="SZ197" s="394"/>
      <c r="TA197" s="394"/>
      <c r="TB197" s="394"/>
      <c r="TC197" s="394"/>
      <c r="TD197" s="394"/>
      <c r="TE197" s="394"/>
      <c r="TF197" s="394"/>
      <c r="TG197" s="394"/>
      <c r="TH197" s="394"/>
      <c r="TI197" s="394"/>
      <c r="TJ197" s="394"/>
      <c r="TK197" s="394"/>
      <c r="TL197" s="394"/>
      <c r="TM197" s="394"/>
      <c r="TN197" s="394"/>
      <c r="TO197" s="394"/>
      <c r="TP197" s="394"/>
      <c r="TQ197" s="394"/>
      <c r="TR197" s="394"/>
      <c r="TS197" s="394"/>
      <c r="TT197" s="394"/>
      <c r="TU197" s="394"/>
      <c r="TV197" s="394"/>
      <c r="TW197" s="394"/>
      <c r="TX197" s="394"/>
      <c r="TY197" s="394"/>
      <c r="TZ197" s="394"/>
      <c r="UA197" s="394"/>
      <c r="UB197" s="394"/>
      <c r="UC197" s="394"/>
      <c r="UD197" s="394"/>
      <c r="UE197" s="394"/>
      <c r="UF197" s="394"/>
      <c r="UG197" s="394"/>
      <c r="UH197" s="394"/>
      <c r="UI197" s="394"/>
      <c r="UJ197" s="394"/>
      <c r="UK197" s="394"/>
      <c r="UL197" s="394"/>
      <c r="UM197" s="394"/>
      <c r="UN197" s="394"/>
      <c r="UO197" s="394"/>
      <c r="UP197" s="394"/>
      <c r="UQ197" s="394"/>
      <c r="UR197" s="394"/>
      <c r="US197" s="394"/>
      <c r="UT197" s="394"/>
      <c r="UU197" s="394"/>
      <c r="UV197" s="394"/>
      <c r="UW197" s="394"/>
      <c r="UX197" s="394"/>
      <c r="UY197" s="394"/>
      <c r="UZ197" s="394"/>
      <c r="VA197" s="394"/>
      <c r="VB197" s="394"/>
      <c r="VC197" s="394"/>
      <c r="VD197" s="394"/>
      <c r="VE197" s="394"/>
      <c r="VF197" s="394"/>
      <c r="VG197" s="394"/>
      <c r="VH197" s="394"/>
      <c r="VI197" s="394"/>
      <c r="VJ197" s="394"/>
      <c r="VK197" s="394"/>
      <c r="VL197" s="394"/>
      <c r="VM197" s="394"/>
      <c r="VN197" s="394"/>
      <c r="VO197" s="394"/>
      <c r="VP197" s="394"/>
      <c r="VQ197" s="394"/>
      <c r="VR197" s="394"/>
      <c r="VS197" s="394"/>
      <c r="VT197" s="394"/>
      <c r="VU197" s="394"/>
      <c r="VV197" s="394"/>
      <c r="VW197" s="394"/>
      <c r="VX197" s="394"/>
      <c r="VY197" s="394"/>
      <c r="VZ197" s="394"/>
      <c r="WA197" s="394"/>
      <c r="WB197" s="394"/>
      <c r="WC197" s="394"/>
      <c r="WD197" s="394"/>
      <c r="WE197" s="394"/>
      <c r="WF197" s="394"/>
      <c r="WG197" s="394"/>
      <c r="WH197" s="394"/>
      <c r="WI197" s="394"/>
      <c r="WJ197" s="394"/>
      <c r="WK197" s="394"/>
      <c r="WL197" s="394"/>
      <c r="WM197" s="394"/>
      <c r="WN197" s="394"/>
      <c r="WO197" s="394"/>
      <c r="WP197" s="394"/>
      <c r="WQ197" s="394"/>
      <c r="WR197" s="394"/>
      <c r="WS197" s="394"/>
      <c r="WT197" s="394"/>
      <c r="WU197" s="394"/>
      <c r="WV197" s="394"/>
      <c r="WW197" s="394"/>
      <c r="WX197" s="394"/>
      <c r="WY197" s="394"/>
      <c r="WZ197" s="394"/>
      <c r="XA197" s="394"/>
      <c r="XB197" s="394"/>
      <c r="XC197" s="394"/>
      <c r="XD197" s="394"/>
      <c r="XE197" s="394"/>
      <c r="XF197" s="394"/>
      <c r="XG197" s="394"/>
      <c r="XH197" s="394"/>
      <c r="XI197" s="394"/>
      <c r="XJ197" s="394"/>
      <c r="XK197" s="394"/>
      <c r="XL197" s="394"/>
      <c r="XM197" s="394"/>
      <c r="XN197" s="394"/>
      <c r="XO197" s="394"/>
      <c r="XP197" s="394"/>
      <c r="XQ197" s="394"/>
      <c r="XR197" s="394"/>
      <c r="XS197" s="394"/>
      <c r="XT197" s="394"/>
      <c r="XU197" s="394"/>
      <c r="XV197" s="394"/>
      <c r="XW197" s="394"/>
      <c r="XX197" s="394"/>
      <c r="XY197" s="394"/>
      <c r="XZ197" s="394"/>
      <c r="YA197" s="394"/>
      <c r="YB197" s="394"/>
      <c r="YC197" s="394"/>
      <c r="YD197" s="394"/>
      <c r="YE197" s="394"/>
      <c r="YF197" s="394"/>
      <c r="YG197" s="394"/>
      <c r="YH197" s="394"/>
      <c r="YI197" s="394"/>
      <c r="YJ197" s="394"/>
      <c r="YK197" s="394"/>
      <c r="YL197" s="394"/>
      <c r="YM197" s="394"/>
      <c r="YN197" s="394"/>
      <c r="YO197" s="394"/>
      <c r="YP197" s="394"/>
      <c r="YQ197" s="394"/>
      <c r="YR197" s="394"/>
      <c r="YS197" s="394"/>
      <c r="YT197" s="394"/>
      <c r="YU197" s="394"/>
      <c r="YV197" s="394"/>
      <c r="YW197" s="394"/>
      <c r="YX197" s="394"/>
      <c r="YY197" s="394"/>
      <c r="YZ197" s="394"/>
      <c r="ZA197" s="394"/>
      <c r="ZB197" s="394"/>
      <c r="ZC197" s="394"/>
      <c r="ZD197" s="394"/>
      <c r="ZE197" s="394"/>
      <c r="ZF197" s="394"/>
      <c r="ZG197" s="394"/>
      <c r="ZH197" s="394"/>
      <c r="ZI197" s="394"/>
      <c r="ZJ197" s="394"/>
      <c r="ZK197" s="394"/>
      <c r="ZL197" s="394"/>
      <c r="ZM197" s="394"/>
      <c r="ZN197" s="394"/>
      <c r="ZO197" s="394"/>
      <c r="ZP197" s="394"/>
      <c r="ZQ197" s="394"/>
      <c r="ZR197" s="394"/>
      <c r="ZS197" s="394"/>
      <c r="ZT197" s="394"/>
      <c r="ZU197" s="394"/>
      <c r="ZV197" s="394"/>
      <c r="ZW197" s="394"/>
      <c r="ZX197" s="394"/>
      <c r="ZY197" s="394"/>
      <c r="ZZ197" s="394"/>
      <c r="AAA197" s="394"/>
      <c r="AAB197" s="394"/>
      <c r="AAC197" s="394"/>
      <c r="AAD197" s="394"/>
      <c r="AAE197" s="394"/>
      <c r="AAF197" s="394"/>
      <c r="AAG197" s="394"/>
      <c r="AAH197" s="394"/>
      <c r="AAI197" s="394"/>
      <c r="AAJ197" s="394"/>
      <c r="AAK197" s="394"/>
      <c r="AAL197" s="394"/>
      <c r="AAM197" s="394"/>
      <c r="AAN197" s="394"/>
      <c r="AAO197" s="394"/>
      <c r="AAP197" s="394"/>
      <c r="AAQ197" s="394"/>
      <c r="AAR197" s="394"/>
      <c r="AAS197" s="394"/>
      <c r="AAT197" s="394"/>
      <c r="AAU197" s="394"/>
      <c r="AAV197" s="394"/>
      <c r="AAW197" s="394"/>
      <c r="AAX197" s="394"/>
      <c r="AAY197" s="394"/>
      <c r="AAZ197" s="394"/>
      <c r="ABA197" s="394"/>
      <c r="ABB197" s="394"/>
      <c r="ABC197" s="394"/>
      <c r="ABD197" s="394"/>
      <c r="ABE197" s="394"/>
      <c r="ABF197" s="394"/>
      <c r="ABG197" s="394"/>
      <c r="ABH197" s="394"/>
      <c r="ABI197" s="394"/>
      <c r="ABJ197" s="394"/>
      <c r="ABK197" s="394"/>
      <c r="ABL197" s="394"/>
      <c r="ABM197" s="394"/>
      <c r="ABN197" s="394"/>
      <c r="ABO197" s="394"/>
      <c r="ABP197" s="394"/>
      <c r="ABQ197" s="394"/>
      <c r="ABR197" s="394"/>
      <c r="ABS197" s="394"/>
      <c r="ABT197" s="394"/>
      <c r="ABU197" s="394"/>
      <c r="ABV197" s="394"/>
      <c r="ABW197" s="394"/>
      <c r="ABX197" s="394"/>
      <c r="ABY197" s="394"/>
      <c r="ABZ197" s="394"/>
      <c r="ACA197" s="394"/>
      <c r="ACB197" s="394"/>
      <c r="ACC197" s="394"/>
      <c r="ACD197" s="394"/>
      <c r="ACE197" s="394"/>
      <c r="ACF197" s="394"/>
      <c r="ACG197" s="394"/>
      <c r="ACH197" s="394"/>
      <c r="ACI197" s="394"/>
      <c r="ACJ197" s="394"/>
      <c r="ACK197" s="394"/>
      <c r="ACL197" s="394"/>
      <c r="ACM197" s="394"/>
      <c r="ACN197" s="394"/>
      <c r="ACO197" s="394"/>
      <c r="ACP197" s="394"/>
      <c r="ACQ197" s="394"/>
      <c r="ACR197" s="394"/>
      <c r="ACS197" s="394"/>
      <c r="ACT197" s="394"/>
      <c r="ACU197" s="394"/>
      <c r="ACV197" s="394"/>
      <c r="ACW197" s="394"/>
      <c r="ACX197" s="394"/>
      <c r="ACY197" s="394"/>
      <c r="ACZ197" s="394"/>
      <c r="ADA197" s="394"/>
      <c r="ADB197" s="394"/>
      <c r="ADC197" s="394"/>
      <c r="ADD197" s="394"/>
      <c r="ADE197" s="394"/>
      <c r="ADF197" s="394"/>
      <c r="ADG197" s="394"/>
      <c r="ADH197" s="394"/>
      <c r="ADI197" s="394"/>
      <c r="ADJ197" s="394"/>
      <c r="ADK197" s="394"/>
      <c r="ADL197" s="394"/>
      <c r="ADM197" s="394"/>
      <c r="ADN197" s="394"/>
      <c r="ADO197" s="394"/>
      <c r="ADP197" s="394"/>
      <c r="ADQ197" s="394"/>
      <c r="ADR197" s="394"/>
      <c r="ADS197" s="394"/>
      <c r="ADT197" s="394"/>
      <c r="ADU197" s="394"/>
      <c r="ADV197" s="394"/>
      <c r="ADW197" s="394"/>
      <c r="ADX197" s="394"/>
      <c r="ADY197" s="394"/>
      <c r="ADZ197" s="394"/>
      <c r="AEA197" s="394"/>
      <c r="AEB197" s="394"/>
      <c r="AEC197" s="394"/>
      <c r="AED197" s="394"/>
      <c r="AEE197" s="394"/>
      <c r="AEF197" s="394"/>
      <c r="AEG197" s="394"/>
      <c r="AEH197" s="394"/>
      <c r="AEI197" s="394"/>
      <c r="AEJ197" s="394"/>
      <c r="AEK197" s="394"/>
      <c r="AEL197" s="394"/>
      <c r="AEM197" s="394"/>
      <c r="AEN197" s="394"/>
      <c r="AEO197" s="394"/>
      <c r="AEP197" s="394"/>
      <c r="AEQ197" s="394"/>
      <c r="AER197" s="394"/>
      <c r="AES197" s="394"/>
      <c r="AET197" s="394"/>
      <c r="AEU197" s="394"/>
      <c r="AEV197" s="394"/>
      <c r="AEW197" s="394"/>
      <c r="AEX197" s="394"/>
      <c r="AEY197" s="394"/>
      <c r="AEZ197" s="394"/>
      <c r="AFA197" s="394"/>
      <c r="AFB197" s="394"/>
      <c r="AFC197" s="394"/>
      <c r="AFD197" s="394"/>
      <c r="AFE197" s="394"/>
      <c r="AFF197" s="394"/>
      <c r="AFG197" s="394"/>
      <c r="AFH197" s="394"/>
      <c r="AFI197" s="394"/>
      <c r="AFJ197" s="394"/>
      <c r="AFK197" s="394"/>
      <c r="AFL197" s="394"/>
      <c r="AFM197" s="394"/>
      <c r="AFN197" s="394"/>
      <c r="AFO197" s="394"/>
      <c r="AFP197" s="394"/>
      <c r="AFQ197" s="394"/>
      <c r="AFR197" s="394"/>
      <c r="AFS197" s="394"/>
      <c r="AFT197" s="394"/>
      <c r="AFU197" s="394"/>
      <c r="AFV197" s="394"/>
      <c r="AFW197" s="394"/>
      <c r="AFX197" s="394"/>
      <c r="AFY197" s="394"/>
      <c r="AFZ197" s="394"/>
      <c r="AGA197" s="394"/>
      <c r="AGB197" s="394"/>
      <c r="AGC197" s="394"/>
      <c r="AGD197" s="394"/>
      <c r="AGE197" s="394"/>
      <c r="AGF197" s="394"/>
      <c r="AGG197" s="394"/>
      <c r="AGH197" s="394"/>
      <c r="AGI197" s="394"/>
      <c r="AGJ197" s="394"/>
      <c r="AGK197" s="394"/>
      <c r="AGL197" s="394"/>
      <c r="AGM197" s="394"/>
      <c r="AGN197" s="394"/>
      <c r="AGO197" s="394"/>
      <c r="AGP197" s="394"/>
      <c r="AGQ197" s="394"/>
      <c r="AGR197" s="394"/>
      <c r="AGS197" s="394"/>
      <c r="AGT197" s="394"/>
      <c r="AGU197" s="394"/>
      <c r="AGV197" s="394"/>
      <c r="AGW197" s="394"/>
      <c r="AGX197" s="394"/>
      <c r="AGY197" s="394"/>
      <c r="AGZ197" s="394"/>
      <c r="AHA197" s="394"/>
      <c r="AHB197" s="394"/>
      <c r="AHC197" s="394"/>
      <c r="AHD197" s="394"/>
      <c r="AHE197" s="394"/>
      <c r="AHF197" s="394"/>
      <c r="AHG197" s="394"/>
      <c r="AHH197" s="394"/>
      <c r="AHI197" s="394"/>
      <c r="AHJ197" s="394"/>
      <c r="AHK197" s="394"/>
      <c r="AHL197" s="394"/>
      <c r="AHM197" s="394"/>
      <c r="AHN197" s="394"/>
      <c r="AHO197" s="394"/>
      <c r="AHP197" s="394"/>
      <c r="AHQ197" s="394"/>
      <c r="AHR197" s="394"/>
      <c r="AHS197" s="394"/>
      <c r="AHT197" s="394"/>
      <c r="AHU197" s="394"/>
      <c r="AHV197" s="394"/>
      <c r="AHW197" s="394"/>
      <c r="AHX197" s="394"/>
      <c r="AHY197" s="394"/>
      <c r="AHZ197" s="394"/>
      <c r="AIA197" s="394"/>
      <c r="AIB197" s="394"/>
      <c r="AIC197" s="394"/>
      <c r="AID197" s="394"/>
      <c r="AIE197" s="394"/>
      <c r="AIF197" s="394"/>
      <c r="AIG197" s="394"/>
      <c r="AIH197" s="394"/>
      <c r="AII197" s="394"/>
      <c r="AIJ197" s="394"/>
      <c r="AIK197" s="394"/>
      <c r="AIL197" s="394"/>
      <c r="AIM197" s="394"/>
      <c r="AIN197" s="394"/>
      <c r="AIO197" s="394"/>
      <c r="AIP197" s="394"/>
      <c r="AIQ197" s="394"/>
      <c r="AIR197" s="394"/>
      <c r="AIS197" s="394"/>
      <c r="AIT197" s="394"/>
      <c r="AIU197" s="394"/>
      <c r="AIV197" s="394"/>
      <c r="AIW197" s="394"/>
      <c r="AIX197" s="394"/>
      <c r="AIY197" s="394"/>
      <c r="AIZ197" s="394"/>
      <c r="AJA197" s="394"/>
      <c r="AJB197" s="394"/>
      <c r="AJC197" s="394"/>
      <c r="AJD197" s="394"/>
      <c r="AJE197" s="394"/>
      <c r="AJF197" s="394"/>
      <c r="AJG197" s="394"/>
      <c r="AJH197" s="394"/>
      <c r="AJI197" s="394"/>
      <c r="AJJ197" s="394"/>
      <c r="AJK197" s="394"/>
      <c r="AJL197" s="394"/>
      <c r="AJM197" s="394"/>
      <c r="AJN197" s="394"/>
      <c r="AJO197" s="394"/>
      <c r="AJP197" s="394"/>
      <c r="AJQ197" s="394"/>
      <c r="AJR197" s="394"/>
      <c r="AJS197" s="394"/>
      <c r="AJT197" s="394"/>
      <c r="AJU197" s="394"/>
      <c r="AJV197" s="394"/>
      <c r="AJW197" s="394"/>
      <c r="AJX197" s="394"/>
      <c r="AJY197" s="394"/>
      <c r="AJZ197" s="394"/>
      <c r="AKA197" s="394"/>
      <c r="AKB197" s="394"/>
      <c r="AKC197" s="394"/>
      <c r="AKD197" s="394"/>
      <c r="AKE197" s="394"/>
      <c r="AKF197" s="394"/>
      <c r="AKG197" s="394"/>
      <c r="AKH197" s="394"/>
      <c r="AKI197" s="394"/>
      <c r="AKJ197" s="394"/>
      <c r="AKK197" s="394"/>
      <c r="AKL197" s="394"/>
      <c r="AKM197" s="394"/>
      <c r="AKN197" s="394"/>
      <c r="AKO197" s="394"/>
      <c r="AKP197" s="394"/>
      <c r="AKQ197" s="394"/>
      <c r="AKR197" s="394"/>
      <c r="AKS197" s="394"/>
      <c r="AKT197" s="394"/>
      <c r="AKU197" s="394"/>
      <c r="AKV197" s="394"/>
      <c r="AKW197" s="394"/>
      <c r="AKX197" s="394"/>
      <c r="AKY197" s="394"/>
      <c r="AKZ197" s="394"/>
      <c r="ALA197" s="394"/>
      <c r="ALB197" s="394"/>
      <c r="ALC197" s="394"/>
      <c r="ALD197" s="394"/>
      <c r="ALE197" s="394"/>
      <c r="ALF197" s="394"/>
      <c r="ALG197" s="394"/>
      <c r="ALH197" s="394"/>
      <c r="ALI197" s="394"/>
      <c r="ALJ197" s="394"/>
      <c r="ALK197" s="394"/>
      <c r="ALL197" s="394"/>
      <c r="ALM197" s="394"/>
      <c r="ALN197" s="394"/>
      <c r="ALO197" s="394"/>
      <c r="ALP197" s="394"/>
      <c r="ALQ197" s="394"/>
      <c r="ALR197" s="394"/>
      <c r="ALS197" s="394"/>
      <c r="ALT197" s="394"/>
      <c r="ALU197" s="394"/>
      <c r="ALV197" s="394"/>
      <c r="ALW197" s="394"/>
      <c r="ALX197" s="394"/>
      <c r="ALY197" s="394"/>
      <c r="ALZ197" s="394"/>
      <c r="AMA197" s="394"/>
      <c r="AMB197" s="394"/>
      <c r="AMC197" s="394"/>
      <c r="AMD197" s="394"/>
      <c r="AME197" s="394"/>
      <c r="AMF197" s="394"/>
      <c r="AMG197" s="394"/>
      <c r="AMH197" s="394"/>
      <c r="AMI197" s="394"/>
      <c r="AMJ197" s="394"/>
      <c r="AMK197" s="394"/>
      <c r="AML197" s="394"/>
      <c r="AMM197" s="394"/>
      <c r="AMN197" s="394"/>
      <c r="AMO197" s="394"/>
      <c r="AMP197" s="394"/>
      <c r="AMQ197" s="394"/>
      <c r="AMR197" s="394"/>
      <c r="AMS197" s="394"/>
      <c r="AMT197" s="394"/>
      <c r="AMU197" s="394"/>
      <c r="AMV197" s="394"/>
      <c r="AMW197" s="394"/>
      <c r="AMX197" s="394"/>
      <c r="AMY197" s="394"/>
      <c r="AMZ197" s="394"/>
      <c r="ANA197" s="394"/>
      <c r="ANB197" s="394"/>
      <c r="ANC197" s="394"/>
      <c r="AND197" s="394"/>
      <c r="ANE197" s="394"/>
      <c r="ANF197" s="394"/>
      <c r="ANG197" s="394"/>
      <c r="ANH197" s="394"/>
      <c r="ANI197" s="394"/>
      <c r="ANJ197" s="394"/>
      <c r="ANK197" s="394"/>
      <c r="ANL197" s="394"/>
      <c r="ANM197" s="394"/>
      <c r="ANN197" s="394"/>
      <c r="ANO197" s="394"/>
      <c r="ANP197" s="394"/>
      <c r="ANQ197" s="394"/>
      <c r="ANR197" s="394"/>
      <c r="ANS197" s="394"/>
      <c r="ANT197" s="394"/>
      <c r="ANU197" s="394"/>
      <c r="ANV197" s="394"/>
      <c r="ANW197" s="394"/>
      <c r="ANX197" s="394"/>
      <c r="ANY197" s="394"/>
      <c r="ANZ197" s="394"/>
      <c r="AOA197" s="394"/>
      <c r="AOB197" s="394"/>
      <c r="AOC197" s="394"/>
      <c r="AOD197" s="394"/>
      <c r="AOE197" s="394"/>
      <c r="AOF197" s="394"/>
      <c r="AOG197" s="394"/>
      <c r="AOH197" s="394"/>
      <c r="AOI197" s="394"/>
      <c r="AOJ197" s="394"/>
      <c r="AOK197" s="394"/>
      <c r="AOL197" s="394"/>
      <c r="AOM197" s="394"/>
      <c r="AON197" s="394"/>
      <c r="AOO197" s="394"/>
      <c r="AOP197" s="394"/>
      <c r="AOQ197" s="394"/>
      <c r="AOR197" s="394"/>
      <c r="AOS197" s="394"/>
      <c r="AOT197" s="394"/>
      <c r="AOU197" s="394"/>
      <c r="AOV197" s="394"/>
      <c r="AOW197" s="394"/>
      <c r="AOX197" s="394"/>
      <c r="AOY197" s="394"/>
      <c r="AOZ197" s="394"/>
      <c r="APA197" s="394"/>
      <c r="APB197" s="394"/>
      <c r="APC197" s="394"/>
      <c r="APD197" s="394"/>
      <c r="APE197" s="394"/>
      <c r="APF197" s="394"/>
      <c r="APG197" s="394"/>
      <c r="APH197" s="394"/>
      <c r="API197" s="394"/>
      <c r="APJ197" s="394"/>
      <c r="APK197" s="394"/>
      <c r="APL197" s="394"/>
      <c r="APM197" s="394"/>
      <c r="APN197" s="394"/>
      <c r="APO197" s="394"/>
      <c r="APP197" s="394"/>
      <c r="APQ197" s="394"/>
      <c r="APR197" s="394"/>
      <c r="APS197" s="394"/>
      <c r="APT197" s="394"/>
      <c r="APU197" s="394"/>
      <c r="APV197" s="394"/>
      <c r="APW197" s="394"/>
      <c r="APX197" s="394"/>
      <c r="APY197" s="394"/>
      <c r="APZ197" s="394"/>
      <c r="AQA197" s="394"/>
      <c r="AQB197" s="394"/>
      <c r="AQC197" s="394"/>
      <c r="AQD197" s="394"/>
      <c r="AQE197" s="394"/>
      <c r="AQF197" s="394"/>
      <c r="AQG197" s="394"/>
      <c r="AQH197" s="394"/>
      <c r="AQI197" s="394"/>
      <c r="AQJ197" s="394"/>
      <c r="AQK197" s="394"/>
      <c r="AQL197" s="394"/>
      <c r="AQM197" s="394"/>
      <c r="AQN197" s="394"/>
      <c r="AQO197" s="394"/>
      <c r="AQP197" s="394"/>
      <c r="AQQ197" s="394"/>
      <c r="AQR197" s="394"/>
      <c r="AQS197" s="394"/>
      <c r="AQT197" s="394"/>
      <c r="AQU197" s="394"/>
      <c r="AQV197" s="394"/>
      <c r="AQW197" s="394"/>
      <c r="AQX197" s="394"/>
      <c r="AQY197" s="394"/>
      <c r="AQZ197" s="394"/>
      <c r="ARA197" s="394"/>
      <c r="ARB197" s="394"/>
      <c r="ARC197" s="394"/>
      <c r="ARD197" s="394"/>
      <c r="ARE197" s="394"/>
      <c r="ARF197" s="394"/>
      <c r="ARG197" s="394"/>
      <c r="ARH197" s="394"/>
      <c r="ARI197" s="394"/>
      <c r="ARJ197" s="394"/>
      <c r="ARK197" s="394"/>
      <c r="ARL197" s="394"/>
      <c r="ARM197" s="394"/>
      <c r="ARN197" s="394"/>
      <c r="ARO197" s="394"/>
      <c r="ARP197" s="394"/>
      <c r="ARQ197" s="394"/>
      <c r="ARR197" s="394"/>
      <c r="ARS197" s="394"/>
      <c r="ART197" s="394"/>
      <c r="ARU197" s="394"/>
      <c r="ARV197" s="394"/>
      <c r="ARW197" s="394"/>
      <c r="ARX197" s="394"/>
      <c r="ARY197" s="394"/>
      <c r="ARZ197" s="394"/>
      <c r="ASA197" s="394"/>
      <c r="ASB197" s="394"/>
      <c r="ASC197" s="394"/>
      <c r="ASD197" s="394"/>
      <c r="ASE197" s="394"/>
      <c r="ASF197" s="394"/>
      <c r="ASG197" s="394"/>
      <c r="ASH197" s="394"/>
      <c r="ASI197" s="394"/>
      <c r="ASJ197" s="394"/>
      <c r="ASK197" s="394"/>
      <c r="ASL197" s="394"/>
      <c r="ASM197" s="394"/>
      <c r="ASN197" s="394"/>
      <c r="ASO197" s="394"/>
      <c r="ASP197" s="394"/>
      <c r="ASQ197" s="394"/>
      <c r="ASR197" s="394"/>
      <c r="ASS197" s="394"/>
      <c r="AST197" s="394"/>
      <c r="ASU197" s="394"/>
      <c r="ASV197" s="394"/>
      <c r="ASW197" s="394"/>
      <c r="ASX197" s="394"/>
      <c r="ASY197" s="394"/>
      <c r="ASZ197" s="394"/>
      <c r="ATA197" s="394"/>
      <c r="ATB197" s="394"/>
      <c r="ATC197" s="394"/>
      <c r="ATD197" s="394"/>
      <c r="ATE197" s="394"/>
      <c r="ATF197" s="394"/>
      <c r="ATG197" s="394"/>
      <c r="ATH197" s="394"/>
      <c r="ATI197" s="394"/>
      <c r="ATJ197" s="394"/>
      <c r="ATK197" s="394"/>
      <c r="ATL197" s="394"/>
      <c r="ATM197" s="394"/>
      <c r="ATN197" s="394"/>
      <c r="ATO197" s="394"/>
      <c r="ATP197" s="394"/>
      <c r="ATQ197" s="394"/>
      <c r="ATR197" s="394"/>
      <c r="ATS197" s="394"/>
      <c r="ATT197" s="394"/>
      <c r="ATU197" s="394"/>
      <c r="ATV197" s="394"/>
      <c r="ATW197" s="394"/>
      <c r="ATX197" s="394"/>
      <c r="ATY197" s="394"/>
      <c r="ATZ197" s="394"/>
      <c r="AUA197" s="394"/>
      <c r="AUB197" s="394"/>
      <c r="AUC197" s="394"/>
      <c r="AUD197" s="394"/>
      <c r="AUE197" s="394"/>
      <c r="AUF197" s="394"/>
      <c r="AUG197" s="394"/>
      <c r="AUH197" s="394"/>
      <c r="AUI197" s="394"/>
      <c r="AUJ197" s="394"/>
      <c r="AUK197" s="394"/>
      <c r="AUL197" s="394"/>
      <c r="AUM197" s="394"/>
      <c r="AUN197" s="394"/>
      <c r="AUO197" s="394"/>
      <c r="AUP197" s="394"/>
      <c r="AUQ197" s="394"/>
      <c r="AUR197" s="394"/>
      <c r="AUS197" s="394"/>
      <c r="AUT197" s="394"/>
      <c r="AUU197" s="394"/>
      <c r="AUV197" s="394"/>
      <c r="AUW197" s="394"/>
      <c r="AUX197" s="394"/>
      <c r="AUY197" s="394"/>
      <c r="AUZ197" s="394"/>
      <c r="AVA197" s="394"/>
      <c r="AVB197" s="394"/>
      <c r="AVC197" s="394"/>
      <c r="AVD197" s="394"/>
      <c r="AVE197" s="394"/>
      <c r="AVF197" s="394"/>
      <c r="AVG197" s="394"/>
      <c r="AVH197" s="394"/>
      <c r="AVI197" s="394"/>
      <c r="AVJ197" s="394"/>
      <c r="AVK197" s="394"/>
      <c r="AVL197" s="394"/>
      <c r="AVM197" s="394"/>
      <c r="AVN197" s="394"/>
      <c r="AVO197" s="394"/>
      <c r="AVP197" s="394"/>
      <c r="AVQ197" s="394"/>
      <c r="AVR197" s="394"/>
      <c r="AVS197" s="394"/>
      <c r="AVT197" s="394"/>
      <c r="AVU197" s="394"/>
      <c r="AVV197" s="394"/>
      <c r="AVW197" s="394"/>
      <c r="AVX197" s="394"/>
      <c r="AVY197" s="394"/>
      <c r="AVZ197" s="394"/>
      <c r="AWA197" s="394"/>
      <c r="AWB197" s="394"/>
      <c r="AWC197" s="394"/>
      <c r="AWD197" s="394"/>
      <c r="AWE197" s="394"/>
      <c r="AWF197" s="394"/>
      <c r="AWG197" s="394"/>
      <c r="AWH197" s="394"/>
      <c r="AWI197" s="394"/>
      <c r="AWJ197" s="394"/>
      <c r="AWK197" s="394"/>
      <c r="AWL197" s="394"/>
      <c r="AWM197" s="394"/>
      <c r="AWN197" s="394"/>
      <c r="AWO197" s="394"/>
      <c r="AWP197" s="394"/>
      <c r="AWQ197" s="394"/>
      <c r="AWR197" s="394"/>
      <c r="AWS197" s="394"/>
      <c r="AWT197" s="394"/>
      <c r="AWU197" s="394"/>
      <c r="AWV197" s="394"/>
      <c r="AWW197" s="394"/>
      <c r="AWX197" s="394"/>
      <c r="AWY197" s="394"/>
      <c r="AWZ197" s="394"/>
      <c r="AXA197" s="394"/>
      <c r="AXB197" s="394"/>
      <c r="AXC197" s="394"/>
      <c r="AXD197" s="394"/>
      <c r="AXE197" s="394"/>
      <c r="AXF197" s="394"/>
      <c r="AXG197" s="394"/>
      <c r="AXH197" s="394"/>
      <c r="AXI197" s="394"/>
      <c r="AXJ197" s="394"/>
      <c r="AXK197" s="394"/>
      <c r="AXL197" s="394"/>
      <c r="AXM197" s="394"/>
      <c r="AXN197" s="394"/>
      <c r="AXO197" s="394"/>
      <c r="AXP197" s="394"/>
      <c r="AXQ197" s="394"/>
      <c r="AXR197" s="394"/>
      <c r="AXS197" s="394"/>
      <c r="AXT197" s="394"/>
      <c r="AXU197" s="394"/>
      <c r="AXV197" s="394"/>
      <c r="AXW197" s="394"/>
      <c r="AXX197" s="394"/>
      <c r="AXY197" s="394"/>
      <c r="AXZ197" s="394"/>
      <c r="AYA197" s="394"/>
      <c r="AYB197" s="394"/>
      <c r="AYC197" s="394"/>
      <c r="AYD197" s="394"/>
      <c r="AYE197" s="394"/>
      <c r="AYF197" s="394"/>
      <c r="AYG197" s="394"/>
      <c r="AYH197" s="394"/>
      <c r="AYI197" s="394"/>
      <c r="AYJ197" s="394"/>
      <c r="AYK197" s="394"/>
      <c r="AYL197" s="394"/>
      <c r="AYM197" s="394"/>
      <c r="AYN197" s="394"/>
      <c r="AYO197" s="394"/>
      <c r="AYP197" s="394"/>
      <c r="AYQ197" s="394"/>
      <c r="AYR197" s="394"/>
      <c r="AYS197" s="394"/>
      <c r="AYT197" s="394"/>
      <c r="AYU197" s="394"/>
      <c r="AYV197" s="394"/>
      <c r="AYW197" s="394"/>
      <c r="AYX197" s="394"/>
      <c r="AYY197" s="394"/>
      <c r="AYZ197" s="394"/>
      <c r="AZA197" s="394"/>
      <c r="AZB197" s="394"/>
      <c r="AZC197" s="394"/>
      <c r="AZD197" s="394"/>
      <c r="AZE197" s="394"/>
      <c r="AZF197" s="394"/>
      <c r="AZG197" s="394"/>
      <c r="AZH197" s="394"/>
      <c r="AZI197" s="394"/>
      <c r="AZJ197" s="394"/>
      <c r="AZK197" s="394"/>
      <c r="AZL197" s="394"/>
      <c r="AZM197" s="394"/>
      <c r="AZN197" s="394"/>
      <c r="AZO197" s="394"/>
      <c r="AZP197" s="394"/>
      <c r="AZQ197" s="394"/>
      <c r="AZR197" s="394"/>
      <c r="AZS197" s="394"/>
      <c r="AZT197" s="394"/>
      <c r="AZU197" s="394"/>
      <c r="AZV197" s="394"/>
      <c r="AZW197" s="394"/>
      <c r="AZX197" s="394"/>
      <c r="AZY197" s="394"/>
      <c r="AZZ197" s="394"/>
      <c r="BAA197" s="394"/>
      <c r="BAB197" s="394"/>
      <c r="BAC197" s="394"/>
      <c r="BAD197" s="394"/>
      <c r="BAE197" s="394"/>
      <c r="BAF197" s="394"/>
      <c r="BAG197" s="394"/>
      <c r="BAH197" s="394"/>
      <c r="BAI197" s="394"/>
      <c r="BAJ197" s="394"/>
      <c r="BAK197" s="394"/>
      <c r="BAL197" s="394"/>
      <c r="BAM197" s="394"/>
      <c r="BAN197" s="394"/>
      <c r="BAO197" s="394"/>
      <c r="BAP197" s="394"/>
      <c r="BAQ197" s="394"/>
      <c r="BAR197" s="394"/>
      <c r="BAS197" s="394"/>
      <c r="BAT197" s="394"/>
      <c r="BAU197" s="394"/>
      <c r="BAV197" s="394"/>
      <c r="BAW197" s="394"/>
      <c r="BAX197" s="394"/>
      <c r="BAY197" s="394"/>
      <c r="BAZ197" s="394"/>
      <c r="BBA197" s="394"/>
      <c r="BBB197" s="394"/>
      <c r="BBC197" s="394"/>
      <c r="BBD197" s="394"/>
      <c r="BBE197" s="394"/>
      <c r="BBF197" s="394"/>
      <c r="BBG197" s="394"/>
      <c r="BBH197" s="394"/>
      <c r="BBI197" s="394"/>
      <c r="BBJ197" s="394"/>
      <c r="BBK197" s="394"/>
      <c r="BBL197" s="394"/>
      <c r="BBM197" s="394"/>
      <c r="BBN197" s="394"/>
      <c r="BBO197" s="394"/>
      <c r="BBP197" s="394"/>
      <c r="BBQ197" s="394"/>
      <c r="BBR197" s="394"/>
      <c r="BBS197" s="394"/>
      <c r="BBT197" s="394"/>
      <c r="BBU197" s="394"/>
      <c r="BBV197" s="394"/>
      <c r="BBW197" s="394"/>
      <c r="BBX197" s="394"/>
      <c r="BBY197" s="394"/>
      <c r="BBZ197" s="394"/>
      <c r="BCA197" s="394"/>
      <c r="BCB197" s="394"/>
      <c r="BCC197" s="394"/>
      <c r="BCD197" s="394"/>
      <c r="BCE197" s="394"/>
      <c r="BCF197" s="394"/>
      <c r="BCG197" s="394"/>
      <c r="BCH197" s="394"/>
      <c r="BCI197" s="394"/>
      <c r="BCJ197" s="394"/>
      <c r="BCK197" s="394"/>
      <c r="BCL197" s="394"/>
      <c r="BCM197" s="394"/>
      <c r="BCN197" s="394"/>
      <c r="BCO197" s="394"/>
      <c r="BCP197" s="394"/>
      <c r="BCQ197" s="394"/>
      <c r="BCR197" s="394"/>
      <c r="BCS197" s="394"/>
      <c r="BCT197" s="394"/>
      <c r="BCU197" s="394"/>
      <c r="BCV197" s="394"/>
      <c r="BCW197" s="394"/>
      <c r="BCX197" s="394"/>
      <c r="BCY197" s="394"/>
      <c r="BCZ197" s="394"/>
      <c r="BDA197" s="394"/>
      <c r="BDB197" s="394"/>
      <c r="BDC197" s="394"/>
      <c r="BDD197" s="394"/>
      <c r="BDE197" s="394"/>
      <c r="BDF197" s="394"/>
      <c r="BDG197" s="394"/>
      <c r="BDH197" s="394"/>
      <c r="BDI197" s="394"/>
      <c r="BDJ197" s="394"/>
      <c r="BDK197" s="394"/>
      <c r="BDL197" s="394"/>
      <c r="BDM197" s="394"/>
      <c r="BDN197" s="394"/>
      <c r="BDO197" s="394"/>
      <c r="BDP197" s="394"/>
      <c r="BDQ197" s="394"/>
      <c r="BDR197" s="394"/>
      <c r="BDS197" s="394"/>
      <c r="BDT197" s="394"/>
      <c r="BDU197" s="394"/>
      <c r="BDV197" s="394"/>
      <c r="BDW197" s="394"/>
      <c r="BDX197" s="394"/>
      <c r="BDY197" s="394"/>
      <c r="BDZ197" s="394"/>
      <c r="BEA197" s="394"/>
      <c r="BEB197" s="394"/>
      <c r="BEC197" s="394"/>
      <c r="BED197" s="394"/>
      <c r="BEE197" s="394"/>
      <c r="BEF197" s="394"/>
      <c r="BEG197" s="394"/>
      <c r="BEH197" s="394"/>
      <c r="BEI197" s="394"/>
      <c r="BEJ197" s="394"/>
      <c r="BEK197" s="394"/>
      <c r="BEL197" s="394"/>
      <c r="BEM197" s="394"/>
      <c r="BEN197" s="394"/>
      <c r="BEO197" s="394"/>
      <c r="BEP197" s="394"/>
      <c r="BEQ197" s="394"/>
      <c r="BER197" s="394"/>
      <c r="BES197" s="394"/>
      <c r="BET197" s="394"/>
      <c r="BEU197" s="394"/>
      <c r="BEV197" s="394"/>
      <c r="BEW197" s="394"/>
      <c r="BEX197" s="394"/>
      <c r="BEY197" s="394"/>
      <c r="BEZ197" s="394"/>
      <c r="BFA197" s="394"/>
      <c r="BFB197" s="394"/>
      <c r="BFC197" s="394"/>
      <c r="BFD197" s="394"/>
      <c r="BFE197" s="394"/>
      <c r="BFF197" s="394"/>
      <c r="BFG197" s="394"/>
      <c r="BFH197" s="394"/>
      <c r="BFI197" s="394"/>
      <c r="BFJ197" s="394"/>
      <c r="BFK197" s="394"/>
      <c r="BFL197" s="394"/>
      <c r="BFM197" s="394"/>
      <c r="BFN197" s="394"/>
      <c r="BFO197" s="394"/>
      <c r="BFP197" s="394"/>
      <c r="BFQ197" s="394"/>
      <c r="BFR197" s="394"/>
      <c r="BFS197" s="394"/>
      <c r="BFT197" s="394"/>
      <c r="BFU197" s="394"/>
      <c r="BFV197" s="394"/>
      <c r="BFW197" s="394"/>
      <c r="BFX197" s="394"/>
      <c r="BFY197" s="394"/>
      <c r="BFZ197" s="394"/>
      <c r="BGA197" s="394"/>
      <c r="BGB197" s="394"/>
      <c r="BGC197" s="394"/>
      <c r="BGD197" s="394"/>
      <c r="BGE197" s="394"/>
      <c r="BGF197" s="394"/>
      <c r="BGG197" s="394"/>
      <c r="BGH197" s="394"/>
      <c r="BGI197" s="394"/>
      <c r="BGJ197" s="394"/>
      <c r="BGK197" s="394"/>
      <c r="BGL197" s="394"/>
      <c r="BGM197" s="394"/>
      <c r="BGN197" s="394"/>
      <c r="BGO197" s="394"/>
      <c r="BGP197" s="394"/>
      <c r="BGQ197" s="394"/>
      <c r="BGR197" s="394"/>
      <c r="BGS197" s="394"/>
      <c r="BGT197" s="394"/>
      <c r="BGU197" s="394"/>
      <c r="BGV197" s="394"/>
      <c r="BGW197" s="394"/>
      <c r="BGX197" s="394"/>
      <c r="BGY197" s="394"/>
      <c r="BGZ197" s="394"/>
      <c r="BHA197" s="394"/>
      <c r="BHB197" s="394"/>
      <c r="BHC197" s="394"/>
      <c r="BHD197" s="394"/>
      <c r="BHE197" s="394"/>
      <c r="BHF197" s="394"/>
      <c r="BHG197" s="394"/>
      <c r="BHH197" s="394"/>
      <c r="BHI197" s="394"/>
      <c r="BHJ197" s="394"/>
      <c r="BHK197" s="394"/>
      <c r="BHL197" s="394"/>
      <c r="BHM197" s="394"/>
      <c r="BHN197" s="394"/>
      <c r="BHO197" s="394"/>
      <c r="BHP197" s="394"/>
      <c r="BHQ197" s="394"/>
      <c r="BHR197" s="394"/>
      <c r="BHS197" s="394"/>
      <c r="BHT197" s="394"/>
      <c r="BHU197" s="394"/>
      <c r="BHV197" s="394"/>
      <c r="BHW197" s="394"/>
      <c r="BHX197" s="394"/>
      <c r="BHY197" s="394"/>
      <c r="BHZ197" s="394"/>
      <c r="BIA197" s="394"/>
      <c r="BIB197" s="394"/>
      <c r="BIC197" s="394"/>
      <c r="BID197" s="394"/>
      <c r="BIE197" s="394"/>
      <c r="BIF197" s="394"/>
      <c r="BIG197" s="394"/>
      <c r="BIH197" s="394"/>
      <c r="BII197" s="394"/>
      <c r="BIJ197" s="394"/>
      <c r="BIK197" s="394"/>
      <c r="BIL197" s="394"/>
      <c r="BIM197" s="394"/>
      <c r="BIN197" s="394"/>
      <c r="BIO197" s="394"/>
      <c r="BIP197" s="394"/>
      <c r="BIQ197" s="394"/>
      <c r="BIR197" s="394"/>
      <c r="BIS197" s="394"/>
      <c r="BIT197" s="394"/>
      <c r="BIU197" s="394"/>
      <c r="BIV197" s="394"/>
      <c r="BIW197" s="394"/>
      <c r="BIX197" s="394"/>
      <c r="BIY197" s="394"/>
      <c r="BIZ197" s="394"/>
      <c r="BJA197" s="394"/>
      <c r="BJB197" s="394"/>
      <c r="BJC197" s="394"/>
      <c r="BJD197" s="394"/>
      <c r="BJE197" s="394"/>
      <c r="BJF197" s="394"/>
      <c r="BJG197" s="394"/>
      <c r="BJH197" s="394"/>
      <c r="BJI197" s="394"/>
      <c r="BJJ197" s="394"/>
      <c r="BJK197" s="394"/>
      <c r="BJL197" s="394"/>
      <c r="BJM197" s="394"/>
      <c r="BJN197" s="394"/>
      <c r="BJO197" s="394"/>
      <c r="BJP197" s="394"/>
      <c r="BJQ197" s="394"/>
      <c r="BJR197" s="394"/>
      <c r="BJS197" s="394"/>
      <c r="BJT197" s="394"/>
      <c r="BJU197" s="394"/>
      <c r="BJV197" s="394"/>
      <c r="BJW197" s="394"/>
      <c r="BJX197" s="394"/>
      <c r="BJY197" s="394"/>
      <c r="BJZ197" s="394"/>
      <c r="BKA197" s="394"/>
      <c r="BKB197" s="394"/>
      <c r="BKC197" s="394"/>
      <c r="BKD197" s="394"/>
      <c r="BKE197" s="394"/>
      <c r="BKF197" s="394"/>
      <c r="BKG197" s="394"/>
      <c r="BKH197" s="394"/>
      <c r="BKI197" s="394"/>
      <c r="BKJ197" s="394"/>
      <c r="BKK197" s="394"/>
      <c r="BKL197" s="394"/>
      <c r="BKM197" s="394"/>
      <c r="BKN197" s="394"/>
      <c r="BKO197" s="394"/>
      <c r="BKP197" s="394"/>
      <c r="BKQ197" s="394"/>
      <c r="BKR197" s="394"/>
      <c r="BKS197" s="394"/>
      <c r="BKT197" s="394"/>
      <c r="BKU197" s="394"/>
      <c r="BKV197" s="394"/>
      <c r="BKW197" s="394"/>
      <c r="BKX197" s="394"/>
      <c r="BKY197" s="394"/>
      <c r="BKZ197" s="394"/>
      <c r="BLA197" s="394"/>
      <c r="BLB197" s="394"/>
      <c r="BLC197" s="394"/>
      <c r="BLD197" s="394"/>
      <c r="BLE197" s="394"/>
      <c r="BLF197" s="394"/>
      <c r="BLG197" s="394"/>
      <c r="BLH197" s="394"/>
      <c r="BLI197" s="394"/>
      <c r="BLJ197" s="394"/>
      <c r="BLK197" s="394"/>
      <c r="BLL197" s="394"/>
      <c r="BLM197" s="394"/>
      <c r="BLN197" s="394"/>
      <c r="BLO197" s="394"/>
      <c r="BLP197" s="394"/>
      <c r="BLQ197" s="394"/>
      <c r="BLR197" s="394"/>
      <c r="BLS197" s="394"/>
      <c r="BLT197" s="394"/>
      <c r="BLU197" s="394"/>
      <c r="BLV197" s="394"/>
      <c r="BLW197" s="394"/>
      <c r="BLX197" s="394"/>
      <c r="BLY197" s="394"/>
      <c r="BLZ197" s="394"/>
      <c r="BMA197" s="394"/>
      <c r="BMB197" s="394"/>
      <c r="BMC197" s="394"/>
      <c r="BMD197" s="394"/>
      <c r="BME197" s="394"/>
      <c r="BMF197" s="394"/>
      <c r="BMG197" s="394"/>
      <c r="BMH197" s="394"/>
      <c r="BMI197" s="394"/>
      <c r="BMJ197" s="394"/>
      <c r="BMK197" s="394"/>
      <c r="BML197" s="394"/>
      <c r="BMM197" s="394"/>
      <c r="BMN197" s="394"/>
      <c r="BMO197" s="394"/>
      <c r="BMP197" s="394"/>
      <c r="BMQ197" s="394"/>
      <c r="BMR197" s="394"/>
      <c r="BMS197" s="394"/>
      <c r="BMT197" s="394"/>
      <c r="BMU197" s="394"/>
      <c r="BMV197" s="394"/>
      <c r="BMW197" s="394"/>
      <c r="BMX197" s="394"/>
      <c r="BMY197" s="394"/>
      <c r="BMZ197" s="394"/>
      <c r="BNA197" s="394"/>
      <c r="BNB197" s="394"/>
      <c r="BNC197" s="394"/>
      <c r="BND197" s="394"/>
      <c r="BNE197" s="394"/>
      <c r="BNF197" s="394"/>
      <c r="BNG197" s="394"/>
      <c r="BNH197" s="394"/>
      <c r="BNI197" s="394"/>
      <c r="BNJ197" s="394"/>
      <c r="BNK197" s="394"/>
      <c r="BNL197" s="394"/>
      <c r="BNM197" s="394"/>
      <c r="BNN197" s="394"/>
      <c r="BNO197" s="394"/>
      <c r="BNP197" s="394"/>
      <c r="BNQ197" s="394"/>
      <c r="BNR197" s="394"/>
      <c r="BNS197" s="394"/>
      <c r="BNT197" s="394"/>
      <c r="BNU197" s="394"/>
      <c r="BNV197" s="394"/>
      <c r="BNW197" s="394"/>
      <c r="BNX197" s="394"/>
      <c r="BNY197" s="394"/>
      <c r="BNZ197" s="394"/>
      <c r="BOA197" s="394"/>
      <c r="BOB197" s="394"/>
      <c r="BOC197" s="394"/>
      <c r="BOD197" s="394"/>
      <c r="BOE197" s="394"/>
      <c r="BOF197" s="394"/>
      <c r="BOG197" s="394"/>
      <c r="BOH197" s="394"/>
      <c r="BOI197" s="394"/>
      <c r="BOJ197" s="394"/>
      <c r="BOK197" s="394"/>
      <c r="BOL197" s="394"/>
      <c r="BOM197" s="394"/>
      <c r="BON197" s="394"/>
      <c r="BOO197" s="394"/>
      <c r="BOP197" s="394"/>
      <c r="BOQ197" s="394"/>
      <c r="BOR197" s="394"/>
      <c r="BOS197" s="394"/>
      <c r="BOT197" s="394"/>
      <c r="BOU197" s="394"/>
      <c r="BOV197" s="394"/>
      <c r="BOW197" s="394"/>
      <c r="BOX197" s="394"/>
      <c r="BOY197" s="394"/>
      <c r="BOZ197" s="394"/>
      <c r="BPA197" s="394"/>
      <c r="BPB197" s="394"/>
      <c r="BPC197" s="394"/>
      <c r="BPD197" s="394"/>
      <c r="BPE197" s="394"/>
      <c r="BPF197" s="394"/>
      <c r="BPG197" s="394"/>
      <c r="BPH197" s="394"/>
      <c r="BPI197" s="394"/>
      <c r="BPJ197" s="394"/>
      <c r="BPK197" s="394"/>
      <c r="BPL197" s="394"/>
      <c r="BPM197" s="394"/>
      <c r="BPN197" s="394"/>
      <c r="BPO197" s="394"/>
      <c r="BPP197" s="394"/>
      <c r="BPQ197" s="394"/>
      <c r="BPR197" s="394"/>
      <c r="BPS197" s="394"/>
      <c r="BPT197" s="394"/>
      <c r="BPU197" s="394"/>
      <c r="BPV197" s="394"/>
      <c r="BPW197" s="394"/>
      <c r="BPX197" s="394"/>
      <c r="BPY197" s="394"/>
      <c r="BPZ197" s="394"/>
      <c r="BQA197" s="394"/>
      <c r="BQB197" s="394"/>
      <c r="BQC197" s="394"/>
      <c r="BQD197" s="394"/>
      <c r="BQE197" s="394"/>
      <c r="BQF197" s="394"/>
      <c r="BQG197" s="394"/>
      <c r="BQH197" s="394"/>
      <c r="BQI197" s="394"/>
      <c r="BQJ197" s="394"/>
      <c r="BQK197" s="394"/>
      <c r="BQL197" s="394"/>
      <c r="BQM197" s="394"/>
      <c r="BQN197" s="394"/>
      <c r="BQO197" s="394"/>
      <c r="BQP197" s="394"/>
      <c r="BQQ197" s="394"/>
      <c r="BQR197" s="394"/>
      <c r="BQS197" s="394"/>
      <c r="BQT197" s="394"/>
      <c r="BQU197" s="394"/>
      <c r="BQV197" s="394"/>
      <c r="BQW197" s="394"/>
      <c r="BQX197" s="394"/>
      <c r="BQY197" s="394"/>
      <c r="BQZ197" s="394"/>
      <c r="BRA197" s="394"/>
      <c r="BRB197" s="394"/>
      <c r="BRC197" s="394"/>
      <c r="BRD197" s="394"/>
      <c r="BRE197" s="394"/>
      <c r="BRF197" s="394"/>
      <c r="BRG197" s="394"/>
      <c r="BRH197" s="394"/>
      <c r="BRI197" s="394"/>
      <c r="BRJ197" s="394"/>
      <c r="BRK197" s="394"/>
      <c r="BRL197" s="394"/>
      <c r="BRM197" s="394"/>
      <c r="BRN197" s="394"/>
      <c r="BRO197" s="394"/>
      <c r="BRP197" s="394"/>
      <c r="BRQ197" s="394"/>
      <c r="BRR197" s="394"/>
      <c r="BRS197" s="394"/>
      <c r="BRT197" s="394"/>
      <c r="BRU197" s="394"/>
      <c r="BRV197" s="394"/>
      <c r="BRW197" s="394"/>
      <c r="BRX197" s="394"/>
      <c r="BRY197" s="394"/>
      <c r="BRZ197" s="394"/>
      <c r="BSA197" s="394"/>
      <c r="BSB197" s="394"/>
      <c r="BSC197" s="394"/>
      <c r="BSD197" s="394"/>
      <c r="BSE197" s="394"/>
      <c r="BSF197" s="394"/>
      <c r="BSG197" s="394"/>
      <c r="BSH197" s="394"/>
      <c r="BSI197" s="394"/>
      <c r="BSJ197" s="394"/>
      <c r="BSK197" s="394"/>
      <c r="BSL197" s="394"/>
      <c r="BSM197" s="394"/>
      <c r="BSN197" s="394"/>
      <c r="BSO197" s="394"/>
      <c r="BSP197" s="394"/>
      <c r="BSQ197" s="394"/>
      <c r="BSR197" s="394"/>
      <c r="BSS197" s="394"/>
      <c r="BST197" s="394"/>
      <c r="BSU197" s="394"/>
      <c r="BSV197" s="394"/>
      <c r="BSW197" s="394"/>
      <c r="BSX197" s="394"/>
      <c r="BSY197" s="394"/>
      <c r="BSZ197" s="394"/>
      <c r="BTA197" s="394"/>
      <c r="BTB197" s="394"/>
      <c r="BTC197" s="394"/>
      <c r="BTD197" s="394"/>
      <c r="BTE197" s="394"/>
      <c r="BTF197" s="394"/>
      <c r="BTG197" s="394"/>
      <c r="BTH197" s="394"/>
      <c r="BTI197" s="394"/>
    </row>
    <row r="198" spans="1:1881" s="317" customFormat="1" ht="59.25" customHeight="1" x14ac:dyDescent="0.25">
      <c r="A198" s="188">
        <v>356</v>
      </c>
      <c r="B198" s="150" t="s">
        <v>73</v>
      </c>
      <c r="C198" s="182" t="s">
        <v>235</v>
      </c>
      <c r="D198" s="174" t="s">
        <v>22</v>
      </c>
      <c r="E198" s="32" t="e">
        <f>HLOOKUP($D$2,'2019 Data(H)'!$C$1:$CP$300,118,FALSE)</f>
        <v>#N/A</v>
      </c>
      <c r="F198" s="589"/>
      <c r="G198" s="316"/>
      <c r="H198" s="13"/>
      <c r="I198" s="297"/>
      <c r="J198" s="394"/>
      <c r="K198" s="394"/>
      <c r="L198" s="394"/>
      <c r="M198" s="394"/>
      <c r="N198"/>
      <c r="O198" s="394"/>
      <c r="P198" s="394"/>
      <c r="Q198" s="394"/>
      <c r="R198" s="394"/>
      <c r="S198" s="394"/>
      <c r="T198" s="394"/>
      <c r="U198" s="394"/>
      <c r="V198" s="394"/>
      <c r="W198" s="394"/>
      <c r="X198" s="394"/>
      <c r="Y198" s="394"/>
      <c r="Z198" s="394"/>
      <c r="AA198" s="394"/>
      <c r="AB198" s="394"/>
      <c r="AC198" s="394"/>
      <c r="AD198" s="394"/>
      <c r="AE198" s="394"/>
      <c r="AF198" s="394"/>
      <c r="AG198" s="394"/>
      <c r="AH198" s="394"/>
      <c r="AI198" s="394"/>
      <c r="AJ198" s="394"/>
      <c r="AK198" s="394"/>
      <c r="AL198" s="394"/>
      <c r="AM198" s="394"/>
      <c r="AN198" s="394"/>
      <c r="AO198" s="394"/>
      <c r="AP198" s="394"/>
      <c r="AQ198" s="394"/>
      <c r="AR198" s="394"/>
      <c r="AS198" s="394"/>
      <c r="AT198" s="394"/>
      <c r="AU198" s="394"/>
      <c r="AV198" s="394"/>
      <c r="AW198" s="394"/>
      <c r="AX198" s="394"/>
      <c r="AY198" s="394"/>
      <c r="AZ198" s="394"/>
      <c r="BA198" s="394"/>
      <c r="BB198" s="394"/>
      <c r="BC198" s="394"/>
      <c r="BD198" s="394"/>
      <c r="BE198" s="394"/>
      <c r="BF198" s="394"/>
      <c r="BG198" s="394"/>
      <c r="BH198" s="394"/>
      <c r="BI198" s="394"/>
      <c r="BJ198" s="394"/>
      <c r="BK198" s="394"/>
      <c r="BL198" s="394"/>
      <c r="BM198" s="394"/>
      <c r="BN198" s="394"/>
      <c r="BO198" s="394"/>
      <c r="BP198" s="394"/>
      <c r="BQ198" s="394"/>
      <c r="BR198" s="394"/>
      <c r="BS198" s="394"/>
      <c r="BT198" s="394"/>
      <c r="BU198" s="394"/>
      <c r="BV198" s="394"/>
      <c r="BW198" s="394"/>
      <c r="BX198" s="394"/>
      <c r="BY198" s="394"/>
      <c r="BZ198" s="394"/>
      <c r="CA198" s="394"/>
      <c r="CB198" s="394"/>
      <c r="CC198" s="394"/>
      <c r="CD198" s="394"/>
      <c r="CE198" s="394"/>
      <c r="CF198" s="394"/>
      <c r="CG198" s="394"/>
      <c r="CH198" s="394"/>
      <c r="CI198" s="394"/>
      <c r="CJ198" s="394"/>
      <c r="CK198" s="394"/>
      <c r="CL198" s="394"/>
      <c r="CM198" s="394"/>
      <c r="CN198" s="394"/>
      <c r="CO198" s="394"/>
      <c r="CP198" s="394"/>
      <c r="CQ198" s="394"/>
      <c r="CR198" s="394"/>
      <c r="CS198" s="394"/>
      <c r="CT198" s="394"/>
      <c r="CU198" s="394"/>
      <c r="CV198" s="394"/>
      <c r="CW198" s="394"/>
      <c r="CX198" s="394"/>
      <c r="CY198" s="394"/>
      <c r="CZ198" s="394"/>
      <c r="DA198" s="394"/>
      <c r="DB198" s="394"/>
      <c r="DC198" s="394"/>
      <c r="DD198" s="394"/>
      <c r="DE198" s="394"/>
      <c r="DF198" s="394"/>
      <c r="DG198" s="394"/>
      <c r="DH198" s="394"/>
      <c r="DI198" s="394"/>
      <c r="DJ198" s="394"/>
      <c r="DK198" s="394"/>
      <c r="DL198" s="394"/>
      <c r="DM198" s="394"/>
      <c r="DN198" s="394"/>
      <c r="DO198" s="394"/>
      <c r="DP198" s="394"/>
      <c r="DQ198" s="394"/>
      <c r="DR198" s="394"/>
      <c r="DS198" s="394"/>
      <c r="DT198" s="394"/>
      <c r="DU198" s="394"/>
      <c r="DV198" s="394"/>
      <c r="DW198" s="394"/>
      <c r="DX198" s="394"/>
      <c r="DY198" s="394"/>
      <c r="DZ198" s="394"/>
      <c r="EA198" s="394"/>
      <c r="EB198" s="394"/>
      <c r="EC198" s="394"/>
      <c r="ED198" s="394"/>
      <c r="EE198" s="394"/>
      <c r="EF198" s="394"/>
      <c r="EG198" s="394"/>
      <c r="EH198" s="394"/>
      <c r="EI198" s="394"/>
      <c r="EJ198" s="394"/>
      <c r="EK198" s="394"/>
      <c r="EL198" s="394"/>
      <c r="EM198" s="394"/>
      <c r="EN198" s="394"/>
      <c r="EO198" s="394"/>
      <c r="EP198" s="394"/>
      <c r="EQ198" s="394"/>
      <c r="ER198" s="394"/>
      <c r="ES198" s="394"/>
      <c r="ET198" s="394"/>
      <c r="EU198" s="394"/>
      <c r="EV198" s="394"/>
      <c r="EW198" s="394"/>
      <c r="EX198" s="394"/>
      <c r="EY198" s="394"/>
      <c r="EZ198" s="394"/>
      <c r="FA198" s="394"/>
      <c r="FB198" s="394"/>
      <c r="FC198" s="394"/>
      <c r="FD198" s="394"/>
      <c r="FE198" s="394"/>
      <c r="FF198" s="394"/>
      <c r="FG198" s="394"/>
      <c r="FH198" s="394"/>
      <c r="FI198" s="394"/>
      <c r="FJ198" s="394"/>
      <c r="FK198" s="394"/>
      <c r="FL198" s="394"/>
      <c r="FM198" s="394"/>
      <c r="FN198" s="394"/>
      <c r="FO198" s="394"/>
      <c r="FP198" s="394"/>
      <c r="FQ198" s="394"/>
      <c r="FR198" s="394"/>
      <c r="FS198" s="394"/>
      <c r="FT198" s="394"/>
      <c r="FU198" s="394"/>
      <c r="FV198" s="394"/>
      <c r="FW198" s="394"/>
      <c r="FX198" s="394"/>
      <c r="FY198" s="394"/>
      <c r="FZ198" s="394"/>
      <c r="GA198" s="394"/>
      <c r="GB198" s="394"/>
      <c r="GC198" s="394"/>
      <c r="GD198" s="394"/>
      <c r="GE198" s="394"/>
      <c r="GF198" s="394"/>
      <c r="GG198" s="394"/>
      <c r="GH198" s="394"/>
      <c r="GI198" s="394"/>
      <c r="GJ198" s="394"/>
      <c r="GK198" s="394"/>
      <c r="GL198" s="394"/>
      <c r="GM198" s="394"/>
      <c r="GN198" s="394"/>
      <c r="GO198" s="394"/>
      <c r="GP198" s="394"/>
      <c r="GQ198" s="394"/>
      <c r="GR198" s="394"/>
      <c r="GS198" s="394"/>
      <c r="GT198" s="394"/>
      <c r="GU198" s="394"/>
      <c r="GV198" s="394"/>
      <c r="GW198" s="394"/>
      <c r="GX198" s="394"/>
      <c r="GY198" s="394"/>
      <c r="GZ198" s="394"/>
      <c r="HA198" s="394"/>
      <c r="HB198" s="394"/>
      <c r="HC198" s="394"/>
      <c r="HD198" s="394"/>
      <c r="HE198" s="394"/>
      <c r="HF198" s="394"/>
      <c r="HG198" s="394"/>
      <c r="HH198" s="394"/>
      <c r="HI198" s="394"/>
      <c r="HJ198" s="394"/>
      <c r="HK198" s="394"/>
      <c r="HL198" s="394"/>
      <c r="HM198" s="394"/>
      <c r="HN198" s="394"/>
      <c r="HO198" s="394"/>
      <c r="HP198" s="394"/>
      <c r="HQ198" s="394"/>
      <c r="HR198" s="394"/>
      <c r="HS198" s="394"/>
      <c r="HT198" s="394"/>
      <c r="HU198" s="394"/>
      <c r="HV198" s="394"/>
      <c r="HW198" s="394"/>
      <c r="HX198" s="394"/>
      <c r="HY198" s="394"/>
      <c r="HZ198" s="394"/>
      <c r="IA198" s="394"/>
      <c r="IB198" s="394"/>
      <c r="IC198" s="394"/>
      <c r="ID198" s="394"/>
      <c r="IE198" s="394"/>
      <c r="IF198" s="394"/>
      <c r="IG198" s="394"/>
      <c r="IH198" s="394"/>
      <c r="II198" s="394"/>
      <c r="IJ198" s="394"/>
      <c r="IK198" s="394"/>
      <c r="IL198" s="394"/>
      <c r="IM198" s="394"/>
      <c r="IN198" s="394"/>
      <c r="IO198" s="394"/>
      <c r="IP198" s="394"/>
      <c r="IQ198" s="394"/>
      <c r="IR198" s="394"/>
      <c r="IS198" s="394"/>
      <c r="IT198" s="394"/>
      <c r="IU198" s="394"/>
      <c r="IV198" s="394"/>
      <c r="IW198" s="394"/>
      <c r="IX198" s="394"/>
      <c r="IY198" s="394"/>
      <c r="IZ198" s="394"/>
      <c r="JA198" s="394"/>
      <c r="JB198" s="394"/>
      <c r="JC198" s="394"/>
      <c r="JD198" s="394"/>
      <c r="JE198" s="394"/>
      <c r="JF198" s="394"/>
      <c r="JG198" s="394"/>
      <c r="JH198" s="394"/>
      <c r="JI198" s="394"/>
      <c r="JJ198" s="394"/>
      <c r="JK198" s="394"/>
      <c r="JL198" s="394"/>
      <c r="JM198" s="394"/>
      <c r="JN198" s="394"/>
      <c r="JO198" s="394"/>
      <c r="JP198" s="394"/>
      <c r="JQ198" s="394"/>
      <c r="JR198" s="394"/>
      <c r="JS198" s="394"/>
      <c r="JT198" s="394"/>
      <c r="JU198" s="394"/>
      <c r="JV198" s="394"/>
      <c r="JW198" s="394"/>
      <c r="JX198" s="394"/>
      <c r="JY198" s="394"/>
      <c r="JZ198" s="394"/>
      <c r="KA198" s="394"/>
      <c r="KB198" s="394"/>
      <c r="KC198" s="394"/>
      <c r="KD198" s="394"/>
      <c r="KE198" s="394"/>
      <c r="KF198" s="394"/>
      <c r="KG198" s="394"/>
      <c r="KH198" s="394"/>
      <c r="KI198" s="394"/>
      <c r="KJ198" s="394"/>
      <c r="KK198" s="394"/>
      <c r="KL198" s="394"/>
      <c r="KM198" s="394"/>
      <c r="KN198" s="394"/>
      <c r="KO198" s="394"/>
      <c r="KP198" s="394"/>
      <c r="KQ198" s="394"/>
      <c r="KR198" s="394"/>
      <c r="KS198" s="394"/>
      <c r="KT198" s="394"/>
      <c r="KU198" s="394"/>
      <c r="KV198" s="394"/>
      <c r="KW198" s="394"/>
      <c r="KX198" s="394"/>
      <c r="KY198" s="394"/>
      <c r="KZ198" s="394"/>
      <c r="LA198" s="394"/>
      <c r="LB198" s="394"/>
      <c r="LC198" s="394"/>
      <c r="LD198" s="394"/>
      <c r="LE198" s="394"/>
      <c r="LF198" s="394"/>
      <c r="LG198" s="394"/>
      <c r="LH198" s="394"/>
      <c r="LI198" s="394"/>
      <c r="LJ198" s="394"/>
      <c r="LK198" s="394"/>
      <c r="LL198" s="394"/>
      <c r="LM198" s="394"/>
      <c r="LN198" s="394"/>
      <c r="LO198" s="394"/>
      <c r="LP198" s="394"/>
      <c r="LQ198" s="394"/>
      <c r="LR198" s="394"/>
      <c r="LS198" s="394"/>
      <c r="LT198" s="394"/>
      <c r="LU198" s="394"/>
      <c r="LV198" s="394"/>
      <c r="LW198" s="394"/>
      <c r="LX198" s="394"/>
      <c r="LY198" s="394"/>
      <c r="LZ198" s="394"/>
      <c r="MA198" s="394"/>
      <c r="MB198" s="394"/>
      <c r="MC198" s="394"/>
      <c r="MD198" s="394"/>
      <c r="ME198" s="394"/>
      <c r="MF198" s="394"/>
      <c r="MG198" s="394"/>
      <c r="MH198" s="394"/>
      <c r="MI198" s="394"/>
      <c r="MJ198" s="394"/>
      <c r="MK198" s="394"/>
      <c r="ML198" s="394"/>
      <c r="MM198" s="394"/>
      <c r="MN198" s="394"/>
      <c r="MO198" s="394"/>
      <c r="MP198" s="394"/>
      <c r="MQ198" s="394"/>
      <c r="MR198" s="394"/>
      <c r="MS198" s="394"/>
      <c r="MT198" s="394"/>
      <c r="MU198" s="394"/>
      <c r="MV198" s="394"/>
      <c r="MW198" s="394"/>
      <c r="MX198" s="394"/>
      <c r="MY198" s="394"/>
      <c r="MZ198" s="394"/>
      <c r="NA198" s="394"/>
      <c r="NB198" s="394"/>
      <c r="NC198" s="394"/>
      <c r="ND198" s="394"/>
      <c r="NE198" s="394"/>
      <c r="NF198" s="394"/>
      <c r="NG198" s="394"/>
      <c r="NH198" s="394"/>
      <c r="NI198" s="394"/>
      <c r="NJ198" s="394"/>
      <c r="NK198" s="394"/>
      <c r="NL198" s="394"/>
      <c r="NM198" s="394"/>
      <c r="NN198" s="394"/>
      <c r="NO198" s="394"/>
      <c r="NP198" s="394"/>
      <c r="NQ198" s="394"/>
      <c r="NR198" s="394"/>
      <c r="NS198" s="394"/>
      <c r="NT198" s="394"/>
      <c r="NU198" s="394"/>
      <c r="NV198" s="394"/>
      <c r="NW198" s="394"/>
      <c r="NX198" s="394"/>
      <c r="NY198" s="394"/>
      <c r="NZ198" s="394"/>
      <c r="OA198" s="394"/>
      <c r="OB198" s="394"/>
      <c r="OC198" s="394"/>
      <c r="OD198" s="394"/>
      <c r="OE198" s="394"/>
      <c r="OF198" s="394"/>
      <c r="OG198" s="394"/>
      <c r="OH198" s="394"/>
      <c r="OI198" s="394"/>
      <c r="OJ198" s="394"/>
      <c r="OK198" s="394"/>
      <c r="OL198" s="394"/>
      <c r="OM198" s="394"/>
      <c r="ON198" s="394"/>
      <c r="OO198" s="394"/>
      <c r="OP198" s="394"/>
      <c r="OQ198" s="394"/>
      <c r="OR198" s="394"/>
      <c r="OS198" s="394"/>
      <c r="OT198" s="394"/>
      <c r="OU198" s="394"/>
      <c r="OV198" s="394"/>
      <c r="OW198" s="394"/>
      <c r="OX198" s="394"/>
      <c r="OY198" s="394"/>
      <c r="OZ198" s="394"/>
      <c r="PA198" s="394"/>
      <c r="PB198" s="394"/>
      <c r="PC198" s="394"/>
      <c r="PD198" s="394"/>
      <c r="PE198" s="394"/>
      <c r="PF198" s="394"/>
      <c r="PG198" s="394"/>
      <c r="PH198" s="394"/>
      <c r="PI198" s="394"/>
      <c r="PJ198" s="394"/>
      <c r="PK198" s="394"/>
      <c r="PL198" s="394"/>
      <c r="PM198" s="394"/>
      <c r="PN198" s="394"/>
      <c r="PO198" s="394"/>
      <c r="PP198" s="394"/>
      <c r="PQ198" s="394"/>
      <c r="PR198" s="394"/>
      <c r="PS198" s="394"/>
      <c r="PT198" s="394"/>
      <c r="PU198" s="394"/>
      <c r="PV198" s="394"/>
      <c r="PW198" s="394"/>
      <c r="PX198" s="394"/>
      <c r="PY198" s="394"/>
      <c r="PZ198" s="394"/>
      <c r="QA198" s="394"/>
      <c r="QB198" s="394"/>
      <c r="QC198" s="394"/>
      <c r="QD198" s="394"/>
      <c r="QE198" s="394"/>
      <c r="QF198" s="394"/>
      <c r="QG198" s="394"/>
      <c r="QH198" s="394"/>
      <c r="QI198" s="394"/>
      <c r="QJ198" s="394"/>
      <c r="QK198" s="394"/>
      <c r="QL198" s="394"/>
      <c r="QM198" s="394"/>
      <c r="QN198" s="394"/>
      <c r="QO198" s="394"/>
      <c r="QP198" s="394"/>
      <c r="QQ198" s="394"/>
      <c r="QR198" s="394"/>
      <c r="QS198" s="394"/>
      <c r="QT198" s="394"/>
      <c r="QU198" s="394"/>
      <c r="QV198" s="394"/>
      <c r="QW198" s="394"/>
      <c r="QX198" s="394"/>
      <c r="QY198" s="394"/>
      <c r="QZ198" s="394"/>
      <c r="RA198" s="394"/>
      <c r="RB198" s="394"/>
      <c r="RC198" s="394"/>
      <c r="RD198" s="394"/>
      <c r="RE198" s="394"/>
      <c r="RF198" s="394"/>
      <c r="RG198" s="394"/>
      <c r="RH198" s="394"/>
      <c r="RI198" s="394"/>
      <c r="RJ198" s="394"/>
      <c r="RK198" s="394"/>
      <c r="RL198" s="394"/>
      <c r="RM198" s="394"/>
      <c r="RN198" s="394"/>
      <c r="RO198" s="394"/>
      <c r="RP198" s="394"/>
      <c r="RQ198" s="394"/>
      <c r="RR198" s="394"/>
      <c r="RS198" s="394"/>
      <c r="RT198" s="394"/>
      <c r="RU198" s="394"/>
      <c r="RV198" s="394"/>
      <c r="RW198" s="394"/>
      <c r="RX198" s="394"/>
      <c r="RY198" s="394"/>
      <c r="RZ198" s="394"/>
      <c r="SA198" s="394"/>
      <c r="SB198" s="394"/>
      <c r="SC198" s="394"/>
      <c r="SD198" s="394"/>
      <c r="SE198" s="394"/>
      <c r="SF198" s="394"/>
      <c r="SG198" s="394"/>
      <c r="SH198" s="394"/>
      <c r="SI198" s="394"/>
      <c r="SJ198" s="394"/>
      <c r="SK198" s="394"/>
      <c r="SL198" s="394"/>
      <c r="SM198" s="394"/>
      <c r="SN198" s="394"/>
      <c r="SO198" s="394"/>
      <c r="SP198" s="394"/>
      <c r="SQ198" s="394"/>
      <c r="SR198" s="394"/>
      <c r="SS198" s="394"/>
      <c r="ST198" s="394"/>
      <c r="SU198" s="394"/>
      <c r="SV198" s="394"/>
      <c r="SW198" s="394"/>
      <c r="SX198" s="394"/>
      <c r="SY198" s="394"/>
      <c r="SZ198" s="394"/>
      <c r="TA198" s="394"/>
      <c r="TB198" s="394"/>
      <c r="TC198" s="394"/>
      <c r="TD198" s="394"/>
      <c r="TE198" s="394"/>
      <c r="TF198" s="394"/>
      <c r="TG198" s="394"/>
      <c r="TH198" s="394"/>
      <c r="TI198" s="394"/>
      <c r="TJ198" s="394"/>
      <c r="TK198" s="394"/>
      <c r="TL198" s="394"/>
      <c r="TM198" s="394"/>
      <c r="TN198" s="394"/>
      <c r="TO198" s="394"/>
      <c r="TP198" s="394"/>
      <c r="TQ198" s="394"/>
      <c r="TR198" s="394"/>
      <c r="TS198" s="394"/>
      <c r="TT198" s="394"/>
      <c r="TU198" s="394"/>
      <c r="TV198" s="394"/>
      <c r="TW198" s="394"/>
      <c r="TX198" s="394"/>
      <c r="TY198" s="394"/>
      <c r="TZ198" s="394"/>
      <c r="UA198" s="394"/>
      <c r="UB198" s="394"/>
      <c r="UC198" s="394"/>
      <c r="UD198" s="394"/>
      <c r="UE198" s="394"/>
      <c r="UF198" s="394"/>
      <c r="UG198" s="394"/>
      <c r="UH198" s="394"/>
      <c r="UI198" s="394"/>
      <c r="UJ198" s="394"/>
      <c r="UK198" s="394"/>
      <c r="UL198" s="394"/>
      <c r="UM198" s="394"/>
      <c r="UN198" s="394"/>
      <c r="UO198" s="394"/>
      <c r="UP198" s="394"/>
      <c r="UQ198" s="394"/>
      <c r="UR198" s="394"/>
      <c r="US198" s="394"/>
      <c r="UT198" s="394"/>
      <c r="UU198" s="394"/>
      <c r="UV198" s="394"/>
      <c r="UW198" s="394"/>
      <c r="UX198" s="394"/>
      <c r="UY198" s="394"/>
      <c r="UZ198" s="394"/>
      <c r="VA198" s="394"/>
      <c r="VB198" s="394"/>
      <c r="VC198" s="394"/>
      <c r="VD198" s="394"/>
      <c r="VE198" s="394"/>
      <c r="VF198" s="394"/>
      <c r="VG198" s="394"/>
      <c r="VH198" s="394"/>
      <c r="VI198" s="394"/>
      <c r="VJ198" s="394"/>
      <c r="VK198" s="394"/>
      <c r="VL198" s="394"/>
      <c r="VM198" s="394"/>
      <c r="VN198" s="394"/>
      <c r="VO198" s="394"/>
      <c r="VP198" s="394"/>
      <c r="VQ198" s="394"/>
      <c r="VR198" s="394"/>
      <c r="VS198" s="394"/>
      <c r="VT198" s="394"/>
      <c r="VU198" s="394"/>
      <c r="VV198" s="394"/>
      <c r="VW198" s="394"/>
      <c r="VX198" s="394"/>
      <c r="VY198" s="394"/>
      <c r="VZ198" s="394"/>
      <c r="WA198" s="394"/>
      <c r="WB198" s="394"/>
      <c r="WC198" s="394"/>
      <c r="WD198" s="394"/>
      <c r="WE198" s="394"/>
      <c r="WF198" s="394"/>
      <c r="WG198" s="394"/>
      <c r="WH198" s="394"/>
      <c r="WI198" s="394"/>
      <c r="WJ198" s="394"/>
      <c r="WK198" s="394"/>
      <c r="WL198" s="394"/>
      <c r="WM198" s="394"/>
      <c r="WN198" s="394"/>
      <c r="WO198" s="394"/>
      <c r="WP198" s="394"/>
      <c r="WQ198" s="394"/>
      <c r="WR198" s="394"/>
      <c r="WS198" s="394"/>
      <c r="WT198" s="394"/>
      <c r="WU198" s="394"/>
      <c r="WV198" s="394"/>
      <c r="WW198" s="394"/>
      <c r="WX198" s="394"/>
      <c r="WY198" s="394"/>
      <c r="WZ198" s="394"/>
      <c r="XA198" s="394"/>
      <c r="XB198" s="394"/>
      <c r="XC198" s="394"/>
      <c r="XD198" s="394"/>
      <c r="XE198" s="394"/>
      <c r="XF198" s="394"/>
      <c r="XG198" s="394"/>
      <c r="XH198" s="394"/>
      <c r="XI198" s="394"/>
      <c r="XJ198" s="394"/>
      <c r="XK198" s="394"/>
      <c r="XL198" s="394"/>
      <c r="XM198" s="394"/>
      <c r="XN198" s="394"/>
      <c r="XO198" s="394"/>
      <c r="XP198" s="394"/>
      <c r="XQ198" s="394"/>
      <c r="XR198" s="394"/>
      <c r="XS198" s="394"/>
      <c r="XT198" s="394"/>
      <c r="XU198" s="394"/>
      <c r="XV198" s="394"/>
      <c r="XW198" s="394"/>
      <c r="XX198" s="394"/>
      <c r="XY198" s="394"/>
      <c r="XZ198" s="394"/>
      <c r="YA198" s="394"/>
      <c r="YB198" s="394"/>
      <c r="YC198" s="394"/>
      <c r="YD198" s="394"/>
      <c r="YE198" s="394"/>
      <c r="YF198" s="394"/>
      <c r="YG198" s="394"/>
      <c r="YH198" s="394"/>
      <c r="YI198" s="394"/>
      <c r="YJ198" s="394"/>
      <c r="YK198" s="394"/>
      <c r="YL198" s="394"/>
      <c r="YM198" s="394"/>
      <c r="YN198" s="394"/>
      <c r="YO198" s="394"/>
      <c r="YP198" s="394"/>
      <c r="YQ198" s="394"/>
      <c r="YR198" s="394"/>
      <c r="YS198" s="394"/>
      <c r="YT198" s="394"/>
      <c r="YU198" s="394"/>
      <c r="YV198" s="394"/>
      <c r="YW198" s="394"/>
      <c r="YX198" s="394"/>
      <c r="YY198" s="394"/>
      <c r="YZ198" s="394"/>
      <c r="ZA198" s="394"/>
      <c r="ZB198" s="394"/>
      <c r="ZC198" s="394"/>
      <c r="ZD198" s="394"/>
      <c r="ZE198" s="394"/>
      <c r="ZF198" s="394"/>
      <c r="ZG198" s="394"/>
      <c r="ZH198" s="394"/>
      <c r="ZI198" s="394"/>
      <c r="ZJ198" s="394"/>
      <c r="ZK198" s="394"/>
      <c r="ZL198" s="394"/>
      <c r="ZM198" s="394"/>
      <c r="ZN198" s="394"/>
      <c r="ZO198" s="394"/>
      <c r="ZP198" s="394"/>
      <c r="ZQ198" s="394"/>
      <c r="ZR198" s="394"/>
      <c r="ZS198" s="394"/>
      <c r="ZT198" s="394"/>
      <c r="ZU198" s="394"/>
      <c r="ZV198" s="394"/>
      <c r="ZW198" s="394"/>
      <c r="ZX198" s="394"/>
      <c r="ZY198" s="394"/>
      <c r="ZZ198" s="394"/>
      <c r="AAA198" s="394"/>
      <c r="AAB198" s="394"/>
      <c r="AAC198" s="394"/>
      <c r="AAD198" s="394"/>
      <c r="AAE198" s="394"/>
      <c r="AAF198" s="394"/>
      <c r="AAG198" s="394"/>
      <c r="AAH198" s="394"/>
      <c r="AAI198" s="394"/>
      <c r="AAJ198" s="394"/>
      <c r="AAK198" s="394"/>
      <c r="AAL198" s="394"/>
      <c r="AAM198" s="394"/>
      <c r="AAN198" s="394"/>
      <c r="AAO198" s="394"/>
      <c r="AAP198" s="394"/>
      <c r="AAQ198" s="394"/>
      <c r="AAR198" s="394"/>
      <c r="AAS198" s="394"/>
      <c r="AAT198" s="394"/>
      <c r="AAU198" s="394"/>
      <c r="AAV198" s="394"/>
      <c r="AAW198" s="394"/>
      <c r="AAX198" s="394"/>
      <c r="AAY198" s="394"/>
      <c r="AAZ198" s="394"/>
      <c r="ABA198" s="394"/>
      <c r="ABB198" s="394"/>
      <c r="ABC198" s="394"/>
      <c r="ABD198" s="394"/>
      <c r="ABE198" s="394"/>
      <c r="ABF198" s="394"/>
      <c r="ABG198" s="394"/>
      <c r="ABH198" s="394"/>
      <c r="ABI198" s="394"/>
      <c r="ABJ198" s="394"/>
      <c r="ABK198" s="394"/>
      <c r="ABL198" s="394"/>
      <c r="ABM198" s="394"/>
      <c r="ABN198" s="394"/>
      <c r="ABO198" s="394"/>
      <c r="ABP198" s="394"/>
      <c r="ABQ198" s="394"/>
      <c r="ABR198" s="394"/>
      <c r="ABS198" s="394"/>
      <c r="ABT198" s="394"/>
      <c r="ABU198" s="394"/>
      <c r="ABV198" s="394"/>
      <c r="ABW198" s="394"/>
      <c r="ABX198" s="394"/>
      <c r="ABY198" s="394"/>
      <c r="ABZ198" s="394"/>
      <c r="ACA198" s="394"/>
      <c r="ACB198" s="394"/>
      <c r="ACC198" s="394"/>
      <c r="ACD198" s="394"/>
      <c r="ACE198" s="394"/>
      <c r="ACF198" s="394"/>
      <c r="ACG198" s="394"/>
      <c r="ACH198" s="394"/>
      <c r="ACI198" s="394"/>
      <c r="ACJ198" s="394"/>
      <c r="ACK198" s="394"/>
      <c r="ACL198" s="394"/>
      <c r="ACM198" s="394"/>
      <c r="ACN198" s="394"/>
      <c r="ACO198" s="394"/>
      <c r="ACP198" s="394"/>
      <c r="ACQ198" s="394"/>
      <c r="ACR198" s="394"/>
      <c r="ACS198" s="394"/>
      <c r="ACT198" s="394"/>
      <c r="ACU198" s="394"/>
      <c r="ACV198" s="394"/>
      <c r="ACW198" s="394"/>
      <c r="ACX198" s="394"/>
      <c r="ACY198" s="394"/>
      <c r="ACZ198" s="394"/>
      <c r="ADA198" s="394"/>
      <c r="ADB198" s="394"/>
      <c r="ADC198" s="394"/>
      <c r="ADD198" s="394"/>
      <c r="ADE198" s="394"/>
      <c r="ADF198" s="394"/>
      <c r="ADG198" s="394"/>
      <c r="ADH198" s="394"/>
      <c r="ADI198" s="394"/>
      <c r="ADJ198" s="394"/>
      <c r="ADK198" s="394"/>
      <c r="ADL198" s="394"/>
      <c r="ADM198" s="394"/>
      <c r="ADN198" s="394"/>
      <c r="ADO198" s="394"/>
      <c r="ADP198" s="394"/>
      <c r="ADQ198" s="394"/>
      <c r="ADR198" s="394"/>
      <c r="ADS198" s="394"/>
      <c r="ADT198" s="394"/>
      <c r="ADU198" s="394"/>
      <c r="ADV198" s="394"/>
      <c r="ADW198" s="394"/>
      <c r="ADX198" s="394"/>
      <c r="ADY198" s="394"/>
      <c r="ADZ198" s="394"/>
      <c r="AEA198" s="394"/>
      <c r="AEB198" s="394"/>
      <c r="AEC198" s="394"/>
      <c r="AED198" s="394"/>
      <c r="AEE198" s="394"/>
      <c r="AEF198" s="394"/>
      <c r="AEG198" s="394"/>
      <c r="AEH198" s="394"/>
      <c r="AEI198" s="394"/>
      <c r="AEJ198" s="394"/>
      <c r="AEK198" s="394"/>
      <c r="AEL198" s="394"/>
      <c r="AEM198" s="394"/>
      <c r="AEN198" s="394"/>
      <c r="AEO198" s="394"/>
      <c r="AEP198" s="394"/>
      <c r="AEQ198" s="394"/>
      <c r="AER198" s="394"/>
      <c r="AES198" s="394"/>
      <c r="AET198" s="394"/>
      <c r="AEU198" s="394"/>
      <c r="AEV198" s="394"/>
      <c r="AEW198" s="394"/>
      <c r="AEX198" s="394"/>
      <c r="AEY198" s="394"/>
      <c r="AEZ198" s="394"/>
      <c r="AFA198" s="394"/>
      <c r="AFB198" s="394"/>
      <c r="AFC198" s="394"/>
      <c r="AFD198" s="394"/>
      <c r="AFE198" s="394"/>
      <c r="AFF198" s="394"/>
      <c r="AFG198" s="394"/>
      <c r="AFH198" s="394"/>
      <c r="AFI198" s="394"/>
      <c r="AFJ198" s="394"/>
      <c r="AFK198" s="394"/>
      <c r="AFL198" s="394"/>
      <c r="AFM198" s="394"/>
      <c r="AFN198" s="394"/>
      <c r="AFO198" s="394"/>
      <c r="AFP198" s="394"/>
      <c r="AFQ198" s="394"/>
      <c r="AFR198" s="394"/>
      <c r="AFS198" s="394"/>
      <c r="AFT198" s="394"/>
      <c r="AFU198" s="394"/>
      <c r="AFV198" s="394"/>
      <c r="AFW198" s="394"/>
      <c r="AFX198" s="394"/>
      <c r="AFY198" s="394"/>
      <c r="AFZ198" s="394"/>
      <c r="AGA198" s="394"/>
      <c r="AGB198" s="394"/>
      <c r="AGC198" s="394"/>
      <c r="AGD198" s="394"/>
      <c r="AGE198" s="394"/>
      <c r="AGF198" s="394"/>
      <c r="AGG198" s="394"/>
      <c r="AGH198" s="394"/>
      <c r="AGI198" s="394"/>
      <c r="AGJ198" s="394"/>
      <c r="AGK198" s="394"/>
      <c r="AGL198" s="394"/>
      <c r="AGM198" s="394"/>
      <c r="AGN198" s="394"/>
      <c r="AGO198" s="394"/>
      <c r="AGP198" s="394"/>
      <c r="AGQ198" s="394"/>
      <c r="AGR198" s="394"/>
      <c r="AGS198" s="394"/>
      <c r="AGT198" s="394"/>
      <c r="AGU198" s="394"/>
      <c r="AGV198" s="394"/>
      <c r="AGW198" s="394"/>
      <c r="AGX198" s="394"/>
      <c r="AGY198" s="394"/>
      <c r="AGZ198" s="394"/>
      <c r="AHA198" s="394"/>
      <c r="AHB198" s="394"/>
      <c r="AHC198" s="394"/>
      <c r="AHD198" s="394"/>
      <c r="AHE198" s="394"/>
      <c r="AHF198" s="394"/>
      <c r="AHG198" s="394"/>
      <c r="AHH198" s="394"/>
      <c r="AHI198" s="394"/>
      <c r="AHJ198" s="394"/>
      <c r="AHK198" s="394"/>
      <c r="AHL198" s="394"/>
      <c r="AHM198" s="394"/>
      <c r="AHN198" s="394"/>
      <c r="AHO198" s="394"/>
      <c r="AHP198" s="394"/>
      <c r="AHQ198" s="394"/>
      <c r="AHR198" s="394"/>
      <c r="AHS198" s="394"/>
      <c r="AHT198" s="394"/>
      <c r="AHU198" s="394"/>
      <c r="AHV198" s="394"/>
      <c r="AHW198" s="394"/>
      <c r="AHX198" s="394"/>
      <c r="AHY198" s="394"/>
      <c r="AHZ198" s="394"/>
      <c r="AIA198" s="394"/>
      <c r="AIB198" s="394"/>
      <c r="AIC198" s="394"/>
      <c r="AID198" s="394"/>
      <c r="AIE198" s="394"/>
      <c r="AIF198" s="394"/>
      <c r="AIG198" s="394"/>
      <c r="AIH198" s="394"/>
      <c r="AII198" s="394"/>
      <c r="AIJ198" s="394"/>
      <c r="AIK198" s="394"/>
      <c r="AIL198" s="394"/>
      <c r="AIM198" s="394"/>
      <c r="AIN198" s="394"/>
      <c r="AIO198" s="394"/>
      <c r="AIP198" s="394"/>
      <c r="AIQ198" s="394"/>
      <c r="AIR198" s="394"/>
      <c r="AIS198" s="394"/>
      <c r="AIT198" s="394"/>
      <c r="AIU198" s="394"/>
      <c r="AIV198" s="394"/>
      <c r="AIW198" s="394"/>
      <c r="AIX198" s="394"/>
      <c r="AIY198" s="394"/>
      <c r="AIZ198" s="394"/>
      <c r="AJA198" s="394"/>
      <c r="AJB198" s="394"/>
      <c r="AJC198" s="394"/>
      <c r="AJD198" s="394"/>
      <c r="AJE198" s="394"/>
      <c r="AJF198" s="394"/>
      <c r="AJG198" s="394"/>
      <c r="AJH198" s="394"/>
      <c r="AJI198" s="394"/>
      <c r="AJJ198" s="394"/>
      <c r="AJK198" s="394"/>
      <c r="AJL198" s="394"/>
      <c r="AJM198" s="394"/>
      <c r="AJN198" s="394"/>
      <c r="AJO198" s="394"/>
      <c r="AJP198" s="394"/>
      <c r="AJQ198" s="394"/>
      <c r="AJR198" s="394"/>
      <c r="AJS198" s="394"/>
      <c r="AJT198" s="394"/>
      <c r="AJU198" s="394"/>
      <c r="AJV198" s="394"/>
      <c r="AJW198" s="394"/>
      <c r="AJX198" s="394"/>
      <c r="AJY198" s="394"/>
      <c r="AJZ198" s="394"/>
      <c r="AKA198" s="394"/>
      <c r="AKB198" s="394"/>
      <c r="AKC198" s="394"/>
      <c r="AKD198" s="394"/>
      <c r="AKE198" s="394"/>
      <c r="AKF198" s="394"/>
      <c r="AKG198" s="394"/>
      <c r="AKH198" s="394"/>
      <c r="AKI198" s="394"/>
      <c r="AKJ198" s="394"/>
      <c r="AKK198" s="394"/>
      <c r="AKL198" s="394"/>
      <c r="AKM198" s="394"/>
      <c r="AKN198" s="394"/>
      <c r="AKO198" s="394"/>
      <c r="AKP198" s="394"/>
      <c r="AKQ198" s="394"/>
      <c r="AKR198" s="394"/>
      <c r="AKS198" s="394"/>
      <c r="AKT198" s="394"/>
      <c r="AKU198" s="394"/>
      <c r="AKV198" s="394"/>
      <c r="AKW198" s="394"/>
      <c r="AKX198" s="394"/>
      <c r="AKY198" s="394"/>
      <c r="AKZ198" s="394"/>
      <c r="ALA198" s="394"/>
      <c r="ALB198" s="394"/>
      <c r="ALC198" s="394"/>
      <c r="ALD198" s="394"/>
      <c r="ALE198" s="394"/>
      <c r="ALF198" s="394"/>
      <c r="ALG198" s="394"/>
      <c r="ALH198" s="394"/>
      <c r="ALI198" s="394"/>
      <c r="ALJ198" s="394"/>
      <c r="ALK198" s="394"/>
      <c r="ALL198" s="394"/>
      <c r="ALM198" s="394"/>
      <c r="ALN198" s="394"/>
      <c r="ALO198" s="394"/>
      <c r="ALP198" s="394"/>
      <c r="ALQ198" s="394"/>
      <c r="ALR198" s="394"/>
      <c r="ALS198" s="394"/>
      <c r="ALT198" s="394"/>
      <c r="ALU198" s="394"/>
      <c r="ALV198" s="394"/>
      <c r="ALW198" s="394"/>
      <c r="ALX198" s="394"/>
      <c r="ALY198" s="394"/>
      <c r="ALZ198" s="394"/>
      <c r="AMA198" s="394"/>
      <c r="AMB198" s="394"/>
      <c r="AMC198" s="394"/>
      <c r="AMD198" s="394"/>
      <c r="AME198" s="394"/>
      <c r="AMF198" s="394"/>
      <c r="AMG198" s="394"/>
      <c r="AMH198" s="394"/>
      <c r="AMI198" s="394"/>
      <c r="AMJ198" s="394"/>
      <c r="AMK198" s="394"/>
      <c r="AML198" s="394"/>
      <c r="AMM198" s="394"/>
      <c r="AMN198" s="394"/>
      <c r="AMO198" s="394"/>
      <c r="AMP198" s="394"/>
      <c r="AMQ198" s="394"/>
      <c r="AMR198" s="394"/>
      <c r="AMS198" s="394"/>
      <c r="AMT198" s="394"/>
      <c r="AMU198" s="394"/>
      <c r="AMV198" s="394"/>
      <c r="AMW198" s="394"/>
      <c r="AMX198" s="394"/>
      <c r="AMY198" s="394"/>
      <c r="AMZ198" s="394"/>
      <c r="ANA198" s="394"/>
      <c r="ANB198" s="394"/>
      <c r="ANC198" s="394"/>
      <c r="AND198" s="394"/>
      <c r="ANE198" s="394"/>
      <c r="ANF198" s="394"/>
      <c r="ANG198" s="394"/>
      <c r="ANH198" s="394"/>
      <c r="ANI198" s="394"/>
      <c r="ANJ198" s="394"/>
      <c r="ANK198" s="394"/>
      <c r="ANL198" s="394"/>
      <c r="ANM198" s="394"/>
      <c r="ANN198" s="394"/>
      <c r="ANO198" s="394"/>
      <c r="ANP198" s="394"/>
      <c r="ANQ198" s="394"/>
      <c r="ANR198" s="394"/>
      <c r="ANS198" s="394"/>
      <c r="ANT198" s="394"/>
      <c r="ANU198" s="394"/>
      <c r="ANV198" s="394"/>
      <c r="ANW198" s="394"/>
      <c r="ANX198" s="394"/>
      <c r="ANY198" s="394"/>
      <c r="ANZ198" s="394"/>
      <c r="AOA198" s="394"/>
      <c r="AOB198" s="394"/>
      <c r="AOC198" s="394"/>
      <c r="AOD198" s="394"/>
      <c r="AOE198" s="394"/>
      <c r="AOF198" s="394"/>
      <c r="AOG198" s="394"/>
      <c r="AOH198" s="394"/>
      <c r="AOI198" s="394"/>
      <c r="AOJ198" s="394"/>
      <c r="AOK198" s="394"/>
      <c r="AOL198" s="394"/>
      <c r="AOM198" s="394"/>
      <c r="AON198" s="394"/>
      <c r="AOO198" s="394"/>
      <c r="AOP198" s="394"/>
      <c r="AOQ198" s="394"/>
      <c r="AOR198" s="394"/>
      <c r="AOS198" s="394"/>
      <c r="AOT198" s="394"/>
      <c r="AOU198" s="394"/>
      <c r="AOV198" s="394"/>
      <c r="AOW198" s="394"/>
      <c r="AOX198" s="394"/>
      <c r="AOY198" s="394"/>
      <c r="AOZ198" s="394"/>
      <c r="APA198" s="394"/>
      <c r="APB198" s="394"/>
      <c r="APC198" s="394"/>
      <c r="APD198" s="394"/>
      <c r="APE198" s="394"/>
      <c r="APF198" s="394"/>
      <c r="APG198" s="394"/>
      <c r="APH198" s="394"/>
      <c r="API198" s="394"/>
      <c r="APJ198" s="394"/>
      <c r="APK198" s="394"/>
      <c r="APL198" s="394"/>
      <c r="APM198" s="394"/>
      <c r="APN198" s="394"/>
      <c r="APO198" s="394"/>
      <c r="APP198" s="394"/>
      <c r="APQ198" s="394"/>
      <c r="APR198" s="394"/>
      <c r="APS198" s="394"/>
      <c r="APT198" s="394"/>
      <c r="APU198" s="394"/>
      <c r="APV198" s="394"/>
      <c r="APW198" s="394"/>
      <c r="APX198" s="394"/>
      <c r="APY198" s="394"/>
      <c r="APZ198" s="394"/>
      <c r="AQA198" s="394"/>
      <c r="AQB198" s="394"/>
      <c r="AQC198" s="394"/>
      <c r="AQD198" s="394"/>
      <c r="AQE198" s="394"/>
      <c r="AQF198" s="394"/>
      <c r="AQG198" s="394"/>
      <c r="AQH198" s="394"/>
      <c r="AQI198" s="394"/>
      <c r="AQJ198" s="394"/>
      <c r="AQK198" s="394"/>
      <c r="AQL198" s="394"/>
      <c r="AQM198" s="394"/>
      <c r="AQN198" s="394"/>
      <c r="AQO198" s="394"/>
      <c r="AQP198" s="394"/>
      <c r="AQQ198" s="394"/>
      <c r="AQR198" s="394"/>
      <c r="AQS198" s="394"/>
      <c r="AQT198" s="394"/>
      <c r="AQU198" s="394"/>
      <c r="AQV198" s="394"/>
      <c r="AQW198" s="394"/>
      <c r="AQX198" s="394"/>
      <c r="AQY198" s="394"/>
      <c r="AQZ198" s="394"/>
      <c r="ARA198" s="394"/>
      <c r="ARB198" s="394"/>
      <c r="ARC198" s="394"/>
      <c r="ARD198" s="394"/>
      <c r="ARE198" s="394"/>
      <c r="ARF198" s="394"/>
      <c r="ARG198" s="394"/>
      <c r="ARH198" s="394"/>
      <c r="ARI198" s="394"/>
      <c r="ARJ198" s="394"/>
      <c r="ARK198" s="394"/>
      <c r="ARL198" s="394"/>
      <c r="ARM198" s="394"/>
      <c r="ARN198" s="394"/>
      <c r="ARO198" s="394"/>
      <c r="ARP198" s="394"/>
      <c r="ARQ198" s="394"/>
      <c r="ARR198" s="394"/>
      <c r="ARS198" s="394"/>
      <c r="ART198" s="394"/>
      <c r="ARU198" s="394"/>
      <c r="ARV198" s="394"/>
      <c r="ARW198" s="394"/>
      <c r="ARX198" s="394"/>
      <c r="ARY198" s="394"/>
      <c r="ARZ198" s="394"/>
      <c r="ASA198" s="394"/>
      <c r="ASB198" s="394"/>
      <c r="ASC198" s="394"/>
      <c r="ASD198" s="394"/>
      <c r="ASE198" s="394"/>
      <c r="ASF198" s="394"/>
      <c r="ASG198" s="394"/>
      <c r="ASH198" s="394"/>
      <c r="ASI198" s="394"/>
      <c r="ASJ198" s="394"/>
      <c r="ASK198" s="394"/>
      <c r="ASL198" s="394"/>
      <c r="ASM198" s="394"/>
      <c r="ASN198" s="394"/>
      <c r="ASO198" s="394"/>
      <c r="ASP198" s="394"/>
      <c r="ASQ198" s="394"/>
      <c r="ASR198" s="394"/>
      <c r="ASS198" s="394"/>
      <c r="AST198" s="394"/>
      <c r="ASU198" s="394"/>
      <c r="ASV198" s="394"/>
      <c r="ASW198" s="394"/>
      <c r="ASX198" s="394"/>
      <c r="ASY198" s="394"/>
      <c r="ASZ198" s="394"/>
      <c r="ATA198" s="394"/>
      <c r="ATB198" s="394"/>
      <c r="ATC198" s="394"/>
      <c r="ATD198" s="394"/>
      <c r="ATE198" s="394"/>
      <c r="ATF198" s="394"/>
      <c r="ATG198" s="394"/>
      <c r="ATH198" s="394"/>
      <c r="ATI198" s="394"/>
      <c r="ATJ198" s="394"/>
      <c r="ATK198" s="394"/>
      <c r="ATL198" s="394"/>
      <c r="ATM198" s="394"/>
      <c r="ATN198" s="394"/>
      <c r="ATO198" s="394"/>
      <c r="ATP198" s="394"/>
      <c r="ATQ198" s="394"/>
      <c r="ATR198" s="394"/>
      <c r="ATS198" s="394"/>
      <c r="ATT198" s="394"/>
      <c r="ATU198" s="394"/>
      <c r="ATV198" s="394"/>
      <c r="ATW198" s="394"/>
      <c r="ATX198" s="394"/>
      <c r="ATY198" s="394"/>
      <c r="ATZ198" s="394"/>
      <c r="AUA198" s="394"/>
      <c r="AUB198" s="394"/>
      <c r="AUC198" s="394"/>
      <c r="AUD198" s="394"/>
      <c r="AUE198" s="394"/>
      <c r="AUF198" s="394"/>
      <c r="AUG198" s="394"/>
      <c r="AUH198" s="394"/>
      <c r="AUI198" s="394"/>
      <c r="AUJ198" s="394"/>
      <c r="AUK198" s="394"/>
      <c r="AUL198" s="394"/>
      <c r="AUM198" s="394"/>
      <c r="AUN198" s="394"/>
      <c r="AUO198" s="394"/>
      <c r="AUP198" s="394"/>
      <c r="AUQ198" s="394"/>
      <c r="AUR198" s="394"/>
      <c r="AUS198" s="394"/>
      <c r="AUT198" s="394"/>
      <c r="AUU198" s="394"/>
      <c r="AUV198" s="394"/>
      <c r="AUW198" s="394"/>
      <c r="AUX198" s="394"/>
      <c r="AUY198" s="394"/>
      <c r="AUZ198" s="394"/>
      <c r="AVA198" s="394"/>
      <c r="AVB198" s="394"/>
      <c r="AVC198" s="394"/>
      <c r="AVD198" s="394"/>
      <c r="AVE198" s="394"/>
      <c r="AVF198" s="394"/>
      <c r="AVG198" s="394"/>
      <c r="AVH198" s="394"/>
      <c r="AVI198" s="394"/>
      <c r="AVJ198" s="394"/>
      <c r="AVK198" s="394"/>
      <c r="AVL198" s="394"/>
      <c r="AVM198" s="394"/>
      <c r="AVN198" s="394"/>
      <c r="AVO198" s="394"/>
      <c r="AVP198" s="394"/>
      <c r="AVQ198" s="394"/>
      <c r="AVR198" s="394"/>
      <c r="AVS198" s="394"/>
      <c r="AVT198" s="394"/>
      <c r="AVU198" s="394"/>
      <c r="AVV198" s="394"/>
      <c r="AVW198" s="394"/>
      <c r="AVX198" s="394"/>
      <c r="AVY198" s="394"/>
      <c r="AVZ198" s="394"/>
      <c r="AWA198" s="394"/>
      <c r="AWB198" s="394"/>
      <c r="AWC198" s="394"/>
      <c r="AWD198" s="394"/>
      <c r="AWE198" s="394"/>
      <c r="AWF198" s="394"/>
      <c r="AWG198" s="394"/>
      <c r="AWH198" s="394"/>
      <c r="AWI198" s="394"/>
      <c r="AWJ198" s="394"/>
      <c r="AWK198" s="394"/>
      <c r="AWL198" s="394"/>
      <c r="AWM198" s="394"/>
      <c r="AWN198" s="394"/>
      <c r="AWO198" s="394"/>
      <c r="AWP198" s="394"/>
      <c r="AWQ198" s="394"/>
      <c r="AWR198" s="394"/>
      <c r="AWS198" s="394"/>
      <c r="AWT198" s="394"/>
      <c r="AWU198" s="394"/>
      <c r="AWV198" s="394"/>
      <c r="AWW198" s="394"/>
      <c r="AWX198" s="394"/>
      <c r="AWY198" s="394"/>
      <c r="AWZ198" s="394"/>
      <c r="AXA198" s="394"/>
      <c r="AXB198" s="394"/>
      <c r="AXC198" s="394"/>
      <c r="AXD198" s="394"/>
      <c r="AXE198" s="394"/>
      <c r="AXF198" s="394"/>
      <c r="AXG198" s="394"/>
      <c r="AXH198" s="394"/>
      <c r="AXI198" s="394"/>
      <c r="AXJ198" s="394"/>
      <c r="AXK198" s="394"/>
      <c r="AXL198" s="394"/>
      <c r="AXM198" s="394"/>
      <c r="AXN198" s="394"/>
      <c r="AXO198" s="394"/>
      <c r="AXP198" s="394"/>
      <c r="AXQ198" s="394"/>
      <c r="AXR198" s="394"/>
      <c r="AXS198" s="394"/>
      <c r="AXT198" s="394"/>
      <c r="AXU198" s="394"/>
      <c r="AXV198" s="394"/>
      <c r="AXW198" s="394"/>
      <c r="AXX198" s="394"/>
      <c r="AXY198" s="394"/>
      <c r="AXZ198" s="394"/>
      <c r="AYA198" s="394"/>
      <c r="AYB198" s="394"/>
      <c r="AYC198" s="394"/>
      <c r="AYD198" s="394"/>
      <c r="AYE198" s="394"/>
      <c r="AYF198" s="394"/>
      <c r="AYG198" s="394"/>
      <c r="AYH198" s="394"/>
      <c r="AYI198" s="394"/>
      <c r="AYJ198" s="394"/>
      <c r="AYK198" s="394"/>
      <c r="AYL198" s="394"/>
      <c r="AYM198" s="394"/>
      <c r="AYN198" s="394"/>
      <c r="AYO198" s="394"/>
      <c r="AYP198" s="394"/>
      <c r="AYQ198" s="394"/>
      <c r="AYR198" s="394"/>
      <c r="AYS198" s="394"/>
      <c r="AYT198" s="394"/>
      <c r="AYU198" s="394"/>
      <c r="AYV198" s="394"/>
      <c r="AYW198" s="394"/>
      <c r="AYX198" s="394"/>
      <c r="AYY198" s="394"/>
      <c r="AYZ198" s="394"/>
      <c r="AZA198" s="394"/>
      <c r="AZB198" s="394"/>
      <c r="AZC198" s="394"/>
      <c r="AZD198" s="394"/>
      <c r="AZE198" s="394"/>
      <c r="AZF198" s="394"/>
      <c r="AZG198" s="394"/>
      <c r="AZH198" s="394"/>
      <c r="AZI198" s="394"/>
      <c r="AZJ198" s="394"/>
      <c r="AZK198" s="394"/>
      <c r="AZL198" s="394"/>
      <c r="AZM198" s="394"/>
      <c r="AZN198" s="394"/>
      <c r="AZO198" s="394"/>
      <c r="AZP198" s="394"/>
      <c r="AZQ198" s="394"/>
      <c r="AZR198" s="394"/>
      <c r="AZS198" s="394"/>
      <c r="AZT198" s="394"/>
      <c r="AZU198" s="394"/>
      <c r="AZV198" s="394"/>
      <c r="AZW198" s="394"/>
      <c r="AZX198" s="394"/>
      <c r="AZY198" s="394"/>
      <c r="AZZ198" s="394"/>
      <c r="BAA198" s="394"/>
      <c r="BAB198" s="394"/>
      <c r="BAC198" s="394"/>
      <c r="BAD198" s="394"/>
      <c r="BAE198" s="394"/>
      <c r="BAF198" s="394"/>
      <c r="BAG198" s="394"/>
      <c r="BAH198" s="394"/>
      <c r="BAI198" s="394"/>
      <c r="BAJ198" s="394"/>
      <c r="BAK198" s="394"/>
      <c r="BAL198" s="394"/>
      <c r="BAM198" s="394"/>
      <c r="BAN198" s="394"/>
      <c r="BAO198" s="394"/>
      <c r="BAP198" s="394"/>
      <c r="BAQ198" s="394"/>
      <c r="BAR198" s="394"/>
      <c r="BAS198" s="394"/>
      <c r="BAT198" s="394"/>
      <c r="BAU198" s="394"/>
      <c r="BAV198" s="394"/>
      <c r="BAW198" s="394"/>
      <c r="BAX198" s="394"/>
      <c r="BAY198" s="394"/>
      <c r="BAZ198" s="394"/>
      <c r="BBA198" s="394"/>
      <c r="BBB198" s="394"/>
      <c r="BBC198" s="394"/>
      <c r="BBD198" s="394"/>
      <c r="BBE198" s="394"/>
      <c r="BBF198" s="394"/>
      <c r="BBG198" s="394"/>
      <c r="BBH198" s="394"/>
      <c r="BBI198" s="394"/>
      <c r="BBJ198" s="394"/>
      <c r="BBK198" s="394"/>
      <c r="BBL198" s="394"/>
      <c r="BBM198" s="394"/>
      <c r="BBN198" s="394"/>
      <c r="BBO198" s="394"/>
      <c r="BBP198" s="394"/>
      <c r="BBQ198" s="394"/>
      <c r="BBR198" s="394"/>
      <c r="BBS198" s="394"/>
      <c r="BBT198" s="394"/>
      <c r="BBU198" s="394"/>
      <c r="BBV198" s="394"/>
      <c r="BBW198" s="394"/>
      <c r="BBX198" s="394"/>
      <c r="BBY198" s="394"/>
      <c r="BBZ198" s="394"/>
      <c r="BCA198" s="394"/>
      <c r="BCB198" s="394"/>
      <c r="BCC198" s="394"/>
      <c r="BCD198" s="394"/>
      <c r="BCE198" s="394"/>
      <c r="BCF198" s="394"/>
      <c r="BCG198" s="394"/>
      <c r="BCH198" s="394"/>
      <c r="BCI198" s="394"/>
      <c r="BCJ198" s="394"/>
      <c r="BCK198" s="394"/>
      <c r="BCL198" s="394"/>
      <c r="BCM198" s="394"/>
      <c r="BCN198" s="394"/>
      <c r="BCO198" s="394"/>
      <c r="BCP198" s="394"/>
      <c r="BCQ198" s="394"/>
      <c r="BCR198" s="394"/>
      <c r="BCS198" s="394"/>
      <c r="BCT198" s="394"/>
      <c r="BCU198" s="394"/>
      <c r="BCV198" s="394"/>
      <c r="BCW198" s="394"/>
      <c r="BCX198" s="394"/>
      <c r="BCY198" s="394"/>
      <c r="BCZ198" s="394"/>
      <c r="BDA198" s="394"/>
      <c r="BDB198" s="394"/>
      <c r="BDC198" s="394"/>
      <c r="BDD198" s="394"/>
      <c r="BDE198" s="394"/>
      <c r="BDF198" s="394"/>
      <c r="BDG198" s="394"/>
      <c r="BDH198" s="394"/>
      <c r="BDI198" s="394"/>
      <c r="BDJ198" s="394"/>
      <c r="BDK198" s="394"/>
      <c r="BDL198" s="394"/>
      <c r="BDM198" s="394"/>
      <c r="BDN198" s="394"/>
      <c r="BDO198" s="394"/>
      <c r="BDP198" s="394"/>
      <c r="BDQ198" s="394"/>
      <c r="BDR198" s="394"/>
      <c r="BDS198" s="394"/>
      <c r="BDT198" s="394"/>
      <c r="BDU198" s="394"/>
      <c r="BDV198" s="394"/>
      <c r="BDW198" s="394"/>
      <c r="BDX198" s="394"/>
      <c r="BDY198" s="394"/>
      <c r="BDZ198" s="394"/>
      <c r="BEA198" s="394"/>
      <c r="BEB198" s="394"/>
      <c r="BEC198" s="394"/>
      <c r="BED198" s="394"/>
      <c r="BEE198" s="394"/>
      <c r="BEF198" s="394"/>
      <c r="BEG198" s="394"/>
      <c r="BEH198" s="394"/>
      <c r="BEI198" s="394"/>
      <c r="BEJ198" s="394"/>
      <c r="BEK198" s="394"/>
      <c r="BEL198" s="394"/>
      <c r="BEM198" s="394"/>
      <c r="BEN198" s="394"/>
      <c r="BEO198" s="394"/>
      <c r="BEP198" s="394"/>
      <c r="BEQ198" s="394"/>
      <c r="BER198" s="394"/>
      <c r="BES198" s="394"/>
      <c r="BET198" s="394"/>
      <c r="BEU198" s="394"/>
      <c r="BEV198" s="394"/>
      <c r="BEW198" s="394"/>
      <c r="BEX198" s="394"/>
      <c r="BEY198" s="394"/>
      <c r="BEZ198" s="394"/>
      <c r="BFA198" s="394"/>
      <c r="BFB198" s="394"/>
      <c r="BFC198" s="394"/>
      <c r="BFD198" s="394"/>
      <c r="BFE198" s="394"/>
      <c r="BFF198" s="394"/>
      <c r="BFG198" s="394"/>
      <c r="BFH198" s="394"/>
      <c r="BFI198" s="394"/>
      <c r="BFJ198" s="394"/>
      <c r="BFK198" s="394"/>
      <c r="BFL198" s="394"/>
      <c r="BFM198" s="394"/>
      <c r="BFN198" s="394"/>
      <c r="BFO198" s="394"/>
      <c r="BFP198" s="394"/>
      <c r="BFQ198" s="394"/>
      <c r="BFR198" s="394"/>
      <c r="BFS198" s="394"/>
      <c r="BFT198" s="394"/>
      <c r="BFU198" s="394"/>
      <c r="BFV198" s="394"/>
      <c r="BFW198" s="394"/>
      <c r="BFX198" s="394"/>
      <c r="BFY198" s="394"/>
      <c r="BFZ198" s="394"/>
      <c r="BGA198" s="394"/>
      <c r="BGB198" s="394"/>
      <c r="BGC198" s="394"/>
      <c r="BGD198" s="394"/>
      <c r="BGE198" s="394"/>
      <c r="BGF198" s="394"/>
      <c r="BGG198" s="394"/>
      <c r="BGH198" s="394"/>
      <c r="BGI198" s="394"/>
      <c r="BGJ198" s="394"/>
      <c r="BGK198" s="394"/>
      <c r="BGL198" s="394"/>
      <c r="BGM198" s="394"/>
      <c r="BGN198" s="394"/>
      <c r="BGO198" s="394"/>
      <c r="BGP198" s="394"/>
      <c r="BGQ198" s="394"/>
      <c r="BGR198" s="394"/>
      <c r="BGS198" s="394"/>
      <c r="BGT198" s="394"/>
      <c r="BGU198" s="394"/>
      <c r="BGV198" s="394"/>
      <c r="BGW198" s="394"/>
      <c r="BGX198" s="394"/>
      <c r="BGY198" s="394"/>
      <c r="BGZ198" s="394"/>
      <c r="BHA198" s="394"/>
      <c r="BHB198" s="394"/>
      <c r="BHC198" s="394"/>
      <c r="BHD198" s="394"/>
      <c r="BHE198" s="394"/>
      <c r="BHF198" s="394"/>
      <c r="BHG198" s="394"/>
      <c r="BHH198" s="394"/>
      <c r="BHI198" s="394"/>
      <c r="BHJ198" s="394"/>
      <c r="BHK198" s="394"/>
      <c r="BHL198" s="394"/>
      <c r="BHM198" s="394"/>
      <c r="BHN198" s="394"/>
      <c r="BHO198" s="394"/>
      <c r="BHP198" s="394"/>
      <c r="BHQ198" s="394"/>
      <c r="BHR198" s="394"/>
      <c r="BHS198" s="394"/>
      <c r="BHT198" s="394"/>
      <c r="BHU198" s="394"/>
      <c r="BHV198" s="394"/>
      <c r="BHW198" s="394"/>
      <c r="BHX198" s="394"/>
      <c r="BHY198" s="394"/>
      <c r="BHZ198" s="394"/>
      <c r="BIA198" s="394"/>
      <c r="BIB198" s="394"/>
      <c r="BIC198" s="394"/>
      <c r="BID198" s="394"/>
      <c r="BIE198" s="394"/>
      <c r="BIF198" s="394"/>
      <c r="BIG198" s="394"/>
      <c r="BIH198" s="394"/>
      <c r="BII198" s="394"/>
      <c r="BIJ198" s="394"/>
      <c r="BIK198" s="394"/>
      <c r="BIL198" s="394"/>
      <c r="BIM198" s="394"/>
      <c r="BIN198" s="394"/>
      <c r="BIO198" s="394"/>
      <c r="BIP198" s="394"/>
      <c r="BIQ198" s="394"/>
      <c r="BIR198" s="394"/>
      <c r="BIS198" s="394"/>
      <c r="BIT198" s="394"/>
      <c r="BIU198" s="394"/>
      <c r="BIV198" s="394"/>
      <c r="BIW198" s="394"/>
      <c r="BIX198" s="394"/>
      <c r="BIY198" s="394"/>
      <c r="BIZ198" s="394"/>
      <c r="BJA198" s="394"/>
      <c r="BJB198" s="394"/>
      <c r="BJC198" s="394"/>
      <c r="BJD198" s="394"/>
      <c r="BJE198" s="394"/>
      <c r="BJF198" s="394"/>
      <c r="BJG198" s="394"/>
      <c r="BJH198" s="394"/>
      <c r="BJI198" s="394"/>
      <c r="BJJ198" s="394"/>
      <c r="BJK198" s="394"/>
      <c r="BJL198" s="394"/>
      <c r="BJM198" s="394"/>
      <c r="BJN198" s="394"/>
      <c r="BJO198" s="394"/>
      <c r="BJP198" s="394"/>
      <c r="BJQ198" s="394"/>
      <c r="BJR198" s="394"/>
      <c r="BJS198" s="394"/>
      <c r="BJT198" s="394"/>
      <c r="BJU198" s="394"/>
      <c r="BJV198" s="394"/>
      <c r="BJW198" s="394"/>
      <c r="BJX198" s="394"/>
      <c r="BJY198" s="394"/>
      <c r="BJZ198" s="394"/>
      <c r="BKA198" s="394"/>
      <c r="BKB198" s="394"/>
      <c r="BKC198" s="394"/>
      <c r="BKD198" s="394"/>
      <c r="BKE198" s="394"/>
      <c r="BKF198" s="394"/>
      <c r="BKG198" s="394"/>
      <c r="BKH198" s="394"/>
      <c r="BKI198" s="394"/>
      <c r="BKJ198" s="394"/>
      <c r="BKK198" s="394"/>
      <c r="BKL198" s="394"/>
      <c r="BKM198" s="394"/>
      <c r="BKN198" s="394"/>
      <c r="BKO198" s="394"/>
      <c r="BKP198" s="394"/>
      <c r="BKQ198" s="394"/>
      <c r="BKR198" s="394"/>
      <c r="BKS198" s="394"/>
      <c r="BKT198" s="394"/>
      <c r="BKU198" s="394"/>
      <c r="BKV198" s="394"/>
      <c r="BKW198" s="394"/>
      <c r="BKX198" s="394"/>
      <c r="BKY198" s="394"/>
      <c r="BKZ198" s="394"/>
      <c r="BLA198" s="394"/>
      <c r="BLB198" s="394"/>
      <c r="BLC198" s="394"/>
      <c r="BLD198" s="394"/>
      <c r="BLE198" s="394"/>
      <c r="BLF198" s="394"/>
      <c r="BLG198" s="394"/>
      <c r="BLH198" s="394"/>
      <c r="BLI198" s="394"/>
      <c r="BLJ198" s="394"/>
      <c r="BLK198" s="394"/>
      <c r="BLL198" s="394"/>
      <c r="BLM198" s="394"/>
      <c r="BLN198" s="394"/>
      <c r="BLO198" s="394"/>
      <c r="BLP198" s="394"/>
      <c r="BLQ198" s="394"/>
      <c r="BLR198" s="394"/>
      <c r="BLS198" s="394"/>
      <c r="BLT198" s="394"/>
      <c r="BLU198" s="394"/>
      <c r="BLV198" s="394"/>
      <c r="BLW198" s="394"/>
      <c r="BLX198" s="394"/>
      <c r="BLY198" s="394"/>
      <c r="BLZ198" s="394"/>
      <c r="BMA198" s="394"/>
      <c r="BMB198" s="394"/>
      <c r="BMC198" s="394"/>
      <c r="BMD198" s="394"/>
      <c r="BME198" s="394"/>
      <c r="BMF198" s="394"/>
      <c r="BMG198" s="394"/>
      <c r="BMH198" s="394"/>
      <c r="BMI198" s="394"/>
      <c r="BMJ198" s="394"/>
      <c r="BMK198" s="394"/>
      <c r="BML198" s="394"/>
      <c r="BMM198" s="394"/>
      <c r="BMN198" s="394"/>
      <c r="BMO198" s="394"/>
      <c r="BMP198" s="394"/>
      <c r="BMQ198" s="394"/>
      <c r="BMR198" s="394"/>
      <c r="BMS198" s="394"/>
      <c r="BMT198" s="394"/>
      <c r="BMU198" s="394"/>
      <c r="BMV198" s="394"/>
      <c r="BMW198" s="394"/>
      <c r="BMX198" s="394"/>
      <c r="BMY198" s="394"/>
      <c r="BMZ198" s="394"/>
      <c r="BNA198" s="394"/>
      <c r="BNB198" s="394"/>
      <c r="BNC198" s="394"/>
      <c r="BND198" s="394"/>
      <c r="BNE198" s="394"/>
      <c r="BNF198" s="394"/>
      <c r="BNG198" s="394"/>
      <c r="BNH198" s="394"/>
      <c r="BNI198" s="394"/>
      <c r="BNJ198" s="394"/>
      <c r="BNK198" s="394"/>
      <c r="BNL198" s="394"/>
      <c r="BNM198" s="394"/>
      <c r="BNN198" s="394"/>
      <c r="BNO198" s="394"/>
      <c r="BNP198" s="394"/>
      <c r="BNQ198" s="394"/>
      <c r="BNR198" s="394"/>
      <c r="BNS198" s="394"/>
      <c r="BNT198" s="394"/>
      <c r="BNU198" s="394"/>
      <c r="BNV198" s="394"/>
      <c r="BNW198" s="394"/>
      <c r="BNX198" s="394"/>
      <c r="BNY198" s="394"/>
      <c r="BNZ198" s="394"/>
      <c r="BOA198" s="394"/>
      <c r="BOB198" s="394"/>
      <c r="BOC198" s="394"/>
      <c r="BOD198" s="394"/>
      <c r="BOE198" s="394"/>
      <c r="BOF198" s="394"/>
      <c r="BOG198" s="394"/>
      <c r="BOH198" s="394"/>
      <c r="BOI198" s="394"/>
      <c r="BOJ198" s="394"/>
      <c r="BOK198" s="394"/>
      <c r="BOL198" s="394"/>
      <c r="BOM198" s="394"/>
      <c r="BON198" s="394"/>
      <c r="BOO198" s="394"/>
      <c r="BOP198" s="394"/>
      <c r="BOQ198" s="394"/>
      <c r="BOR198" s="394"/>
      <c r="BOS198" s="394"/>
      <c r="BOT198" s="394"/>
      <c r="BOU198" s="394"/>
      <c r="BOV198" s="394"/>
      <c r="BOW198" s="394"/>
      <c r="BOX198" s="394"/>
      <c r="BOY198" s="394"/>
      <c r="BOZ198" s="394"/>
      <c r="BPA198" s="394"/>
      <c r="BPB198" s="394"/>
      <c r="BPC198" s="394"/>
      <c r="BPD198" s="394"/>
      <c r="BPE198" s="394"/>
      <c r="BPF198" s="394"/>
      <c r="BPG198" s="394"/>
      <c r="BPH198" s="394"/>
      <c r="BPI198" s="394"/>
      <c r="BPJ198" s="394"/>
      <c r="BPK198" s="394"/>
      <c r="BPL198" s="394"/>
      <c r="BPM198" s="394"/>
      <c r="BPN198" s="394"/>
      <c r="BPO198" s="394"/>
      <c r="BPP198" s="394"/>
      <c r="BPQ198" s="394"/>
      <c r="BPR198" s="394"/>
      <c r="BPS198" s="394"/>
      <c r="BPT198" s="394"/>
      <c r="BPU198" s="394"/>
      <c r="BPV198" s="394"/>
      <c r="BPW198" s="394"/>
      <c r="BPX198" s="394"/>
      <c r="BPY198" s="394"/>
      <c r="BPZ198" s="394"/>
      <c r="BQA198" s="394"/>
      <c r="BQB198" s="394"/>
      <c r="BQC198" s="394"/>
      <c r="BQD198" s="394"/>
      <c r="BQE198" s="394"/>
      <c r="BQF198" s="394"/>
      <c r="BQG198" s="394"/>
      <c r="BQH198" s="394"/>
      <c r="BQI198" s="394"/>
      <c r="BQJ198" s="394"/>
      <c r="BQK198" s="394"/>
      <c r="BQL198" s="394"/>
      <c r="BQM198" s="394"/>
      <c r="BQN198" s="394"/>
      <c r="BQO198" s="394"/>
      <c r="BQP198" s="394"/>
      <c r="BQQ198" s="394"/>
      <c r="BQR198" s="394"/>
      <c r="BQS198" s="394"/>
      <c r="BQT198" s="394"/>
      <c r="BQU198" s="394"/>
      <c r="BQV198" s="394"/>
      <c r="BQW198" s="394"/>
      <c r="BQX198" s="394"/>
      <c r="BQY198" s="394"/>
      <c r="BQZ198" s="394"/>
      <c r="BRA198" s="394"/>
      <c r="BRB198" s="394"/>
      <c r="BRC198" s="394"/>
      <c r="BRD198" s="394"/>
      <c r="BRE198" s="394"/>
      <c r="BRF198" s="394"/>
      <c r="BRG198" s="394"/>
      <c r="BRH198" s="394"/>
      <c r="BRI198" s="394"/>
      <c r="BRJ198" s="394"/>
      <c r="BRK198" s="394"/>
      <c r="BRL198" s="394"/>
      <c r="BRM198" s="394"/>
      <c r="BRN198" s="394"/>
      <c r="BRO198" s="394"/>
      <c r="BRP198" s="394"/>
      <c r="BRQ198" s="394"/>
      <c r="BRR198" s="394"/>
      <c r="BRS198" s="394"/>
      <c r="BRT198" s="394"/>
      <c r="BRU198" s="394"/>
      <c r="BRV198" s="394"/>
      <c r="BRW198" s="394"/>
      <c r="BRX198" s="394"/>
      <c r="BRY198" s="394"/>
      <c r="BRZ198" s="394"/>
      <c r="BSA198" s="394"/>
      <c r="BSB198" s="394"/>
      <c r="BSC198" s="394"/>
      <c r="BSD198" s="394"/>
      <c r="BSE198" s="394"/>
      <c r="BSF198" s="394"/>
      <c r="BSG198" s="394"/>
      <c r="BSH198" s="394"/>
      <c r="BSI198" s="394"/>
      <c r="BSJ198" s="394"/>
      <c r="BSK198" s="394"/>
      <c r="BSL198" s="394"/>
      <c r="BSM198" s="394"/>
      <c r="BSN198" s="394"/>
      <c r="BSO198" s="394"/>
      <c r="BSP198" s="394"/>
      <c r="BSQ198" s="394"/>
      <c r="BSR198" s="394"/>
      <c r="BSS198" s="394"/>
      <c r="BST198" s="394"/>
      <c r="BSU198" s="394"/>
      <c r="BSV198" s="394"/>
      <c r="BSW198" s="394"/>
      <c r="BSX198" s="394"/>
      <c r="BSY198" s="394"/>
      <c r="BSZ198" s="394"/>
      <c r="BTA198" s="394"/>
      <c r="BTB198" s="394"/>
      <c r="BTC198" s="394"/>
      <c r="BTD198" s="394"/>
      <c r="BTE198" s="394"/>
      <c r="BTF198" s="394"/>
      <c r="BTG198" s="394"/>
      <c r="BTH198" s="394"/>
      <c r="BTI198" s="394"/>
    </row>
    <row r="199" spans="1:1881" ht="53.25" customHeight="1" x14ac:dyDescent="0.25">
      <c r="A199" s="188">
        <v>357</v>
      </c>
      <c r="B199" s="150" t="s">
        <v>63</v>
      </c>
      <c r="C199" s="182" t="s">
        <v>236</v>
      </c>
      <c r="D199" s="174" t="s">
        <v>23</v>
      </c>
      <c r="E199" s="32" t="e">
        <f>HLOOKUP($D$2,'2019 Data(H)'!$C$1:$CP$300,119,FALSE)</f>
        <v>#N/A</v>
      </c>
      <c r="F199" s="589"/>
      <c r="G199" s="581">
        <f>IF(F199&lt;0,"Error: Enter as positive.",)</f>
        <v>0</v>
      </c>
      <c r="H199" s="13"/>
      <c r="I199" s="297"/>
    </row>
    <row r="200" spans="1:1881" s="318" customFormat="1" ht="35.25" customHeight="1" x14ac:dyDescent="0.3">
      <c r="A200" s="189"/>
      <c r="B200" s="161" t="s">
        <v>11</v>
      </c>
      <c r="C200" s="160"/>
      <c r="D200" s="155"/>
      <c r="E200" s="162"/>
      <c r="F200" s="730"/>
      <c r="G200" s="555"/>
      <c r="H200" s="13"/>
      <c r="I200" s="31"/>
      <c r="J200" s="394"/>
      <c r="K200" s="394"/>
      <c r="L200" s="394"/>
      <c r="M200" s="394"/>
      <c r="N200"/>
      <c r="O200" s="394"/>
      <c r="P200" s="394"/>
      <c r="Q200" s="394"/>
      <c r="R200" s="394"/>
      <c r="S200" s="394"/>
      <c r="T200" s="394"/>
      <c r="U200" s="394"/>
      <c r="V200" s="394"/>
      <c r="W200" s="394"/>
      <c r="X200" s="394"/>
      <c r="Y200" s="394"/>
      <c r="Z200" s="394"/>
      <c r="AA200" s="394"/>
      <c r="AB200" s="394"/>
      <c r="AC200" s="394"/>
      <c r="AD200" s="394"/>
      <c r="AE200" s="394"/>
      <c r="AF200" s="394"/>
      <c r="AG200" s="394"/>
      <c r="AH200" s="394"/>
      <c r="AI200" s="394"/>
      <c r="AJ200" s="394"/>
      <c r="AK200" s="394"/>
      <c r="AL200" s="394"/>
      <c r="AM200" s="394"/>
      <c r="AN200" s="394"/>
      <c r="AO200" s="394"/>
      <c r="AP200" s="394"/>
      <c r="AQ200" s="394"/>
      <c r="AR200" s="394"/>
      <c r="AS200" s="394"/>
      <c r="AT200" s="394"/>
      <c r="AU200" s="394"/>
      <c r="AV200" s="394"/>
      <c r="AW200" s="394"/>
      <c r="AX200" s="394"/>
      <c r="AY200" s="394"/>
      <c r="AZ200" s="394"/>
      <c r="BA200" s="394"/>
      <c r="BB200" s="394"/>
      <c r="BC200" s="394"/>
      <c r="BD200" s="394"/>
      <c r="BE200" s="394"/>
      <c r="BF200" s="394"/>
      <c r="BG200" s="394"/>
      <c r="BH200" s="394"/>
      <c r="BI200" s="394"/>
      <c r="BJ200" s="394"/>
      <c r="BK200" s="394"/>
      <c r="BL200" s="394"/>
      <c r="BM200" s="394"/>
      <c r="BN200" s="394"/>
      <c r="BO200" s="394"/>
      <c r="BP200" s="394"/>
      <c r="BQ200" s="394"/>
      <c r="BR200" s="394"/>
      <c r="BS200" s="394"/>
      <c r="BT200" s="394"/>
      <c r="BU200" s="394"/>
      <c r="BV200" s="394"/>
      <c r="BW200" s="394"/>
      <c r="BX200" s="394"/>
      <c r="BY200" s="394"/>
      <c r="BZ200" s="394"/>
      <c r="CA200" s="394"/>
      <c r="CB200" s="394"/>
      <c r="CC200" s="394"/>
      <c r="CD200" s="394"/>
      <c r="CE200" s="394"/>
      <c r="CF200" s="394"/>
      <c r="CG200" s="394"/>
      <c r="CH200" s="394"/>
      <c r="CI200" s="394"/>
      <c r="CJ200" s="394"/>
      <c r="CK200" s="394"/>
      <c r="CL200" s="394"/>
      <c r="CM200" s="394"/>
      <c r="CN200" s="394"/>
      <c r="CO200" s="394"/>
      <c r="CP200" s="394"/>
      <c r="CQ200" s="394"/>
      <c r="CR200" s="394"/>
      <c r="CS200" s="394"/>
      <c r="CT200" s="394"/>
      <c r="CU200" s="394"/>
      <c r="CV200" s="394"/>
      <c r="CW200" s="394"/>
      <c r="CX200" s="394"/>
      <c r="CY200" s="394"/>
      <c r="CZ200" s="394"/>
      <c r="DA200" s="394"/>
      <c r="DB200" s="394"/>
      <c r="DC200" s="394"/>
      <c r="DD200" s="394"/>
      <c r="DE200" s="394"/>
      <c r="DF200" s="394"/>
      <c r="DG200" s="394"/>
      <c r="DH200" s="394"/>
      <c r="DI200" s="394"/>
      <c r="DJ200" s="394"/>
      <c r="DK200" s="394"/>
      <c r="DL200" s="394"/>
      <c r="DM200" s="394"/>
      <c r="DN200" s="394"/>
      <c r="DO200" s="394"/>
      <c r="DP200" s="394"/>
      <c r="DQ200" s="394"/>
      <c r="DR200" s="394"/>
      <c r="DS200" s="394"/>
      <c r="DT200" s="394"/>
      <c r="DU200" s="394"/>
      <c r="DV200" s="394"/>
      <c r="DW200" s="394"/>
      <c r="DX200" s="394"/>
      <c r="DY200" s="394"/>
      <c r="DZ200" s="394"/>
      <c r="EA200" s="394"/>
      <c r="EB200" s="394"/>
      <c r="EC200" s="394"/>
      <c r="ED200" s="394"/>
      <c r="EE200" s="394"/>
      <c r="EF200" s="394"/>
      <c r="EG200" s="394"/>
      <c r="EH200" s="394"/>
      <c r="EI200" s="394"/>
      <c r="EJ200" s="394"/>
      <c r="EK200" s="394"/>
      <c r="EL200" s="394"/>
      <c r="EM200" s="394"/>
      <c r="EN200" s="394"/>
      <c r="EO200" s="394"/>
      <c r="EP200" s="394"/>
      <c r="EQ200" s="394"/>
      <c r="ER200" s="394"/>
      <c r="ES200" s="394"/>
      <c r="ET200" s="394"/>
      <c r="EU200" s="394"/>
      <c r="EV200" s="394"/>
      <c r="EW200" s="394"/>
      <c r="EX200" s="394"/>
      <c r="EY200" s="394"/>
      <c r="EZ200" s="394"/>
      <c r="FA200" s="394"/>
      <c r="FB200" s="394"/>
      <c r="FC200" s="394"/>
      <c r="FD200" s="394"/>
      <c r="FE200" s="394"/>
      <c r="FF200" s="394"/>
      <c r="FG200" s="394"/>
      <c r="FH200" s="394"/>
      <c r="FI200" s="394"/>
      <c r="FJ200" s="394"/>
      <c r="FK200" s="394"/>
      <c r="FL200" s="394"/>
      <c r="FM200" s="394"/>
      <c r="FN200" s="394"/>
      <c r="FO200" s="394"/>
      <c r="FP200" s="394"/>
      <c r="FQ200" s="394"/>
      <c r="FR200" s="394"/>
      <c r="FS200" s="394"/>
      <c r="FT200" s="394"/>
      <c r="FU200" s="394"/>
      <c r="FV200" s="394"/>
      <c r="FW200" s="394"/>
      <c r="FX200" s="394"/>
      <c r="FY200" s="394"/>
      <c r="FZ200" s="394"/>
      <c r="GA200" s="394"/>
      <c r="GB200" s="394"/>
      <c r="GC200" s="394"/>
      <c r="GD200" s="394"/>
      <c r="GE200" s="394"/>
      <c r="GF200" s="394"/>
      <c r="GG200" s="394"/>
      <c r="GH200" s="394"/>
      <c r="GI200" s="394"/>
      <c r="GJ200" s="394"/>
      <c r="GK200" s="394"/>
      <c r="GL200" s="394"/>
      <c r="GM200" s="394"/>
      <c r="GN200" s="394"/>
      <c r="GO200" s="394"/>
      <c r="GP200" s="394"/>
      <c r="GQ200" s="394"/>
      <c r="GR200" s="394"/>
      <c r="GS200" s="394"/>
      <c r="GT200" s="394"/>
      <c r="GU200" s="394"/>
      <c r="GV200" s="394"/>
      <c r="GW200" s="394"/>
      <c r="GX200" s="394"/>
      <c r="GY200" s="394"/>
      <c r="GZ200" s="394"/>
      <c r="HA200" s="394"/>
      <c r="HB200" s="394"/>
      <c r="HC200" s="394"/>
      <c r="HD200" s="394"/>
      <c r="HE200" s="394"/>
      <c r="HF200" s="394"/>
      <c r="HG200" s="394"/>
      <c r="HH200" s="394"/>
      <c r="HI200" s="394"/>
      <c r="HJ200" s="394"/>
      <c r="HK200" s="394"/>
      <c r="HL200" s="394"/>
      <c r="HM200" s="394"/>
      <c r="HN200" s="394"/>
      <c r="HO200" s="394"/>
      <c r="HP200" s="394"/>
      <c r="HQ200" s="394"/>
      <c r="HR200" s="394"/>
      <c r="HS200" s="394"/>
      <c r="HT200" s="394"/>
      <c r="HU200" s="394"/>
      <c r="HV200" s="394"/>
      <c r="HW200" s="394"/>
      <c r="HX200" s="394"/>
      <c r="HY200" s="394"/>
      <c r="HZ200" s="394"/>
      <c r="IA200" s="394"/>
      <c r="IB200" s="394"/>
      <c r="IC200" s="394"/>
      <c r="ID200" s="394"/>
      <c r="IE200" s="394"/>
      <c r="IF200" s="394"/>
      <c r="IG200" s="394"/>
      <c r="IH200" s="394"/>
      <c r="II200" s="394"/>
      <c r="IJ200" s="394"/>
      <c r="IK200" s="394"/>
      <c r="IL200" s="394"/>
      <c r="IM200" s="394"/>
      <c r="IN200" s="394"/>
      <c r="IO200" s="394"/>
      <c r="IP200" s="394"/>
      <c r="IQ200" s="394"/>
      <c r="IR200" s="394"/>
      <c r="IS200" s="394"/>
      <c r="IT200" s="394"/>
      <c r="IU200" s="394"/>
      <c r="IV200" s="394"/>
      <c r="IW200" s="394"/>
      <c r="IX200" s="394"/>
      <c r="IY200" s="394"/>
      <c r="IZ200" s="394"/>
      <c r="JA200" s="394"/>
      <c r="JB200" s="394"/>
      <c r="JC200" s="394"/>
      <c r="JD200" s="394"/>
      <c r="JE200" s="394"/>
      <c r="JF200" s="394"/>
      <c r="JG200" s="394"/>
      <c r="JH200" s="394"/>
      <c r="JI200" s="394"/>
      <c r="JJ200" s="394"/>
      <c r="JK200" s="394"/>
      <c r="JL200" s="394"/>
      <c r="JM200" s="394"/>
      <c r="JN200" s="394"/>
      <c r="JO200" s="394"/>
      <c r="JP200" s="394"/>
      <c r="JQ200" s="394"/>
      <c r="JR200" s="394"/>
      <c r="JS200" s="394"/>
      <c r="JT200" s="394"/>
      <c r="JU200" s="394"/>
      <c r="JV200" s="394"/>
      <c r="JW200" s="394"/>
      <c r="JX200" s="394"/>
      <c r="JY200" s="394"/>
      <c r="JZ200" s="394"/>
      <c r="KA200" s="394"/>
      <c r="KB200" s="394"/>
      <c r="KC200" s="394"/>
      <c r="KD200" s="394"/>
      <c r="KE200" s="394"/>
      <c r="KF200" s="394"/>
      <c r="KG200" s="394"/>
      <c r="KH200" s="394"/>
      <c r="KI200" s="394"/>
      <c r="KJ200" s="394"/>
      <c r="KK200" s="394"/>
      <c r="KL200" s="394"/>
      <c r="KM200" s="394"/>
      <c r="KN200" s="394"/>
      <c r="KO200" s="394"/>
      <c r="KP200" s="394"/>
      <c r="KQ200" s="394"/>
      <c r="KR200" s="394"/>
      <c r="KS200" s="394"/>
      <c r="KT200" s="394"/>
      <c r="KU200" s="394"/>
      <c r="KV200" s="394"/>
      <c r="KW200" s="394"/>
      <c r="KX200" s="394"/>
      <c r="KY200" s="394"/>
      <c r="KZ200" s="394"/>
      <c r="LA200" s="394"/>
      <c r="LB200" s="394"/>
      <c r="LC200" s="394"/>
      <c r="LD200" s="394"/>
      <c r="LE200" s="394"/>
      <c r="LF200" s="394"/>
      <c r="LG200" s="394"/>
      <c r="LH200" s="394"/>
      <c r="LI200" s="394"/>
      <c r="LJ200" s="394"/>
      <c r="LK200" s="394"/>
      <c r="LL200" s="394"/>
      <c r="LM200" s="394"/>
      <c r="LN200" s="394"/>
      <c r="LO200" s="394"/>
      <c r="LP200" s="394"/>
      <c r="LQ200" s="394"/>
      <c r="LR200" s="394"/>
      <c r="LS200" s="394"/>
      <c r="LT200" s="394"/>
      <c r="LU200" s="394"/>
      <c r="LV200" s="394"/>
      <c r="LW200" s="394"/>
      <c r="LX200" s="394"/>
      <c r="LY200" s="394"/>
      <c r="LZ200" s="394"/>
      <c r="MA200" s="394"/>
      <c r="MB200" s="394"/>
      <c r="MC200" s="394"/>
      <c r="MD200" s="394"/>
      <c r="ME200" s="394"/>
      <c r="MF200" s="394"/>
      <c r="MG200" s="394"/>
      <c r="MH200" s="394"/>
      <c r="MI200" s="394"/>
      <c r="MJ200" s="394"/>
      <c r="MK200" s="394"/>
      <c r="ML200" s="394"/>
      <c r="MM200" s="394"/>
      <c r="MN200" s="394"/>
      <c r="MO200" s="394"/>
      <c r="MP200" s="394"/>
      <c r="MQ200" s="394"/>
      <c r="MR200" s="394"/>
      <c r="MS200" s="394"/>
      <c r="MT200" s="394"/>
      <c r="MU200" s="394"/>
      <c r="MV200" s="394"/>
      <c r="MW200" s="394"/>
      <c r="MX200" s="394"/>
      <c r="MY200" s="394"/>
      <c r="MZ200" s="394"/>
      <c r="NA200" s="394"/>
      <c r="NB200" s="394"/>
      <c r="NC200" s="394"/>
      <c r="ND200" s="394"/>
      <c r="NE200" s="394"/>
      <c r="NF200" s="394"/>
      <c r="NG200" s="394"/>
      <c r="NH200" s="394"/>
      <c r="NI200" s="394"/>
      <c r="NJ200" s="394"/>
      <c r="NK200" s="394"/>
      <c r="NL200" s="394"/>
      <c r="NM200" s="394"/>
      <c r="NN200" s="394"/>
      <c r="NO200" s="394"/>
      <c r="NP200" s="394"/>
      <c r="NQ200" s="394"/>
      <c r="NR200" s="394"/>
      <c r="NS200" s="394"/>
      <c r="NT200" s="394"/>
      <c r="NU200" s="394"/>
      <c r="NV200" s="394"/>
      <c r="NW200" s="394"/>
      <c r="NX200" s="394"/>
      <c r="NY200" s="394"/>
      <c r="NZ200" s="394"/>
      <c r="OA200" s="394"/>
      <c r="OB200" s="394"/>
      <c r="OC200" s="394"/>
      <c r="OD200" s="394"/>
      <c r="OE200" s="394"/>
      <c r="OF200" s="394"/>
      <c r="OG200" s="394"/>
      <c r="OH200" s="394"/>
      <c r="OI200" s="394"/>
      <c r="OJ200" s="394"/>
      <c r="OK200" s="394"/>
      <c r="OL200" s="394"/>
      <c r="OM200" s="394"/>
      <c r="ON200" s="394"/>
      <c r="OO200" s="394"/>
      <c r="OP200" s="394"/>
      <c r="OQ200" s="394"/>
      <c r="OR200" s="394"/>
      <c r="OS200" s="394"/>
      <c r="OT200" s="394"/>
      <c r="OU200" s="394"/>
      <c r="OV200" s="394"/>
      <c r="OW200" s="394"/>
      <c r="OX200" s="394"/>
      <c r="OY200" s="394"/>
      <c r="OZ200" s="394"/>
      <c r="PA200" s="394"/>
      <c r="PB200" s="394"/>
      <c r="PC200" s="394"/>
      <c r="PD200" s="394"/>
      <c r="PE200" s="394"/>
      <c r="PF200" s="394"/>
      <c r="PG200" s="394"/>
      <c r="PH200" s="394"/>
      <c r="PI200" s="394"/>
      <c r="PJ200" s="394"/>
      <c r="PK200" s="394"/>
      <c r="PL200" s="394"/>
      <c r="PM200" s="394"/>
      <c r="PN200" s="394"/>
      <c r="PO200" s="394"/>
      <c r="PP200" s="394"/>
      <c r="PQ200" s="394"/>
      <c r="PR200" s="394"/>
      <c r="PS200" s="394"/>
      <c r="PT200" s="394"/>
      <c r="PU200" s="394"/>
      <c r="PV200" s="394"/>
      <c r="PW200" s="394"/>
      <c r="PX200" s="394"/>
      <c r="PY200" s="394"/>
      <c r="PZ200" s="394"/>
      <c r="QA200" s="394"/>
      <c r="QB200" s="394"/>
      <c r="QC200" s="394"/>
      <c r="QD200" s="394"/>
      <c r="QE200" s="394"/>
      <c r="QF200" s="394"/>
      <c r="QG200" s="394"/>
      <c r="QH200" s="394"/>
      <c r="QI200" s="394"/>
      <c r="QJ200" s="394"/>
      <c r="QK200" s="394"/>
      <c r="QL200" s="394"/>
      <c r="QM200" s="394"/>
      <c r="QN200" s="394"/>
      <c r="QO200" s="394"/>
      <c r="QP200" s="394"/>
      <c r="QQ200" s="394"/>
      <c r="QR200" s="394"/>
      <c r="QS200" s="394"/>
      <c r="QT200" s="394"/>
      <c r="QU200" s="394"/>
      <c r="QV200" s="394"/>
      <c r="QW200" s="394"/>
      <c r="QX200" s="394"/>
      <c r="QY200" s="394"/>
      <c r="QZ200" s="394"/>
      <c r="RA200" s="394"/>
      <c r="RB200" s="394"/>
      <c r="RC200" s="394"/>
      <c r="RD200" s="394"/>
      <c r="RE200" s="394"/>
      <c r="RF200" s="394"/>
      <c r="RG200" s="394"/>
      <c r="RH200" s="394"/>
      <c r="RI200" s="394"/>
      <c r="RJ200" s="394"/>
      <c r="RK200" s="394"/>
      <c r="RL200" s="394"/>
      <c r="RM200" s="394"/>
      <c r="RN200" s="394"/>
      <c r="RO200" s="394"/>
      <c r="RP200" s="394"/>
      <c r="RQ200" s="394"/>
      <c r="RR200" s="394"/>
      <c r="RS200" s="394"/>
      <c r="RT200" s="394"/>
      <c r="RU200" s="394"/>
      <c r="RV200" s="394"/>
      <c r="RW200" s="394"/>
      <c r="RX200" s="394"/>
      <c r="RY200" s="394"/>
      <c r="RZ200" s="394"/>
      <c r="SA200" s="394"/>
      <c r="SB200" s="394"/>
      <c r="SC200" s="394"/>
      <c r="SD200" s="394"/>
      <c r="SE200" s="394"/>
      <c r="SF200" s="394"/>
      <c r="SG200" s="394"/>
      <c r="SH200" s="394"/>
      <c r="SI200" s="394"/>
      <c r="SJ200" s="394"/>
      <c r="SK200" s="394"/>
      <c r="SL200" s="394"/>
      <c r="SM200" s="394"/>
      <c r="SN200" s="394"/>
      <c r="SO200" s="394"/>
      <c r="SP200" s="394"/>
      <c r="SQ200" s="394"/>
      <c r="SR200" s="394"/>
      <c r="SS200" s="394"/>
      <c r="ST200" s="394"/>
      <c r="SU200" s="394"/>
      <c r="SV200" s="394"/>
      <c r="SW200" s="394"/>
      <c r="SX200" s="394"/>
      <c r="SY200" s="394"/>
      <c r="SZ200" s="394"/>
      <c r="TA200" s="394"/>
      <c r="TB200" s="394"/>
      <c r="TC200" s="394"/>
      <c r="TD200" s="394"/>
      <c r="TE200" s="394"/>
      <c r="TF200" s="394"/>
      <c r="TG200" s="394"/>
      <c r="TH200" s="394"/>
      <c r="TI200" s="394"/>
      <c r="TJ200" s="394"/>
      <c r="TK200" s="394"/>
      <c r="TL200" s="394"/>
      <c r="TM200" s="394"/>
      <c r="TN200" s="394"/>
      <c r="TO200" s="394"/>
      <c r="TP200" s="394"/>
      <c r="TQ200" s="394"/>
      <c r="TR200" s="394"/>
      <c r="TS200" s="394"/>
      <c r="TT200" s="394"/>
      <c r="TU200" s="394"/>
      <c r="TV200" s="394"/>
      <c r="TW200" s="394"/>
      <c r="TX200" s="394"/>
      <c r="TY200" s="394"/>
      <c r="TZ200" s="394"/>
      <c r="UA200" s="394"/>
      <c r="UB200" s="394"/>
      <c r="UC200" s="394"/>
      <c r="UD200" s="394"/>
      <c r="UE200" s="394"/>
      <c r="UF200" s="394"/>
      <c r="UG200" s="394"/>
      <c r="UH200" s="394"/>
      <c r="UI200" s="394"/>
      <c r="UJ200" s="394"/>
      <c r="UK200" s="394"/>
      <c r="UL200" s="394"/>
      <c r="UM200" s="394"/>
      <c r="UN200" s="394"/>
      <c r="UO200" s="394"/>
      <c r="UP200" s="394"/>
      <c r="UQ200" s="394"/>
      <c r="UR200" s="394"/>
      <c r="US200" s="394"/>
      <c r="UT200" s="394"/>
      <c r="UU200" s="394"/>
      <c r="UV200" s="394"/>
      <c r="UW200" s="394"/>
      <c r="UX200" s="394"/>
      <c r="UY200" s="394"/>
      <c r="UZ200" s="394"/>
      <c r="VA200" s="394"/>
      <c r="VB200" s="394"/>
      <c r="VC200" s="394"/>
      <c r="VD200" s="394"/>
      <c r="VE200" s="394"/>
      <c r="VF200" s="394"/>
      <c r="VG200" s="394"/>
      <c r="VH200" s="394"/>
      <c r="VI200" s="394"/>
      <c r="VJ200" s="394"/>
      <c r="VK200" s="394"/>
      <c r="VL200" s="394"/>
      <c r="VM200" s="394"/>
      <c r="VN200" s="394"/>
      <c r="VO200" s="394"/>
      <c r="VP200" s="394"/>
      <c r="VQ200" s="394"/>
      <c r="VR200" s="394"/>
      <c r="VS200" s="394"/>
      <c r="VT200" s="394"/>
      <c r="VU200" s="394"/>
      <c r="VV200" s="394"/>
      <c r="VW200" s="394"/>
      <c r="VX200" s="394"/>
      <c r="VY200" s="394"/>
      <c r="VZ200" s="394"/>
      <c r="WA200" s="394"/>
      <c r="WB200" s="394"/>
      <c r="WC200" s="394"/>
      <c r="WD200" s="394"/>
      <c r="WE200" s="394"/>
      <c r="WF200" s="394"/>
      <c r="WG200" s="394"/>
      <c r="WH200" s="394"/>
      <c r="WI200" s="394"/>
      <c r="WJ200" s="394"/>
      <c r="WK200" s="394"/>
      <c r="WL200" s="394"/>
      <c r="WM200" s="394"/>
      <c r="WN200" s="394"/>
      <c r="WO200" s="394"/>
      <c r="WP200" s="394"/>
      <c r="WQ200" s="394"/>
      <c r="WR200" s="394"/>
      <c r="WS200" s="394"/>
      <c r="WT200" s="394"/>
      <c r="WU200" s="394"/>
      <c r="WV200" s="394"/>
      <c r="WW200" s="394"/>
      <c r="WX200" s="394"/>
      <c r="WY200" s="394"/>
      <c r="WZ200" s="394"/>
      <c r="XA200" s="394"/>
      <c r="XB200" s="394"/>
      <c r="XC200" s="394"/>
      <c r="XD200" s="394"/>
      <c r="XE200" s="394"/>
      <c r="XF200" s="394"/>
      <c r="XG200" s="394"/>
      <c r="XH200" s="394"/>
      <c r="XI200" s="394"/>
      <c r="XJ200" s="394"/>
      <c r="XK200" s="394"/>
      <c r="XL200" s="394"/>
      <c r="XM200" s="394"/>
      <c r="XN200" s="394"/>
      <c r="XO200" s="394"/>
      <c r="XP200" s="394"/>
      <c r="XQ200" s="394"/>
      <c r="XR200" s="394"/>
      <c r="XS200" s="394"/>
      <c r="XT200" s="394"/>
      <c r="XU200" s="394"/>
      <c r="XV200" s="394"/>
      <c r="XW200" s="394"/>
      <c r="XX200" s="394"/>
      <c r="XY200" s="394"/>
      <c r="XZ200" s="394"/>
      <c r="YA200" s="394"/>
      <c r="YB200" s="394"/>
      <c r="YC200" s="394"/>
      <c r="YD200" s="394"/>
      <c r="YE200" s="394"/>
      <c r="YF200" s="394"/>
      <c r="YG200" s="394"/>
      <c r="YH200" s="394"/>
      <c r="YI200" s="394"/>
      <c r="YJ200" s="394"/>
      <c r="YK200" s="394"/>
      <c r="YL200" s="394"/>
      <c r="YM200" s="394"/>
      <c r="YN200" s="394"/>
      <c r="YO200" s="394"/>
      <c r="YP200" s="394"/>
      <c r="YQ200" s="394"/>
      <c r="YR200" s="394"/>
      <c r="YS200" s="394"/>
      <c r="YT200" s="394"/>
      <c r="YU200" s="394"/>
      <c r="YV200" s="394"/>
      <c r="YW200" s="394"/>
      <c r="YX200" s="394"/>
      <c r="YY200" s="394"/>
      <c r="YZ200" s="394"/>
      <c r="ZA200" s="394"/>
      <c r="ZB200" s="394"/>
      <c r="ZC200" s="394"/>
      <c r="ZD200" s="394"/>
      <c r="ZE200" s="394"/>
      <c r="ZF200" s="394"/>
      <c r="ZG200" s="394"/>
      <c r="ZH200" s="394"/>
      <c r="ZI200" s="394"/>
      <c r="ZJ200" s="394"/>
      <c r="ZK200" s="394"/>
      <c r="ZL200" s="394"/>
      <c r="ZM200" s="394"/>
      <c r="ZN200" s="394"/>
      <c r="ZO200" s="394"/>
      <c r="ZP200" s="394"/>
      <c r="ZQ200" s="394"/>
      <c r="ZR200" s="394"/>
      <c r="ZS200" s="394"/>
      <c r="ZT200" s="394"/>
      <c r="ZU200" s="394"/>
      <c r="ZV200" s="394"/>
      <c r="ZW200" s="394"/>
      <c r="ZX200" s="394"/>
      <c r="ZY200" s="394"/>
      <c r="ZZ200" s="394"/>
      <c r="AAA200" s="394"/>
      <c r="AAB200" s="394"/>
      <c r="AAC200" s="394"/>
      <c r="AAD200" s="394"/>
      <c r="AAE200" s="394"/>
      <c r="AAF200" s="394"/>
      <c r="AAG200" s="394"/>
      <c r="AAH200" s="394"/>
      <c r="AAI200" s="394"/>
      <c r="AAJ200" s="394"/>
      <c r="AAK200" s="394"/>
      <c r="AAL200" s="394"/>
      <c r="AAM200" s="394"/>
      <c r="AAN200" s="394"/>
      <c r="AAO200" s="394"/>
      <c r="AAP200" s="394"/>
      <c r="AAQ200" s="394"/>
      <c r="AAR200" s="394"/>
      <c r="AAS200" s="394"/>
      <c r="AAT200" s="394"/>
      <c r="AAU200" s="394"/>
      <c r="AAV200" s="394"/>
      <c r="AAW200" s="394"/>
      <c r="AAX200" s="394"/>
      <c r="AAY200" s="394"/>
      <c r="AAZ200" s="394"/>
      <c r="ABA200" s="394"/>
      <c r="ABB200" s="394"/>
      <c r="ABC200" s="394"/>
      <c r="ABD200" s="394"/>
      <c r="ABE200" s="394"/>
      <c r="ABF200" s="394"/>
      <c r="ABG200" s="394"/>
      <c r="ABH200" s="394"/>
      <c r="ABI200" s="394"/>
      <c r="ABJ200" s="394"/>
      <c r="ABK200" s="394"/>
      <c r="ABL200" s="394"/>
      <c r="ABM200" s="394"/>
      <c r="ABN200" s="394"/>
      <c r="ABO200" s="394"/>
      <c r="ABP200" s="394"/>
      <c r="ABQ200" s="394"/>
      <c r="ABR200" s="394"/>
      <c r="ABS200" s="394"/>
      <c r="ABT200" s="394"/>
      <c r="ABU200" s="394"/>
      <c r="ABV200" s="394"/>
      <c r="ABW200" s="394"/>
      <c r="ABX200" s="394"/>
      <c r="ABY200" s="394"/>
      <c r="ABZ200" s="394"/>
      <c r="ACA200" s="394"/>
      <c r="ACB200" s="394"/>
      <c r="ACC200" s="394"/>
      <c r="ACD200" s="394"/>
      <c r="ACE200" s="394"/>
      <c r="ACF200" s="394"/>
      <c r="ACG200" s="394"/>
      <c r="ACH200" s="394"/>
      <c r="ACI200" s="394"/>
      <c r="ACJ200" s="394"/>
      <c r="ACK200" s="394"/>
      <c r="ACL200" s="394"/>
      <c r="ACM200" s="394"/>
      <c r="ACN200" s="394"/>
      <c r="ACO200" s="394"/>
      <c r="ACP200" s="394"/>
      <c r="ACQ200" s="394"/>
      <c r="ACR200" s="394"/>
      <c r="ACS200" s="394"/>
      <c r="ACT200" s="394"/>
      <c r="ACU200" s="394"/>
      <c r="ACV200" s="394"/>
      <c r="ACW200" s="394"/>
      <c r="ACX200" s="394"/>
      <c r="ACY200" s="394"/>
      <c r="ACZ200" s="394"/>
      <c r="ADA200" s="394"/>
      <c r="ADB200" s="394"/>
      <c r="ADC200" s="394"/>
      <c r="ADD200" s="394"/>
      <c r="ADE200" s="394"/>
      <c r="ADF200" s="394"/>
      <c r="ADG200" s="394"/>
      <c r="ADH200" s="394"/>
      <c r="ADI200" s="394"/>
      <c r="ADJ200" s="394"/>
      <c r="ADK200" s="394"/>
      <c r="ADL200" s="394"/>
      <c r="ADM200" s="394"/>
      <c r="ADN200" s="394"/>
      <c r="ADO200" s="394"/>
      <c r="ADP200" s="394"/>
      <c r="ADQ200" s="394"/>
      <c r="ADR200" s="394"/>
      <c r="ADS200" s="394"/>
      <c r="ADT200" s="394"/>
      <c r="ADU200" s="394"/>
      <c r="ADV200" s="394"/>
      <c r="ADW200" s="394"/>
      <c r="ADX200" s="394"/>
      <c r="ADY200" s="394"/>
      <c r="ADZ200" s="394"/>
      <c r="AEA200" s="394"/>
      <c r="AEB200" s="394"/>
      <c r="AEC200" s="394"/>
      <c r="AED200" s="394"/>
      <c r="AEE200" s="394"/>
      <c r="AEF200" s="394"/>
      <c r="AEG200" s="394"/>
      <c r="AEH200" s="394"/>
      <c r="AEI200" s="394"/>
      <c r="AEJ200" s="394"/>
      <c r="AEK200" s="394"/>
      <c r="AEL200" s="394"/>
      <c r="AEM200" s="394"/>
      <c r="AEN200" s="394"/>
      <c r="AEO200" s="394"/>
      <c r="AEP200" s="394"/>
      <c r="AEQ200" s="394"/>
      <c r="AER200" s="394"/>
      <c r="AES200" s="394"/>
      <c r="AET200" s="394"/>
      <c r="AEU200" s="394"/>
      <c r="AEV200" s="394"/>
      <c r="AEW200" s="394"/>
      <c r="AEX200" s="394"/>
      <c r="AEY200" s="394"/>
      <c r="AEZ200" s="394"/>
      <c r="AFA200" s="394"/>
      <c r="AFB200" s="394"/>
      <c r="AFC200" s="394"/>
      <c r="AFD200" s="394"/>
      <c r="AFE200" s="394"/>
      <c r="AFF200" s="394"/>
      <c r="AFG200" s="394"/>
      <c r="AFH200" s="394"/>
      <c r="AFI200" s="394"/>
      <c r="AFJ200" s="394"/>
      <c r="AFK200" s="394"/>
      <c r="AFL200" s="394"/>
      <c r="AFM200" s="394"/>
      <c r="AFN200" s="394"/>
      <c r="AFO200" s="394"/>
      <c r="AFP200" s="394"/>
      <c r="AFQ200" s="394"/>
      <c r="AFR200" s="394"/>
      <c r="AFS200" s="394"/>
      <c r="AFT200" s="394"/>
      <c r="AFU200" s="394"/>
      <c r="AFV200" s="394"/>
      <c r="AFW200" s="394"/>
      <c r="AFX200" s="394"/>
      <c r="AFY200" s="394"/>
      <c r="AFZ200" s="394"/>
      <c r="AGA200" s="394"/>
      <c r="AGB200" s="394"/>
      <c r="AGC200" s="394"/>
      <c r="AGD200" s="394"/>
      <c r="AGE200" s="394"/>
      <c r="AGF200" s="394"/>
      <c r="AGG200" s="394"/>
      <c r="AGH200" s="394"/>
      <c r="AGI200" s="394"/>
      <c r="AGJ200" s="394"/>
      <c r="AGK200" s="394"/>
      <c r="AGL200" s="394"/>
      <c r="AGM200" s="394"/>
      <c r="AGN200" s="394"/>
      <c r="AGO200" s="394"/>
      <c r="AGP200" s="394"/>
      <c r="AGQ200" s="394"/>
      <c r="AGR200" s="394"/>
      <c r="AGS200" s="394"/>
      <c r="AGT200" s="394"/>
      <c r="AGU200" s="394"/>
      <c r="AGV200" s="394"/>
      <c r="AGW200" s="394"/>
      <c r="AGX200" s="394"/>
      <c r="AGY200" s="394"/>
      <c r="AGZ200" s="394"/>
      <c r="AHA200" s="394"/>
      <c r="AHB200" s="394"/>
      <c r="AHC200" s="394"/>
      <c r="AHD200" s="394"/>
      <c r="AHE200" s="394"/>
      <c r="AHF200" s="394"/>
      <c r="AHG200" s="394"/>
      <c r="AHH200" s="394"/>
      <c r="AHI200" s="394"/>
      <c r="AHJ200" s="394"/>
      <c r="AHK200" s="394"/>
      <c r="AHL200" s="394"/>
      <c r="AHM200" s="394"/>
      <c r="AHN200" s="394"/>
      <c r="AHO200" s="394"/>
      <c r="AHP200" s="394"/>
      <c r="AHQ200" s="394"/>
      <c r="AHR200" s="394"/>
      <c r="AHS200" s="394"/>
      <c r="AHT200" s="394"/>
      <c r="AHU200" s="394"/>
      <c r="AHV200" s="394"/>
      <c r="AHW200" s="394"/>
      <c r="AHX200" s="394"/>
      <c r="AHY200" s="394"/>
      <c r="AHZ200" s="394"/>
      <c r="AIA200" s="394"/>
      <c r="AIB200" s="394"/>
      <c r="AIC200" s="394"/>
      <c r="AID200" s="394"/>
      <c r="AIE200" s="394"/>
      <c r="AIF200" s="394"/>
      <c r="AIG200" s="394"/>
      <c r="AIH200" s="394"/>
      <c r="AII200" s="394"/>
      <c r="AIJ200" s="394"/>
      <c r="AIK200" s="394"/>
      <c r="AIL200" s="394"/>
      <c r="AIM200" s="394"/>
      <c r="AIN200" s="394"/>
      <c r="AIO200" s="394"/>
      <c r="AIP200" s="394"/>
      <c r="AIQ200" s="394"/>
      <c r="AIR200" s="394"/>
      <c r="AIS200" s="394"/>
      <c r="AIT200" s="394"/>
      <c r="AIU200" s="394"/>
      <c r="AIV200" s="394"/>
      <c r="AIW200" s="394"/>
      <c r="AIX200" s="394"/>
      <c r="AIY200" s="394"/>
      <c r="AIZ200" s="394"/>
      <c r="AJA200" s="394"/>
      <c r="AJB200" s="394"/>
      <c r="AJC200" s="394"/>
      <c r="AJD200" s="394"/>
      <c r="AJE200" s="394"/>
      <c r="AJF200" s="394"/>
      <c r="AJG200" s="394"/>
      <c r="AJH200" s="394"/>
      <c r="AJI200" s="394"/>
      <c r="AJJ200" s="394"/>
      <c r="AJK200" s="394"/>
      <c r="AJL200" s="394"/>
      <c r="AJM200" s="394"/>
      <c r="AJN200" s="394"/>
      <c r="AJO200" s="394"/>
      <c r="AJP200" s="394"/>
      <c r="AJQ200" s="394"/>
      <c r="AJR200" s="394"/>
      <c r="AJS200" s="394"/>
      <c r="AJT200" s="394"/>
      <c r="AJU200" s="394"/>
      <c r="AJV200" s="394"/>
      <c r="AJW200" s="394"/>
      <c r="AJX200" s="394"/>
      <c r="AJY200" s="394"/>
      <c r="AJZ200" s="394"/>
      <c r="AKA200" s="394"/>
      <c r="AKB200" s="394"/>
      <c r="AKC200" s="394"/>
      <c r="AKD200" s="394"/>
      <c r="AKE200" s="394"/>
      <c r="AKF200" s="394"/>
      <c r="AKG200" s="394"/>
      <c r="AKH200" s="394"/>
      <c r="AKI200" s="394"/>
      <c r="AKJ200" s="394"/>
      <c r="AKK200" s="394"/>
      <c r="AKL200" s="394"/>
      <c r="AKM200" s="394"/>
      <c r="AKN200" s="394"/>
      <c r="AKO200" s="394"/>
      <c r="AKP200" s="394"/>
      <c r="AKQ200" s="394"/>
      <c r="AKR200" s="394"/>
      <c r="AKS200" s="394"/>
      <c r="AKT200" s="394"/>
      <c r="AKU200" s="394"/>
      <c r="AKV200" s="394"/>
      <c r="AKW200" s="394"/>
      <c r="AKX200" s="394"/>
      <c r="AKY200" s="394"/>
      <c r="AKZ200" s="394"/>
      <c r="ALA200" s="394"/>
      <c r="ALB200" s="394"/>
      <c r="ALC200" s="394"/>
      <c r="ALD200" s="394"/>
      <c r="ALE200" s="394"/>
      <c r="ALF200" s="394"/>
      <c r="ALG200" s="394"/>
      <c r="ALH200" s="394"/>
      <c r="ALI200" s="394"/>
      <c r="ALJ200" s="394"/>
      <c r="ALK200" s="394"/>
      <c r="ALL200" s="394"/>
      <c r="ALM200" s="394"/>
      <c r="ALN200" s="394"/>
      <c r="ALO200" s="394"/>
      <c r="ALP200" s="394"/>
      <c r="ALQ200" s="394"/>
      <c r="ALR200" s="394"/>
      <c r="ALS200" s="394"/>
      <c r="ALT200" s="394"/>
      <c r="ALU200" s="394"/>
      <c r="ALV200" s="394"/>
      <c r="ALW200" s="394"/>
      <c r="ALX200" s="394"/>
      <c r="ALY200" s="394"/>
      <c r="ALZ200" s="394"/>
      <c r="AMA200" s="394"/>
      <c r="AMB200" s="394"/>
      <c r="AMC200" s="394"/>
      <c r="AMD200" s="394"/>
      <c r="AME200" s="394"/>
      <c r="AMF200" s="394"/>
      <c r="AMG200" s="394"/>
      <c r="AMH200" s="394"/>
      <c r="AMI200" s="394"/>
      <c r="AMJ200" s="394"/>
      <c r="AMK200" s="394"/>
      <c r="AML200" s="394"/>
      <c r="AMM200" s="394"/>
      <c r="AMN200" s="394"/>
      <c r="AMO200" s="394"/>
      <c r="AMP200" s="394"/>
      <c r="AMQ200" s="394"/>
      <c r="AMR200" s="394"/>
      <c r="AMS200" s="394"/>
      <c r="AMT200" s="394"/>
      <c r="AMU200" s="394"/>
      <c r="AMV200" s="394"/>
      <c r="AMW200" s="394"/>
      <c r="AMX200" s="394"/>
      <c r="AMY200" s="394"/>
      <c r="AMZ200" s="394"/>
      <c r="ANA200" s="394"/>
      <c r="ANB200" s="394"/>
      <c r="ANC200" s="394"/>
      <c r="AND200" s="394"/>
      <c r="ANE200" s="394"/>
      <c r="ANF200" s="394"/>
      <c r="ANG200" s="394"/>
      <c r="ANH200" s="394"/>
      <c r="ANI200" s="394"/>
      <c r="ANJ200" s="394"/>
      <c r="ANK200" s="394"/>
      <c r="ANL200" s="394"/>
      <c r="ANM200" s="394"/>
      <c r="ANN200" s="394"/>
      <c r="ANO200" s="394"/>
      <c r="ANP200" s="394"/>
      <c r="ANQ200" s="394"/>
      <c r="ANR200" s="394"/>
      <c r="ANS200" s="394"/>
      <c r="ANT200" s="394"/>
      <c r="ANU200" s="394"/>
      <c r="ANV200" s="394"/>
      <c r="ANW200" s="394"/>
      <c r="ANX200" s="394"/>
      <c r="ANY200" s="394"/>
      <c r="ANZ200" s="394"/>
      <c r="AOA200" s="394"/>
      <c r="AOB200" s="394"/>
      <c r="AOC200" s="394"/>
      <c r="AOD200" s="394"/>
      <c r="AOE200" s="394"/>
      <c r="AOF200" s="394"/>
      <c r="AOG200" s="394"/>
      <c r="AOH200" s="394"/>
      <c r="AOI200" s="394"/>
      <c r="AOJ200" s="394"/>
      <c r="AOK200" s="394"/>
      <c r="AOL200" s="394"/>
      <c r="AOM200" s="394"/>
      <c r="AON200" s="394"/>
      <c r="AOO200" s="394"/>
      <c r="AOP200" s="394"/>
      <c r="AOQ200" s="394"/>
      <c r="AOR200" s="394"/>
      <c r="AOS200" s="394"/>
      <c r="AOT200" s="394"/>
      <c r="AOU200" s="394"/>
      <c r="AOV200" s="394"/>
      <c r="AOW200" s="394"/>
      <c r="AOX200" s="394"/>
      <c r="AOY200" s="394"/>
      <c r="AOZ200" s="394"/>
      <c r="APA200" s="394"/>
      <c r="APB200" s="394"/>
      <c r="APC200" s="394"/>
      <c r="APD200" s="394"/>
      <c r="APE200" s="394"/>
      <c r="APF200" s="394"/>
      <c r="APG200" s="394"/>
      <c r="APH200" s="394"/>
      <c r="API200" s="394"/>
      <c r="APJ200" s="394"/>
      <c r="APK200" s="394"/>
      <c r="APL200" s="394"/>
      <c r="APM200" s="394"/>
      <c r="APN200" s="394"/>
      <c r="APO200" s="394"/>
      <c r="APP200" s="394"/>
      <c r="APQ200" s="394"/>
      <c r="APR200" s="394"/>
      <c r="APS200" s="394"/>
      <c r="APT200" s="394"/>
      <c r="APU200" s="394"/>
      <c r="APV200" s="394"/>
      <c r="APW200" s="394"/>
      <c r="APX200" s="394"/>
      <c r="APY200" s="394"/>
      <c r="APZ200" s="394"/>
      <c r="AQA200" s="394"/>
      <c r="AQB200" s="394"/>
      <c r="AQC200" s="394"/>
      <c r="AQD200" s="394"/>
      <c r="AQE200" s="394"/>
      <c r="AQF200" s="394"/>
      <c r="AQG200" s="394"/>
      <c r="AQH200" s="394"/>
      <c r="AQI200" s="394"/>
      <c r="AQJ200" s="394"/>
      <c r="AQK200" s="394"/>
      <c r="AQL200" s="394"/>
      <c r="AQM200" s="394"/>
      <c r="AQN200" s="394"/>
      <c r="AQO200" s="394"/>
      <c r="AQP200" s="394"/>
      <c r="AQQ200" s="394"/>
      <c r="AQR200" s="394"/>
      <c r="AQS200" s="394"/>
      <c r="AQT200" s="394"/>
      <c r="AQU200" s="394"/>
      <c r="AQV200" s="394"/>
      <c r="AQW200" s="394"/>
      <c r="AQX200" s="394"/>
      <c r="AQY200" s="394"/>
      <c r="AQZ200" s="394"/>
      <c r="ARA200" s="394"/>
      <c r="ARB200" s="394"/>
      <c r="ARC200" s="394"/>
      <c r="ARD200" s="394"/>
      <c r="ARE200" s="394"/>
      <c r="ARF200" s="394"/>
      <c r="ARG200" s="394"/>
      <c r="ARH200" s="394"/>
      <c r="ARI200" s="394"/>
      <c r="ARJ200" s="394"/>
      <c r="ARK200" s="394"/>
      <c r="ARL200" s="394"/>
      <c r="ARM200" s="394"/>
      <c r="ARN200" s="394"/>
      <c r="ARO200" s="394"/>
      <c r="ARP200" s="394"/>
      <c r="ARQ200" s="394"/>
      <c r="ARR200" s="394"/>
      <c r="ARS200" s="394"/>
      <c r="ART200" s="394"/>
      <c r="ARU200" s="394"/>
      <c r="ARV200" s="394"/>
      <c r="ARW200" s="394"/>
      <c r="ARX200" s="394"/>
      <c r="ARY200" s="394"/>
      <c r="ARZ200" s="394"/>
      <c r="ASA200" s="394"/>
      <c r="ASB200" s="394"/>
      <c r="ASC200" s="394"/>
      <c r="ASD200" s="394"/>
      <c r="ASE200" s="394"/>
      <c r="ASF200" s="394"/>
      <c r="ASG200" s="394"/>
      <c r="ASH200" s="394"/>
      <c r="ASI200" s="394"/>
      <c r="ASJ200" s="394"/>
      <c r="ASK200" s="394"/>
      <c r="ASL200" s="394"/>
      <c r="ASM200" s="394"/>
      <c r="ASN200" s="394"/>
      <c r="ASO200" s="394"/>
      <c r="ASP200" s="394"/>
      <c r="ASQ200" s="394"/>
      <c r="ASR200" s="394"/>
      <c r="ASS200" s="394"/>
      <c r="AST200" s="394"/>
      <c r="ASU200" s="394"/>
      <c r="ASV200" s="394"/>
      <c r="ASW200" s="394"/>
      <c r="ASX200" s="394"/>
      <c r="ASY200" s="394"/>
      <c r="ASZ200" s="394"/>
      <c r="ATA200" s="394"/>
      <c r="ATB200" s="394"/>
      <c r="ATC200" s="394"/>
      <c r="ATD200" s="394"/>
      <c r="ATE200" s="394"/>
      <c r="ATF200" s="394"/>
      <c r="ATG200" s="394"/>
      <c r="ATH200" s="394"/>
      <c r="ATI200" s="394"/>
      <c r="ATJ200" s="394"/>
      <c r="ATK200" s="394"/>
      <c r="ATL200" s="394"/>
      <c r="ATM200" s="394"/>
      <c r="ATN200" s="394"/>
      <c r="ATO200" s="394"/>
      <c r="ATP200" s="394"/>
      <c r="ATQ200" s="394"/>
      <c r="ATR200" s="394"/>
      <c r="ATS200" s="394"/>
      <c r="ATT200" s="394"/>
      <c r="ATU200" s="394"/>
      <c r="ATV200" s="394"/>
      <c r="ATW200" s="394"/>
      <c r="ATX200" s="394"/>
      <c r="ATY200" s="394"/>
      <c r="ATZ200" s="394"/>
      <c r="AUA200" s="394"/>
      <c r="AUB200" s="394"/>
      <c r="AUC200" s="394"/>
      <c r="AUD200" s="394"/>
      <c r="AUE200" s="394"/>
      <c r="AUF200" s="394"/>
      <c r="AUG200" s="394"/>
      <c r="AUH200" s="394"/>
      <c r="AUI200" s="394"/>
      <c r="AUJ200" s="394"/>
      <c r="AUK200" s="394"/>
      <c r="AUL200" s="394"/>
      <c r="AUM200" s="394"/>
      <c r="AUN200" s="394"/>
      <c r="AUO200" s="394"/>
      <c r="AUP200" s="394"/>
      <c r="AUQ200" s="394"/>
      <c r="AUR200" s="394"/>
      <c r="AUS200" s="394"/>
      <c r="AUT200" s="394"/>
      <c r="AUU200" s="394"/>
      <c r="AUV200" s="394"/>
      <c r="AUW200" s="394"/>
      <c r="AUX200" s="394"/>
      <c r="AUY200" s="394"/>
      <c r="AUZ200" s="394"/>
      <c r="AVA200" s="394"/>
      <c r="AVB200" s="394"/>
      <c r="AVC200" s="394"/>
      <c r="AVD200" s="394"/>
      <c r="AVE200" s="394"/>
      <c r="AVF200" s="394"/>
      <c r="AVG200" s="394"/>
      <c r="AVH200" s="394"/>
      <c r="AVI200" s="394"/>
      <c r="AVJ200" s="394"/>
      <c r="AVK200" s="394"/>
      <c r="AVL200" s="394"/>
      <c r="AVM200" s="394"/>
      <c r="AVN200" s="394"/>
      <c r="AVO200" s="394"/>
      <c r="AVP200" s="394"/>
      <c r="AVQ200" s="394"/>
      <c r="AVR200" s="394"/>
      <c r="AVS200" s="394"/>
      <c r="AVT200" s="394"/>
      <c r="AVU200" s="394"/>
      <c r="AVV200" s="394"/>
      <c r="AVW200" s="394"/>
      <c r="AVX200" s="394"/>
      <c r="AVY200" s="394"/>
      <c r="AVZ200" s="394"/>
      <c r="AWA200" s="394"/>
      <c r="AWB200" s="394"/>
      <c r="AWC200" s="394"/>
      <c r="AWD200" s="394"/>
      <c r="AWE200" s="394"/>
      <c r="AWF200" s="394"/>
      <c r="AWG200" s="394"/>
      <c r="AWH200" s="394"/>
      <c r="AWI200" s="394"/>
      <c r="AWJ200" s="394"/>
      <c r="AWK200" s="394"/>
      <c r="AWL200" s="394"/>
      <c r="AWM200" s="394"/>
      <c r="AWN200" s="394"/>
      <c r="AWO200" s="394"/>
      <c r="AWP200" s="394"/>
      <c r="AWQ200" s="394"/>
      <c r="AWR200" s="394"/>
      <c r="AWS200" s="394"/>
      <c r="AWT200" s="394"/>
      <c r="AWU200" s="394"/>
      <c r="AWV200" s="394"/>
      <c r="AWW200" s="394"/>
      <c r="AWX200" s="394"/>
      <c r="AWY200" s="394"/>
      <c r="AWZ200" s="394"/>
      <c r="AXA200" s="394"/>
      <c r="AXB200" s="394"/>
      <c r="AXC200" s="394"/>
      <c r="AXD200" s="394"/>
      <c r="AXE200" s="394"/>
      <c r="AXF200" s="394"/>
      <c r="AXG200" s="394"/>
      <c r="AXH200" s="394"/>
      <c r="AXI200" s="394"/>
      <c r="AXJ200" s="394"/>
      <c r="AXK200" s="394"/>
      <c r="AXL200" s="394"/>
      <c r="AXM200" s="394"/>
      <c r="AXN200" s="394"/>
      <c r="AXO200" s="394"/>
      <c r="AXP200" s="394"/>
      <c r="AXQ200" s="394"/>
      <c r="AXR200" s="394"/>
      <c r="AXS200" s="394"/>
      <c r="AXT200" s="394"/>
      <c r="AXU200" s="394"/>
      <c r="AXV200" s="394"/>
      <c r="AXW200" s="394"/>
      <c r="AXX200" s="394"/>
      <c r="AXY200" s="394"/>
      <c r="AXZ200" s="394"/>
      <c r="AYA200" s="394"/>
      <c r="AYB200" s="394"/>
      <c r="AYC200" s="394"/>
      <c r="AYD200" s="394"/>
      <c r="AYE200" s="394"/>
      <c r="AYF200" s="394"/>
      <c r="AYG200" s="394"/>
      <c r="AYH200" s="394"/>
      <c r="AYI200" s="394"/>
      <c r="AYJ200" s="394"/>
      <c r="AYK200" s="394"/>
      <c r="AYL200" s="394"/>
      <c r="AYM200" s="394"/>
      <c r="AYN200" s="394"/>
      <c r="AYO200" s="394"/>
      <c r="AYP200" s="394"/>
      <c r="AYQ200" s="394"/>
      <c r="AYR200" s="394"/>
      <c r="AYS200" s="394"/>
      <c r="AYT200" s="394"/>
      <c r="AYU200" s="394"/>
      <c r="AYV200" s="394"/>
      <c r="AYW200" s="394"/>
      <c r="AYX200" s="394"/>
      <c r="AYY200" s="394"/>
      <c r="AYZ200" s="394"/>
      <c r="AZA200" s="394"/>
      <c r="AZB200" s="394"/>
      <c r="AZC200" s="394"/>
      <c r="AZD200" s="394"/>
      <c r="AZE200" s="394"/>
      <c r="AZF200" s="394"/>
      <c r="AZG200" s="394"/>
      <c r="AZH200" s="394"/>
      <c r="AZI200" s="394"/>
      <c r="AZJ200" s="394"/>
      <c r="AZK200" s="394"/>
      <c r="AZL200" s="394"/>
      <c r="AZM200" s="394"/>
      <c r="AZN200" s="394"/>
      <c r="AZO200" s="394"/>
      <c r="AZP200" s="394"/>
      <c r="AZQ200" s="394"/>
      <c r="AZR200" s="394"/>
      <c r="AZS200" s="394"/>
      <c r="AZT200" s="394"/>
      <c r="AZU200" s="394"/>
      <c r="AZV200" s="394"/>
      <c r="AZW200" s="394"/>
      <c r="AZX200" s="394"/>
      <c r="AZY200" s="394"/>
      <c r="AZZ200" s="394"/>
      <c r="BAA200" s="394"/>
      <c r="BAB200" s="394"/>
      <c r="BAC200" s="394"/>
      <c r="BAD200" s="394"/>
      <c r="BAE200" s="394"/>
      <c r="BAF200" s="394"/>
      <c r="BAG200" s="394"/>
      <c r="BAH200" s="394"/>
      <c r="BAI200" s="394"/>
      <c r="BAJ200" s="394"/>
      <c r="BAK200" s="394"/>
      <c r="BAL200" s="394"/>
      <c r="BAM200" s="394"/>
      <c r="BAN200" s="394"/>
      <c r="BAO200" s="394"/>
      <c r="BAP200" s="394"/>
      <c r="BAQ200" s="394"/>
      <c r="BAR200" s="394"/>
      <c r="BAS200" s="394"/>
      <c r="BAT200" s="394"/>
      <c r="BAU200" s="394"/>
      <c r="BAV200" s="394"/>
      <c r="BAW200" s="394"/>
      <c r="BAX200" s="394"/>
      <c r="BAY200" s="394"/>
      <c r="BAZ200" s="394"/>
      <c r="BBA200" s="394"/>
      <c r="BBB200" s="394"/>
      <c r="BBC200" s="394"/>
      <c r="BBD200" s="394"/>
      <c r="BBE200" s="394"/>
      <c r="BBF200" s="394"/>
      <c r="BBG200" s="394"/>
      <c r="BBH200" s="394"/>
      <c r="BBI200" s="394"/>
      <c r="BBJ200" s="394"/>
      <c r="BBK200" s="394"/>
      <c r="BBL200" s="394"/>
      <c r="BBM200" s="394"/>
      <c r="BBN200" s="394"/>
      <c r="BBO200" s="394"/>
      <c r="BBP200" s="394"/>
      <c r="BBQ200" s="394"/>
      <c r="BBR200" s="394"/>
      <c r="BBS200" s="394"/>
      <c r="BBT200" s="394"/>
      <c r="BBU200" s="394"/>
      <c r="BBV200" s="394"/>
      <c r="BBW200" s="394"/>
      <c r="BBX200" s="394"/>
      <c r="BBY200" s="394"/>
      <c r="BBZ200" s="394"/>
      <c r="BCA200" s="394"/>
      <c r="BCB200" s="394"/>
      <c r="BCC200" s="394"/>
      <c r="BCD200" s="394"/>
      <c r="BCE200" s="394"/>
      <c r="BCF200" s="394"/>
      <c r="BCG200" s="394"/>
      <c r="BCH200" s="394"/>
      <c r="BCI200" s="394"/>
      <c r="BCJ200" s="394"/>
      <c r="BCK200" s="394"/>
      <c r="BCL200" s="394"/>
      <c r="BCM200" s="394"/>
      <c r="BCN200" s="394"/>
      <c r="BCO200" s="394"/>
      <c r="BCP200" s="394"/>
      <c r="BCQ200" s="394"/>
      <c r="BCR200" s="394"/>
      <c r="BCS200" s="394"/>
      <c r="BCT200" s="394"/>
      <c r="BCU200" s="394"/>
      <c r="BCV200" s="394"/>
      <c r="BCW200" s="394"/>
      <c r="BCX200" s="394"/>
      <c r="BCY200" s="394"/>
      <c r="BCZ200" s="394"/>
      <c r="BDA200" s="394"/>
      <c r="BDB200" s="394"/>
      <c r="BDC200" s="394"/>
      <c r="BDD200" s="394"/>
      <c r="BDE200" s="394"/>
      <c r="BDF200" s="394"/>
      <c r="BDG200" s="394"/>
      <c r="BDH200" s="394"/>
      <c r="BDI200" s="394"/>
      <c r="BDJ200" s="394"/>
      <c r="BDK200" s="394"/>
      <c r="BDL200" s="394"/>
      <c r="BDM200" s="394"/>
      <c r="BDN200" s="394"/>
      <c r="BDO200" s="394"/>
      <c r="BDP200" s="394"/>
      <c r="BDQ200" s="394"/>
      <c r="BDR200" s="394"/>
      <c r="BDS200" s="394"/>
      <c r="BDT200" s="394"/>
      <c r="BDU200" s="394"/>
      <c r="BDV200" s="394"/>
      <c r="BDW200" s="394"/>
      <c r="BDX200" s="394"/>
      <c r="BDY200" s="394"/>
      <c r="BDZ200" s="394"/>
      <c r="BEA200" s="394"/>
      <c r="BEB200" s="394"/>
      <c r="BEC200" s="394"/>
      <c r="BED200" s="394"/>
      <c r="BEE200" s="394"/>
      <c r="BEF200" s="394"/>
      <c r="BEG200" s="394"/>
      <c r="BEH200" s="394"/>
      <c r="BEI200" s="394"/>
      <c r="BEJ200" s="394"/>
      <c r="BEK200" s="394"/>
      <c r="BEL200" s="394"/>
      <c r="BEM200" s="394"/>
      <c r="BEN200" s="394"/>
      <c r="BEO200" s="394"/>
      <c r="BEP200" s="394"/>
      <c r="BEQ200" s="394"/>
      <c r="BER200" s="394"/>
      <c r="BES200" s="394"/>
      <c r="BET200" s="394"/>
      <c r="BEU200" s="394"/>
      <c r="BEV200" s="394"/>
      <c r="BEW200" s="394"/>
      <c r="BEX200" s="394"/>
      <c r="BEY200" s="394"/>
      <c r="BEZ200" s="394"/>
      <c r="BFA200" s="394"/>
      <c r="BFB200" s="394"/>
      <c r="BFC200" s="394"/>
      <c r="BFD200" s="394"/>
      <c r="BFE200" s="394"/>
      <c r="BFF200" s="394"/>
      <c r="BFG200" s="394"/>
      <c r="BFH200" s="394"/>
      <c r="BFI200" s="394"/>
      <c r="BFJ200" s="394"/>
      <c r="BFK200" s="394"/>
      <c r="BFL200" s="394"/>
      <c r="BFM200" s="394"/>
      <c r="BFN200" s="394"/>
      <c r="BFO200" s="394"/>
      <c r="BFP200" s="394"/>
      <c r="BFQ200" s="394"/>
      <c r="BFR200" s="394"/>
      <c r="BFS200" s="394"/>
      <c r="BFT200" s="394"/>
      <c r="BFU200" s="394"/>
      <c r="BFV200" s="394"/>
      <c r="BFW200" s="394"/>
      <c r="BFX200" s="394"/>
      <c r="BFY200" s="394"/>
      <c r="BFZ200" s="394"/>
      <c r="BGA200" s="394"/>
      <c r="BGB200" s="394"/>
      <c r="BGC200" s="394"/>
      <c r="BGD200" s="394"/>
      <c r="BGE200" s="394"/>
      <c r="BGF200" s="394"/>
      <c r="BGG200" s="394"/>
      <c r="BGH200" s="394"/>
      <c r="BGI200" s="394"/>
      <c r="BGJ200" s="394"/>
      <c r="BGK200" s="394"/>
      <c r="BGL200" s="394"/>
      <c r="BGM200" s="394"/>
      <c r="BGN200" s="394"/>
      <c r="BGO200" s="394"/>
      <c r="BGP200" s="394"/>
      <c r="BGQ200" s="394"/>
      <c r="BGR200" s="394"/>
      <c r="BGS200" s="394"/>
      <c r="BGT200" s="394"/>
      <c r="BGU200" s="394"/>
      <c r="BGV200" s="394"/>
      <c r="BGW200" s="394"/>
      <c r="BGX200" s="394"/>
      <c r="BGY200" s="394"/>
      <c r="BGZ200" s="394"/>
      <c r="BHA200" s="394"/>
      <c r="BHB200" s="394"/>
      <c r="BHC200" s="394"/>
      <c r="BHD200" s="394"/>
      <c r="BHE200" s="394"/>
      <c r="BHF200" s="394"/>
      <c r="BHG200" s="394"/>
      <c r="BHH200" s="394"/>
      <c r="BHI200" s="394"/>
      <c r="BHJ200" s="394"/>
      <c r="BHK200" s="394"/>
      <c r="BHL200" s="394"/>
      <c r="BHM200" s="394"/>
      <c r="BHN200" s="394"/>
      <c r="BHO200" s="394"/>
      <c r="BHP200" s="394"/>
      <c r="BHQ200" s="394"/>
      <c r="BHR200" s="394"/>
      <c r="BHS200" s="394"/>
      <c r="BHT200" s="394"/>
      <c r="BHU200" s="394"/>
      <c r="BHV200" s="394"/>
      <c r="BHW200" s="394"/>
      <c r="BHX200" s="394"/>
      <c r="BHY200" s="394"/>
      <c r="BHZ200" s="394"/>
      <c r="BIA200" s="394"/>
      <c r="BIB200" s="394"/>
      <c r="BIC200" s="394"/>
      <c r="BID200" s="394"/>
      <c r="BIE200" s="394"/>
      <c r="BIF200" s="394"/>
      <c r="BIG200" s="394"/>
      <c r="BIH200" s="394"/>
      <c r="BII200" s="394"/>
      <c r="BIJ200" s="394"/>
      <c r="BIK200" s="394"/>
      <c r="BIL200" s="394"/>
      <c r="BIM200" s="394"/>
      <c r="BIN200" s="394"/>
      <c r="BIO200" s="394"/>
      <c r="BIP200" s="394"/>
      <c r="BIQ200" s="394"/>
      <c r="BIR200" s="394"/>
      <c r="BIS200" s="394"/>
      <c r="BIT200" s="394"/>
      <c r="BIU200" s="394"/>
      <c r="BIV200" s="394"/>
      <c r="BIW200" s="394"/>
      <c r="BIX200" s="394"/>
      <c r="BIY200" s="394"/>
      <c r="BIZ200" s="394"/>
      <c r="BJA200" s="394"/>
      <c r="BJB200" s="394"/>
      <c r="BJC200" s="394"/>
      <c r="BJD200" s="394"/>
      <c r="BJE200" s="394"/>
      <c r="BJF200" s="394"/>
      <c r="BJG200" s="394"/>
      <c r="BJH200" s="394"/>
      <c r="BJI200" s="394"/>
      <c r="BJJ200" s="394"/>
      <c r="BJK200" s="394"/>
      <c r="BJL200" s="394"/>
      <c r="BJM200" s="394"/>
      <c r="BJN200" s="394"/>
      <c r="BJO200" s="394"/>
      <c r="BJP200" s="394"/>
      <c r="BJQ200" s="394"/>
      <c r="BJR200" s="394"/>
      <c r="BJS200" s="394"/>
      <c r="BJT200" s="394"/>
      <c r="BJU200" s="394"/>
      <c r="BJV200" s="394"/>
      <c r="BJW200" s="394"/>
      <c r="BJX200" s="394"/>
      <c r="BJY200" s="394"/>
      <c r="BJZ200" s="394"/>
      <c r="BKA200" s="394"/>
      <c r="BKB200" s="394"/>
      <c r="BKC200" s="394"/>
      <c r="BKD200" s="394"/>
      <c r="BKE200" s="394"/>
      <c r="BKF200" s="394"/>
      <c r="BKG200" s="394"/>
      <c r="BKH200" s="394"/>
      <c r="BKI200" s="394"/>
      <c r="BKJ200" s="394"/>
      <c r="BKK200" s="394"/>
      <c r="BKL200" s="394"/>
      <c r="BKM200" s="394"/>
      <c r="BKN200" s="394"/>
      <c r="BKO200" s="394"/>
      <c r="BKP200" s="394"/>
      <c r="BKQ200" s="394"/>
      <c r="BKR200" s="394"/>
      <c r="BKS200" s="394"/>
      <c r="BKT200" s="394"/>
      <c r="BKU200" s="394"/>
      <c r="BKV200" s="394"/>
      <c r="BKW200" s="394"/>
      <c r="BKX200" s="394"/>
      <c r="BKY200" s="394"/>
      <c r="BKZ200" s="394"/>
      <c r="BLA200" s="394"/>
      <c r="BLB200" s="394"/>
      <c r="BLC200" s="394"/>
      <c r="BLD200" s="394"/>
      <c r="BLE200" s="394"/>
      <c r="BLF200" s="394"/>
      <c r="BLG200" s="394"/>
      <c r="BLH200" s="394"/>
      <c r="BLI200" s="394"/>
      <c r="BLJ200" s="394"/>
      <c r="BLK200" s="394"/>
      <c r="BLL200" s="394"/>
      <c r="BLM200" s="394"/>
      <c r="BLN200" s="394"/>
      <c r="BLO200" s="394"/>
      <c r="BLP200" s="394"/>
      <c r="BLQ200" s="394"/>
      <c r="BLR200" s="394"/>
      <c r="BLS200" s="394"/>
      <c r="BLT200" s="394"/>
      <c r="BLU200" s="394"/>
      <c r="BLV200" s="394"/>
      <c r="BLW200" s="394"/>
      <c r="BLX200" s="394"/>
      <c r="BLY200" s="394"/>
      <c r="BLZ200" s="394"/>
      <c r="BMA200" s="394"/>
      <c r="BMB200" s="394"/>
      <c r="BMC200" s="394"/>
      <c r="BMD200" s="394"/>
      <c r="BME200" s="394"/>
      <c r="BMF200" s="394"/>
      <c r="BMG200" s="394"/>
      <c r="BMH200" s="394"/>
      <c r="BMI200" s="394"/>
      <c r="BMJ200" s="394"/>
      <c r="BMK200" s="394"/>
      <c r="BML200" s="394"/>
      <c r="BMM200" s="394"/>
      <c r="BMN200" s="394"/>
      <c r="BMO200" s="394"/>
      <c r="BMP200" s="394"/>
      <c r="BMQ200" s="394"/>
      <c r="BMR200" s="394"/>
      <c r="BMS200" s="394"/>
      <c r="BMT200" s="394"/>
      <c r="BMU200" s="394"/>
      <c r="BMV200" s="394"/>
      <c r="BMW200" s="394"/>
      <c r="BMX200" s="394"/>
      <c r="BMY200" s="394"/>
      <c r="BMZ200" s="394"/>
      <c r="BNA200" s="394"/>
      <c r="BNB200" s="394"/>
      <c r="BNC200" s="394"/>
      <c r="BND200" s="394"/>
      <c r="BNE200" s="394"/>
      <c r="BNF200" s="394"/>
      <c r="BNG200" s="394"/>
      <c r="BNH200" s="394"/>
      <c r="BNI200" s="394"/>
      <c r="BNJ200" s="394"/>
      <c r="BNK200" s="394"/>
      <c r="BNL200" s="394"/>
      <c r="BNM200" s="394"/>
      <c r="BNN200" s="394"/>
      <c r="BNO200" s="394"/>
      <c r="BNP200" s="394"/>
      <c r="BNQ200" s="394"/>
      <c r="BNR200" s="394"/>
      <c r="BNS200" s="394"/>
      <c r="BNT200" s="394"/>
      <c r="BNU200" s="394"/>
      <c r="BNV200" s="394"/>
      <c r="BNW200" s="394"/>
      <c r="BNX200" s="394"/>
      <c r="BNY200" s="394"/>
      <c r="BNZ200" s="394"/>
      <c r="BOA200" s="394"/>
      <c r="BOB200" s="394"/>
      <c r="BOC200" s="394"/>
      <c r="BOD200" s="394"/>
      <c r="BOE200" s="394"/>
      <c r="BOF200" s="394"/>
      <c r="BOG200" s="394"/>
      <c r="BOH200" s="394"/>
      <c r="BOI200" s="394"/>
      <c r="BOJ200" s="394"/>
      <c r="BOK200" s="394"/>
      <c r="BOL200" s="394"/>
      <c r="BOM200" s="394"/>
      <c r="BON200" s="394"/>
      <c r="BOO200" s="394"/>
      <c r="BOP200" s="394"/>
      <c r="BOQ200" s="394"/>
      <c r="BOR200" s="394"/>
      <c r="BOS200" s="394"/>
      <c r="BOT200" s="394"/>
      <c r="BOU200" s="394"/>
      <c r="BOV200" s="394"/>
      <c r="BOW200" s="394"/>
      <c r="BOX200" s="394"/>
      <c r="BOY200" s="394"/>
      <c r="BOZ200" s="394"/>
      <c r="BPA200" s="394"/>
      <c r="BPB200" s="394"/>
      <c r="BPC200" s="394"/>
      <c r="BPD200" s="394"/>
      <c r="BPE200" s="394"/>
      <c r="BPF200" s="394"/>
      <c r="BPG200" s="394"/>
      <c r="BPH200" s="394"/>
      <c r="BPI200" s="394"/>
      <c r="BPJ200" s="394"/>
      <c r="BPK200" s="394"/>
      <c r="BPL200" s="394"/>
      <c r="BPM200" s="394"/>
      <c r="BPN200" s="394"/>
      <c r="BPO200" s="394"/>
      <c r="BPP200" s="394"/>
      <c r="BPQ200" s="394"/>
      <c r="BPR200" s="394"/>
      <c r="BPS200" s="394"/>
      <c r="BPT200" s="394"/>
      <c r="BPU200" s="394"/>
      <c r="BPV200" s="394"/>
      <c r="BPW200" s="394"/>
      <c r="BPX200" s="394"/>
      <c r="BPY200" s="394"/>
      <c r="BPZ200" s="394"/>
      <c r="BQA200" s="394"/>
      <c r="BQB200" s="394"/>
      <c r="BQC200" s="394"/>
      <c r="BQD200" s="394"/>
      <c r="BQE200" s="394"/>
      <c r="BQF200" s="394"/>
      <c r="BQG200" s="394"/>
      <c r="BQH200" s="394"/>
      <c r="BQI200" s="394"/>
      <c r="BQJ200" s="394"/>
      <c r="BQK200" s="394"/>
      <c r="BQL200" s="394"/>
      <c r="BQM200" s="394"/>
      <c r="BQN200" s="394"/>
      <c r="BQO200" s="394"/>
      <c r="BQP200" s="394"/>
      <c r="BQQ200" s="394"/>
      <c r="BQR200" s="394"/>
      <c r="BQS200" s="394"/>
      <c r="BQT200" s="394"/>
      <c r="BQU200" s="394"/>
      <c r="BQV200" s="394"/>
      <c r="BQW200" s="394"/>
      <c r="BQX200" s="394"/>
      <c r="BQY200" s="394"/>
      <c r="BQZ200" s="394"/>
      <c r="BRA200" s="394"/>
      <c r="BRB200" s="394"/>
      <c r="BRC200" s="394"/>
      <c r="BRD200" s="394"/>
      <c r="BRE200" s="394"/>
      <c r="BRF200" s="394"/>
      <c r="BRG200" s="394"/>
      <c r="BRH200" s="394"/>
      <c r="BRI200" s="394"/>
      <c r="BRJ200" s="394"/>
      <c r="BRK200" s="394"/>
      <c r="BRL200" s="394"/>
      <c r="BRM200" s="394"/>
      <c r="BRN200" s="394"/>
      <c r="BRO200" s="394"/>
      <c r="BRP200" s="394"/>
      <c r="BRQ200" s="394"/>
      <c r="BRR200" s="394"/>
      <c r="BRS200" s="394"/>
      <c r="BRT200" s="394"/>
      <c r="BRU200" s="394"/>
      <c r="BRV200" s="394"/>
      <c r="BRW200" s="394"/>
      <c r="BRX200" s="394"/>
      <c r="BRY200" s="394"/>
      <c r="BRZ200" s="394"/>
      <c r="BSA200" s="394"/>
      <c r="BSB200" s="394"/>
      <c r="BSC200" s="394"/>
      <c r="BSD200" s="394"/>
      <c r="BSE200" s="394"/>
      <c r="BSF200" s="394"/>
      <c r="BSG200" s="394"/>
      <c r="BSH200" s="394"/>
      <c r="BSI200" s="394"/>
      <c r="BSJ200" s="394"/>
      <c r="BSK200" s="394"/>
      <c r="BSL200" s="394"/>
      <c r="BSM200" s="394"/>
      <c r="BSN200" s="394"/>
      <c r="BSO200" s="394"/>
      <c r="BSP200" s="394"/>
      <c r="BSQ200" s="394"/>
      <c r="BSR200" s="394"/>
      <c r="BSS200" s="394"/>
      <c r="BST200" s="394"/>
      <c r="BSU200" s="394"/>
      <c r="BSV200" s="394"/>
      <c r="BSW200" s="394"/>
      <c r="BSX200" s="394"/>
      <c r="BSY200" s="394"/>
      <c r="BSZ200" s="394"/>
      <c r="BTA200" s="394"/>
      <c r="BTB200" s="394"/>
      <c r="BTC200" s="394"/>
      <c r="BTD200" s="394"/>
      <c r="BTE200" s="394"/>
      <c r="BTF200" s="394"/>
      <c r="BTG200" s="394"/>
      <c r="BTH200" s="394"/>
      <c r="BTI200" s="394"/>
    </row>
    <row r="201" spans="1:1881" s="4" customFormat="1" ht="240" customHeight="1" x14ac:dyDescent="0.25">
      <c r="A201" s="188">
        <v>337</v>
      </c>
      <c r="B201" s="64" t="s">
        <v>63</v>
      </c>
      <c r="C201" s="159" t="s">
        <v>776</v>
      </c>
      <c r="D201" s="697" t="s">
        <v>1223</v>
      </c>
      <c r="E201" s="32" t="e">
        <f>HLOOKUP($D$2,'2019 Data(H)'!$C$1:$CP$300,103,FALSE)</f>
        <v>#N/A</v>
      </c>
      <c r="F201" s="589"/>
      <c r="G201" s="581">
        <f>IF(F201&lt;0,"Error: Enter as positive.",)</f>
        <v>0</v>
      </c>
      <c r="H201" s="13"/>
      <c r="I201" s="31"/>
      <c r="J201" s="394"/>
      <c r="K201" s="394"/>
      <c r="L201" s="394"/>
      <c r="M201" s="394"/>
      <c r="N201"/>
      <c r="O201" s="394"/>
      <c r="P201" s="394"/>
      <c r="Q201" s="394"/>
      <c r="R201" s="394"/>
      <c r="S201" s="394"/>
      <c r="T201" s="394"/>
      <c r="U201" s="394"/>
      <c r="V201" s="394"/>
      <c r="W201" s="394"/>
      <c r="X201" s="394"/>
      <c r="Y201" s="394"/>
      <c r="Z201" s="394"/>
      <c r="AA201" s="394"/>
      <c r="AB201" s="394"/>
      <c r="AC201" s="394"/>
      <c r="AD201" s="394"/>
      <c r="AE201" s="394"/>
      <c r="AF201" s="394"/>
      <c r="AG201" s="394"/>
      <c r="AH201" s="394"/>
      <c r="AI201" s="394"/>
      <c r="AJ201" s="394"/>
      <c r="AK201" s="394"/>
      <c r="AL201" s="394"/>
      <c r="AM201" s="394"/>
      <c r="AN201" s="394"/>
      <c r="AO201" s="394"/>
      <c r="AP201" s="394"/>
      <c r="AQ201" s="394"/>
      <c r="AR201" s="394"/>
      <c r="AS201" s="394"/>
      <c r="AT201" s="394"/>
      <c r="AU201" s="394"/>
      <c r="AV201" s="394"/>
      <c r="AW201" s="394"/>
      <c r="AX201" s="394"/>
      <c r="AY201" s="394"/>
      <c r="AZ201" s="394"/>
      <c r="BA201" s="394"/>
      <c r="BB201" s="394"/>
      <c r="BC201" s="394"/>
      <c r="BD201" s="394"/>
      <c r="BE201" s="394"/>
      <c r="BF201" s="394"/>
      <c r="BG201" s="394"/>
      <c r="BH201" s="394"/>
      <c r="BI201" s="394"/>
      <c r="BJ201" s="394"/>
      <c r="BK201" s="394"/>
      <c r="BL201" s="394"/>
      <c r="BM201" s="394"/>
      <c r="BN201" s="394"/>
      <c r="BO201" s="394"/>
      <c r="BP201" s="394"/>
      <c r="BQ201" s="394"/>
      <c r="BR201" s="394"/>
      <c r="BS201" s="394"/>
      <c r="BT201" s="394"/>
      <c r="BU201" s="394"/>
      <c r="BV201" s="394"/>
      <c r="BW201" s="394"/>
      <c r="BX201" s="394"/>
      <c r="BY201" s="394"/>
      <c r="BZ201" s="394"/>
      <c r="CA201" s="394"/>
      <c r="CB201" s="394"/>
      <c r="CC201" s="394"/>
      <c r="CD201" s="394"/>
      <c r="CE201" s="394"/>
      <c r="CF201" s="394"/>
      <c r="CG201" s="394"/>
      <c r="CH201" s="394"/>
      <c r="CI201" s="394"/>
      <c r="CJ201" s="394"/>
      <c r="CK201" s="394"/>
      <c r="CL201" s="394"/>
      <c r="CM201" s="394"/>
      <c r="CN201" s="394"/>
      <c r="CO201" s="394"/>
      <c r="CP201" s="394"/>
      <c r="CQ201" s="394"/>
      <c r="CR201" s="394"/>
      <c r="CS201" s="394"/>
      <c r="CT201" s="394"/>
      <c r="CU201" s="394"/>
      <c r="CV201" s="394"/>
      <c r="CW201" s="394"/>
      <c r="CX201" s="394"/>
      <c r="CY201" s="394"/>
      <c r="CZ201" s="394"/>
      <c r="DA201" s="394"/>
      <c r="DB201" s="394"/>
      <c r="DC201" s="394"/>
      <c r="DD201" s="394"/>
      <c r="DE201" s="394"/>
      <c r="DF201" s="394"/>
      <c r="DG201" s="394"/>
      <c r="DH201" s="394"/>
      <c r="DI201" s="394"/>
      <c r="DJ201" s="394"/>
      <c r="DK201" s="394"/>
      <c r="DL201" s="394"/>
      <c r="DM201" s="394"/>
      <c r="DN201" s="394"/>
      <c r="DO201" s="394"/>
      <c r="DP201" s="394"/>
      <c r="DQ201" s="394"/>
      <c r="DR201" s="394"/>
      <c r="DS201" s="394"/>
      <c r="DT201" s="394"/>
      <c r="DU201" s="394"/>
      <c r="DV201" s="394"/>
      <c r="DW201" s="394"/>
      <c r="DX201" s="394"/>
      <c r="DY201" s="394"/>
      <c r="DZ201" s="394"/>
      <c r="EA201" s="394"/>
      <c r="EB201" s="394"/>
      <c r="EC201" s="394"/>
      <c r="ED201" s="394"/>
      <c r="EE201" s="394"/>
      <c r="EF201" s="394"/>
      <c r="EG201" s="394"/>
      <c r="EH201" s="394"/>
      <c r="EI201" s="394"/>
      <c r="EJ201" s="394"/>
      <c r="EK201" s="394"/>
      <c r="EL201" s="394"/>
      <c r="EM201" s="394"/>
      <c r="EN201" s="394"/>
      <c r="EO201" s="394"/>
      <c r="EP201" s="394"/>
      <c r="EQ201" s="394"/>
      <c r="ER201" s="394"/>
      <c r="ES201" s="394"/>
      <c r="ET201" s="394"/>
      <c r="EU201" s="394"/>
      <c r="EV201" s="394"/>
      <c r="EW201" s="394"/>
      <c r="EX201" s="394"/>
      <c r="EY201" s="394"/>
      <c r="EZ201" s="394"/>
      <c r="FA201" s="394"/>
      <c r="FB201" s="394"/>
      <c r="FC201" s="394"/>
      <c r="FD201" s="394"/>
      <c r="FE201" s="394"/>
      <c r="FF201" s="394"/>
      <c r="FG201" s="394"/>
      <c r="FH201" s="394"/>
      <c r="FI201" s="394"/>
      <c r="FJ201" s="394"/>
      <c r="FK201" s="394"/>
      <c r="FL201" s="394"/>
      <c r="FM201" s="394"/>
      <c r="FN201" s="394"/>
      <c r="FO201" s="394"/>
      <c r="FP201" s="394"/>
      <c r="FQ201" s="394"/>
      <c r="FR201" s="394"/>
      <c r="FS201" s="394"/>
      <c r="FT201" s="394"/>
      <c r="FU201" s="394"/>
      <c r="FV201" s="394"/>
      <c r="FW201" s="394"/>
      <c r="FX201" s="394"/>
      <c r="FY201" s="394"/>
      <c r="FZ201" s="394"/>
      <c r="GA201" s="394"/>
      <c r="GB201" s="394"/>
      <c r="GC201" s="394"/>
      <c r="GD201" s="394"/>
      <c r="GE201" s="394"/>
      <c r="GF201" s="394"/>
      <c r="GG201" s="394"/>
      <c r="GH201" s="394"/>
      <c r="GI201" s="394"/>
      <c r="GJ201" s="394"/>
      <c r="GK201" s="394"/>
      <c r="GL201" s="394"/>
      <c r="GM201" s="394"/>
      <c r="GN201" s="394"/>
      <c r="GO201" s="394"/>
      <c r="GP201" s="394"/>
      <c r="GQ201" s="394"/>
      <c r="GR201" s="394"/>
      <c r="GS201" s="394"/>
      <c r="GT201" s="394"/>
      <c r="GU201" s="394"/>
      <c r="GV201" s="394"/>
      <c r="GW201" s="394"/>
      <c r="GX201" s="394"/>
      <c r="GY201" s="394"/>
      <c r="GZ201" s="394"/>
      <c r="HA201" s="394"/>
      <c r="HB201" s="394"/>
      <c r="HC201" s="394"/>
      <c r="HD201" s="394"/>
      <c r="HE201" s="394"/>
      <c r="HF201" s="394"/>
      <c r="HG201" s="394"/>
      <c r="HH201" s="394"/>
      <c r="HI201" s="394"/>
      <c r="HJ201" s="394"/>
      <c r="HK201" s="394"/>
      <c r="HL201" s="394"/>
      <c r="HM201" s="394"/>
      <c r="HN201" s="394"/>
      <c r="HO201" s="394"/>
      <c r="HP201" s="394"/>
      <c r="HQ201" s="394"/>
      <c r="HR201" s="394"/>
      <c r="HS201" s="394"/>
      <c r="HT201" s="394"/>
      <c r="HU201" s="394"/>
      <c r="HV201" s="394"/>
      <c r="HW201" s="394"/>
      <c r="HX201" s="394"/>
      <c r="HY201" s="394"/>
      <c r="HZ201" s="394"/>
      <c r="IA201" s="394"/>
      <c r="IB201" s="394"/>
      <c r="IC201" s="394"/>
      <c r="ID201" s="394"/>
      <c r="IE201" s="394"/>
      <c r="IF201" s="394"/>
      <c r="IG201" s="394"/>
      <c r="IH201" s="394"/>
      <c r="II201" s="394"/>
      <c r="IJ201" s="394"/>
      <c r="IK201" s="394"/>
      <c r="IL201" s="394"/>
      <c r="IM201" s="394"/>
      <c r="IN201" s="394"/>
      <c r="IO201" s="394"/>
      <c r="IP201" s="394"/>
      <c r="IQ201" s="394"/>
      <c r="IR201" s="394"/>
      <c r="IS201" s="394"/>
      <c r="IT201" s="394"/>
      <c r="IU201" s="394"/>
      <c r="IV201" s="394"/>
      <c r="IW201" s="394"/>
      <c r="IX201" s="394"/>
      <c r="IY201" s="394"/>
      <c r="IZ201" s="394"/>
      <c r="JA201" s="394"/>
      <c r="JB201" s="394"/>
      <c r="JC201" s="394"/>
      <c r="JD201" s="394"/>
      <c r="JE201" s="394"/>
      <c r="JF201" s="394"/>
      <c r="JG201" s="394"/>
      <c r="JH201" s="394"/>
      <c r="JI201" s="394"/>
      <c r="JJ201" s="394"/>
      <c r="JK201" s="394"/>
      <c r="JL201" s="394"/>
      <c r="JM201" s="394"/>
      <c r="JN201" s="394"/>
      <c r="JO201" s="394"/>
      <c r="JP201" s="394"/>
      <c r="JQ201" s="394"/>
      <c r="JR201" s="394"/>
      <c r="JS201" s="394"/>
      <c r="JT201" s="394"/>
      <c r="JU201" s="394"/>
      <c r="JV201" s="394"/>
      <c r="JW201" s="394"/>
      <c r="JX201" s="394"/>
      <c r="JY201" s="394"/>
      <c r="JZ201" s="394"/>
      <c r="KA201" s="394"/>
      <c r="KB201" s="394"/>
      <c r="KC201" s="394"/>
      <c r="KD201" s="394"/>
      <c r="KE201" s="394"/>
      <c r="KF201" s="394"/>
      <c r="KG201" s="394"/>
      <c r="KH201" s="394"/>
      <c r="KI201" s="394"/>
      <c r="KJ201" s="394"/>
      <c r="KK201" s="394"/>
      <c r="KL201" s="394"/>
      <c r="KM201" s="394"/>
      <c r="KN201" s="394"/>
      <c r="KO201" s="394"/>
      <c r="KP201" s="394"/>
      <c r="KQ201" s="394"/>
      <c r="KR201" s="394"/>
      <c r="KS201" s="394"/>
      <c r="KT201" s="394"/>
      <c r="KU201" s="394"/>
      <c r="KV201" s="394"/>
      <c r="KW201" s="394"/>
      <c r="KX201" s="394"/>
      <c r="KY201" s="394"/>
      <c r="KZ201" s="394"/>
      <c r="LA201" s="394"/>
      <c r="LB201" s="394"/>
      <c r="LC201" s="394"/>
      <c r="LD201" s="394"/>
      <c r="LE201" s="394"/>
      <c r="LF201" s="394"/>
      <c r="LG201" s="394"/>
      <c r="LH201" s="394"/>
      <c r="LI201" s="394"/>
      <c r="LJ201" s="394"/>
      <c r="LK201" s="394"/>
      <c r="LL201" s="394"/>
      <c r="LM201" s="394"/>
      <c r="LN201" s="394"/>
      <c r="LO201" s="394"/>
      <c r="LP201" s="394"/>
      <c r="LQ201" s="394"/>
      <c r="LR201" s="394"/>
      <c r="LS201" s="394"/>
      <c r="LT201" s="394"/>
      <c r="LU201" s="394"/>
      <c r="LV201" s="394"/>
      <c r="LW201" s="394"/>
      <c r="LX201" s="394"/>
      <c r="LY201" s="394"/>
      <c r="LZ201" s="394"/>
      <c r="MA201" s="394"/>
      <c r="MB201" s="394"/>
      <c r="MC201" s="394"/>
      <c r="MD201" s="394"/>
      <c r="ME201" s="394"/>
      <c r="MF201" s="394"/>
      <c r="MG201" s="394"/>
      <c r="MH201" s="394"/>
      <c r="MI201" s="394"/>
      <c r="MJ201" s="394"/>
      <c r="MK201" s="394"/>
      <c r="ML201" s="394"/>
      <c r="MM201" s="394"/>
      <c r="MN201" s="394"/>
      <c r="MO201" s="394"/>
      <c r="MP201" s="394"/>
      <c r="MQ201" s="394"/>
      <c r="MR201" s="394"/>
      <c r="MS201" s="394"/>
      <c r="MT201" s="394"/>
      <c r="MU201" s="394"/>
      <c r="MV201" s="394"/>
      <c r="MW201" s="394"/>
      <c r="MX201" s="394"/>
      <c r="MY201" s="394"/>
      <c r="MZ201" s="394"/>
      <c r="NA201" s="394"/>
      <c r="NB201" s="394"/>
      <c r="NC201" s="394"/>
      <c r="ND201" s="394"/>
      <c r="NE201" s="394"/>
      <c r="NF201" s="394"/>
      <c r="NG201" s="394"/>
      <c r="NH201" s="394"/>
      <c r="NI201" s="394"/>
      <c r="NJ201" s="394"/>
      <c r="NK201" s="394"/>
      <c r="NL201" s="394"/>
      <c r="NM201" s="394"/>
      <c r="NN201" s="394"/>
      <c r="NO201" s="394"/>
      <c r="NP201" s="394"/>
      <c r="NQ201" s="394"/>
      <c r="NR201" s="394"/>
      <c r="NS201" s="394"/>
      <c r="NT201" s="394"/>
      <c r="NU201" s="394"/>
      <c r="NV201" s="394"/>
      <c r="NW201" s="394"/>
      <c r="NX201" s="394"/>
      <c r="NY201" s="394"/>
      <c r="NZ201" s="394"/>
      <c r="OA201" s="394"/>
      <c r="OB201" s="394"/>
      <c r="OC201" s="394"/>
      <c r="OD201" s="394"/>
      <c r="OE201" s="394"/>
      <c r="OF201" s="394"/>
      <c r="OG201" s="394"/>
      <c r="OH201" s="394"/>
      <c r="OI201" s="394"/>
      <c r="OJ201" s="394"/>
      <c r="OK201" s="394"/>
      <c r="OL201" s="394"/>
      <c r="OM201" s="394"/>
      <c r="ON201" s="394"/>
      <c r="OO201" s="394"/>
      <c r="OP201" s="394"/>
      <c r="OQ201" s="394"/>
      <c r="OR201" s="394"/>
      <c r="OS201" s="394"/>
      <c r="OT201" s="394"/>
      <c r="OU201" s="394"/>
      <c r="OV201" s="394"/>
      <c r="OW201" s="394"/>
      <c r="OX201" s="394"/>
      <c r="OY201" s="394"/>
      <c r="OZ201" s="394"/>
      <c r="PA201" s="394"/>
      <c r="PB201" s="394"/>
      <c r="PC201" s="394"/>
      <c r="PD201" s="394"/>
      <c r="PE201" s="394"/>
      <c r="PF201" s="394"/>
      <c r="PG201" s="394"/>
      <c r="PH201" s="394"/>
      <c r="PI201" s="394"/>
      <c r="PJ201" s="394"/>
      <c r="PK201" s="394"/>
      <c r="PL201" s="394"/>
      <c r="PM201" s="394"/>
      <c r="PN201" s="394"/>
      <c r="PO201" s="394"/>
      <c r="PP201" s="394"/>
      <c r="PQ201" s="394"/>
      <c r="PR201" s="394"/>
      <c r="PS201" s="394"/>
      <c r="PT201" s="394"/>
      <c r="PU201" s="394"/>
      <c r="PV201" s="394"/>
      <c r="PW201" s="394"/>
      <c r="PX201" s="394"/>
      <c r="PY201" s="394"/>
      <c r="PZ201" s="394"/>
      <c r="QA201" s="394"/>
      <c r="QB201" s="394"/>
      <c r="QC201" s="394"/>
      <c r="QD201" s="394"/>
      <c r="QE201" s="394"/>
      <c r="QF201" s="394"/>
      <c r="QG201" s="394"/>
      <c r="QH201" s="394"/>
      <c r="QI201" s="394"/>
      <c r="QJ201" s="394"/>
      <c r="QK201" s="394"/>
      <c r="QL201" s="394"/>
      <c r="QM201" s="394"/>
      <c r="QN201" s="394"/>
      <c r="QO201" s="394"/>
      <c r="QP201" s="394"/>
      <c r="QQ201" s="394"/>
      <c r="QR201" s="394"/>
      <c r="QS201" s="394"/>
      <c r="QT201" s="394"/>
      <c r="QU201" s="394"/>
      <c r="QV201" s="394"/>
      <c r="QW201" s="394"/>
      <c r="QX201" s="394"/>
      <c r="QY201" s="394"/>
      <c r="QZ201" s="394"/>
      <c r="RA201" s="394"/>
      <c r="RB201" s="394"/>
      <c r="RC201" s="394"/>
      <c r="RD201" s="394"/>
      <c r="RE201" s="394"/>
      <c r="RF201" s="394"/>
      <c r="RG201" s="394"/>
      <c r="RH201" s="394"/>
      <c r="RI201" s="394"/>
      <c r="RJ201" s="394"/>
      <c r="RK201" s="394"/>
      <c r="RL201" s="394"/>
      <c r="RM201" s="394"/>
      <c r="RN201" s="394"/>
      <c r="RO201" s="394"/>
      <c r="RP201" s="394"/>
      <c r="RQ201" s="394"/>
      <c r="RR201" s="394"/>
      <c r="RS201" s="394"/>
      <c r="RT201" s="394"/>
      <c r="RU201" s="394"/>
      <c r="RV201" s="394"/>
      <c r="RW201" s="394"/>
      <c r="RX201" s="394"/>
      <c r="RY201" s="394"/>
      <c r="RZ201" s="394"/>
      <c r="SA201" s="394"/>
      <c r="SB201" s="394"/>
      <c r="SC201" s="394"/>
      <c r="SD201" s="394"/>
      <c r="SE201" s="394"/>
      <c r="SF201" s="394"/>
      <c r="SG201" s="394"/>
      <c r="SH201" s="394"/>
      <c r="SI201" s="394"/>
      <c r="SJ201" s="394"/>
      <c r="SK201" s="394"/>
      <c r="SL201" s="394"/>
      <c r="SM201" s="394"/>
      <c r="SN201" s="394"/>
      <c r="SO201" s="394"/>
      <c r="SP201" s="394"/>
      <c r="SQ201" s="394"/>
      <c r="SR201" s="394"/>
      <c r="SS201" s="394"/>
      <c r="ST201" s="394"/>
      <c r="SU201" s="394"/>
      <c r="SV201" s="394"/>
      <c r="SW201" s="394"/>
      <c r="SX201" s="394"/>
      <c r="SY201" s="394"/>
      <c r="SZ201" s="394"/>
      <c r="TA201" s="394"/>
      <c r="TB201" s="394"/>
      <c r="TC201" s="394"/>
      <c r="TD201" s="394"/>
      <c r="TE201" s="394"/>
      <c r="TF201" s="394"/>
      <c r="TG201" s="394"/>
      <c r="TH201" s="394"/>
      <c r="TI201" s="394"/>
      <c r="TJ201" s="394"/>
      <c r="TK201" s="394"/>
      <c r="TL201" s="394"/>
      <c r="TM201" s="394"/>
      <c r="TN201" s="394"/>
      <c r="TO201" s="394"/>
      <c r="TP201" s="394"/>
      <c r="TQ201" s="394"/>
      <c r="TR201" s="394"/>
      <c r="TS201" s="394"/>
      <c r="TT201" s="394"/>
      <c r="TU201" s="394"/>
      <c r="TV201" s="394"/>
      <c r="TW201" s="394"/>
      <c r="TX201" s="394"/>
      <c r="TY201" s="394"/>
      <c r="TZ201" s="394"/>
      <c r="UA201" s="394"/>
      <c r="UB201" s="394"/>
      <c r="UC201" s="394"/>
      <c r="UD201" s="394"/>
      <c r="UE201" s="394"/>
      <c r="UF201" s="394"/>
      <c r="UG201" s="394"/>
      <c r="UH201" s="394"/>
      <c r="UI201" s="394"/>
      <c r="UJ201" s="394"/>
      <c r="UK201" s="394"/>
      <c r="UL201" s="394"/>
      <c r="UM201" s="394"/>
      <c r="UN201" s="394"/>
      <c r="UO201" s="394"/>
      <c r="UP201" s="394"/>
      <c r="UQ201" s="394"/>
      <c r="UR201" s="394"/>
      <c r="US201" s="394"/>
      <c r="UT201" s="394"/>
      <c r="UU201" s="394"/>
      <c r="UV201" s="394"/>
      <c r="UW201" s="394"/>
      <c r="UX201" s="394"/>
      <c r="UY201" s="394"/>
      <c r="UZ201" s="394"/>
      <c r="VA201" s="394"/>
      <c r="VB201" s="394"/>
      <c r="VC201" s="394"/>
      <c r="VD201" s="394"/>
      <c r="VE201" s="394"/>
      <c r="VF201" s="394"/>
      <c r="VG201" s="394"/>
      <c r="VH201" s="394"/>
      <c r="VI201" s="394"/>
      <c r="VJ201" s="394"/>
      <c r="VK201" s="394"/>
      <c r="VL201" s="394"/>
      <c r="VM201" s="394"/>
      <c r="VN201" s="394"/>
      <c r="VO201" s="394"/>
      <c r="VP201" s="394"/>
      <c r="VQ201" s="394"/>
      <c r="VR201" s="394"/>
      <c r="VS201" s="394"/>
      <c r="VT201" s="394"/>
      <c r="VU201" s="394"/>
      <c r="VV201" s="394"/>
      <c r="VW201" s="394"/>
      <c r="VX201" s="394"/>
      <c r="VY201" s="394"/>
      <c r="VZ201" s="394"/>
      <c r="WA201" s="394"/>
      <c r="WB201" s="394"/>
      <c r="WC201" s="394"/>
      <c r="WD201" s="394"/>
      <c r="WE201" s="394"/>
      <c r="WF201" s="394"/>
      <c r="WG201" s="394"/>
      <c r="WH201" s="394"/>
      <c r="WI201" s="394"/>
      <c r="WJ201" s="394"/>
      <c r="WK201" s="394"/>
      <c r="WL201" s="394"/>
      <c r="WM201" s="394"/>
      <c r="WN201" s="394"/>
      <c r="WO201" s="394"/>
      <c r="WP201" s="394"/>
      <c r="WQ201" s="394"/>
      <c r="WR201" s="394"/>
      <c r="WS201" s="394"/>
      <c r="WT201" s="394"/>
      <c r="WU201" s="394"/>
      <c r="WV201" s="394"/>
      <c r="WW201" s="394"/>
      <c r="WX201" s="394"/>
      <c r="WY201" s="394"/>
      <c r="WZ201" s="394"/>
      <c r="XA201" s="394"/>
      <c r="XB201" s="394"/>
      <c r="XC201" s="394"/>
      <c r="XD201" s="394"/>
      <c r="XE201" s="394"/>
      <c r="XF201" s="394"/>
      <c r="XG201" s="394"/>
      <c r="XH201" s="394"/>
      <c r="XI201" s="394"/>
      <c r="XJ201" s="394"/>
      <c r="XK201" s="394"/>
      <c r="XL201" s="394"/>
      <c r="XM201" s="394"/>
      <c r="XN201" s="394"/>
      <c r="XO201" s="394"/>
      <c r="XP201" s="394"/>
      <c r="XQ201" s="394"/>
      <c r="XR201" s="394"/>
      <c r="XS201" s="394"/>
      <c r="XT201" s="394"/>
      <c r="XU201" s="394"/>
      <c r="XV201" s="394"/>
      <c r="XW201" s="394"/>
      <c r="XX201" s="394"/>
      <c r="XY201" s="394"/>
      <c r="XZ201" s="394"/>
      <c r="YA201" s="394"/>
      <c r="YB201" s="394"/>
      <c r="YC201" s="394"/>
      <c r="YD201" s="394"/>
      <c r="YE201" s="394"/>
      <c r="YF201" s="394"/>
      <c r="YG201" s="394"/>
      <c r="YH201" s="394"/>
      <c r="YI201" s="394"/>
      <c r="YJ201" s="394"/>
      <c r="YK201" s="394"/>
      <c r="YL201" s="394"/>
      <c r="YM201" s="394"/>
      <c r="YN201" s="394"/>
      <c r="YO201" s="394"/>
      <c r="YP201" s="394"/>
      <c r="YQ201" s="394"/>
      <c r="YR201" s="394"/>
      <c r="YS201" s="394"/>
      <c r="YT201" s="394"/>
      <c r="YU201" s="394"/>
      <c r="YV201" s="394"/>
      <c r="YW201" s="394"/>
      <c r="YX201" s="394"/>
      <c r="YY201" s="394"/>
      <c r="YZ201" s="394"/>
      <c r="ZA201" s="394"/>
      <c r="ZB201" s="394"/>
      <c r="ZC201" s="394"/>
      <c r="ZD201" s="394"/>
      <c r="ZE201" s="394"/>
      <c r="ZF201" s="394"/>
      <c r="ZG201" s="394"/>
      <c r="ZH201" s="394"/>
      <c r="ZI201" s="394"/>
      <c r="ZJ201" s="394"/>
      <c r="ZK201" s="394"/>
      <c r="ZL201" s="394"/>
      <c r="ZM201" s="394"/>
      <c r="ZN201" s="394"/>
      <c r="ZO201" s="394"/>
      <c r="ZP201" s="394"/>
      <c r="ZQ201" s="394"/>
      <c r="ZR201" s="394"/>
      <c r="ZS201" s="394"/>
      <c r="ZT201" s="394"/>
      <c r="ZU201" s="394"/>
      <c r="ZV201" s="394"/>
      <c r="ZW201" s="394"/>
      <c r="ZX201" s="394"/>
      <c r="ZY201" s="394"/>
      <c r="ZZ201" s="394"/>
      <c r="AAA201" s="394"/>
      <c r="AAB201" s="394"/>
      <c r="AAC201" s="394"/>
      <c r="AAD201" s="394"/>
      <c r="AAE201" s="394"/>
      <c r="AAF201" s="394"/>
      <c r="AAG201" s="394"/>
      <c r="AAH201" s="394"/>
      <c r="AAI201" s="394"/>
      <c r="AAJ201" s="394"/>
      <c r="AAK201" s="394"/>
      <c r="AAL201" s="394"/>
      <c r="AAM201" s="394"/>
      <c r="AAN201" s="394"/>
      <c r="AAO201" s="394"/>
      <c r="AAP201" s="394"/>
      <c r="AAQ201" s="394"/>
      <c r="AAR201" s="394"/>
      <c r="AAS201" s="394"/>
      <c r="AAT201" s="394"/>
      <c r="AAU201" s="394"/>
      <c r="AAV201" s="394"/>
      <c r="AAW201" s="394"/>
      <c r="AAX201" s="394"/>
      <c r="AAY201" s="394"/>
      <c r="AAZ201" s="394"/>
      <c r="ABA201" s="394"/>
      <c r="ABB201" s="394"/>
      <c r="ABC201" s="394"/>
      <c r="ABD201" s="394"/>
      <c r="ABE201" s="394"/>
      <c r="ABF201" s="394"/>
      <c r="ABG201" s="394"/>
      <c r="ABH201" s="394"/>
      <c r="ABI201" s="394"/>
      <c r="ABJ201" s="394"/>
      <c r="ABK201" s="394"/>
      <c r="ABL201" s="394"/>
      <c r="ABM201" s="394"/>
      <c r="ABN201" s="394"/>
      <c r="ABO201" s="394"/>
      <c r="ABP201" s="394"/>
      <c r="ABQ201" s="394"/>
      <c r="ABR201" s="394"/>
      <c r="ABS201" s="394"/>
      <c r="ABT201" s="394"/>
      <c r="ABU201" s="394"/>
      <c r="ABV201" s="394"/>
      <c r="ABW201" s="394"/>
      <c r="ABX201" s="394"/>
      <c r="ABY201" s="394"/>
      <c r="ABZ201" s="394"/>
      <c r="ACA201" s="394"/>
      <c r="ACB201" s="394"/>
      <c r="ACC201" s="394"/>
      <c r="ACD201" s="394"/>
      <c r="ACE201" s="394"/>
      <c r="ACF201" s="394"/>
      <c r="ACG201" s="394"/>
      <c r="ACH201" s="394"/>
      <c r="ACI201" s="394"/>
      <c r="ACJ201" s="394"/>
      <c r="ACK201" s="394"/>
      <c r="ACL201" s="394"/>
      <c r="ACM201" s="394"/>
      <c r="ACN201" s="394"/>
      <c r="ACO201" s="394"/>
      <c r="ACP201" s="394"/>
      <c r="ACQ201" s="394"/>
      <c r="ACR201" s="394"/>
      <c r="ACS201" s="394"/>
      <c r="ACT201" s="394"/>
      <c r="ACU201" s="394"/>
      <c r="ACV201" s="394"/>
      <c r="ACW201" s="394"/>
      <c r="ACX201" s="394"/>
      <c r="ACY201" s="394"/>
      <c r="ACZ201" s="394"/>
      <c r="ADA201" s="394"/>
      <c r="ADB201" s="394"/>
      <c r="ADC201" s="394"/>
      <c r="ADD201" s="394"/>
      <c r="ADE201" s="394"/>
      <c r="ADF201" s="394"/>
      <c r="ADG201" s="394"/>
      <c r="ADH201" s="394"/>
      <c r="ADI201" s="394"/>
      <c r="ADJ201" s="394"/>
      <c r="ADK201" s="394"/>
      <c r="ADL201" s="394"/>
      <c r="ADM201" s="394"/>
      <c r="ADN201" s="394"/>
      <c r="ADO201" s="394"/>
      <c r="ADP201" s="394"/>
      <c r="ADQ201" s="394"/>
      <c r="ADR201" s="394"/>
      <c r="ADS201" s="394"/>
      <c r="ADT201" s="394"/>
      <c r="ADU201" s="394"/>
      <c r="ADV201" s="394"/>
      <c r="ADW201" s="394"/>
      <c r="ADX201" s="394"/>
      <c r="ADY201" s="394"/>
      <c r="ADZ201" s="394"/>
      <c r="AEA201" s="394"/>
      <c r="AEB201" s="394"/>
      <c r="AEC201" s="394"/>
      <c r="AED201" s="394"/>
      <c r="AEE201" s="394"/>
      <c r="AEF201" s="394"/>
      <c r="AEG201" s="394"/>
      <c r="AEH201" s="394"/>
      <c r="AEI201" s="394"/>
      <c r="AEJ201" s="394"/>
      <c r="AEK201" s="394"/>
      <c r="AEL201" s="394"/>
      <c r="AEM201" s="394"/>
      <c r="AEN201" s="394"/>
      <c r="AEO201" s="394"/>
      <c r="AEP201" s="394"/>
      <c r="AEQ201" s="394"/>
      <c r="AER201" s="394"/>
      <c r="AES201" s="394"/>
      <c r="AET201" s="394"/>
      <c r="AEU201" s="394"/>
      <c r="AEV201" s="394"/>
      <c r="AEW201" s="394"/>
      <c r="AEX201" s="394"/>
      <c r="AEY201" s="394"/>
      <c r="AEZ201" s="394"/>
      <c r="AFA201" s="394"/>
      <c r="AFB201" s="394"/>
      <c r="AFC201" s="394"/>
      <c r="AFD201" s="394"/>
      <c r="AFE201" s="394"/>
      <c r="AFF201" s="394"/>
      <c r="AFG201" s="394"/>
      <c r="AFH201" s="394"/>
      <c r="AFI201" s="394"/>
      <c r="AFJ201" s="394"/>
      <c r="AFK201" s="394"/>
      <c r="AFL201" s="394"/>
      <c r="AFM201" s="394"/>
      <c r="AFN201" s="394"/>
      <c r="AFO201" s="394"/>
      <c r="AFP201" s="394"/>
      <c r="AFQ201" s="394"/>
      <c r="AFR201" s="394"/>
      <c r="AFS201" s="394"/>
      <c r="AFT201" s="394"/>
      <c r="AFU201" s="394"/>
      <c r="AFV201" s="394"/>
      <c r="AFW201" s="394"/>
      <c r="AFX201" s="394"/>
      <c r="AFY201" s="394"/>
      <c r="AFZ201" s="394"/>
      <c r="AGA201" s="394"/>
      <c r="AGB201" s="394"/>
      <c r="AGC201" s="394"/>
      <c r="AGD201" s="394"/>
      <c r="AGE201" s="394"/>
      <c r="AGF201" s="394"/>
      <c r="AGG201" s="394"/>
      <c r="AGH201" s="394"/>
      <c r="AGI201" s="394"/>
      <c r="AGJ201" s="394"/>
      <c r="AGK201" s="394"/>
      <c r="AGL201" s="394"/>
      <c r="AGM201" s="394"/>
      <c r="AGN201" s="394"/>
      <c r="AGO201" s="394"/>
      <c r="AGP201" s="394"/>
      <c r="AGQ201" s="394"/>
      <c r="AGR201" s="394"/>
      <c r="AGS201" s="394"/>
      <c r="AGT201" s="394"/>
      <c r="AGU201" s="394"/>
      <c r="AGV201" s="394"/>
      <c r="AGW201" s="394"/>
      <c r="AGX201" s="394"/>
      <c r="AGY201" s="394"/>
      <c r="AGZ201" s="394"/>
      <c r="AHA201" s="394"/>
      <c r="AHB201" s="394"/>
      <c r="AHC201" s="394"/>
      <c r="AHD201" s="394"/>
      <c r="AHE201" s="394"/>
      <c r="AHF201" s="394"/>
      <c r="AHG201" s="394"/>
      <c r="AHH201" s="394"/>
      <c r="AHI201" s="394"/>
      <c r="AHJ201" s="394"/>
      <c r="AHK201" s="394"/>
      <c r="AHL201" s="394"/>
      <c r="AHM201" s="394"/>
      <c r="AHN201" s="394"/>
      <c r="AHO201" s="394"/>
      <c r="AHP201" s="394"/>
      <c r="AHQ201" s="394"/>
      <c r="AHR201" s="394"/>
      <c r="AHS201" s="394"/>
      <c r="AHT201" s="394"/>
      <c r="AHU201" s="394"/>
      <c r="AHV201" s="394"/>
      <c r="AHW201" s="394"/>
      <c r="AHX201" s="394"/>
      <c r="AHY201" s="394"/>
      <c r="AHZ201" s="394"/>
      <c r="AIA201" s="394"/>
      <c r="AIB201" s="394"/>
      <c r="AIC201" s="394"/>
      <c r="AID201" s="394"/>
      <c r="AIE201" s="394"/>
      <c r="AIF201" s="394"/>
      <c r="AIG201" s="394"/>
      <c r="AIH201" s="394"/>
      <c r="AII201" s="394"/>
      <c r="AIJ201" s="394"/>
      <c r="AIK201" s="394"/>
      <c r="AIL201" s="394"/>
      <c r="AIM201" s="394"/>
      <c r="AIN201" s="394"/>
      <c r="AIO201" s="394"/>
      <c r="AIP201" s="394"/>
      <c r="AIQ201" s="394"/>
      <c r="AIR201" s="394"/>
      <c r="AIS201" s="394"/>
      <c r="AIT201" s="394"/>
      <c r="AIU201" s="394"/>
      <c r="AIV201" s="394"/>
      <c r="AIW201" s="394"/>
      <c r="AIX201" s="394"/>
      <c r="AIY201" s="394"/>
      <c r="AIZ201" s="394"/>
      <c r="AJA201" s="394"/>
      <c r="AJB201" s="394"/>
      <c r="AJC201" s="394"/>
      <c r="AJD201" s="394"/>
      <c r="AJE201" s="394"/>
      <c r="AJF201" s="394"/>
      <c r="AJG201" s="394"/>
      <c r="AJH201" s="394"/>
      <c r="AJI201" s="394"/>
      <c r="AJJ201" s="394"/>
      <c r="AJK201" s="394"/>
      <c r="AJL201" s="394"/>
      <c r="AJM201" s="394"/>
      <c r="AJN201" s="394"/>
      <c r="AJO201" s="394"/>
      <c r="AJP201" s="394"/>
      <c r="AJQ201" s="394"/>
      <c r="AJR201" s="394"/>
      <c r="AJS201" s="394"/>
      <c r="AJT201" s="394"/>
      <c r="AJU201" s="394"/>
      <c r="AJV201" s="394"/>
      <c r="AJW201" s="394"/>
      <c r="AJX201" s="394"/>
      <c r="AJY201" s="394"/>
      <c r="AJZ201" s="394"/>
      <c r="AKA201" s="394"/>
      <c r="AKB201" s="394"/>
      <c r="AKC201" s="394"/>
      <c r="AKD201" s="394"/>
      <c r="AKE201" s="394"/>
      <c r="AKF201" s="394"/>
      <c r="AKG201" s="394"/>
      <c r="AKH201" s="394"/>
      <c r="AKI201" s="394"/>
      <c r="AKJ201" s="394"/>
      <c r="AKK201" s="394"/>
      <c r="AKL201" s="394"/>
      <c r="AKM201" s="394"/>
      <c r="AKN201" s="394"/>
      <c r="AKO201" s="394"/>
      <c r="AKP201" s="394"/>
      <c r="AKQ201" s="394"/>
      <c r="AKR201" s="394"/>
      <c r="AKS201" s="394"/>
      <c r="AKT201" s="394"/>
      <c r="AKU201" s="394"/>
      <c r="AKV201" s="394"/>
      <c r="AKW201" s="394"/>
      <c r="AKX201" s="394"/>
      <c r="AKY201" s="394"/>
      <c r="AKZ201" s="394"/>
      <c r="ALA201" s="394"/>
      <c r="ALB201" s="394"/>
      <c r="ALC201" s="394"/>
      <c r="ALD201" s="394"/>
      <c r="ALE201" s="394"/>
      <c r="ALF201" s="394"/>
      <c r="ALG201" s="394"/>
      <c r="ALH201" s="394"/>
      <c r="ALI201" s="394"/>
      <c r="ALJ201" s="394"/>
      <c r="ALK201" s="394"/>
      <c r="ALL201" s="394"/>
      <c r="ALM201" s="394"/>
      <c r="ALN201" s="394"/>
      <c r="ALO201" s="394"/>
      <c r="ALP201" s="394"/>
      <c r="ALQ201" s="394"/>
      <c r="ALR201" s="394"/>
      <c r="ALS201" s="394"/>
      <c r="ALT201" s="394"/>
      <c r="ALU201" s="394"/>
      <c r="ALV201" s="394"/>
      <c r="ALW201" s="394"/>
      <c r="ALX201" s="394"/>
      <c r="ALY201" s="394"/>
      <c r="ALZ201" s="394"/>
      <c r="AMA201" s="394"/>
      <c r="AMB201" s="394"/>
      <c r="AMC201" s="394"/>
      <c r="AMD201" s="394"/>
      <c r="AME201" s="394"/>
      <c r="AMF201" s="394"/>
      <c r="AMG201" s="394"/>
      <c r="AMH201" s="394"/>
      <c r="AMI201" s="394"/>
      <c r="AMJ201" s="394"/>
      <c r="AMK201" s="394"/>
      <c r="AML201" s="394"/>
      <c r="AMM201" s="394"/>
      <c r="AMN201" s="394"/>
      <c r="AMO201" s="394"/>
      <c r="AMP201" s="394"/>
      <c r="AMQ201" s="394"/>
      <c r="AMR201" s="394"/>
      <c r="AMS201" s="394"/>
      <c r="AMT201" s="394"/>
      <c r="AMU201" s="394"/>
      <c r="AMV201" s="394"/>
      <c r="AMW201" s="394"/>
      <c r="AMX201" s="394"/>
      <c r="AMY201" s="394"/>
      <c r="AMZ201" s="394"/>
      <c r="ANA201" s="394"/>
      <c r="ANB201" s="394"/>
      <c r="ANC201" s="394"/>
      <c r="AND201" s="394"/>
      <c r="ANE201" s="394"/>
      <c r="ANF201" s="394"/>
      <c r="ANG201" s="394"/>
      <c r="ANH201" s="394"/>
      <c r="ANI201" s="394"/>
      <c r="ANJ201" s="394"/>
      <c r="ANK201" s="394"/>
      <c r="ANL201" s="394"/>
      <c r="ANM201" s="394"/>
      <c r="ANN201" s="394"/>
      <c r="ANO201" s="394"/>
      <c r="ANP201" s="394"/>
      <c r="ANQ201" s="394"/>
      <c r="ANR201" s="394"/>
      <c r="ANS201" s="394"/>
      <c r="ANT201" s="394"/>
      <c r="ANU201" s="394"/>
      <c r="ANV201" s="394"/>
      <c r="ANW201" s="394"/>
      <c r="ANX201" s="394"/>
      <c r="ANY201" s="394"/>
      <c r="ANZ201" s="394"/>
      <c r="AOA201" s="394"/>
      <c r="AOB201" s="394"/>
      <c r="AOC201" s="394"/>
      <c r="AOD201" s="394"/>
      <c r="AOE201" s="394"/>
      <c r="AOF201" s="394"/>
      <c r="AOG201" s="394"/>
      <c r="AOH201" s="394"/>
      <c r="AOI201" s="394"/>
      <c r="AOJ201" s="394"/>
      <c r="AOK201" s="394"/>
      <c r="AOL201" s="394"/>
      <c r="AOM201" s="394"/>
      <c r="AON201" s="394"/>
      <c r="AOO201" s="394"/>
      <c r="AOP201" s="394"/>
      <c r="AOQ201" s="394"/>
      <c r="AOR201" s="394"/>
      <c r="AOS201" s="394"/>
      <c r="AOT201" s="394"/>
      <c r="AOU201" s="394"/>
      <c r="AOV201" s="394"/>
      <c r="AOW201" s="394"/>
      <c r="AOX201" s="394"/>
      <c r="AOY201" s="394"/>
      <c r="AOZ201" s="394"/>
      <c r="APA201" s="394"/>
      <c r="APB201" s="394"/>
      <c r="APC201" s="394"/>
      <c r="APD201" s="394"/>
      <c r="APE201" s="394"/>
      <c r="APF201" s="394"/>
      <c r="APG201" s="394"/>
      <c r="APH201" s="394"/>
      <c r="API201" s="394"/>
      <c r="APJ201" s="394"/>
      <c r="APK201" s="394"/>
      <c r="APL201" s="394"/>
      <c r="APM201" s="394"/>
      <c r="APN201" s="394"/>
      <c r="APO201" s="394"/>
      <c r="APP201" s="394"/>
      <c r="APQ201" s="394"/>
      <c r="APR201" s="394"/>
      <c r="APS201" s="394"/>
      <c r="APT201" s="394"/>
      <c r="APU201" s="394"/>
      <c r="APV201" s="394"/>
      <c r="APW201" s="394"/>
      <c r="APX201" s="394"/>
      <c r="APY201" s="394"/>
      <c r="APZ201" s="394"/>
      <c r="AQA201" s="394"/>
      <c r="AQB201" s="394"/>
      <c r="AQC201" s="394"/>
      <c r="AQD201" s="394"/>
      <c r="AQE201" s="394"/>
      <c r="AQF201" s="394"/>
      <c r="AQG201" s="394"/>
      <c r="AQH201" s="394"/>
      <c r="AQI201" s="394"/>
      <c r="AQJ201" s="394"/>
      <c r="AQK201" s="394"/>
      <c r="AQL201" s="394"/>
      <c r="AQM201" s="394"/>
      <c r="AQN201" s="394"/>
      <c r="AQO201" s="394"/>
      <c r="AQP201" s="394"/>
      <c r="AQQ201" s="394"/>
      <c r="AQR201" s="394"/>
      <c r="AQS201" s="394"/>
      <c r="AQT201" s="394"/>
      <c r="AQU201" s="394"/>
      <c r="AQV201" s="394"/>
      <c r="AQW201" s="394"/>
      <c r="AQX201" s="394"/>
      <c r="AQY201" s="394"/>
      <c r="AQZ201" s="394"/>
      <c r="ARA201" s="394"/>
      <c r="ARB201" s="394"/>
      <c r="ARC201" s="394"/>
      <c r="ARD201" s="394"/>
      <c r="ARE201" s="394"/>
      <c r="ARF201" s="394"/>
      <c r="ARG201" s="394"/>
      <c r="ARH201" s="394"/>
      <c r="ARI201" s="394"/>
      <c r="ARJ201" s="394"/>
      <c r="ARK201" s="394"/>
      <c r="ARL201" s="394"/>
      <c r="ARM201" s="394"/>
      <c r="ARN201" s="394"/>
      <c r="ARO201" s="394"/>
      <c r="ARP201" s="394"/>
      <c r="ARQ201" s="394"/>
      <c r="ARR201" s="394"/>
      <c r="ARS201" s="394"/>
      <c r="ART201" s="394"/>
      <c r="ARU201" s="394"/>
      <c r="ARV201" s="394"/>
      <c r="ARW201" s="394"/>
      <c r="ARX201" s="394"/>
      <c r="ARY201" s="394"/>
      <c r="ARZ201" s="394"/>
      <c r="ASA201" s="394"/>
      <c r="ASB201" s="394"/>
      <c r="ASC201" s="394"/>
      <c r="ASD201" s="394"/>
      <c r="ASE201" s="394"/>
      <c r="ASF201" s="394"/>
      <c r="ASG201" s="394"/>
      <c r="ASH201" s="394"/>
      <c r="ASI201" s="394"/>
      <c r="ASJ201" s="394"/>
      <c r="ASK201" s="394"/>
      <c r="ASL201" s="394"/>
      <c r="ASM201" s="394"/>
      <c r="ASN201" s="394"/>
      <c r="ASO201" s="394"/>
      <c r="ASP201" s="394"/>
      <c r="ASQ201" s="394"/>
      <c r="ASR201" s="394"/>
      <c r="ASS201" s="394"/>
      <c r="AST201" s="394"/>
      <c r="ASU201" s="394"/>
      <c r="ASV201" s="394"/>
      <c r="ASW201" s="394"/>
      <c r="ASX201" s="394"/>
      <c r="ASY201" s="394"/>
      <c r="ASZ201" s="394"/>
      <c r="ATA201" s="394"/>
      <c r="ATB201" s="394"/>
      <c r="ATC201" s="394"/>
      <c r="ATD201" s="394"/>
      <c r="ATE201" s="394"/>
      <c r="ATF201" s="394"/>
      <c r="ATG201" s="394"/>
      <c r="ATH201" s="394"/>
      <c r="ATI201" s="394"/>
      <c r="ATJ201" s="394"/>
      <c r="ATK201" s="394"/>
      <c r="ATL201" s="394"/>
      <c r="ATM201" s="394"/>
      <c r="ATN201" s="394"/>
      <c r="ATO201" s="394"/>
      <c r="ATP201" s="394"/>
      <c r="ATQ201" s="394"/>
      <c r="ATR201" s="394"/>
      <c r="ATS201" s="394"/>
      <c r="ATT201" s="394"/>
      <c r="ATU201" s="394"/>
      <c r="ATV201" s="394"/>
      <c r="ATW201" s="394"/>
      <c r="ATX201" s="394"/>
      <c r="ATY201" s="394"/>
      <c r="ATZ201" s="394"/>
      <c r="AUA201" s="394"/>
      <c r="AUB201" s="394"/>
      <c r="AUC201" s="394"/>
      <c r="AUD201" s="394"/>
      <c r="AUE201" s="394"/>
      <c r="AUF201" s="394"/>
      <c r="AUG201" s="394"/>
      <c r="AUH201" s="394"/>
      <c r="AUI201" s="394"/>
      <c r="AUJ201" s="394"/>
      <c r="AUK201" s="394"/>
      <c r="AUL201" s="394"/>
      <c r="AUM201" s="394"/>
      <c r="AUN201" s="394"/>
      <c r="AUO201" s="394"/>
      <c r="AUP201" s="394"/>
      <c r="AUQ201" s="394"/>
      <c r="AUR201" s="394"/>
      <c r="AUS201" s="394"/>
      <c r="AUT201" s="394"/>
      <c r="AUU201" s="394"/>
      <c r="AUV201" s="394"/>
      <c r="AUW201" s="394"/>
      <c r="AUX201" s="394"/>
      <c r="AUY201" s="394"/>
      <c r="AUZ201" s="394"/>
      <c r="AVA201" s="394"/>
      <c r="AVB201" s="394"/>
      <c r="AVC201" s="394"/>
      <c r="AVD201" s="394"/>
      <c r="AVE201" s="394"/>
      <c r="AVF201" s="394"/>
      <c r="AVG201" s="394"/>
      <c r="AVH201" s="394"/>
      <c r="AVI201" s="394"/>
      <c r="AVJ201" s="394"/>
      <c r="AVK201" s="394"/>
      <c r="AVL201" s="394"/>
      <c r="AVM201" s="394"/>
      <c r="AVN201" s="394"/>
      <c r="AVO201" s="394"/>
      <c r="AVP201" s="394"/>
      <c r="AVQ201" s="394"/>
      <c r="AVR201" s="394"/>
      <c r="AVS201" s="394"/>
      <c r="AVT201" s="394"/>
      <c r="AVU201" s="394"/>
      <c r="AVV201" s="394"/>
      <c r="AVW201" s="394"/>
      <c r="AVX201" s="394"/>
      <c r="AVY201" s="394"/>
      <c r="AVZ201" s="394"/>
      <c r="AWA201" s="394"/>
      <c r="AWB201" s="394"/>
      <c r="AWC201" s="394"/>
      <c r="AWD201" s="394"/>
      <c r="AWE201" s="394"/>
      <c r="AWF201" s="394"/>
      <c r="AWG201" s="394"/>
      <c r="AWH201" s="394"/>
      <c r="AWI201" s="394"/>
      <c r="AWJ201" s="394"/>
      <c r="AWK201" s="394"/>
      <c r="AWL201" s="394"/>
      <c r="AWM201" s="394"/>
      <c r="AWN201" s="394"/>
      <c r="AWO201" s="394"/>
      <c r="AWP201" s="394"/>
      <c r="AWQ201" s="394"/>
      <c r="AWR201" s="394"/>
      <c r="AWS201" s="394"/>
      <c r="AWT201" s="394"/>
      <c r="AWU201" s="394"/>
      <c r="AWV201" s="394"/>
      <c r="AWW201" s="394"/>
      <c r="AWX201" s="394"/>
      <c r="AWY201" s="394"/>
      <c r="AWZ201" s="394"/>
      <c r="AXA201" s="394"/>
      <c r="AXB201" s="394"/>
      <c r="AXC201" s="394"/>
      <c r="AXD201" s="394"/>
      <c r="AXE201" s="394"/>
      <c r="AXF201" s="394"/>
      <c r="AXG201" s="394"/>
      <c r="AXH201" s="394"/>
      <c r="AXI201" s="394"/>
      <c r="AXJ201" s="394"/>
      <c r="AXK201" s="394"/>
      <c r="AXL201" s="394"/>
      <c r="AXM201" s="394"/>
      <c r="AXN201" s="394"/>
      <c r="AXO201" s="394"/>
      <c r="AXP201" s="394"/>
      <c r="AXQ201" s="394"/>
      <c r="AXR201" s="394"/>
      <c r="AXS201" s="394"/>
      <c r="AXT201" s="394"/>
      <c r="AXU201" s="394"/>
      <c r="AXV201" s="394"/>
      <c r="AXW201" s="394"/>
      <c r="AXX201" s="394"/>
      <c r="AXY201" s="394"/>
      <c r="AXZ201" s="394"/>
      <c r="AYA201" s="394"/>
      <c r="AYB201" s="394"/>
      <c r="AYC201" s="394"/>
      <c r="AYD201" s="394"/>
      <c r="AYE201" s="394"/>
      <c r="AYF201" s="394"/>
      <c r="AYG201" s="394"/>
      <c r="AYH201" s="394"/>
      <c r="AYI201" s="394"/>
      <c r="AYJ201" s="394"/>
      <c r="AYK201" s="394"/>
      <c r="AYL201" s="394"/>
      <c r="AYM201" s="394"/>
      <c r="AYN201" s="394"/>
      <c r="AYO201" s="394"/>
      <c r="AYP201" s="394"/>
      <c r="AYQ201" s="394"/>
      <c r="AYR201" s="394"/>
      <c r="AYS201" s="394"/>
      <c r="AYT201" s="394"/>
      <c r="AYU201" s="394"/>
      <c r="AYV201" s="394"/>
      <c r="AYW201" s="394"/>
      <c r="AYX201" s="394"/>
      <c r="AYY201" s="394"/>
      <c r="AYZ201" s="394"/>
      <c r="AZA201" s="394"/>
      <c r="AZB201" s="394"/>
      <c r="AZC201" s="394"/>
      <c r="AZD201" s="394"/>
      <c r="AZE201" s="394"/>
      <c r="AZF201" s="394"/>
      <c r="AZG201" s="394"/>
      <c r="AZH201" s="394"/>
      <c r="AZI201" s="394"/>
      <c r="AZJ201" s="394"/>
      <c r="AZK201" s="394"/>
      <c r="AZL201" s="394"/>
      <c r="AZM201" s="394"/>
      <c r="AZN201" s="394"/>
      <c r="AZO201" s="394"/>
      <c r="AZP201" s="394"/>
      <c r="AZQ201" s="394"/>
      <c r="AZR201" s="394"/>
      <c r="AZS201" s="394"/>
      <c r="AZT201" s="394"/>
      <c r="AZU201" s="394"/>
      <c r="AZV201" s="394"/>
      <c r="AZW201" s="394"/>
      <c r="AZX201" s="394"/>
      <c r="AZY201" s="394"/>
      <c r="AZZ201" s="394"/>
      <c r="BAA201" s="394"/>
      <c r="BAB201" s="394"/>
      <c r="BAC201" s="394"/>
      <c r="BAD201" s="394"/>
      <c r="BAE201" s="394"/>
      <c r="BAF201" s="394"/>
      <c r="BAG201" s="394"/>
      <c r="BAH201" s="394"/>
      <c r="BAI201" s="394"/>
      <c r="BAJ201" s="394"/>
      <c r="BAK201" s="394"/>
      <c r="BAL201" s="394"/>
      <c r="BAM201" s="394"/>
      <c r="BAN201" s="394"/>
      <c r="BAO201" s="394"/>
      <c r="BAP201" s="394"/>
      <c r="BAQ201" s="394"/>
      <c r="BAR201" s="394"/>
      <c r="BAS201" s="394"/>
      <c r="BAT201" s="394"/>
      <c r="BAU201" s="394"/>
      <c r="BAV201" s="394"/>
      <c r="BAW201" s="394"/>
      <c r="BAX201" s="394"/>
      <c r="BAY201" s="394"/>
      <c r="BAZ201" s="394"/>
      <c r="BBA201" s="394"/>
      <c r="BBB201" s="394"/>
      <c r="BBC201" s="394"/>
      <c r="BBD201" s="394"/>
      <c r="BBE201" s="394"/>
      <c r="BBF201" s="394"/>
      <c r="BBG201" s="394"/>
      <c r="BBH201" s="394"/>
      <c r="BBI201" s="394"/>
      <c r="BBJ201" s="394"/>
      <c r="BBK201" s="394"/>
      <c r="BBL201" s="394"/>
      <c r="BBM201" s="394"/>
      <c r="BBN201" s="394"/>
      <c r="BBO201" s="394"/>
      <c r="BBP201" s="394"/>
      <c r="BBQ201" s="394"/>
      <c r="BBR201" s="394"/>
      <c r="BBS201" s="394"/>
      <c r="BBT201" s="394"/>
      <c r="BBU201" s="394"/>
      <c r="BBV201" s="394"/>
      <c r="BBW201" s="394"/>
      <c r="BBX201" s="394"/>
      <c r="BBY201" s="394"/>
      <c r="BBZ201" s="394"/>
      <c r="BCA201" s="394"/>
      <c r="BCB201" s="394"/>
      <c r="BCC201" s="394"/>
      <c r="BCD201" s="394"/>
      <c r="BCE201" s="394"/>
      <c r="BCF201" s="394"/>
      <c r="BCG201" s="394"/>
      <c r="BCH201" s="394"/>
      <c r="BCI201" s="394"/>
      <c r="BCJ201" s="394"/>
      <c r="BCK201" s="394"/>
      <c r="BCL201" s="394"/>
      <c r="BCM201" s="394"/>
      <c r="BCN201" s="394"/>
      <c r="BCO201" s="394"/>
      <c r="BCP201" s="394"/>
      <c r="BCQ201" s="394"/>
      <c r="BCR201" s="394"/>
      <c r="BCS201" s="394"/>
      <c r="BCT201" s="394"/>
      <c r="BCU201" s="394"/>
      <c r="BCV201" s="394"/>
      <c r="BCW201" s="394"/>
      <c r="BCX201" s="394"/>
      <c r="BCY201" s="394"/>
      <c r="BCZ201" s="394"/>
      <c r="BDA201" s="394"/>
      <c r="BDB201" s="394"/>
      <c r="BDC201" s="394"/>
      <c r="BDD201" s="394"/>
      <c r="BDE201" s="394"/>
      <c r="BDF201" s="394"/>
      <c r="BDG201" s="394"/>
      <c r="BDH201" s="394"/>
      <c r="BDI201" s="394"/>
      <c r="BDJ201" s="394"/>
      <c r="BDK201" s="394"/>
      <c r="BDL201" s="394"/>
      <c r="BDM201" s="394"/>
      <c r="BDN201" s="394"/>
      <c r="BDO201" s="394"/>
      <c r="BDP201" s="394"/>
      <c r="BDQ201" s="394"/>
      <c r="BDR201" s="394"/>
      <c r="BDS201" s="394"/>
      <c r="BDT201" s="394"/>
      <c r="BDU201" s="394"/>
      <c r="BDV201" s="394"/>
      <c r="BDW201" s="394"/>
      <c r="BDX201" s="394"/>
      <c r="BDY201" s="394"/>
      <c r="BDZ201" s="394"/>
      <c r="BEA201" s="394"/>
      <c r="BEB201" s="394"/>
      <c r="BEC201" s="394"/>
      <c r="BED201" s="394"/>
      <c r="BEE201" s="394"/>
      <c r="BEF201" s="394"/>
      <c r="BEG201" s="394"/>
      <c r="BEH201" s="394"/>
      <c r="BEI201" s="394"/>
      <c r="BEJ201" s="394"/>
      <c r="BEK201" s="394"/>
      <c r="BEL201" s="394"/>
      <c r="BEM201" s="394"/>
      <c r="BEN201" s="394"/>
      <c r="BEO201" s="394"/>
      <c r="BEP201" s="394"/>
      <c r="BEQ201" s="394"/>
      <c r="BER201" s="394"/>
      <c r="BES201" s="394"/>
      <c r="BET201" s="394"/>
      <c r="BEU201" s="394"/>
      <c r="BEV201" s="394"/>
      <c r="BEW201" s="394"/>
      <c r="BEX201" s="394"/>
      <c r="BEY201" s="394"/>
      <c r="BEZ201" s="394"/>
      <c r="BFA201" s="394"/>
      <c r="BFB201" s="394"/>
      <c r="BFC201" s="394"/>
      <c r="BFD201" s="394"/>
      <c r="BFE201" s="394"/>
      <c r="BFF201" s="394"/>
      <c r="BFG201" s="394"/>
      <c r="BFH201" s="394"/>
      <c r="BFI201" s="394"/>
      <c r="BFJ201" s="394"/>
      <c r="BFK201" s="394"/>
      <c r="BFL201" s="394"/>
      <c r="BFM201" s="394"/>
      <c r="BFN201" s="394"/>
      <c r="BFO201" s="394"/>
      <c r="BFP201" s="394"/>
      <c r="BFQ201" s="394"/>
      <c r="BFR201" s="394"/>
      <c r="BFS201" s="394"/>
      <c r="BFT201" s="394"/>
      <c r="BFU201" s="394"/>
      <c r="BFV201" s="394"/>
      <c r="BFW201" s="394"/>
      <c r="BFX201" s="394"/>
      <c r="BFY201" s="394"/>
      <c r="BFZ201" s="394"/>
      <c r="BGA201" s="394"/>
      <c r="BGB201" s="394"/>
      <c r="BGC201" s="394"/>
      <c r="BGD201" s="394"/>
      <c r="BGE201" s="394"/>
      <c r="BGF201" s="394"/>
      <c r="BGG201" s="394"/>
      <c r="BGH201" s="394"/>
      <c r="BGI201" s="394"/>
      <c r="BGJ201" s="394"/>
      <c r="BGK201" s="394"/>
      <c r="BGL201" s="394"/>
      <c r="BGM201" s="394"/>
      <c r="BGN201" s="394"/>
      <c r="BGO201" s="394"/>
      <c r="BGP201" s="394"/>
      <c r="BGQ201" s="394"/>
      <c r="BGR201" s="394"/>
      <c r="BGS201" s="394"/>
      <c r="BGT201" s="394"/>
      <c r="BGU201" s="394"/>
      <c r="BGV201" s="394"/>
      <c r="BGW201" s="394"/>
      <c r="BGX201" s="394"/>
      <c r="BGY201" s="394"/>
      <c r="BGZ201" s="394"/>
      <c r="BHA201" s="394"/>
      <c r="BHB201" s="394"/>
      <c r="BHC201" s="394"/>
      <c r="BHD201" s="394"/>
      <c r="BHE201" s="394"/>
      <c r="BHF201" s="394"/>
      <c r="BHG201" s="394"/>
      <c r="BHH201" s="394"/>
      <c r="BHI201" s="394"/>
      <c r="BHJ201" s="394"/>
      <c r="BHK201" s="394"/>
      <c r="BHL201" s="394"/>
      <c r="BHM201" s="394"/>
      <c r="BHN201" s="394"/>
      <c r="BHO201" s="394"/>
      <c r="BHP201" s="394"/>
      <c r="BHQ201" s="394"/>
      <c r="BHR201" s="394"/>
      <c r="BHS201" s="394"/>
      <c r="BHT201" s="394"/>
      <c r="BHU201" s="394"/>
      <c r="BHV201" s="394"/>
      <c r="BHW201" s="394"/>
      <c r="BHX201" s="394"/>
      <c r="BHY201" s="394"/>
      <c r="BHZ201" s="394"/>
      <c r="BIA201" s="394"/>
      <c r="BIB201" s="394"/>
      <c r="BIC201" s="394"/>
      <c r="BID201" s="394"/>
      <c r="BIE201" s="394"/>
      <c r="BIF201" s="394"/>
      <c r="BIG201" s="394"/>
      <c r="BIH201" s="394"/>
      <c r="BII201" s="394"/>
      <c r="BIJ201" s="394"/>
      <c r="BIK201" s="394"/>
      <c r="BIL201" s="394"/>
      <c r="BIM201" s="394"/>
      <c r="BIN201" s="394"/>
      <c r="BIO201" s="394"/>
      <c r="BIP201" s="394"/>
      <c r="BIQ201" s="394"/>
      <c r="BIR201" s="394"/>
      <c r="BIS201" s="394"/>
      <c r="BIT201" s="394"/>
      <c r="BIU201" s="394"/>
      <c r="BIV201" s="394"/>
      <c r="BIW201" s="394"/>
      <c r="BIX201" s="394"/>
      <c r="BIY201" s="394"/>
      <c r="BIZ201" s="394"/>
      <c r="BJA201" s="394"/>
      <c r="BJB201" s="394"/>
      <c r="BJC201" s="394"/>
      <c r="BJD201" s="394"/>
      <c r="BJE201" s="394"/>
      <c r="BJF201" s="394"/>
      <c r="BJG201" s="394"/>
      <c r="BJH201" s="394"/>
      <c r="BJI201" s="394"/>
      <c r="BJJ201" s="394"/>
      <c r="BJK201" s="394"/>
      <c r="BJL201" s="394"/>
      <c r="BJM201" s="394"/>
      <c r="BJN201" s="394"/>
      <c r="BJO201" s="394"/>
      <c r="BJP201" s="394"/>
      <c r="BJQ201" s="394"/>
      <c r="BJR201" s="394"/>
      <c r="BJS201" s="394"/>
      <c r="BJT201" s="394"/>
      <c r="BJU201" s="394"/>
      <c r="BJV201" s="394"/>
      <c r="BJW201" s="394"/>
      <c r="BJX201" s="394"/>
      <c r="BJY201" s="394"/>
      <c r="BJZ201" s="394"/>
      <c r="BKA201" s="394"/>
      <c r="BKB201" s="394"/>
      <c r="BKC201" s="394"/>
      <c r="BKD201" s="394"/>
      <c r="BKE201" s="394"/>
      <c r="BKF201" s="394"/>
      <c r="BKG201" s="394"/>
      <c r="BKH201" s="394"/>
      <c r="BKI201" s="394"/>
      <c r="BKJ201" s="394"/>
      <c r="BKK201" s="394"/>
      <c r="BKL201" s="394"/>
      <c r="BKM201" s="394"/>
      <c r="BKN201" s="394"/>
      <c r="BKO201" s="394"/>
      <c r="BKP201" s="394"/>
      <c r="BKQ201" s="394"/>
      <c r="BKR201" s="394"/>
      <c r="BKS201" s="394"/>
      <c r="BKT201" s="394"/>
      <c r="BKU201" s="394"/>
      <c r="BKV201" s="394"/>
      <c r="BKW201" s="394"/>
      <c r="BKX201" s="394"/>
      <c r="BKY201" s="394"/>
      <c r="BKZ201" s="394"/>
      <c r="BLA201" s="394"/>
      <c r="BLB201" s="394"/>
      <c r="BLC201" s="394"/>
      <c r="BLD201" s="394"/>
      <c r="BLE201" s="394"/>
      <c r="BLF201" s="394"/>
      <c r="BLG201" s="394"/>
      <c r="BLH201" s="394"/>
      <c r="BLI201" s="394"/>
      <c r="BLJ201" s="394"/>
      <c r="BLK201" s="394"/>
      <c r="BLL201" s="394"/>
      <c r="BLM201" s="394"/>
      <c r="BLN201" s="394"/>
      <c r="BLO201" s="394"/>
      <c r="BLP201" s="394"/>
      <c r="BLQ201" s="394"/>
      <c r="BLR201" s="394"/>
      <c r="BLS201" s="394"/>
      <c r="BLT201" s="394"/>
      <c r="BLU201" s="394"/>
      <c r="BLV201" s="394"/>
      <c r="BLW201" s="394"/>
      <c r="BLX201" s="394"/>
      <c r="BLY201" s="394"/>
      <c r="BLZ201" s="394"/>
      <c r="BMA201" s="394"/>
      <c r="BMB201" s="394"/>
      <c r="BMC201" s="394"/>
      <c r="BMD201" s="394"/>
      <c r="BME201" s="394"/>
      <c r="BMF201" s="394"/>
      <c r="BMG201" s="394"/>
      <c r="BMH201" s="394"/>
      <c r="BMI201" s="394"/>
      <c r="BMJ201" s="394"/>
      <c r="BMK201" s="394"/>
      <c r="BML201" s="394"/>
      <c r="BMM201" s="394"/>
      <c r="BMN201" s="394"/>
      <c r="BMO201" s="394"/>
      <c r="BMP201" s="394"/>
      <c r="BMQ201" s="394"/>
      <c r="BMR201" s="394"/>
      <c r="BMS201" s="394"/>
      <c r="BMT201" s="394"/>
      <c r="BMU201" s="394"/>
      <c r="BMV201" s="394"/>
      <c r="BMW201" s="394"/>
      <c r="BMX201" s="394"/>
      <c r="BMY201" s="394"/>
      <c r="BMZ201" s="394"/>
      <c r="BNA201" s="394"/>
      <c r="BNB201" s="394"/>
      <c r="BNC201" s="394"/>
      <c r="BND201" s="394"/>
      <c r="BNE201" s="394"/>
      <c r="BNF201" s="394"/>
      <c r="BNG201" s="394"/>
      <c r="BNH201" s="394"/>
      <c r="BNI201" s="394"/>
      <c r="BNJ201" s="394"/>
      <c r="BNK201" s="394"/>
      <c r="BNL201" s="394"/>
      <c r="BNM201" s="394"/>
      <c r="BNN201" s="394"/>
      <c r="BNO201" s="394"/>
      <c r="BNP201" s="394"/>
      <c r="BNQ201" s="394"/>
      <c r="BNR201" s="394"/>
      <c r="BNS201" s="394"/>
      <c r="BNT201" s="394"/>
      <c r="BNU201" s="394"/>
      <c r="BNV201" s="394"/>
      <c r="BNW201" s="394"/>
      <c r="BNX201" s="394"/>
      <c r="BNY201" s="394"/>
      <c r="BNZ201" s="394"/>
      <c r="BOA201" s="394"/>
      <c r="BOB201" s="394"/>
      <c r="BOC201" s="394"/>
      <c r="BOD201" s="394"/>
      <c r="BOE201" s="394"/>
      <c r="BOF201" s="394"/>
      <c r="BOG201" s="394"/>
      <c r="BOH201" s="394"/>
      <c r="BOI201" s="394"/>
      <c r="BOJ201" s="394"/>
      <c r="BOK201" s="394"/>
      <c r="BOL201" s="394"/>
      <c r="BOM201" s="394"/>
      <c r="BON201" s="394"/>
      <c r="BOO201" s="394"/>
      <c r="BOP201" s="394"/>
      <c r="BOQ201" s="394"/>
      <c r="BOR201" s="394"/>
      <c r="BOS201" s="394"/>
      <c r="BOT201" s="394"/>
      <c r="BOU201" s="394"/>
      <c r="BOV201" s="394"/>
      <c r="BOW201" s="394"/>
      <c r="BOX201" s="394"/>
      <c r="BOY201" s="394"/>
      <c r="BOZ201" s="394"/>
      <c r="BPA201" s="394"/>
      <c r="BPB201" s="394"/>
      <c r="BPC201" s="394"/>
      <c r="BPD201" s="394"/>
      <c r="BPE201" s="394"/>
      <c r="BPF201" s="394"/>
      <c r="BPG201" s="394"/>
      <c r="BPH201" s="394"/>
      <c r="BPI201" s="394"/>
      <c r="BPJ201" s="394"/>
      <c r="BPK201" s="394"/>
      <c r="BPL201" s="394"/>
      <c r="BPM201" s="394"/>
      <c r="BPN201" s="394"/>
      <c r="BPO201" s="394"/>
      <c r="BPP201" s="394"/>
      <c r="BPQ201" s="394"/>
      <c r="BPR201" s="394"/>
      <c r="BPS201" s="394"/>
      <c r="BPT201" s="394"/>
      <c r="BPU201" s="394"/>
      <c r="BPV201" s="394"/>
      <c r="BPW201" s="394"/>
      <c r="BPX201" s="394"/>
      <c r="BPY201" s="394"/>
      <c r="BPZ201" s="394"/>
      <c r="BQA201" s="394"/>
      <c r="BQB201" s="394"/>
      <c r="BQC201" s="394"/>
      <c r="BQD201" s="394"/>
      <c r="BQE201" s="394"/>
      <c r="BQF201" s="394"/>
      <c r="BQG201" s="394"/>
      <c r="BQH201" s="394"/>
      <c r="BQI201" s="394"/>
      <c r="BQJ201" s="394"/>
      <c r="BQK201" s="394"/>
      <c r="BQL201" s="394"/>
      <c r="BQM201" s="394"/>
      <c r="BQN201" s="394"/>
      <c r="BQO201" s="394"/>
      <c r="BQP201" s="394"/>
      <c r="BQQ201" s="394"/>
      <c r="BQR201" s="394"/>
      <c r="BQS201" s="394"/>
      <c r="BQT201" s="394"/>
      <c r="BQU201" s="394"/>
      <c r="BQV201" s="394"/>
      <c r="BQW201" s="394"/>
      <c r="BQX201" s="394"/>
      <c r="BQY201" s="394"/>
      <c r="BQZ201" s="394"/>
      <c r="BRA201" s="394"/>
      <c r="BRB201" s="394"/>
      <c r="BRC201" s="394"/>
      <c r="BRD201" s="394"/>
      <c r="BRE201" s="394"/>
      <c r="BRF201" s="394"/>
      <c r="BRG201" s="394"/>
      <c r="BRH201" s="394"/>
      <c r="BRI201" s="394"/>
      <c r="BRJ201" s="394"/>
      <c r="BRK201" s="394"/>
      <c r="BRL201" s="394"/>
      <c r="BRM201" s="394"/>
      <c r="BRN201" s="394"/>
      <c r="BRO201" s="394"/>
      <c r="BRP201" s="394"/>
      <c r="BRQ201" s="394"/>
      <c r="BRR201" s="394"/>
      <c r="BRS201" s="394"/>
      <c r="BRT201" s="394"/>
      <c r="BRU201" s="394"/>
      <c r="BRV201" s="394"/>
      <c r="BRW201" s="394"/>
      <c r="BRX201" s="394"/>
      <c r="BRY201" s="394"/>
      <c r="BRZ201" s="394"/>
      <c r="BSA201" s="394"/>
      <c r="BSB201" s="394"/>
      <c r="BSC201" s="394"/>
      <c r="BSD201" s="394"/>
      <c r="BSE201" s="394"/>
      <c r="BSF201" s="394"/>
      <c r="BSG201" s="394"/>
      <c r="BSH201" s="394"/>
      <c r="BSI201" s="394"/>
      <c r="BSJ201" s="394"/>
      <c r="BSK201" s="394"/>
      <c r="BSL201" s="394"/>
      <c r="BSM201" s="394"/>
      <c r="BSN201" s="394"/>
      <c r="BSO201" s="394"/>
      <c r="BSP201" s="394"/>
      <c r="BSQ201" s="394"/>
      <c r="BSR201" s="394"/>
      <c r="BSS201" s="394"/>
      <c r="BST201" s="394"/>
      <c r="BSU201" s="394"/>
      <c r="BSV201" s="394"/>
      <c r="BSW201" s="394"/>
      <c r="BSX201" s="394"/>
      <c r="BSY201" s="394"/>
      <c r="BSZ201" s="394"/>
      <c r="BTA201" s="394"/>
      <c r="BTB201" s="394"/>
      <c r="BTC201" s="394"/>
      <c r="BTD201" s="394"/>
      <c r="BTE201" s="394"/>
      <c r="BTF201" s="394"/>
      <c r="BTG201" s="394"/>
      <c r="BTH201" s="394"/>
      <c r="BTI201" s="394"/>
    </row>
    <row r="202" spans="1:1881" s="63" customFormat="1" ht="65.25" customHeight="1" x14ac:dyDescent="0.25">
      <c r="A202" s="188">
        <v>343</v>
      </c>
      <c r="B202" s="64" t="s">
        <v>63</v>
      </c>
      <c r="C202" s="159" t="s">
        <v>778</v>
      </c>
      <c r="D202" s="175" t="s">
        <v>213</v>
      </c>
      <c r="E202" s="32" t="e">
        <f>HLOOKUP($D$2,'2019 Data(H)'!$C$1:$CP$300,109,FALSE)</f>
        <v>#N/A</v>
      </c>
      <c r="F202" s="589"/>
      <c r="G202" s="581">
        <f>IF(F202&lt;0,"Error: Enter as positive.",)</f>
        <v>0</v>
      </c>
      <c r="H202" s="13"/>
      <c r="I202" s="31"/>
      <c r="J202" s="394"/>
      <c r="K202" s="394"/>
      <c r="M202" s="361"/>
      <c r="N202"/>
    </row>
    <row r="203" spans="1:1881" ht="256.5" customHeight="1" x14ac:dyDescent="0.25">
      <c r="A203" s="188">
        <v>82</v>
      </c>
      <c r="B203" s="64" t="s">
        <v>68</v>
      </c>
      <c r="C203" s="159" t="s">
        <v>591</v>
      </c>
      <c r="D203" s="697" t="s">
        <v>1223</v>
      </c>
      <c r="E203" s="32" t="e">
        <f>HLOOKUP($D$2,'2019 Data(H)'!$C$1:$CP$300,46,FALSE)</f>
        <v>#N/A</v>
      </c>
      <c r="F203" s="589"/>
      <c r="G203" s="581">
        <f>IF(F203&lt;0,"Error: Enter as positive.",)</f>
        <v>0</v>
      </c>
      <c r="H203" s="13"/>
      <c r="I203" s="15"/>
    </row>
    <row r="204" spans="1:1881" s="317" customFormat="1" ht="258" customHeight="1" x14ac:dyDescent="0.25">
      <c r="A204" s="188">
        <v>359</v>
      </c>
      <c r="B204" s="64" t="s">
        <v>63</v>
      </c>
      <c r="C204" s="159" t="s">
        <v>592</v>
      </c>
      <c r="D204" s="697" t="s">
        <v>1223</v>
      </c>
      <c r="E204" s="32" t="e">
        <f>HLOOKUP($D$2,'2019 Data(H)'!$C$1:$CP$300,120,FALSE)</f>
        <v>#N/A</v>
      </c>
      <c r="F204" s="589"/>
      <c r="G204" s="581">
        <f>IF(F204&lt;0,"Error: Enter as positive.",)</f>
        <v>0</v>
      </c>
      <c r="H204" s="13"/>
      <c r="I204" s="15"/>
      <c r="J204" s="365"/>
      <c r="K204" s="394"/>
      <c r="L204" s="359" t="str">
        <f>IF(ISBLANK(K202),"",IF(ISBLANK(K203),"",IF(K204=M204,"","Please review percentage")))</f>
        <v/>
      </c>
      <c r="M204" s="394"/>
      <c r="N204"/>
      <c r="O204" s="394"/>
      <c r="P204" s="394"/>
      <c r="Q204" s="394"/>
      <c r="R204" s="394"/>
      <c r="S204" s="394"/>
      <c r="T204" s="394"/>
      <c r="U204" s="394"/>
      <c r="V204" s="394"/>
      <c r="W204" s="394"/>
      <c r="X204" s="394"/>
      <c r="Y204" s="394"/>
      <c r="Z204" s="394"/>
      <c r="AA204" s="394"/>
      <c r="AB204" s="394"/>
      <c r="AC204" s="394"/>
      <c r="AD204" s="394"/>
      <c r="AE204" s="394"/>
      <c r="AF204" s="394"/>
      <c r="AG204" s="394"/>
      <c r="AH204" s="394"/>
      <c r="AI204" s="394"/>
      <c r="AJ204" s="394"/>
      <c r="AK204" s="394"/>
      <c r="AL204" s="394"/>
      <c r="AM204" s="394"/>
      <c r="AN204" s="394"/>
      <c r="AO204" s="394"/>
      <c r="AP204" s="394"/>
      <c r="AQ204" s="394"/>
      <c r="AR204" s="394"/>
      <c r="AS204" s="394"/>
      <c r="AT204" s="394"/>
      <c r="AU204" s="394"/>
      <c r="AV204" s="394"/>
      <c r="AW204" s="394"/>
      <c r="AX204" s="394"/>
      <c r="AY204" s="394"/>
      <c r="AZ204" s="394"/>
      <c r="BA204" s="394"/>
      <c r="BB204" s="394"/>
      <c r="BC204" s="394"/>
      <c r="BD204" s="394"/>
      <c r="BE204" s="394"/>
      <c r="BF204" s="394"/>
      <c r="BG204" s="394"/>
      <c r="BH204" s="394"/>
      <c r="BI204" s="394"/>
      <c r="BJ204" s="394"/>
      <c r="BK204" s="394"/>
      <c r="BL204" s="394"/>
      <c r="BM204" s="394"/>
      <c r="BN204" s="394"/>
      <c r="BO204" s="394"/>
      <c r="BP204" s="394"/>
      <c r="BQ204" s="394"/>
      <c r="BR204" s="394"/>
      <c r="BS204" s="394"/>
      <c r="BT204" s="394"/>
      <c r="BU204" s="394"/>
      <c r="BV204" s="394"/>
      <c r="BW204" s="394"/>
      <c r="BX204" s="394"/>
      <c r="BY204" s="394"/>
      <c r="BZ204" s="394"/>
      <c r="CA204" s="394"/>
      <c r="CB204" s="394"/>
      <c r="CC204" s="394"/>
      <c r="CD204" s="394"/>
      <c r="CE204" s="394"/>
      <c r="CF204" s="394"/>
      <c r="CG204" s="394"/>
      <c r="CH204" s="394"/>
      <c r="CI204" s="394"/>
      <c r="CJ204" s="394"/>
      <c r="CK204" s="394"/>
      <c r="CL204" s="394"/>
      <c r="CM204" s="394"/>
      <c r="CN204" s="394"/>
      <c r="CO204" s="394"/>
      <c r="CP204" s="394"/>
      <c r="CQ204" s="394"/>
      <c r="CR204" s="394"/>
      <c r="CS204" s="394"/>
      <c r="CT204" s="394"/>
      <c r="CU204" s="394"/>
      <c r="CV204" s="394"/>
      <c r="CW204" s="394"/>
      <c r="CX204" s="394"/>
      <c r="CY204" s="394"/>
      <c r="CZ204" s="394"/>
      <c r="DA204" s="394"/>
      <c r="DB204" s="394"/>
      <c r="DC204" s="394"/>
      <c r="DD204" s="394"/>
      <c r="DE204" s="394"/>
      <c r="DF204" s="394"/>
      <c r="DG204" s="394"/>
      <c r="DH204" s="394"/>
      <c r="DI204" s="394"/>
      <c r="DJ204" s="394"/>
      <c r="DK204" s="394"/>
      <c r="DL204" s="394"/>
      <c r="DM204" s="394"/>
      <c r="DN204" s="394"/>
      <c r="DO204" s="394"/>
      <c r="DP204" s="394"/>
      <c r="DQ204" s="394"/>
      <c r="DR204" s="394"/>
      <c r="DS204" s="394"/>
      <c r="DT204" s="394"/>
      <c r="DU204" s="394"/>
      <c r="DV204" s="394"/>
      <c r="DW204" s="394"/>
      <c r="DX204" s="394"/>
      <c r="DY204" s="394"/>
      <c r="DZ204" s="394"/>
      <c r="EA204" s="394"/>
      <c r="EB204" s="394"/>
      <c r="EC204" s="394"/>
      <c r="ED204" s="394"/>
      <c r="EE204" s="394"/>
      <c r="EF204" s="394"/>
      <c r="EG204" s="394"/>
      <c r="EH204" s="394"/>
      <c r="EI204" s="394"/>
      <c r="EJ204" s="394"/>
      <c r="EK204" s="394"/>
      <c r="EL204" s="394"/>
      <c r="EM204" s="394"/>
      <c r="EN204" s="394"/>
      <c r="EO204" s="394"/>
      <c r="EP204" s="394"/>
      <c r="EQ204" s="394"/>
      <c r="ER204" s="394"/>
      <c r="ES204" s="394"/>
      <c r="ET204" s="394"/>
      <c r="EU204" s="394"/>
      <c r="EV204" s="394"/>
      <c r="EW204" s="394"/>
      <c r="EX204" s="394"/>
      <c r="EY204" s="394"/>
      <c r="EZ204" s="394"/>
      <c r="FA204" s="394"/>
      <c r="FB204" s="394"/>
      <c r="FC204" s="394"/>
      <c r="FD204" s="394"/>
      <c r="FE204" s="394"/>
      <c r="FF204" s="394"/>
      <c r="FG204" s="394"/>
      <c r="FH204" s="394"/>
      <c r="FI204" s="394"/>
      <c r="FJ204" s="394"/>
      <c r="FK204" s="394"/>
      <c r="FL204" s="394"/>
      <c r="FM204" s="394"/>
      <c r="FN204" s="394"/>
      <c r="FO204" s="394"/>
      <c r="FP204" s="394"/>
      <c r="FQ204" s="394"/>
      <c r="FR204" s="394"/>
      <c r="FS204" s="394"/>
      <c r="FT204" s="394"/>
      <c r="FU204" s="394"/>
      <c r="FV204" s="394"/>
      <c r="FW204" s="394"/>
      <c r="FX204" s="394"/>
      <c r="FY204" s="394"/>
      <c r="FZ204" s="394"/>
      <c r="GA204" s="394"/>
      <c r="GB204" s="394"/>
      <c r="GC204" s="394"/>
      <c r="GD204" s="394"/>
      <c r="GE204" s="394"/>
      <c r="GF204" s="394"/>
      <c r="GG204" s="394"/>
      <c r="GH204" s="394"/>
      <c r="GI204" s="394"/>
      <c r="GJ204" s="394"/>
      <c r="GK204" s="394"/>
      <c r="GL204" s="394"/>
      <c r="GM204" s="394"/>
      <c r="GN204" s="394"/>
      <c r="GO204" s="394"/>
      <c r="GP204" s="394"/>
      <c r="GQ204" s="394"/>
      <c r="GR204" s="394"/>
      <c r="GS204" s="394"/>
      <c r="GT204" s="394"/>
      <c r="GU204" s="394"/>
      <c r="GV204" s="394"/>
      <c r="GW204" s="394"/>
      <c r="GX204" s="394"/>
      <c r="GY204" s="394"/>
      <c r="GZ204" s="394"/>
      <c r="HA204" s="394"/>
      <c r="HB204" s="394"/>
      <c r="HC204" s="394"/>
      <c r="HD204" s="394"/>
      <c r="HE204" s="394"/>
      <c r="HF204" s="394"/>
      <c r="HG204" s="394"/>
      <c r="HH204" s="394"/>
      <c r="HI204" s="394"/>
      <c r="HJ204" s="394"/>
      <c r="HK204" s="394"/>
      <c r="HL204" s="394"/>
      <c r="HM204" s="394"/>
      <c r="HN204" s="394"/>
      <c r="HO204" s="394"/>
      <c r="HP204" s="394"/>
      <c r="HQ204" s="394"/>
      <c r="HR204" s="394"/>
      <c r="HS204" s="394"/>
      <c r="HT204" s="394"/>
      <c r="HU204" s="394"/>
      <c r="HV204" s="394"/>
      <c r="HW204" s="394"/>
      <c r="HX204" s="394"/>
      <c r="HY204" s="394"/>
      <c r="HZ204" s="394"/>
      <c r="IA204" s="394"/>
      <c r="IB204" s="394"/>
      <c r="IC204" s="394"/>
      <c r="ID204" s="394"/>
      <c r="IE204" s="394"/>
      <c r="IF204" s="394"/>
      <c r="IG204" s="394"/>
      <c r="IH204" s="394"/>
      <c r="II204" s="394"/>
      <c r="IJ204" s="394"/>
      <c r="IK204" s="394"/>
      <c r="IL204" s="394"/>
      <c r="IM204" s="394"/>
      <c r="IN204" s="394"/>
      <c r="IO204" s="394"/>
      <c r="IP204" s="394"/>
      <c r="IQ204" s="394"/>
      <c r="IR204" s="394"/>
      <c r="IS204" s="394"/>
      <c r="IT204" s="394"/>
      <c r="IU204" s="394"/>
      <c r="IV204" s="394"/>
      <c r="IW204" s="394"/>
      <c r="IX204" s="394"/>
      <c r="IY204" s="394"/>
      <c r="IZ204" s="394"/>
      <c r="JA204" s="394"/>
      <c r="JB204" s="394"/>
      <c r="JC204" s="394"/>
      <c r="JD204" s="394"/>
      <c r="JE204" s="394"/>
      <c r="JF204" s="394"/>
      <c r="JG204" s="394"/>
      <c r="JH204" s="394"/>
      <c r="JI204" s="394"/>
      <c r="JJ204" s="394"/>
      <c r="JK204" s="394"/>
      <c r="JL204" s="394"/>
      <c r="JM204" s="394"/>
      <c r="JN204" s="394"/>
      <c r="JO204" s="394"/>
      <c r="JP204" s="394"/>
      <c r="JQ204" s="394"/>
      <c r="JR204" s="394"/>
      <c r="JS204" s="394"/>
      <c r="JT204" s="394"/>
      <c r="JU204" s="394"/>
      <c r="JV204" s="394"/>
      <c r="JW204" s="394"/>
      <c r="JX204" s="394"/>
      <c r="JY204" s="394"/>
      <c r="JZ204" s="394"/>
      <c r="KA204" s="394"/>
      <c r="KB204" s="394"/>
      <c r="KC204" s="394"/>
      <c r="KD204" s="394"/>
      <c r="KE204" s="394"/>
      <c r="KF204" s="394"/>
      <c r="KG204" s="394"/>
      <c r="KH204" s="394"/>
      <c r="KI204" s="394"/>
      <c r="KJ204" s="394"/>
      <c r="KK204" s="394"/>
      <c r="KL204" s="394"/>
      <c r="KM204" s="394"/>
      <c r="KN204" s="394"/>
      <c r="KO204" s="394"/>
      <c r="KP204" s="394"/>
      <c r="KQ204" s="394"/>
      <c r="KR204" s="394"/>
      <c r="KS204" s="394"/>
      <c r="KT204" s="394"/>
      <c r="KU204" s="394"/>
      <c r="KV204" s="394"/>
      <c r="KW204" s="394"/>
      <c r="KX204" s="394"/>
      <c r="KY204" s="394"/>
      <c r="KZ204" s="394"/>
      <c r="LA204" s="394"/>
      <c r="LB204" s="394"/>
      <c r="LC204" s="394"/>
      <c r="LD204" s="394"/>
      <c r="LE204" s="394"/>
      <c r="LF204" s="394"/>
      <c r="LG204" s="394"/>
      <c r="LH204" s="394"/>
      <c r="LI204" s="394"/>
      <c r="LJ204" s="394"/>
      <c r="LK204" s="394"/>
      <c r="LL204" s="394"/>
      <c r="LM204" s="394"/>
      <c r="LN204" s="394"/>
      <c r="LO204" s="394"/>
      <c r="LP204" s="394"/>
      <c r="LQ204" s="394"/>
      <c r="LR204" s="394"/>
      <c r="LS204" s="394"/>
      <c r="LT204" s="394"/>
      <c r="LU204" s="394"/>
      <c r="LV204" s="394"/>
      <c r="LW204" s="394"/>
      <c r="LX204" s="394"/>
      <c r="LY204" s="394"/>
      <c r="LZ204" s="394"/>
      <c r="MA204" s="394"/>
      <c r="MB204" s="394"/>
      <c r="MC204" s="394"/>
      <c r="MD204" s="394"/>
      <c r="ME204" s="394"/>
      <c r="MF204" s="394"/>
      <c r="MG204" s="394"/>
      <c r="MH204" s="394"/>
      <c r="MI204" s="394"/>
      <c r="MJ204" s="394"/>
      <c r="MK204" s="394"/>
      <c r="ML204" s="394"/>
      <c r="MM204" s="394"/>
      <c r="MN204" s="394"/>
      <c r="MO204" s="394"/>
      <c r="MP204" s="394"/>
      <c r="MQ204" s="394"/>
      <c r="MR204" s="394"/>
      <c r="MS204" s="394"/>
      <c r="MT204" s="394"/>
      <c r="MU204" s="394"/>
      <c r="MV204" s="394"/>
      <c r="MW204" s="394"/>
      <c r="MX204" s="394"/>
      <c r="MY204" s="394"/>
      <c r="MZ204" s="394"/>
      <c r="NA204" s="394"/>
      <c r="NB204" s="394"/>
      <c r="NC204" s="394"/>
      <c r="ND204" s="394"/>
      <c r="NE204" s="394"/>
      <c r="NF204" s="394"/>
      <c r="NG204" s="394"/>
      <c r="NH204" s="394"/>
      <c r="NI204" s="394"/>
      <c r="NJ204" s="394"/>
      <c r="NK204" s="394"/>
      <c r="NL204" s="394"/>
      <c r="NM204" s="394"/>
      <c r="NN204" s="394"/>
      <c r="NO204" s="394"/>
      <c r="NP204" s="394"/>
      <c r="NQ204" s="394"/>
      <c r="NR204" s="394"/>
      <c r="NS204" s="394"/>
      <c r="NT204" s="394"/>
      <c r="NU204" s="394"/>
      <c r="NV204" s="394"/>
      <c r="NW204" s="394"/>
      <c r="NX204" s="394"/>
      <c r="NY204" s="394"/>
      <c r="NZ204" s="394"/>
      <c r="OA204" s="394"/>
      <c r="OB204" s="394"/>
      <c r="OC204" s="394"/>
      <c r="OD204" s="394"/>
      <c r="OE204" s="394"/>
      <c r="OF204" s="394"/>
      <c r="OG204" s="394"/>
      <c r="OH204" s="394"/>
      <c r="OI204" s="394"/>
      <c r="OJ204" s="394"/>
      <c r="OK204" s="394"/>
      <c r="OL204" s="394"/>
      <c r="OM204" s="394"/>
      <c r="ON204" s="394"/>
      <c r="OO204" s="394"/>
      <c r="OP204" s="394"/>
      <c r="OQ204" s="394"/>
      <c r="OR204" s="394"/>
      <c r="OS204" s="394"/>
      <c r="OT204" s="394"/>
      <c r="OU204" s="394"/>
      <c r="OV204" s="394"/>
      <c r="OW204" s="394"/>
      <c r="OX204" s="394"/>
      <c r="OY204" s="394"/>
      <c r="OZ204" s="394"/>
      <c r="PA204" s="394"/>
      <c r="PB204" s="394"/>
      <c r="PC204" s="394"/>
      <c r="PD204" s="394"/>
      <c r="PE204" s="394"/>
      <c r="PF204" s="394"/>
      <c r="PG204" s="394"/>
      <c r="PH204" s="394"/>
      <c r="PI204" s="394"/>
      <c r="PJ204" s="394"/>
      <c r="PK204" s="394"/>
      <c r="PL204" s="394"/>
      <c r="PM204" s="394"/>
      <c r="PN204" s="394"/>
      <c r="PO204" s="394"/>
      <c r="PP204" s="394"/>
      <c r="PQ204" s="394"/>
      <c r="PR204" s="394"/>
      <c r="PS204" s="394"/>
      <c r="PT204" s="394"/>
      <c r="PU204" s="394"/>
      <c r="PV204" s="394"/>
      <c r="PW204" s="394"/>
      <c r="PX204" s="394"/>
      <c r="PY204" s="394"/>
      <c r="PZ204" s="394"/>
      <c r="QA204" s="394"/>
      <c r="QB204" s="394"/>
      <c r="QC204" s="394"/>
      <c r="QD204" s="394"/>
      <c r="QE204" s="394"/>
      <c r="QF204" s="394"/>
      <c r="QG204" s="394"/>
      <c r="QH204" s="394"/>
      <c r="QI204" s="394"/>
      <c r="QJ204" s="394"/>
      <c r="QK204" s="394"/>
      <c r="QL204" s="394"/>
      <c r="QM204" s="394"/>
      <c r="QN204" s="394"/>
      <c r="QO204" s="394"/>
      <c r="QP204" s="394"/>
      <c r="QQ204" s="394"/>
      <c r="QR204" s="394"/>
      <c r="QS204" s="394"/>
      <c r="QT204" s="394"/>
      <c r="QU204" s="394"/>
      <c r="QV204" s="394"/>
      <c r="QW204" s="394"/>
      <c r="QX204" s="394"/>
      <c r="QY204" s="394"/>
      <c r="QZ204" s="394"/>
      <c r="RA204" s="394"/>
      <c r="RB204" s="394"/>
      <c r="RC204" s="394"/>
      <c r="RD204" s="394"/>
      <c r="RE204" s="394"/>
      <c r="RF204" s="394"/>
      <c r="RG204" s="394"/>
      <c r="RH204" s="394"/>
      <c r="RI204" s="394"/>
      <c r="RJ204" s="394"/>
      <c r="RK204" s="394"/>
      <c r="RL204" s="394"/>
      <c r="RM204" s="394"/>
      <c r="RN204" s="394"/>
      <c r="RO204" s="394"/>
      <c r="RP204" s="394"/>
      <c r="RQ204" s="394"/>
      <c r="RR204" s="394"/>
      <c r="RS204" s="394"/>
      <c r="RT204" s="394"/>
      <c r="RU204" s="394"/>
      <c r="RV204" s="394"/>
      <c r="RW204" s="394"/>
      <c r="RX204" s="394"/>
      <c r="RY204" s="394"/>
      <c r="RZ204" s="394"/>
      <c r="SA204" s="394"/>
      <c r="SB204" s="394"/>
      <c r="SC204" s="394"/>
      <c r="SD204" s="394"/>
      <c r="SE204" s="394"/>
      <c r="SF204" s="394"/>
      <c r="SG204" s="394"/>
      <c r="SH204" s="394"/>
      <c r="SI204" s="394"/>
      <c r="SJ204" s="394"/>
      <c r="SK204" s="394"/>
      <c r="SL204" s="394"/>
      <c r="SM204" s="394"/>
      <c r="SN204" s="394"/>
      <c r="SO204" s="394"/>
      <c r="SP204" s="394"/>
      <c r="SQ204" s="394"/>
      <c r="SR204" s="394"/>
      <c r="SS204" s="394"/>
      <c r="ST204" s="394"/>
      <c r="SU204" s="394"/>
      <c r="SV204" s="394"/>
      <c r="SW204" s="394"/>
      <c r="SX204" s="394"/>
      <c r="SY204" s="394"/>
      <c r="SZ204" s="394"/>
      <c r="TA204" s="394"/>
      <c r="TB204" s="394"/>
      <c r="TC204" s="394"/>
      <c r="TD204" s="394"/>
      <c r="TE204" s="394"/>
      <c r="TF204" s="394"/>
      <c r="TG204" s="394"/>
      <c r="TH204" s="394"/>
      <c r="TI204" s="394"/>
      <c r="TJ204" s="394"/>
      <c r="TK204" s="394"/>
      <c r="TL204" s="394"/>
      <c r="TM204" s="394"/>
      <c r="TN204" s="394"/>
      <c r="TO204" s="394"/>
      <c r="TP204" s="394"/>
      <c r="TQ204" s="394"/>
      <c r="TR204" s="394"/>
      <c r="TS204" s="394"/>
      <c r="TT204" s="394"/>
      <c r="TU204" s="394"/>
      <c r="TV204" s="394"/>
      <c r="TW204" s="394"/>
      <c r="TX204" s="394"/>
      <c r="TY204" s="394"/>
      <c r="TZ204" s="394"/>
      <c r="UA204" s="394"/>
      <c r="UB204" s="394"/>
      <c r="UC204" s="394"/>
      <c r="UD204" s="394"/>
      <c r="UE204" s="394"/>
      <c r="UF204" s="394"/>
      <c r="UG204" s="394"/>
      <c r="UH204" s="394"/>
      <c r="UI204" s="394"/>
      <c r="UJ204" s="394"/>
      <c r="UK204" s="394"/>
      <c r="UL204" s="394"/>
      <c r="UM204" s="394"/>
      <c r="UN204" s="394"/>
      <c r="UO204" s="394"/>
      <c r="UP204" s="394"/>
      <c r="UQ204" s="394"/>
      <c r="UR204" s="394"/>
      <c r="US204" s="394"/>
      <c r="UT204" s="394"/>
      <c r="UU204" s="394"/>
      <c r="UV204" s="394"/>
      <c r="UW204" s="394"/>
      <c r="UX204" s="394"/>
      <c r="UY204" s="394"/>
      <c r="UZ204" s="394"/>
      <c r="VA204" s="394"/>
      <c r="VB204" s="394"/>
      <c r="VC204" s="394"/>
      <c r="VD204" s="394"/>
      <c r="VE204" s="394"/>
      <c r="VF204" s="394"/>
      <c r="VG204" s="394"/>
      <c r="VH204" s="394"/>
      <c r="VI204" s="394"/>
      <c r="VJ204" s="394"/>
      <c r="VK204" s="394"/>
      <c r="VL204" s="394"/>
      <c r="VM204" s="394"/>
      <c r="VN204" s="394"/>
      <c r="VO204" s="394"/>
      <c r="VP204" s="394"/>
      <c r="VQ204" s="394"/>
      <c r="VR204" s="394"/>
      <c r="VS204" s="394"/>
      <c r="VT204" s="394"/>
      <c r="VU204" s="394"/>
      <c r="VV204" s="394"/>
      <c r="VW204" s="394"/>
      <c r="VX204" s="394"/>
      <c r="VY204" s="394"/>
      <c r="VZ204" s="394"/>
      <c r="WA204" s="394"/>
      <c r="WB204" s="394"/>
      <c r="WC204" s="394"/>
      <c r="WD204" s="394"/>
      <c r="WE204" s="394"/>
      <c r="WF204" s="394"/>
      <c r="WG204" s="394"/>
      <c r="WH204" s="394"/>
      <c r="WI204" s="394"/>
      <c r="WJ204" s="394"/>
      <c r="WK204" s="394"/>
      <c r="WL204" s="394"/>
      <c r="WM204" s="394"/>
      <c r="WN204" s="394"/>
      <c r="WO204" s="394"/>
      <c r="WP204" s="394"/>
      <c r="WQ204" s="394"/>
      <c r="WR204" s="394"/>
      <c r="WS204" s="394"/>
      <c r="WT204" s="394"/>
      <c r="WU204" s="394"/>
      <c r="WV204" s="394"/>
      <c r="WW204" s="394"/>
      <c r="WX204" s="394"/>
      <c r="WY204" s="394"/>
      <c r="WZ204" s="394"/>
      <c r="XA204" s="394"/>
      <c r="XB204" s="394"/>
      <c r="XC204" s="394"/>
      <c r="XD204" s="394"/>
      <c r="XE204" s="394"/>
      <c r="XF204" s="394"/>
      <c r="XG204" s="394"/>
      <c r="XH204" s="394"/>
      <c r="XI204" s="394"/>
      <c r="XJ204" s="394"/>
      <c r="XK204" s="394"/>
      <c r="XL204" s="394"/>
      <c r="XM204" s="394"/>
      <c r="XN204" s="394"/>
      <c r="XO204" s="394"/>
      <c r="XP204" s="394"/>
      <c r="XQ204" s="394"/>
      <c r="XR204" s="394"/>
      <c r="XS204" s="394"/>
      <c r="XT204" s="394"/>
      <c r="XU204" s="394"/>
      <c r="XV204" s="394"/>
      <c r="XW204" s="394"/>
      <c r="XX204" s="394"/>
      <c r="XY204" s="394"/>
      <c r="XZ204" s="394"/>
      <c r="YA204" s="394"/>
      <c r="YB204" s="394"/>
      <c r="YC204" s="394"/>
      <c r="YD204" s="394"/>
      <c r="YE204" s="394"/>
      <c r="YF204" s="394"/>
      <c r="YG204" s="394"/>
      <c r="YH204" s="394"/>
      <c r="YI204" s="394"/>
      <c r="YJ204" s="394"/>
      <c r="YK204" s="394"/>
      <c r="YL204" s="394"/>
      <c r="YM204" s="394"/>
      <c r="YN204" s="394"/>
      <c r="YO204" s="394"/>
      <c r="YP204" s="394"/>
      <c r="YQ204" s="394"/>
      <c r="YR204" s="394"/>
      <c r="YS204" s="394"/>
      <c r="YT204" s="394"/>
      <c r="YU204" s="394"/>
      <c r="YV204" s="394"/>
      <c r="YW204" s="394"/>
      <c r="YX204" s="394"/>
      <c r="YY204" s="394"/>
      <c r="YZ204" s="394"/>
      <c r="ZA204" s="394"/>
      <c r="ZB204" s="394"/>
      <c r="ZC204" s="394"/>
      <c r="ZD204" s="394"/>
      <c r="ZE204" s="394"/>
      <c r="ZF204" s="394"/>
      <c r="ZG204" s="394"/>
      <c r="ZH204" s="394"/>
      <c r="ZI204" s="394"/>
      <c r="ZJ204" s="394"/>
      <c r="ZK204" s="394"/>
      <c r="ZL204" s="394"/>
      <c r="ZM204" s="394"/>
      <c r="ZN204" s="394"/>
      <c r="ZO204" s="394"/>
      <c r="ZP204" s="394"/>
      <c r="ZQ204" s="394"/>
      <c r="ZR204" s="394"/>
      <c r="ZS204" s="394"/>
      <c r="ZT204" s="394"/>
      <c r="ZU204" s="394"/>
      <c r="ZV204" s="394"/>
      <c r="ZW204" s="394"/>
      <c r="ZX204" s="394"/>
      <c r="ZY204" s="394"/>
      <c r="ZZ204" s="394"/>
      <c r="AAA204" s="394"/>
      <c r="AAB204" s="394"/>
      <c r="AAC204" s="394"/>
      <c r="AAD204" s="394"/>
      <c r="AAE204" s="394"/>
      <c r="AAF204" s="394"/>
      <c r="AAG204" s="394"/>
      <c r="AAH204" s="394"/>
      <c r="AAI204" s="394"/>
      <c r="AAJ204" s="394"/>
      <c r="AAK204" s="394"/>
      <c r="AAL204" s="394"/>
      <c r="AAM204" s="394"/>
      <c r="AAN204" s="394"/>
      <c r="AAO204" s="394"/>
      <c r="AAP204" s="394"/>
      <c r="AAQ204" s="394"/>
      <c r="AAR204" s="394"/>
      <c r="AAS204" s="394"/>
      <c r="AAT204" s="394"/>
      <c r="AAU204" s="394"/>
      <c r="AAV204" s="394"/>
      <c r="AAW204" s="394"/>
      <c r="AAX204" s="394"/>
      <c r="AAY204" s="394"/>
      <c r="AAZ204" s="394"/>
      <c r="ABA204" s="394"/>
      <c r="ABB204" s="394"/>
      <c r="ABC204" s="394"/>
      <c r="ABD204" s="394"/>
      <c r="ABE204" s="394"/>
      <c r="ABF204" s="394"/>
      <c r="ABG204" s="394"/>
      <c r="ABH204" s="394"/>
      <c r="ABI204" s="394"/>
      <c r="ABJ204" s="394"/>
      <c r="ABK204" s="394"/>
      <c r="ABL204" s="394"/>
      <c r="ABM204" s="394"/>
      <c r="ABN204" s="394"/>
      <c r="ABO204" s="394"/>
      <c r="ABP204" s="394"/>
      <c r="ABQ204" s="394"/>
      <c r="ABR204" s="394"/>
      <c r="ABS204" s="394"/>
      <c r="ABT204" s="394"/>
      <c r="ABU204" s="394"/>
      <c r="ABV204" s="394"/>
      <c r="ABW204" s="394"/>
      <c r="ABX204" s="394"/>
      <c r="ABY204" s="394"/>
      <c r="ABZ204" s="394"/>
      <c r="ACA204" s="394"/>
      <c r="ACB204" s="394"/>
      <c r="ACC204" s="394"/>
      <c r="ACD204" s="394"/>
      <c r="ACE204" s="394"/>
      <c r="ACF204" s="394"/>
      <c r="ACG204" s="394"/>
      <c r="ACH204" s="394"/>
      <c r="ACI204" s="394"/>
      <c r="ACJ204" s="394"/>
      <c r="ACK204" s="394"/>
      <c r="ACL204" s="394"/>
      <c r="ACM204" s="394"/>
      <c r="ACN204" s="394"/>
      <c r="ACO204" s="394"/>
      <c r="ACP204" s="394"/>
      <c r="ACQ204" s="394"/>
      <c r="ACR204" s="394"/>
      <c r="ACS204" s="394"/>
      <c r="ACT204" s="394"/>
      <c r="ACU204" s="394"/>
      <c r="ACV204" s="394"/>
      <c r="ACW204" s="394"/>
      <c r="ACX204" s="394"/>
      <c r="ACY204" s="394"/>
      <c r="ACZ204" s="394"/>
      <c r="ADA204" s="394"/>
      <c r="ADB204" s="394"/>
      <c r="ADC204" s="394"/>
      <c r="ADD204" s="394"/>
      <c r="ADE204" s="394"/>
      <c r="ADF204" s="394"/>
      <c r="ADG204" s="394"/>
      <c r="ADH204" s="394"/>
      <c r="ADI204" s="394"/>
      <c r="ADJ204" s="394"/>
      <c r="ADK204" s="394"/>
      <c r="ADL204" s="394"/>
      <c r="ADM204" s="394"/>
      <c r="ADN204" s="394"/>
      <c r="ADO204" s="394"/>
      <c r="ADP204" s="394"/>
      <c r="ADQ204" s="394"/>
      <c r="ADR204" s="394"/>
      <c r="ADS204" s="394"/>
      <c r="ADT204" s="394"/>
      <c r="ADU204" s="394"/>
      <c r="ADV204" s="394"/>
      <c r="ADW204" s="394"/>
      <c r="ADX204" s="394"/>
      <c r="ADY204" s="394"/>
      <c r="ADZ204" s="394"/>
      <c r="AEA204" s="394"/>
      <c r="AEB204" s="394"/>
      <c r="AEC204" s="394"/>
      <c r="AED204" s="394"/>
      <c r="AEE204" s="394"/>
      <c r="AEF204" s="394"/>
      <c r="AEG204" s="394"/>
      <c r="AEH204" s="394"/>
      <c r="AEI204" s="394"/>
      <c r="AEJ204" s="394"/>
      <c r="AEK204" s="394"/>
      <c r="AEL204" s="394"/>
      <c r="AEM204" s="394"/>
      <c r="AEN204" s="394"/>
      <c r="AEO204" s="394"/>
      <c r="AEP204" s="394"/>
      <c r="AEQ204" s="394"/>
      <c r="AER204" s="394"/>
      <c r="AES204" s="394"/>
      <c r="AET204" s="394"/>
      <c r="AEU204" s="394"/>
      <c r="AEV204" s="394"/>
      <c r="AEW204" s="394"/>
      <c r="AEX204" s="394"/>
      <c r="AEY204" s="394"/>
      <c r="AEZ204" s="394"/>
      <c r="AFA204" s="394"/>
      <c r="AFB204" s="394"/>
      <c r="AFC204" s="394"/>
      <c r="AFD204" s="394"/>
      <c r="AFE204" s="394"/>
      <c r="AFF204" s="394"/>
      <c r="AFG204" s="394"/>
      <c r="AFH204" s="394"/>
      <c r="AFI204" s="394"/>
      <c r="AFJ204" s="394"/>
      <c r="AFK204" s="394"/>
      <c r="AFL204" s="394"/>
      <c r="AFM204" s="394"/>
      <c r="AFN204" s="394"/>
      <c r="AFO204" s="394"/>
      <c r="AFP204" s="394"/>
      <c r="AFQ204" s="394"/>
      <c r="AFR204" s="394"/>
      <c r="AFS204" s="394"/>
      <c r="AFT204" s="394"/>
      <c r="AFU204" s="394"/>
      <c r="AFV204" s="394"/>
      <c r="AFW204" s="394"/>
      <c r="AFX204" s="394"/>
      <c r="AFY204" s="394"/>
      <c r="AFZ204" s="394"/>
      <c r="AGA204" s="394"/>
      <c r="AGB204" s="394"/>
      <c r="AGC204" s="394"/>
      <c r="AGD204" s="394"/>
      <c r="AGE204" s="394"/>
      <c r="AGF204" s="394"/>
      <c r="AGG204" s="394"/>
      <c r="AGH204" s="394"/>
      <c r="AGI204" s="394"/>
      <c r="AGJ204" s="394"/>
      <c r="AGK204" s="394"/>
      <c r="AGL204" s="394"/>
      <c r="AGM204" s="394"/>
      <c r="AGN204" s="394"/>
      <c r="AGO204" s="394"/>
      <c r="AGP204" s="394"/>
      <c r="AGQ204" s="394"/>
      <c r="AGR204" s="394"/>
      <c r="AGS204" s="394"/>
      <c r="AGT204" s="394"/>
      <c r="AGU204" s="394"/>
      <c r="AGV204" s="394"/>
      <c r="AGW204" s="394"/>
      <c r="AGX204" s="394"/>
      <c r="AGY204" s="394"/>
      <c r="AGZ204" s="394"/>
      <c r="AHA204" s="394"/>
      <c r="AHB204" s="394"/>
      <c r="AHC204" s="394"/>
      <c r="AHD204" s="394"/>
      <c r="AHE204" s="394"/>
      <c r="AHF204" s="394"/>
      <c r="AHG204" s="394"/>
      <c r="AHH204" s="394"/>
      <c r="AHI204" s="394"/>
      <c r="AHJ204" s="394"/>
      <c r="AHK204" s="394"/>
      <c r="AHL204" s="394"/>
      <c r="AHM204" s="394"/>
      <c r="AHN204" s="394"/>
      <c r="AHO204" s="394"/>
      <c r="AHP204" s="394"/>
      <c r="AHQ204" s="394"/>
      <c r="AHR204" s="394"/>
      <c r="AHS204" s="394"/>
      <c r="AHT204" s="394"/>
      <c r="AHU204" s="394"/>
      <c r="AHV204" s="394"/>
      <c r="AHW204" s="394"/>
      <c r="AHX204" s="394"/>
      <c r="AHY204" s="394"/>
      <c r="AHZ204" s="394"/>
      <c r="AIA204" s="394"/>
      <c r="AIB204" s="394"/>
      <c r="AIC204" s="394"/>
      <c r="AID204" s="394"/>
      <c r="AIE204" s="394"/>
      <c r="AIF204" s="394"/>
      <c r="AIG204" s="394"/>
      <c r="AIH204" s="394"/>
      <c r="AII204" s="394"/>
      <c r="AIJ204" s="394"/>
      <c r="AIK204" s="394"/>
      <c r="AIL204" s="394"/>
      <c r="AIM204" s="394"/>
      <c r="AIN204" s="394"/>
      <c r="AIO204" s="394"/>
      <c r="AIP204" s="394"/>
      <c r="AIQ204" s="394"/>
      <c r="AIR204" s="394"/>
      <c r="AIS204" s="394"/>
      <c r="AIT204" s="394"/>
      <c r="AIU204" s="394"/>
      <c r="AIV204" s="394"/>
      <c r="AIW204" s="394"/>
      <c r="AIX204" s="394"/>
      <c r="AIY204" s="394"/>
      <c r="AIZ204" s="394"/>
      <c r="AJA204" s="394"/>
      <c r="AJB204" s="394"/>
      <c r="AJC204" s="394"/>
      <c r="AJD204" s="394"/>
      <c r="AJE204" s="394"/>
      <c r="AJF204" s="394"/>
      <c r="AJG204" s="394"/>
      <c r="AJH204" s="394"/>
      <c r="AJI204" s="394"/>
      <c r="AJJ204" s="394"/>
      <c r="AJK204" s="394"/>
      <c r="AJL204" s="394"/>
      <c r="AJM204" s="394"/>
      <c r="AJN204" s="394"/>
      <c r="AJO204" s="394"/>
      <c r="AJP204" s="394"/>
      <c r="AJQ204" s="394"/>
      <c r="AJR204" s="394"/>
      <c r="AJS204" s="394"/>
      <c r="AJT204" s="394"/>
      <c r="AJU204" s="394"/>
      <c r="AJV204" s="394"/>
      <c r="AJW204" s="394"/>
      <c r="AJX204" s="394"/>
      <c r="AJY204" s="394"/>
      <c r="AJZ204" s="394"/>
      <c r="AKA204" s="394"/>
      <c r="AKB204" s="394"/>
      <c r="AKC204" s="394"/>
      <c r="AKD204" s="394"/>
      <c r="AKE204" s="394"/>
      <c r="AKF204" s="394"/>
      <c r="AKG204" s="394"/>
      <c r="AKH204" s="394"/>
      <c r="AKI204" s="394"/>
      <c r="AKJ204" s="394"/>
      <c r="AKK204" s="394"/>
      <c r="AKL204" s="394"/>
      <c r="AKM204" s="394"/>
      <c r="AKN204" s="394"/>
      <c r="AKO204" s="394"/>
      <c r="AKP204" s="394"/>
      <c r="AKQ204" s="394"/>
      <c r="AKR204" s="394"/>
      <c r="AKS204" s="394"/>
      <c r="AKT204" s="394"/>
      <c r="AKU204" s="394"/>
      <c r="AKV204" s="394"/>
      <c r="AKW204" s="394"/>
      <c r="AKX204" s="394"/>
      <c r="AKY204" s="394"/>
      <c r="AKZ204" s="394"/>
      <c r="ALA204" s="394"/>
      <c r="ALB204" s="394"/>
      <c r="ALC204" s="394"/>
      <c r="ALD204" s="394"/>
      <c r="ALE204" s="394"/>
      <c r="ALF204" s="394"/>
      <c r="ALG204" s="394"/>
      <c r="ALH204" s="394"/>
      <c r="ALI204" s="394"/>
      <c r="ALJ204" s="394"/>
      <c r="ALK204" s="394"/>
      <c r="ALL204" s="394"/>
      <c r="ALM204" s="394"/>
      <c r="ALN204" s="394"/>
      <c r="ALO204" s="394"/>
      <c r="ALP204" s="394"/>
      <c r="ALQ204" s="394"/>
      <c r="ALR204" s="394"/>
      <c r="ALS204" s="394"/>
      <c r="ALT204" s="394"/>
      <c r="ALU204" s="394"/>
      <c r="ALV204" s="394"/>
      <c r="ALW204" s="394"/>
      <c r="ALX204" s="394"/>
      <c r="ALY204" s="394"/>
      <c r="ALZ204" s="394"/>
      <c r="AMA204" s="394"/>
      <c r="AMB204" s="394"/>
      <c r="AMC204" s="394"/>
      <c r="AMD204" s="394"/>
      <c r="AME204" s="394"/>
      <c r="AMF204" s="394"/>
      <c r="AMG204" s="394"/>
      <c r="AMH204" s="394"/>
      <c r="AMI204" s="394"/>
      <c r="AMJ204" s="394"/>
      <c r="AMK204" s="394"/>
      <c r="AML204" s="394"/>
      <c r="AMM204" s="394"/>
      <c r="AMN204" s="394"/>
      <c r="AMO204" s="394"/>
      <c r="AMP204" s="394"/>
      <c r="AMQ204" s="394"/>
      <c r="AMR204" s="394"/>
      <c r="AMS204" s="394"/>
      <c r="AMT204" s="394"/>
      <c r="AMU204" s="394"/>
      <c r="AMV204" s="394"/>
      <c r="AMW204" s="394"/>
      <c r="AMX204" s="394"/>
      <c r="AMY204" s="394"/>
      <c r="AMZ204" s="394"/>
      <c r="ANA204" s="394"/>
      <c r="ANB204" s="394"/>
      <c r="ANC204" s="394"/>
      <c r="AND204" s="394"/>
      <c r="ANE204" s="394"/>
      <c r="ANF204" s="394"/>
      <c r="ANG204" s="394"/>
      <c r="ANH204" s="394"/>
      <c r="ANI204" s="394"/>
      <c r="ANJ204" s="394"/>
      <c r="ANK204" s="394"/>
      <c r="ANL204" s="394"/>
      <c r="ANM204" s="394"/>
      <c r="ANN204" s="394"/>
      <c r="ANO204" s="394"/>
      <c r="ANP204" s="394"/>
      <c r="ANQ204" s="394"/>
      <c r="ANR204" s="394"/>
      <c r="ANS204" s="394"/>
      <c r="ANT204" s="394"/>
      <c r="ANU204" s="394"/>
      <c r="ANV204" s="394"/>
      <c r="ANW204" s="394"/>
      <c r="ANX204" s="394"/>
      <c r="ANY204" s="394"/>
      <c r="ANZ204" s="394"/>
      <c r="AOA204" s="394"/>
      <c r="AOB204" s="394"/>
      <c r="AOC204" s="394"/>
      <c r="AOD204" s="394"/>
      <c r="AOE204" s="394"/>
      <c r="AOF204" s="394"/>
      <c r="AOG204" s="394"/>
      <c r="AOH204" s="394"/>
      <c r="AOI204" s="394"/>
      <c r="AOJ204" s="394"/>
      <c r="AOK204" s="394"/>
      <c r="AOL204" s="394"/>
      <c r="AOM204" s="394"/>
      <c r="AON204" s="394"/>
      <c r="AOO204" s="394"/>
      <c r="AOP204" s="394"/>
      <c r="AOQ204" s="394"/>
      <c r="AOR204" s="394"/>
      <c r="AOS204" s="394"/>
      <c r="AOT204" s="394"/>
      <c r="AOU204" s="394"/>
      <c r="AOV204" s="394"/>
      <c r="AOW204" s="394"/>
      <c r="AOX204" s="394"/>
      <c r="AOY204" s="394"/>
      <c r="AOZ204" s="394"/>
      <c r="APA204" s="394"/>
      <c r="APB204" s="394"/>
      <c r="APC204" s="394"/>
      <c r="APD204" s="394"/>
      <c r="APE204" s="394"/>
      <c r="APF204" s="394"/>
      <c r="APG204" s="394"/>
      <c r="APH204" s="394"/>
      <c r="API204" s="394"/>
      <c r="APJ204" s="394"/>
      <c r="APK204" s="394"/>
      <c r="APL204" s="394"/>
      <c r="APM204" s="394"/>
      <c r="APN204" s="394"/>
      <c r="APO204" s="394"/>
      <c r="APP204" s="394"/>
      <c r="APQ204" s="394"/>
      <c r="APR204" s="394"/>
      <c r="APS204" s="394"/>
      <c r="APT204" s="394"/>
      <c r="APU204" s="394"/>
      <c r="APV204" s="394"/>
      <c r="APW204" s="394"/>
      <c r="APX204" s="394"/>
      <c r="APY204" s="394"/>
      <c r="APZ204" s="394"/>
      <c r="AQA204" s="394"/>
      <c r="AQB204" s="394"/>
      <c r="AQC204" s="394"/>
      <c r="AQD204" s="394"/>
      <c r="AQE204" s="394"/>
      <c r="AQF204" s="394"/>
      <c r="AQG204" s="394"/>
      <c r="AQH204" s="394"/>
      <c r="AQI204" s="394"/>
      <c r="AQJ204" s="394"/>
      <c r="AQK204" s="394"/>
      <c r="AQL204" s="394"/>
      <c r="AQM204" s="394"/>
      <c r="AQN204" s="394"/>
      <c r="AQO204" s="394"/>
      <c r="AQP204" s="394"/>
      <c r="AQQ204" s="394"/>
      <c r="AQR204" s="394"/>
      <c r="AQS204" s="394"/>
      <c r="AQT204" s="394"/>
      <c r="AQU204" s="394"/>
      <c r="AQV204" s="394"/>
      <c r="AQW204" s="394"/>
      <c r="AQX204" s="394"/>
      <c r="AQY204" s="394"/>
      <c r="AQZ204" s="394"/>
      <c r="ARA204" s="394"/>
      <c r="ARB204" s="394"/>
      <c r="ARC204" s="394"/>
      <c r="ARD204" s="394"/>
      <c r="ARE204" s="394"/>
      <c r="ARF204" s="394"/>
      <c r="ARG204" s="394"/>
      <c r="ARH204" s="394"/>
      <c r="ARI204" s="394"/>
      <c r="ARJ204" s="394"/>
      <c r="ARK204" s="394"/>
      <c r="ARL204" s="394"/>
      <c r="ARM204" s="394"/>
      <c r="ARN204" s="394"/>
      <c r="ARO204" s="394"/>
      <c r="ARP204" s="394"/>
      <c r="ARQ204" s="394"/>
      <c r="ARR204" s="394"/>
      <c r="ARS204" s="394"/>
      <c r="ART204" s="394"/>
      <c r="ARU204" s="394"/>
      <c r="ARV204" s="394"/>
      <c r="ARW204" s="394"/>
      <c r="ARX204" s="394"/>
      <c r="ARY204" s="394"/>
      <c r="ARZ204" s="394"/>
      <c r="ASA204" s="394"/>
      <c r="ASB204" s="394"/>
      <c r="ASC204" s="394"/>
      <c r="ASD204" s="394"/>
      <c r="ASE204" s="394"/>
      <c r="ASF204" s="394"/>
      <c r="ASG204" s="394"/>
      <c r="ASH204" s="394"/>
      <c r="ASI204" s="394"/>
      <c r="ASJ204" s="394"/>
      <c r="ASK204" s="394"/>
      <c r="ASL204" s="394"/>
      <c r="ASM204" s="394"/>
      <c r="ASN204" s="394"/>
      <c r="ASO204" s="394"/>
      <c r="ASP204" s="394"/>
      <c r="ASQ204" s="394"/>
      <c r="ASR204" s="394"/>
      <c r="ASS204" s="394"/>
      <c r="AST204" s="394"/>
      <c r="ASU204" s="394"/>
      <c r="ASV204" s="394"/>
      <c r="ASW204" s="394"/>
      <c r="ASX204" s="394"/>
      <c r="ASY204" s="394"/>
      <c r="ASZ204" s="394"/>
      <c r="ATA204" s="394"/>
      <c r="ATB204" s="394"/>
      <c r="ATC204" s="394"/>
      <c r="ATD204" s="394"/>
      <c r="ATE204" s="394"/>
      <c r="ATF204" s="394"/>
      <c r="ATG204" s="394"/>
      <c r="ATH204" s="394"/>
      <c r="ATI204" s="394"/>
      <c r="ATJ204" s="394"/>
      <c r="ATK204" s="394"/>
      <c r="ATL204" s="394"/>
      <c r="ATM204" s="394"/>
      <c r="ATN204" s="394"/>
      <c r="ATO204" s="394"/>
      <c r="ATP204" s="394"/>
      <c r="ATQ204" s="394"/>
      <c r="ATR204" s="394"/>
      <c r="ATS204" s="394"/>
      <c r="ATT204" s="394"/>
      <c r="ATU204" s="394"/>
      <c r="ATV204" s="394"/>
      <c r="ATW204" s="394"/>
      <c r="ATX204" s="394"/>
      <c r="ATY204" s="394"/>
      <c r="ATZ204" s="394"/>
      <c r="AUA204" s="394"/>
      <c r="AUB204" s="394"/>
      <c r="AUC204" s="394"/>
      <c r="AUD204" s="394"/>
      <c r="AUE204" s="394"/>
      <c r="AUF204" s="394"/>
      <c r="AUG204" s="394"/>
      <c r="AUH204" s="394"/>
      <c r="AUI204" s="394"/>
      <c r="AUJ204" s="394"/>
      <c r="AUK204" s="394"/>
      <c r="AUL204" s="394"/>
      <c r="AUM204" s="394"/>
      <c r="AUN204" s="394"/>
      <c r="AUO204" s="394"/>
      <c r="AUP204" s="394"/>
      <c r="AUQ204" s="394"/>
      <c r="AUR204" s="394"/>
      <c r="AUS204" s="394"/>
      <c r="AUT204" s="394"/>
      <c r="AUU204" s="394"/>
      <c r="AUV204" s="394"/>
      <c r="AUW204" s="394"/>
      <c r="AUX204" s="394"/>
      <c r="AUY204" s="394"/>
      <c r="AUZ204" s="394"/>
      <c r="AVA204" s="394"/>
      <c r="AVB204" s="394"/>
      <c r="AVC204" s="394"/>
      <c r="AVD204" s="394"/>
      <c r="AVE204" s="394"/>
      <c r="AVF204" s="394"/>
      <c r="AVG204" s="394"/>
      <c r="AVH204" s="394"/>
      <c r="AVI204" s="394"/>
      <c r="AVJ204" s="394"/>
      <c r="AVK204" s="394"/>
      <c r="AVL204" s="394"/>
      <c r="AVM204" s="394"/>
      <c r="AVN204" s="394"/>
      <c r="AVO204" s="394"/>
      <c r="AVP204" s="394"/>
      <c r="AVQ204" s="394"/>
      <c r="AVR204" s="394"/>
      <c r="AVS204" s="394"/>
      <c r="AVT204" s="394"/>
      <c r="AVU204" s="394"/>
      <c r="AVV204" s="394"/>
      <c r="AVW204" s="394"/>
      <c r="AVX204" s="394"/>
      <c r="AVY204" s="394"/>
      <c r="AVZ204" s="394"/>
      <c r="AWA204" s="394"/>
      <c r="AWB204" s="394"/>
      <c r="AWC204" s="394"/>
      <c r="AWD204" s="394"/>
      <c r="AWE204" s="394"/>
      <c r="AWF204" s="394"/>
      <c r="AWG204" s="394"/>
      <c r="AWH204" s="394"/>
      <c r="AWI204" s="394"/>
      <c r="AWJ204" s="394"/>
      <c r="AWK204" s="394"/>
      <c r="AWL204" s="394"/>
      <c r="AWM204" s="394"/>
      <c r="AWN204" s="394"/>
      <c r="AWO204" s="394"/>
      <c r="AWP204" s="394"/>
      <c r="AWQ204" s="394"/>
      <c r="AWR204" s="394"/>
      <c r="AWS204" s="394"/>
      <c r="AWT204" s="394"/>
      <c r="AWU204" s="394"/>
      <c r="AWV204" s="394"/>
      <c r="AWW204" s="394"/>
      <c r="AWX204" s="394"/>
      <c r="AWY204" s="394"/>
      <c r="AWZ204" s="394"/>
      <c r="AXA204" s="394"/>
      <c r="AXB204" s="394"/>
      <c r="AXC204" s="394"/>
      <c r="AXD204" s="394"/>
      <c r="AXE204" s="394"/>
      <c r="AXF204" s="394"/>
      <c r="AXG204" s="394"/>
      <c r="AXH204" s="394"/>
      <c r="AXI204" s="394"/>
      <c r="AXJ204" s="394"/>
      <c r="AXK204" s="394"/>
      <c r="AXL204" s="394"/>
      <c r="AXM204" s="394"/>
      <c r="AXN204" s="394"/>
      <c r="AXO204" s="394"/>
      <c r="AXP204" s="394"/>
      <c r="AXQ204" s="394"/>
      <c r="AXR204" s="394"/>
      <c r="AXS204" s="394"/>
      <c r="AXT204" s="394"/>
      <c r="AXU204" s="394"/>
      <c r="AXV204" s="394"/>
      <c r="AXW204" s="394"/>
      <c r="AXX204" s="394"/>
      <c r="AXY204" s="394"/>
      <c r="AXZ204" s="394"/>
      <c r="AYA204" s="394"/>
      <c r="AYB204" s="394"/>
      <c r="AYC204" s="394"/>
      <c r="AYD204" s="394"/>
      <c r="AYE204" s="394"/>
      <c r="AYF204" s="394"/>
      <c r="AYG204" s="394"/>
      <c r="AYH204" s="394"/>
      <c r="AYI204" s="394"/>
      <c r="AYJ204" s="394"/>
      <c r="AYK204" s="394"/>
      <c r="AYL204" s="394"/>
      <c r="AYM204" s="394"/>
      <c r="AYN204" s="394"/>
      <c r="AYO204" s="394"/>
      <c r="AYP204" s="394"/>
      <c r="AYQ204" s="394"/>
      <c r="AYR204" s="394"/>
      <c r="AYS204" s="394"/>
      <c r="AYT204" s="394"/>
      <c r="AYU204" s="394"/>
      <c r="AYV204" s="394"/>
      <c r="AYW204" s="394"/>
      <c r="AYX204" s="394"/>
      <c r="AYY204" s="394"/>
      <c r="AYZ204" s="394"/>
      <c r="AZA204" s="394"/>
      <c r="AZB204" s="394"/>
      <c r="AZC204" s="394"/>
      <c r="AZD204" s="394"/>
      <c r="AZE204" s="394"/>
      <c r="AZF204" s="394"/>
      <c r="AZG204" s="394"/>
      <c r="AZH204" s="394"/>
      <c r="AZI204" s="394"/>
      <c r="AZJ204" s="394"/>
      <c r="AZK204" s="394"/>
      <c r="AZL204" s="394"/>
      <c r="AZM204" s="394"/>
      <c r="AZN204" s="394"/>
      <c r="AZO204" s="394"/>
      <c r="AZP204" s="394"/>
      <c r="AZQ204" s="394"/>
      <c r="AZR204" s="394"/>
      <c r="AZS204" s="394"/>
      <c r="AZT204" s="394"/>
      <c r="AZU204" s="394"/>
      <c r="AZV204" s="394"/>
      <c r="AZW204" s="394"/>
      <c r="AZX204" s="394"/>
      <c r="AZY204" s="394"/>
      <c r="AZZ204" s="394"/>
      <c r="BAA204" s="394"/>
      <c r="BAB204" s="394"/>
      <c r="BAC204" s="394"/>
      <c r="BAD204" s="394"/>
      <c r="BAE204" s="394"/>
      <c r="BAF204" s="394"/>
      <c r="BAG204" s="394"/>
      <c r="BAH204" s="394"/>
      <c r="BAI204" s="394"/>
      <c r="BAJ204" s="394"/>
      <c r="BAK204" s="394"/>
      <c r="BAL204" s="394"/>
      <c r="BAM204" s="394"/>
      <c r="BAN204" s="394"/>
      <c r="BAO204" s="394"/>
      <c r="BAP204" s="394"/>
      <c r="BAQ204" s="394"/>
      <c r="BAR204" s="394"/>
      <c r="BAS204" s="394"/>
      <c r="BAT204" s="394"/>
      <c r="BAU204" s="394"/>
      <c r="BAV204" s="394"/>
      <c r="BAW204" s="394"/>
      <c r="BAX204" s="394"/>
      <c r="BAY204" s="394"/>
      <c r="BAZ204" s="394"/>
      <c r="BBA204" s="394"/>
      <c r="BBB204" s="394"/>
      <c r="BBC204" s="394"/>
      <c r="BBD204" s="394"/>
      <c r="BBE204" s="394"/>
      <c r="BBF204" s="394"/>
      <c r="BBG204" s="394"/>
      <c r="BBH204" s="394"/>
      <c r="BBI204" s="394"/>
      <c r="BBJ204" s="394"/>
      <c r="BBK204" s="394"/>
      <c r="BBL204" s="394"/>
      <c r="BBM204" s="394"/>
      <c r="BBN204" s="394"/>
      <c r="BBO204" s="394"/>
      <c r="BBP204" s="394"/>
      <c r="BBQ204" s="394"/>
      <c r="BBR204" s="394"/>
      <c r="BBS204" s="394"/>
      <c r="BBT204" s="394"/>
      <c r="BBU204" s="394"/>
      <c r="BBV204" s="394"/>
      <c r="BBW204" s="394"/>
      <c r="BBX204" s="394"/>
      <c r="BBY204" s="394"/>
      <c r="BBZ204" s="394"/>
      <c r="BCA204" s="394"/>
      <c r="BCB204" s="394"/>
      <c r="BCC204" s="394"/>
      <c r="BCD204" s="394"/>
      <c r="BCE204" s="394"/>
      <c r="BCF204" s="394"/>
      <c r="BCG204" s="394"/>
      <c r="BCH204" s="394"/>
      <c r="BCI204" s="394"/>
      <c r="BCJ204" s="394"/>
      <c r="BCK204" s="394"/>
      <c r="BCL204" s="394"/>
      <c r="BCM204" s="394"/>
      <c r="BCN204" s="394"/>
      <c r="BCO204" s="394"/>
      <c r="BCP204" s="394"/>
      <c r="BCQ204" s="394"/>
      <c r="BCR204" s="394"/>
      <c r="BCS204" s="394"/>
      <c r="BCT204" s="394"/>
      <c r="BCU204" s="394"/>
      <c r="BCV204" s="394"/>
      <c r="BCW204" s="394"/>
      <c r="BCX204" s="394"/>
      <c r="BCY204" s="394"/>
      <c r="BCZ204" s="394"/>
      <c r="BDA204" s="394"/>
      <c r="BDB204" s="394"/>
      <c r="BDC204" s="394"/>
      <c r="BDD204" s="394"/>
      <c r="BDE204" s="394"/>
      <c r="BDF204" s="394"/>
      <c r="BDG204" s="394"/>
      <c r="BDH204" s="394"/>
      <c r="BDI204" s="394"/>
      <c r="BDJ204" s="394"/>
      <c r="BDK204" s="394"/>
      <c r="BDL204" s="394"/>
      <c r="BDM204" s="394"/>
      <c r="BDN204" s="394"/>
      <c r="BDO204" s="394"/>
      <c r="BDP204" s="394"/>
      <c r="BDQ204" s="394"/>
      <c r="BDR204" s="394"/>
      <c r="BDS204" s="394"/>
      <c r="BDT204" s="394"/>
      <c r="BDU204" s="394"/>
      <c r="BDV204" s="394"/>
      <c r="BDW204" s="394"/>
      <c r="BDX204" s="394"/>
      <c r="BDY204" s="394"/>
      <c r="BDZ204" s="394"/>
      <c r="BEA204" s="394"/>
      <c r="BEB204" s="394"/>
      <c r="BEC204" s="394"/>
      <c r="BED204" s="394"/>
      <c r="BEE204" s="394"/>
      <c r="BEF204" s="394"/>
      <c r="BEG204" s="394"/>
      <c r="BEH204" s="394"/>
      <c r="BEI204" s="394"/>
      <c r="BEJ204" s="394"/>
      <c r="BEK204" s="394"/>
      <c r="BEL204" s="394"/>
      <c r="BEM204" s="394"/>
      <c r="BEN204" s="394"/>
      <c r="BEO204" s="394"/>
      <c r="BEP204" s="394"/>
      <c r="BEQ204" s="394"/>
      <c r="BER204" s="394"/>
      <c r="BES204" s="394"/>
      <c r="BET204" s="394"/>
      <c r="BEU204" s="394"/>
      <c r="BEV204" s="394"/>
      <c r="BEW204" s="394"/>
      <c r="BEX204" s="394"/>
      <c r="BEY204" s="394"/>
      <c r="BEZ204" s="394"/>
      <c r="BFA204" s="394"/>
      <c r="BFB204" s="394"/>
      <c r="BFC204" s="394"/>
      <c r="BFD204" s="394"/>
      <c r="BFE204" s="394"/>
      <c r="BFF204" s="394"/>
      <c r="BFG204" s="394"/>
      <c r="BFH204" s="394"/>
      <c r="BFI204" s="394"/>
      <c r="BFJ204" s="394"/>
      <c r="BFK204" s="394"/>
      <c r="BFL204" s="394"/>
      <c r="BFM204" s="394"/>
      <c r="BFN204" s="394"/>
      <c r="BFO204" s="394"/>
      <c r="BFP204" s="394"/>
      <c r="BFQ204" s="394"/>
      <c r="BFR204" s="394"/>
      <c r="BFS204" s="394"/>
      <c r="BFT204" s="394"/>
      <c r="BFU204" s="394"/>
      <c r="BFV204" s="394"/>
      <c r="BFW204" s="394"/>
      <c r="BFX204" s="394"/>
      <c r="BFY204" s="394"/>
      <c r="BFZ204" s="394"/>
      <c r="BGA204" s="394"/>
      <c r="BGB204" s="394"/>
      <c r="BGC204" s="394"/>
      <c r="BGD204" s="394"/>
      <c r="BGE204" s="394"/>
      <c r="BGF204" s="394"/>
      <c r="BGG204" s="394"/>
      <c r="BGH204" s="394"/>
      <c r="BGI204" s="394"/>
      <c r="BGJ204" s="394"/>
      <c r="BGK204" s="394"/>
      <c r="BGL204" s="394"/>
      <c r="BGM204" s="394"/>
      <c r="BGN204" s="394"/>
      <c r="BGO204" s="394"/>
      <c r="BGP204" s="394"/>
      <c r="BGQ204" s="394"/>
      <c r="BGR204" s="394"/>
      <c r="BGS204" s="394"/>
      <c r="BGT204" s="394"/>
      <c r="BGU204" s="394"/>
      <c r="BGV204" s="394"/>
      <c r="BGW204" s="394"/>
      <c r="BGX204" s="394"/>
      <c r="BGY204" s="394"/>
      <c r="BGZ204" s="394"/>
      <c r="BHA204" s="394"/>
      <c r="BHB204" s="394"/>
      <c r="BHC204" s="394"/>
      <c r="BHD204" s="394"/>
      <c r="BHE204" s="394"/>
      <c r="BHF204" s="394"/>
      <c r="BHG204" s="394"/>
      <c r="BHH204" s="394"/>
      <c r="BHI204" s="394"/>
      <c r="BHJ204" s="394"/>
      <c r="BHK204" s="394"/>
      <c r="BHL204" s="394"/>
      <c r="BHM204" s="394"/>
      <c r="BHN204" s="394"/>
      <c r="BHO204" s="394"/>
      <c r="BHP204" s="394"/>
      <c r="BHQ204" s="394"/>
      <c r="BHR204" s="394"/>
      <c r="BHS204" s="394"/>
      <c r="BHT204" s="394"/>
      <c r="BHU204" s="394"/>
      <c r="BHV204" s="394"/>
      <c r="BHW204" s="394"/>
      <c r="BHX204" s="394"/>
      <c r="BHY204" s="394"/>
      <c r="BHZ204" s="394"/>
      <c r="BIA204" s="394"/>
      <c r="BIB204" s="394"/>
      <c r="BIC204" s="394"/>
      <c r="BID204" s="394"/>
      <c r="BIE204" s="394"/>
      <c r="BIF204" s="394"/>
      <c r="BIG204" s="394"/>
      <c r="BIH204" s="394"/>
      <c r="BII204" s="394"/>
      <c r="BIJ204" s="394"/>
      <c r="BIK204" s="394"/>
      <c r="BIL204" s="394"/>
      <c r="BIM204" s="394"/>
      <c r="BIN204" s="394"/>
      <c r="BIO204" s="394"/>
      <c r="BIP204" s="394"/>
      <c r="BIQ204" s="394"/>
      <c r="BIR204" s="394"/>
      <c r="BIS204" s="394"/>
      <c r="BIT204" s="394"/>
      <c r="BIU204" s="394"/>
      <c r="BIV204" s="394"/>
      <c r="BIW204" s="394"/>
      <c r="BIX204" s="394"/>
      <c r="BIY204" s="394"/>
      <c r="BIZ204" s="394"/>
      <c r="BJA204" s="394"/>
      <c r="BJB204" s="394"/>
      <c r="BJC204" s="394"/>
      <c r="BJD204" s="394"/>
      <c r="BJE204" s="394"/>
      <c r="BJF204" s="394"/>
      <c r="BJG204" s="394"/>
      <c r="BJH204" s="394"/>
      <c r="BJI204" s="394"/>
      <c r="BJJ204" s="394"/>
      <c r="BJK204" s="394"/>
      <c r="BJL204" s="394"/>
      <c r="BJM204" s="394"/>
      <c r="BJN204" s="394"/>
      <c r="BJO204" s="394"/>
      <c r="BJP204" s="394"/>
      <c r="BJQ204" s="394"/>
      <c r="BJR204" s="394"/>
      <c r="BJS204" s="394"/>
      <c r="BJT204" s="394"/>
      <c r="BJU204" s="394"/>
      <c r="BJV204" s="394"/>
      <c r="BJW204" s="394"/>
      <c r="BJX204" s="394"/>
      <c r="BJY204" s="394"/>
      <c r="BJZ204" s="394"/>
      <c r="BKA204" s="394"/>
      <c r="BKB204" s="394"/>
      <c r="BKC204" s="394"/>
      <c r="BKD204" s="394"/>
      <c r="BKE204" s="394"/>
      <c r="BKF204" s="394"/>
      <c r="BKG204" s="394"/>
      <c r="BKH204" s="394"/>
      <c r="BKI204" s="394"/>
      <c r="BKJ204" s="394"/>
      <c r="BKK204" s="394"/>
      <c r="BKL204" s="394"/>
      <c r="BKM204" s="394"/>
      <c r="BKN204" s="394"/>
      <c r="BKO204" s="394"/>
      <c r="BKP204" s="394"/>
      <c r="BKQ204" s="394"/>
      <c r="BKR204" s="394"/>
      <c r="BKS204" s="394"/>
      <c r="BKT204" s="394"/>
      <c r="BKU204" s="394"/>
      <c r="BKV204" s="394"/>
      <c r="BKW204" s="394"/>
      <c r="BKX204" s="394"/>
      <c r="BKY204" s="394"/>
      <c r="BKZ204" s="394"/>
      <c r="BLA204" s="394"/>
      <c r="BLB204" s="394"/>
      <c r="BLC204" s="394"/>
      <c r="BLD204" s="394"/>
      <c r="BLE204" s="394"/>
      <c r="BLF204" s="394"/>
      <c r="BLG204" s="394"/>
      <c r="BLH204" s="394"/>
      <c r="BLI204" s="394"/>
      <c r="BLJ204" s="394"/>
      <c r="BLK204" s="394"/>
      <c r="BLL204" s="394"/>
      <c r="BLM204" s="394"/>
      <c r="BLN204" s="394"/>
      <c r="BLO204" s="394"/>
      <c r="BLP204" s="394"/>
      <c r="BLQ204" s="394"/>
      <c r="BLR204" s="394"/>
      <c r="BLS204" s="394"/>
      <c r="BLT204" s="394"/>
      <c r="BLU204" s="394"/>
      <c r="BLV204" s="394"/>
      <c r="BLW204" s="394"/>
      <c r="BLX204" s="394"/>
      <c r="BLY204" s="394"/>
      <c r="BLZ204" s="394"/>
      <c r="BMA204" s="394"/>
      <c r="BMB204" s="394"/>
      <c r="BMC204" s="394"/>
      <c r="BMD204" s="394"/>
      <c r="BME204" s="394"/>
      <c r="BMF204" s="394"/>
      <c r="BMG204" s="394"/>
      <c r="BMH204" s="394"/>
      <c r="BMI204" s="394"/>
      <c r="BMJ204" s="394"/>
      <c r="BMK204" s="394"/>
      <c r="BML204" s="394"/>
      <c r="BMM204" s="394"/>
      <c r="BMN204" s="394"/>
      <c r="BMO204" s="394"/>
      <c r="BMP204" s="394"/>
      <c r="BMQ204" s="394"/>
      <c r="BMR204" s="394"/>
      <c r="BMS204" s="394"/>
      <c r="BMT204" s="394"/>
      <c r="BMU204" s="394"/>
      <c r="BMV204" s="394"/>
      <c r="BMW204" s="394"/>
      <c r="BMX204" s="394"/>
      <c r="BMY204" s="394"/>
      <c r="BMZ204" s="394"/>
      <c r="BNA204" s="394"/>
      <c r="BNB204" s="394"/>
      <c r="BNC204" s="394"/>
      <c r="BND204" s="394"/>
      <c r="BNE204" s="394"/>
      <c r="BNF204" s="394"/>
      <c r="BNG204" s="394"/>
      <c r="BNH204" s="394"/>
      <c r="BNI204" s="394"/>
      <c r="BNJ204" s="394"/>
      <c r="BNK204" s="394"/>
      <c r="BNL204" s="394"/>
      <c r="BNM204" s="394"/>
      <c r="BNN204" s="394"/>
      <c r="BNO204" s="394"/>
      <c r="BNP204" s="394"/>
      <c r="BNQ204" s="394"/>
      <c r="BNR204" s="394"/>
      <c r="BNS204" s="394"/>
      <c r="BNT204" s="394"/>
      <c r="BNU204" s="394"/>
      <c r="BNV204" s="394"/>
      <c r="BNW204" s="394"/>
      <c r="BNX204" s="394"/>
      <c r="BNY204" s="394"/>
      <c r="BNZ204" s="394"/>
      <c r="BOA204" s="394"/>
      <c r="BOB204" s="394"/>
      <c r="BOC204" s="394"/>
      <c r="BOD204" s="394"/>
      <c r="BOE204" s="394"/>
      <c r="BOF204" s="394"/>
      <c r="BOG204" s="394"/>
      <c r="BOH204" s="394"/>
      <c r="BOI204" s="394"/>
      <c r="BOJ204" s="394"/>
      <c r="BOK204" s="394"/>
      <c r="BOL204" s="394"/>
      <c r="BOM204" s="394"/>
      <c r="BON204" s="394"/>
      <c r="BOO204" s="394"/>
      <c r="BOP204" s="394"/>
      <c r="BOQ204" s="394"/>
      <c r="BOR204" s="394"/>
      <c r="BOS204" s="394"/>
      <c r="BOT204" s="394"/>
      <c r="BOU204" s="394"/>
      <c r="BOV204" s="394"/>
      <c r="BOW204" s="394"/>
      <c r="BOX204" s="394"/>
      <c r="BOY204" s="394"/>
      <c r="BOZ204" s="394"/>
      <c r="BPA204" s="394"/>
      <c r="BPB204" s="394"/>
      <c r="BPC204" s="394"/>
      <c r="BPD204" s="394"/>
      <c r="BPE204" s="394"/>
      <c r="BPF204" s="394"/>
      <c r="BPG204" s="394"/>
      <c r="BPH204" s="394"/>
      <c r="BPI204" s="394"/>
      <c r="BPJ204" s="394"/>
      <c r="BPK204" s="394"/>
      <c r="BPL204" s="394"/>
      <c r="BPM204" s="394"/>
      <c r="BPN204" s="394"/>
      <c r="BPO204" s="394"/>
      <c r="BPP204" s="394"/>
      <c r="BPQ204" s="394"/>
      <c r="BPR204" s="394"/>
      <c r="BPS204" s="394"/>
      <c r="BPT204" s="394"/>
      <c r="BPU204" s="394"/>
      <c r="BPV204" s="394"/>
      <c r="BPW204" s="394"/>
      <c r="BPX204" s="394"/>
      <c r="BPY204" s="394"/>
      <c r="BPZ204" s="394"/>
      <c r="BQA204" s="394"/>
      <c r="BQB204" s="394"/>
      <c r="BQC204" s="394"/>
      <c r="BQD204" s="394"/>
      <c r="BQE204" s="394"/>
      <c r="BQF204" s="394"/>
      <c r="BQG204" s="394"/>
      <c r="BQH204" s="394"/>
      <c r="BQI204" s="394"/>
      <c r="BQJ204" s="394"/>
      <c r="BQK204" s="394"/>
      <c r="BQL204" s="394"/>
      <c r="BQM204" s="394"/>
      <c r="BQN204" s="394"/>
      <c r="BQO204" s="394"/>
      <c r="BQP204" s="394"/>
      <c r="BQQ204" s="394"/>
      <c r="BQR204" s="394"/>
      <c r="BQS204" s="394"/>
      <c r="BQT204" s="394"/>
      <c r="BQU204" s="394"/>
      <c r="BQV204" s="394"/>
      <c r="BQW204" s="394"/>
      <c r="BQX204" s="394"/>
      <c r="BQY204" s="394"/>
      <c r="BQZ204" s="394"/>
      <c r="BRA204" s="394"/>
      <c r="BRB204" s="394"/>
      <c r="BRC204" s="394"/>
      <c r="BRD204" s="394"/>
      <c r="BRE204" s="394"/>
      <c r="BRF204" s="394"/>
      <c r="BRG204" s="394"/>
      <c r="BRH204" s="394"/>
      <c r="BRI204" s="394"/>
      <c r="BRJ204" s="394"/>
      <c r="BRK204" s="394"/>
      <c r="BRL204" s="394"/>
      <c r="BRM204" s="394"/>
      <c r="BRN204" s="394"/>
      <c r="BRO204" s="394"/>
      <c r="BRP204" s="394"/>
      <c r="BRQ204" s="394"/>
      <c r="BRR204" s="394"/>
      <c r="BRS204" s="394"/>
      <c r="BRT204" s="394"/>
      <c r="BRU204" s="394"/>
      <c r="BRV204" s="394"/>
      <c r="BRW204" s="394"/>
      <c r="BRX204" s="394"/>
      <c r="BRY204" s="394"/>
      <c r="BRZ204" s="394"/>
      <c r="BSA204" s="394"/>
      <c r="BSB204" s="394"/>
      <c r="BSC204" s="394"/>
      <c r="BSD204" s="394"/>
      <c r="BSE204" s="394"/>
      <c r="BSF204" s="394"/>
      <c r="BSG204" s="394"/>
      <c r="BSH204" s="394"/>
      <c r="BSI204" s="394"/>
      <c r="BSJ204" s="394"/>
      <c r="BSK204" s="394"/>
      <c r="BSL204" s="394"/>
      <c r="BSM204" s="394"/>
      <c r="BSN204" s="394"/>
      <c r="BSO204" s="394"/>
      <c r="BSP204" s="394"/>
      <c r="BSQ204" s="394"/>
      <c r="BSR204" s="394"/>
      <c r="BSS204" s="394"/>
      <c r="BST204" s="394"/>
      <c r="BSU204" s="394"/>
      <c r="BSV204" s="394"/>
      <c r="BSW204" s="394"/>
      <c r="BSX204" s="394"/>
      <c r="BSY204" s="394"/>
      <c r="BSZ204" s="394"/>
      <c r="BTA204" s="394"/>
      <c r="BTB204" s="394"/>
      <c r="BTC204" s="394"/>
      <c r="BTD204" s="394"/>
      <c r="BTE204" s="394"/>
      <c r="BTF204" s="394"/>
      <c r="BTG204" s="394"/>
      <c r="BTH204" s="394"/>
      <c r="BTI204" s="394"/>
    </row>
    <row r="205" spans="1:1881" s="391" customFormat="1" ht="33" customHeight="1" x14ac:dyDescent="0.25">
      <c r="A205" s="188"/>
      <c r="B205" s="161" t="s">
        <v>821</v>
      </c>
      <c r="C205" s="160"/>
      <c r="D205" s="154"/>
      <c r="E205" s="148"/>
      <c r="F205" s="729"/>
      <c r="G205" s="551"/>
      <c r="H205" s="67"/>
      <c r="I205" s="15"/>
      <c r="J205" s="394"/>
      <c r="K205" s="394"/>
      <c r="L205" s="394"/>
      <c r="M205" s="394"/>
      <c r="N205"/>
      <c r="O205" s="394"/>
      <c r="P205" s="394"/>
      <c r="Q205" s="394"/>
      <c r="R205" s="394"/>
      <c r="S205" s="394"/>
      <c r="T205" s="394"/>
      <c r="U205" s="394"/>
      <c r="V205" s="394"/>
      <c r="W205" s="394"/>
      <c r="X205" s="394"/>
      <c r="Y205" s="394"/>
      <c r="Z205" s="394"/>
      <c r="AA205" s="394"/>
      <c r="AB205" s="394"/>
      <c r="AC205" s="394"/>
      <c r="AD205" s="394"/>
      <c r="AE205" s="394"/>
      <c r="AF205" s="394"/>
      <c r="AG205" s="394"/>
      <c r="AH205" s="394"/>
      <c r="AI205" s="394"/>
      <c r="AJ205" s="394"/>
      <c r="AK205" s="394"/>
      <c r="AL205" s="394"/>
      <c r="AM205" s="394"/>
      <c r="AN205" s="394"/>
      <c r="AO205" s="394"/>
      <c r="AP205" s="394"/>
      <c r="AQ205" s="394"/>
      <c r="AR205" s="394"/>
      <c r="AS205" s="394"/>
      <c r="AT205" s="394"/>
      <c r="AU205" s="394"/>
      <c r="AV205" s="394"/>
      <c r="AW205" s="394"/>
      <c r="AX205" s="394"/>
      <c r="AY205" s="394"/>
      <c r="AZ205" s="394"/>
      <c r="BA205" s="394"/>
      <c r="BB205" s="394"/>
      <c r="BC205" s="394"/>
      <c r="BD205" s="394"/>
      <c r="BE205" s="394"/>
      <c r="BF205" s="394"/>
      <c r="BG205" s="394"/>
      <c r="BH205" s="394"/>
      <c r="BI205" s="394"/>
      <c r="BJ205" s="394"/>
      <c r="BK205" s="394"/>
      <c r="BL205" s="394"/>
      <c r="BM205" s="394"/>
      <c r="BN205" s="394"/>
      <c r="BO205" s="394"/>
      <c r="BP205" s="394"/>
      <c r="BQ205" s="394"/>
      <c r="BR205" s="394"/>
      <c r="BS205" s="394"/>
      <c r="BT205" s="394"/>
      <c r="BU205" s="394"/>
      <c r="BV205" s="394"/>
      <c r="BW205" s="394"/>
      <c r="BX205" s="394"/>
      <c r="BY205" s="394"/>
      <c r="BZ205" s="394"/>
      <c r="CA205" s="394"/>
      <c r="CB205" s="394"/>
      <c r="CC205" s="394"/>
      <c r="CD205" s="394"/>
      <c r="CE205" s="394"/>
      <c r="CF205" s="394"/>
      <c r="CG205" s="394"/>
      <c r="CH205" s="394"/>
      <c r="CI205" s="394"/>
      <c r="CJ205" s="394"/>
      <c r="CK205" s="394"/>
      <c r="CL205" s="394"/>
      <c r="CM205" s="394"/>
      <c r="CN205" s="394"/>
      <c r="CO205" s="394"/>
      <c r="CP205" s="394"/>
      <c r="CQ205" s="394"/>
      <c r="CR205" s="394"/>
      <c r="CS205" s="394"/>
      <c r="CT205" s="394"/>
      <c r="CU205" s="394"/>
      <c r="CV205" s="394"/>
      <c r="CW205" s="394"/>
      <c r="CX205" s="394"/>
      <c r="CY205" s="394"/>
      <c r="CZ205" s="394"/>
      <c r="DA205" s="394"/>
      <c r="DB205" s="394"/>
      <c r="DC205" s="394"/>
      <c r="DD205" s="394"/>
      <c r="DE205" s="394"/>
      <c r="DF205" s="394"/>
      <c r="DG205" s="394"/>
      <c r="DH205" s="394"/>
      <c r="DI205" s="394"/>
      <c r="DJ205" s="394"/>
      <c r="DK205" s="394"/>
      <c r="DL205" s="394"/>
      <c r="DM205" s="394"/>
      <c r="DN205" s="394"/>
      <c r="DO205" s="394"/>
      <c r="DP205" s="394"/>
      <c r="DQ205" s="394"/>
      <c r="DR205" s="394"/>
      <c r="DS205" s="394"/>
      <c r="DT205" s="394"/>
      <c r="DU205" s="394"/>
      <c r="DV205" s="394"/>
      <c r="DW205" s="394"/>
      <c r="DX205" s="394"/>
      <c r="DY205" s="394"/>
      <c r="DZ205" s="394"/>
      <c r="EA205" s="394"/>
      <c r="EB205" s="394"/>
      <c r="EC205" s="394"/>
      <c r="ED205" s="394"/>
      <c r="EE205" s="394"/>
      <c r="EF205" s="394"/>
      <c r="EG205" s="394"/>
      <c r="EH205" s="394"/>
      <c r="EI205" s="394"/>
      <c r="EJ205" s="394"/>
      <c r="EK205" s="394"/>
      <c r="EL205" s="394"/>
      <c r="EM205" s="394"/>
      <c r="EN205" s="394"/>
      <c r="EO205" s="394"/>
      <c r="EP205" s="394"/>
      <c r="EQ205" s="394"/>
      <c r="ER205" s="394"/>
      <c r="ES205" s="394"/>
      <c r="ET205" s="394"/>
      <c r="EU205" s="394"/>
      <c r="EV205" s="394"/>
      <c r="EW205" s="394"/>
      <c r="EX205" s="394"/>
      <c r="EY205" s="394"/>
      <c r="EZ205" s="394"/>
      <c r="FA205" s="394"/>
      <c r="FB205" s="394"/>
      <c r="FC205" s="394"/>
      <c r="FD205" s="394"/>
      <c r="FE205" s="394"/>
      <c r="FF205" s="394"/>
      <c r="FG205" s="394"/>
      <c r="FH205" s="394"/>
      <c r="FI205" s="394"/>
      <c r="FJ205" s="394"/>
      <c r="FK205" s="394"/>
      <c r="FL205" s="394"/>
      <c r="FM205" s="394"/>
      <c r="FN205" s="394"/>
      <c r="FO205" s="394"/>
      <c r="FP205" s="394"/>
      <c r="FQ205" s="394"/>
      <c r="FR205" s="394"/>
      <c r="FS205" s="394"/>
      <c r="FT205" s="394"/>
      <c r="FU205" s="394"/>
      <c r="FV205" s="394"/>
      <c r="FW205" s="394"/>
      <c r="FX205" s="394"/>
      <c r="FY205" s="394"/>
      <c r="FZ205" s="394"/>
      <c r="GA205" s="394"/>
      <c r="GB205" s="394"/>
      <c r="GC205" s="394"/>
      <c r="GD205" s="394"/>
      <c r="GE205" s="394"/>
      <c r="GF205" s="394"/>
      <c r="GG205" s="394"/>
      <c r="GH205" s="394"/>
      <c r="GI205" s="394"/>
      <c r="GJ205" s="394"/>
      <c r="GK205" s="394"/>
      <c r="GL205" s="394"/>
      <c r="GM205" s="394"/>
      <c r="GN205" s="394"/>
      <c r="GO205" s="394"/>
      <c r="GP205" s="394"/>
      <c r="GQ205" s="394"/>
      <c r="GR205" s="394"/>
      <c r="GS205" s="394"/>
      <c r="GT205" s="394"/>
      <c r="GU205" s="394"/>
      <c r="GV205" s="394"/>
      <c r="GW205" s="394"/>
      <c r="GX205" s="394"/>
      <c r="GY205" s="394"/>
      <c r="GZ205" s="394"/>
      <c r="HA205" s="394"/>
      <c r="HB205" s="394"/>
      <c r="HC205" s="394"/>
      <c r="HD205" s="394"/>
      <c r="HE205" s="394"/>
      <c r="HF205" s="394"/>
      <c r="HG205" s="394"/>
      <c r="HH205" s="394"/>
      <c r="HI205" s="394"/>
      <c r="HJ205" s="394"/>
      <c r="HK205" s="394"/>
      <c r="HL205" s="394"/>
      <c r="HM205" s="394"/>
      <c r="HN205" s="394"/>
      <c r="HO205" s="394"/>
      <c r="HP205" s="394"/>
      <c r="HQ205" s="394"/>
      <c r="HR205" s="394"/>
      <c r="HS205" s="394"/>
      <c r="HT205" s="394"/>
      <c r="HU205" s="394"/>
      <c r="HV205" s="394"/>
      <c r="HW205" s="394"/>
      <c r="HX205" s="394"/>
      <c r="HY205" s="394"/>
      <c r="HZ205" s="394"/>
      <c r="IA205" s="394"/>
      <c r="IB205" s="394"/>
      <c r="IC205" s="394"/>
      <c r="ID205" s="394"/>
      <c r="IE205" s="394"/>
      <c r="IF205" s="394"/>
      <c r="IG205" s="394"/>
      <c r="IH205" s="394"/>
      <c r="II205" s="394"/>
      <c r="IJ205" s="394"/>
      <c r="IK205" s="394"/>
      <c r="IL205" s="394"/>
      <c r="IM205" s="394"/>
      <c r="IN205" s="394"/>
      <c r="IO205" s="394"/>
      <c r="IP205" s="394"/>
      <c r="IQ205" s="394"/>
      <c r="IR205" s="394"/>
      <c r="IS205" s="394"/>
      <c r="IT205" s="394"/>
      <c r="IU205" s="394"/>
      <c r="IV205" s="394"/>
      <c r="IW205" s="394"/>
      <c r="IX205" s="394"/>
      <c r="IY205" s="394"/>
      <c r="IZ205" s="394"/>
      <c r="JA205" s="394"/>
      <c r="JB205" s="394"/>
      <c r="JC205" s="394"/>
      <c r="JD205" s="394"/>
      <c r="JE205" s="394"/>
      <c r="JF205" s="394"/>
      <c r="JG205" s="394"/>
      <c r="JH205" s="394"/>
      <c r="JI205" s="394"/>
      <c r="JJ205" s="394"/>
      <c r="JK205" s="394"/>
      <c r="JL205" s="394"/>
      <c r="JM205" s="394"/>
      <c r="JN205" s="394"/>
      <c r="JO205" s="394"/>
      <c r="JP205" s="394"/>
      <c r="JQ205" s="394"/>
      <c r="JR205" s="394"/>
      <c r="JS205" s="394"/>
      <c r="JT205" s="394"/>
      <c r="JU205" s="394"/>
      <c r="JV205" s="394"/>
      <c r="JW205" s="394"/>
      <c r="JX205" s="394"/>
      <c r="JY205" s="394"/>
      <c r="JZ205" s="394"/>
      <c r="KA205" s="394"/>
      <c r="KB205" s="394"/>
      <c r="KC205" s="394"/>
      <c r="KD205" s="394"/>
      <c r="KE205" s="394"/>
      <c r="KF205" s="394"/>
      <c r="KG205" s="394"/>
      <c r="KH205" s="394"/>
      <c r="KI205" s="394"/>
      <c r="KJ205" s="394"/>
      <c r="KK205" s="394"/>
      <c r="KL205" s="394"/>
      <c r="KM205" s="394"/>
      <c r="KN205" s="394"/>
      <c r="KO205" s="394"/>
      <c r="KP205" s="394"/>
      <c r="KQ205" s="394"/>
      <c r="KR205" s="394"/>
      <c r="KS205" s="394"/>
      <c r="KT205" s="394"/>
      <c r="KU205" s="394"/>
      <c r="KV205" s="394"/>
      <c r="KW205" s="394"/>
      <c r="KX205" s="394"/>
      <c r="KY205" s="394"/>
      <c r="KZ205" s="394"/>
      <c r="LA205" s="394"/>
      <c r="LB205" s="394"/>
      <c r="LC205" s="394"/>
      <c r="LD205" s="394"/>
      <c r="LE205" s="394"/>
      <c r="LF205" s="394"/>
      <c r="LG205" s="394"/>
      <c r="LH205" s="394"/>
      <c r="LI205" s="394"/>
      <c r="LJ205" s="394"/>
      <c r="LK205" s="394"/>
      <c r="LL205" s="394"/>
      <c r="LM205" s="394"/>
      <c r="LN205" s="394"/>
      <c r="LO205" s="394"/>
      <c r="LP205" s="394"/>
      <c r="LQ205" s="394"/>
      <c r="LR205" s="394"/>
      <c r="LS205" s="394"/>
      <c r="LT205" s="394"/>
      <c r="LU205" s="394"/>
      <c r="LV205" s="394"/>
      <c r="LW205" s="394"/>
      <c r="LX205" s="394"/>
      <c r="LY205" s="394"/>
      <c r="LZ205" s="394"/>
      <c r="MA205" s="394"/>
      <c r="MB205" s="394"/>
      <c r="MC205" s="394"/>
      <c r="MD205" s="394"/>
      <c r="ME205" s="394"/>
      <c r="MF205" s="394"/>
      <c r="MG205" s="394"/>
      <c r="MH205" s="394"/>
      <c r="MI205" s="394"/>
      <c r="MJ205" s="394"/>
      <c r="MK205" s="394"/>
      <c r="ML205" s="394"/>
      <c r="MM205" s="394"/>
      <c r="MN205" s="394"/>
      <c r="MO205" s="394"/>
      <c r="MP205" s="394"/>
      <c r="MQ205" s="394"/>
      <c r="MR205" s="394"/>
      <c r="MS205" s="394"/>
      <c r="MT205" s="394"/>
      <c r="MU205" s="394"/>
      <c r="MV205" s="394"/>
      <c r="MW205" s="394"/>
      <c r="MX205" s="394"/>
      <c r="MY205" s="394"/>
      <c r="MZ205" s="394"/>
      <c r="NA205" s="394"/>
      <c r="NB205" s="394"/>
      <c r="NC205" s="394"/>
      <c r="ND205" s="394"/>
      <c r="NE205" s="394"/>
      <c r="NF205" s="394"/>
      <c r="NG205" s="394"/>
      <c r="NH205" s="394"/>
      <c r="NI205" s="394"/>
      <c r="NJ205" s="394"/>
      <c r="NK205" s="394"/>
      <c r="NL205" s="394"/>
      <c r="NM205" s="394"/>
      <c r="NN205" s="394"/>
      <c r="NO205" s="394"/>
      <c r="NP205" s="394"/>
      <c r="NQ205" s="394"/>
      <c r="NR205" s="394"/>
      <c r="NS205" s="394"/>
      <c r="NT205" s="394"/>
      <c r="NU205" s="394"/>
      <c r="NV205" s="394"/>
      <c r="NW205" s="394"/>
      <c r="NX205" s="394"/>
      <c r="NY205" s="394"/>
      <c r="NZ205" s="394"/>
      <c r="OA205" s="394"/>
      <c r="OB205" s="394"/>
      <c r="OC205" s="394"/>
      <c r="OD205" s="394"/>
      <c r="OE205" s="394"/>
      <c r="OF205" s="394"/>
      <c r="OG205" s="394"/>
      <c r="OH205" s="394"/>
      <c r="OI205" s="394"/>
      <c r="OJ205" s="394"/>
      <c r="OK205" s="394"/>
      <c r="OL205" s="394"/>
      <c r="OM205" s="394"/>
      <c r="ON205" s="394"/>
      <c r="OO205" s="394"/>
      <c r="OP205" s="394"/>
      <c r="OQ205" s="394"/>
      <c r="OR205" s="394"/>
      <c r="OS205" s="394"/>
      <c r="OT205" s="394"/>
      <c r="OU205" s="394"/>
      <c r="OV205" s="394"/>
      <c r="OW205" s="394"/>
      <c r="OX205" s="394"/>
      <c r="OY205" s="394"/>
      <c r="OZ205" s="394"/>
      <c r="PA205" s="394"/>
      <c r="PB205" s="394"/>
      <c r="PC205" s="394"/>
      <c r="PD205" s="394"/>
      <c r="PE205" s="394"/>
      <c r="PF205" s="394"/>
      <c r="PG205" s="394"/>
      <c r="PH205" s="394"/>
      <c r="PI205" s="394"/>
      <c r="PJ205" s="394"/>
      <c r="PK205" s="394"/>
      <c r="PL205" s="394"/>
      <c r="PM205" s="394"/>
      <c r="PN205" s="394"/>
      <c r="PO205" s="394"/>
      <c r="PP205" s="394"/>
      <c r="PQ205" s="394"/>
      <c r="PR205" s="394"/>
      <c r="PS205" s="394"/>
      <c r="PT205" s="394"/>
      <c r="PU205" s="394"/>
      <c r="PV205" s="394"/>
      <c r="PW205" s="394"/>
      <c r="PX205" s="394"/>
      <c r="PY205" s="394"/>
      <c r="PZ205" s="394"/>
      <c r="QA205" s="394"/>
      <c r="QB205" s="394"/>
      <c r="QC205" s="394"/>
      <c r="QD205" s="394"/>
      <c r="QE205" s="394"/>
      <c r="QF205" s="394"/>
      <c r="QG205" s="394"/>
      <c r="QH205" s="394"/>
      <c r="QI205" s="394"/>
      <c r="QJ205" s="394"/>
      <c r="QK205" s="394"/>
      <c r="QL205" s="394"/>
      <c r="QM205" s="394"/>
      <c r="QN205" s="394"/>
      <c r="QO205" s="394"/>
      <c r="QP205" s="394"/>
      <c r="QQ205" s="394"/>
      <c r="QR205" s="394"/>
      <c r="QS205" s="394"/>
      <c r="QT205" s="394"/>
      <c r="QU205" s="394"/>
      <c r="QV205" s="394"/>
      <c r="QW205" s="394"/>
      <c r="QX205" s="394"/>
      <c r="QY205" s="394"/>
      <c r="QZ205" s="394"/>
      <c r="RA205" s="394"/>
      <c r="RB205" s="394"/>
      <c r="RC205" s="394"/>
      <c r="RD205" s="394"/>
      <c r="RE205" s="394"/>
      <c r="RF205" s="394"/>
      <c r="RG205" s="394"/>
      <c r="RH205" s="394"/>
      <c r="RI205" s="394"/>
      <c r="RJ205" s="394"/>
      <c r="RK205" s="394"/>
      <c r="RL205" s="394"/>
      <c r="RM205" s="394"/>
      <c r="RN205" s="394"/>
      <c r="RO205" s="394"/>
      <c r="RP205" s="394"/>
      <c r="RQ205" s="394"/>
      <c r="RR205" s="394"/>
      <c r="RS205" s="394"/>
      <c r="RT205" s="394"/>
      <c r="RU205" s="394"/>
      <c r="RV205" s="394"/>
      <c r="RW205" s="394"/>
      <c r="RX205" s="394"/>
      <c r="RY205" s="394"/>
      <c r="RZ205" s="394"/>
      <c r="SA205" s="394"/>
      <c r="SB205" s="394"/>
      <c r="SC205" s="394"/>
      <c r="SD205" s="394"/>
      <c r="SE205" s="394"/>
      <c r="SF205" s="394"/>
      <c r="SG205" s="394"/>
      <c r="SH205" s="394"/>
      <c r="SI205" s="394"/>
      <c r="SJ205" s="394"/>
      <c r="SK205" s="394"/>
      <c r="SL205" s="394"/>
      <c r="SM205" s="394"/>
      <c r="SN205" s="394"/>
      <c r="SO205" s="394"/>
      <c r="SP205" s="394"/>
      <c r="SQ205" s="394"/>
      <c r="SR205" s="394"/>
      <c r="SS205" s="394"/>
      <c r="ST205" s="394"/>
      <c r="SU205" s="394"/>
      <c r="SV205" s="394"/>
      <c r="SW205" s="394"/>
      <c r="SX205" s="394"/>
      <c r="SY205" s="394"/>
      <c r="SZ205" s="394"/>
      <c r="TA205" s="394"/>
      <c r="TB205" s="394"/>
      <c r="TC205" s="394"/>
      <c r="TD205" s="394"/>
      <c r="TE205" s="394"/>
      <c r="TF205" s="394"/>
      <c r="TG205" s="394"/>
      <c r="TH205" s="394"/>
      <c r="TI205" s="394"/>
      <c r="TJ205" s="394"/>
      <c r="TK205" s="394"/>
      <c r="TL205" s="394"/>
      <c r="TM205" s="394"/>
      <c r="TN205" s="394"/>
      <c r="TO205" s="394"/>
      <c r="TP205" s="394"/>
      <c r="TQ205" s="394"/>
      <c r="TR205" s="394"/>
      <c r="TS205" s="394"/>
      <c r="TT205" s="394"/>
      <c r="TU205" s="394"/>
      <c r="TV205" s="394"/>
      <c r="TW205" s="394"/>
      <c r="TX205" s="394"/>
      <c r="TY205" s="394"/>
      <c r="TZ205" s="394"/>
      <c r="UA205" s="394"/>
      <c r="UB205" s="394"/>
      <c r="UC205" s="394"/>
      <c r="UD205" s="394"/>
      <c r="UE205" s="394"/>
      <c r="UF205" s="394"/>
      <c r="UG205" s="394"/>
      <c r="UH205" s="394"/>
      <c r="UI205" s="394"/>
      <c r="UJ205" s="394"/>
      <c r="UK205" s="394"/>
      <c r="UL205" s="394"/>
      <c r="UM205" s="394"/>
      <c r="UN205" s="394"/>
      <c r="UO205" s="394"/>
      <c r="UP205" s="394"/>
      <c r="UQ205" s="394"/>
      <c r="UR205" s="394"/>
      <c r="US205" s="394"/>
      <c r="UT205" s="394"/>
      <c r="UU205" s="394"/>
      <c r="UV205" s="394"/>
      <c r="UW205" s="394"/>
      <c r="UX205" s="394"/>
      <c r="UY205" s="394"/>
      <c r="UZ205" s="394"/>
      <c r="VA205" s="394"/>
      <c r="VB205" s="394"/>
      <c r="VC205" s="394"/>
      <c r="VD205" s="394"/>
      <c r="VE205" s="394"/>
      <c r="VF205" s="394"/>
      <c r="VG205" s="394"/>
      <c r="VH205" s="394"/>
      <c r="VI205" s="394"/>
      <c r="VJ205" s="394"/>
      <c r="VK205" s="394"/>
      <c r="VL205" s="394"/>
      <c r="VM205" s="394"/>
      <c r="VN205" s="394"/>
      <c r="VO205" s="394"/>
      <c r="VP205" s="394"/>
      <c r="VQ205" s="394"/>
      <c r="VR205" s="394"/>
      <c r="VS205" s="394"/>
      <c r="VT205" s="394"/>
      <c r="VU205" s="394"/>
      <c r="VV205" s="394"/>
      <c r="VW205" s="394"/>
      <c r="VX205" s="394"/>
      <c r="VY205" s="394"/>
      <c r="VZ205" s="394"/>
      <c r="WA205" s="394"/>
      <c r="WB205" s="394"/>
      <c r="WC205" s="394"/>
      <c r="WD205" s="394"/>
      <c r="WE205" s="394"/>
      <c r="WF205" s="394"/>
      <c r="WG205" s="394"/>
      <c r="WH205" s="394"/>
      <c r="WI205" s="394"/>
      <c r="WJ205" s="394"/>
      <c r="WK205" s="394"/>
      <c r="WL205" s="394"/>
      <c r="WM205" s="394"/>
      <c r="WN205" s="394"/>
      <c r="WO205" s="394"/>
      <c r="WP205" s="394"/>
      <c r="WQ205" s="394"/>
      <c r="WR205" s="394"/>
      <c r="WS205" s="394"/>
      <c r="WT205" s="394"/>
      <c r="WU205" s="394"/>
      <c r="WV205" s="394"/>
      <c r="WW205" s="394"/>
      <c r="WX205" s="394"/>
      <c r="WY205" s="394"/>
      <c r="WZ205" s="394"/>
      <c r="XA205" s="394"/>
      <c r="XB205" s="394"/>
      <c r="XC205" s="394"/>
      <c r="XD205" s="394"/>
      <c r="XE205" s="394"/>
      <c r="XF205" s="394"/>
      <c r="XG205" s="394"/>
      <c r="XH205" s="394"/>
      <c r="XI205" s="394"/>
      <c r="XJ205" s="394"/>
      <c r="XK205" s="394"/>
      <c r="XL205" s="394"/>
      <c r="XM205" s="394"/>
      <c r="XN205" s="394"/>
      <c r="XO205" s="394"/>
      <c r="XP205" s="394"/>
      <c r="XQ205" s="394"/>
      <c r="XR205" s="394"/>
      <c r="XS205" s="394"/>
      <c r="XT205" s="394"/>
      <c r="XU205" s="394"/>
      <c r="XV205" s="394"/>
      <c r="XW205" s="394"/>
      <c r="XX205" s="394"/>
      <c r="XY205" s="394"/>
      <c r="XZ205" s="394"/>
      <c r="YA205" s="394"/>
      <c r="YB205" s="394"/>
      <c r="YC205" s="394"/>
      <c r="YD205" s="394"/>
      <c r="YE205" s="394"/>
      <c r="YF205" s="394"/>
      <c r="YG205" s="394"/>
      <c r="YH205" s="394"/>
      <c r="YI205" s="394"/>
      <c r="YJ205" s="394"/>
      <c r="YK205" s="394"/>
      <c r="YL205" s="394"/>
      <c r="YM205" s="394"/>
      <c r="YN205" s="394"/>
      <c r="YO205" s="394"/>
      <c r="YP205" s="394"/>
      <c r="YQ205" s="394"/>
      <c r="YR205" s="394"/>
      <c r="YS205" s="394"/>
      <c r="YT205" s="394"/>
      <c r="YU205" s="394"/>
      <c r="YV205" s="394"/>
      <c r="YW205" s="394"/>
      <c r="YX205" s="394"/>
      <c r="YY205" s="394"/>
      <c r="YZ205" s="394"/>
      <c r="ZA205" s="394"/>
      <c r="ZB205" s="394"/>
      <c r="ZC205" s="394"/>
      <c r="ZD205" s="394"/>
      <c r="ZE205" s="394"/>
      <c r="ZF205" s="394"/>
      <c r="ZG205" s="394"/>
      <c r="ZH205" s="394"/>
      <c r="ZI205" s="394"/>
      <c r="ZJ205" s="394"/>
      <c r="ZK205" s="394"/>
      <c r="ZL205" s="394"/>
      <c r="ZM205" s="394"/>
      <c r="ZN205" s="394"/>
      <c r="ZO205" s="394"/>
      <c r="ZP205" s="394"/>
      <c r="ZQ205" s="394"/>
      <c r="ZR205" s="394"/>
      <c r="ZS205" s="394"/>
      <c r="ZT205" s="394"/>
      <c r="ZU205" s="394"/>
      <c r="ZV205" s="394"/>
      <c r="ZW205" s="394"/>
      <c r="ZX205" s="394"/>
      <c r="ZY205" s="394"/>
      <c r="ZZ205" s="394"/>
      <c r="AAA205" s="394"/>
      <c r="AAB205" s="394"/>
      <c r="AAC205" s="394"/>
      <c r="AAD205" s="394"/>
      <c r="AAE205" s="394"/>
      <c r="AAF205" s="394"/>
      <c r="AAG205" s="394"/>
      <c r="AAH205" s="394"/>
      <c r="AAI205" s="394"/>
      <c r="AAJ205" s="394"/>
      <c r="AAK205" s="394"/>
      <c r="AAL205" s="394"/>
      <c r="AAM205" s="394"/>
      <c r="AAN205" s="394"/>
      <c r="AAO205" s="394"/>
      <c r="AAP205" s="394"/>
      <c r="AAQ205" s="394"/>
      <c r="AAR205" s="394"/>
      <c r="AAS205" s="394"/>
      <c r="AAT205" s="394"/>
      <c r="AAU205" s="394"/>
      <c r="AAV205" s="394"/>
      <c r="AAW205" s="394"/>
      <c r="AAX205" s="394"/>
      <c r="AAY205" s="394"/>
      <c r="AAZ205" s="394"/>
      <c r="ABA205" s="394"/>
      <c r="ABB205" s="394"/>
      <c r="ABC205" s="394"/>
      <c r="ABD205" s="394"/>
      <c r="ABE205" s="394"/>
      <c r="ABF205" s="394"/>
      <c r="ABG205" s="394"/>
      <c r="ABH205" s="394"/>
      <c r="ABI205" s="394"/>
      <c r="ABJ205" s="394"/>
      <c r="ABK205" s="394"/>
      <c r="ABL205" s="394"/>
      <c r="ABM205" s="394"/>
      <c r="ABN205" s="394"/>
      <c r="ABO205" s="394"/>
      <c r="ABP205" s="394"/>
      <c r="ABQ205" s="394"/>
      <c r="ABR205" s="394"/>
      <c r="ABS205" s="394"/>
      <c r="ABT205" s="394"/>
      <c r="ABU205" s="394"/>
      <c r="ABV205" s="394"/>
      <c r="ABW205" s="394"/>
      <c r="ABX205" s="394"/>
      <c r="ABY205" s="394"/>
      <c r="ABZ205" s="394"/>
      <c r="ACA205" s="394"/>
      <c r="ACB205" s="394"/>
      <c r="ACC205" s="394"/>
      <c r="ACD205" s="394"/>
      <c r="ACE205" s="394"/>
      <c r="ACF205" s="394"/>
      <c r="ACG205" s="394"/>
      <c r="ACH205" s="394"/>
      <c r="ACI205" s="394"/>
      <c r="ACJ205" s="394"/>
      <c r="ACK205" s="394"/>
      <c r="ACL205" s="394"/>
      <c r="ACM205" s="394"/>
      <c r="ACN205" s="394"/>
      <c r="ACO205" s="394"/>
      <c r="ACP205" s="394"/>
      <c r="ACQ205" s="394"/>
      <c r="ACR205" s="394"/>
      <c r="ACS205" s="394"/>
      <c r="ACT205" s="394"/>
      <c r="ACU205" s="394"/>
      <c r="ACV205" s="394"/>
      <c r="ACW205" s="394"/>
      <c r="ACX205" s="394"/>
      <c r="ACY205" s="394"/>
      <c r="ACZ205" s="394"/>
      <c r="ADA205" s="394"/>
      <c r="ADB205" s="394"/>
      <c r="ADC205" s="394"/>
      <c r="ADD205" s="394"/>
      <c r="ADE205" s="394"/>
      <c r="ADF205" s="394"/>
      <c r="ADG205" s="394"/>
      <c r="ADH205" s="394"/>
      <c r="ADI205" s="394"/>
      <c r="ADJ205" s="394"/>
      <c r="ADK205" s="394"/>
      <c r="ADL205" s="394"/>
      <c r="ADM205" s="394"/>
      <c r="ADN205" s="394"/>
      <c r="ADO205" s="394"/>
      <c r="ADP205" s="394"/>
      <c r="ADQ205" s="394"/>
      <c r="ADR205" s="394"/>
      <c r="ADS205" s="394"/>
      <c r="ADT205" s="394"/>
      <c r="ADU205" s="394"/>
      <c r="ADV205" s="394"/>
      <c r="ADW205" s="394"/>
      <c r="ADX205" s="394"/>
      <c r="ADY205" s="394"/>
      <c r="ADZ205" s="394"/>
      <c r="AEA205" s="394"/>
      <c r="AEB205" s="394"/>
      <c r="AEC205" s="394"/>
      <c r="AED205" s="394"/>
      <c r="AEE205" s="394"/>
      <c r="AEF205" s="394"/>
      <c r="AEG205" s="394"/>
      <c r="AEH205" s="394"/>
      <c r="AEI205" s="394"/>
      <c r="AEJ205" s="394"/>
      <c r="AEK205" s="394"/>
      <c r="AEL205" s="394"/>
      <c r="AEM205" s="394"/>
      <c r="AEN205" s="394"/>
      <c r="AEO205" s="394"/>
      <c r="AEP205" s="394"/>
      <c r="AEQ205" s="394"/>
      <c r="AER205" s="394"/>
      <c r="AES205" s="394"/>
      <c r="AET205" s="394"/>
      <c r="AEU205" s="394"/>
      <c r="AEV205" s="394"/>
      <c r="AEW205" s="394"/>
      <c r="AEX205" s="394"/>
      <c r="AEY205" s="394"/>
      <c r="AEZ205" s="394"/>
      <c r="AFA205" s="394"/>
      <c r="AFB205" s="394"/>
      <c r="AFC205" s="394"/>
      <c r="AFD205" s="394"/>
      <c r="AFE205" s="394"/>
      <c r="AFF205" s="394"/>
      <c r="AFG205" s="394"/>
      <c r="AFH205" s="394"/>
      <c r="AFI205" s="394"/>
      <c r="AFJ205" s="394"/>
      <c r="AFK205" s="394"/>
      <c r="AFL205" s="394"/>
      <c r="AFM205" s="394"/>
      <c r="AFN205" s="394"/>
      <c r="AFO205" s="394"/>
      <c r="AFP205" s="394"/>
      <c r="AFQ205" s="394"/>
      <c r="AFR205" s="394"/>
      <c r="AFS205" s="394"/>
      <c r="AFT205" s="394"/>
      <c r="AFU205" s="394"/>
      <c r="AFV205" s="394"/>
      <c r="AFW205" s="394"/>
      <c r="AFX205" s="394"/>
      <c r="AFY205" s="394"/>
      <c r="AFZ205" s="394"/>
      <c r="AGA205" s="394"/>
      <c r="AGB205" s="394"/>
      <c r="AGC205" s="394"/>
      <c r="AGD205" s="394"/>
      <c r="AGE205" s="394"/>
      <c r="AGF205" s="394"/>
      <c r="AGG205" s="394"/>
      <c r="AGH205" s="394"/>
      <c r="AGI205" s="394"/>
      <c r="AGJ205" s="394"/>
      <c r="AGK205" s="394"/>
      <c r="AGL205" s="394"/>
      <c r="AGM205" s="394"/>
      <c r="AGN205" s="394"/>
      <c r="AGO205" s="394"/>
      <c r="AGP205" s="394"/>
      <c r="AGQ205" s="394"/>
      <c r="AGR205" s="394"/>
      <c r="AGS205" s="394"/>
      <c r="AGT205" s="394"/>
      <c r="AGU205" s="394"/>
      <c r="AGV205" s="394"/>
      <c r="AGW205" s="394"/>
      <c r="AGX205" s="394"/>
      <c r="AGY205" s="394"/>
      <c r="AGZ205" s="394"/>
      <c r="AHA205" s="394"/>
      <c r="AHB205" s="394"/>
      <c r="AHC205" s="394"/>
      <c r="AHD205" s="394"/>
      <c r="AHE205" s="394"/>
      <c r="AHF205" s="394"/>
      <c r="AHG205" s="394"/>
      <c r="AHH205" s="394"/>
      <c r="AHI205" s="394"/>
      <c r="AHJ205" s="394"/>
      <c r="AHK205" s="394"/>
      <c r="AHL205" s="394"/>
      <c r="AHM205" s="394"/>
      <c r="AHN205" s="394"/>
      <c r="AHO205" s="394"/>
      <c r="AHP205" s="394"/>
      <c r="AHQ205" s="394"/>
      <c r="AHR205" s="394"/>
      <c r="AHS205" s="394"/>
      <c r="AHT205" s="394"/>
      <c r="AHU205" s="394"/>
      <c r="AHV205" s="394"/>
      <c r="AHW205" s="394"/>
      <c r="AHX205" s="394"/>
      <c r="AHY205" s="394"/>
      <c r="AHZ205" s="394"/>
      <c r="AIA205" s="394"/>
      <c r="AIB205" s="394"/>
      <c r="AIC205" s="394"/>
      <c r="AID205" s="394"/>
      <c r="AIE205" s="394"/>
      <c r="AIF205" s="394"/>
      <c r="AIG205" s="394"/>
      <c r="AIH205" s="394"/>
      <c r="AII205" s="394"/>
      <c r="AIJ205" s="394"/>
      <c r="AIK205" s="394"/>
      <c r="AIL205" s="394"/>
      <c r="AIM205" s="394"/>
      <c r="AIN205" s="394"/>
      <c r="AIO205" s="394"/>
      <c r="AIP205" s="394"/>
      <c r="AIQ205" s="394"/>
      <c r="AIR205" s="394"/>
      <c r="AIS205" s="394"/>
      <c r="AIT205" s="394"/>
      <c r="AIU205" s="394"/>
      <c r="AIV205" s="394"/>
      <c r="AIW205" s="394"/>
      <c r="AIX205" s="394"/>
      <c r="AIY205" s="394"/>
      <c r="AIZ205" s="394"/>
      <c r="AJA205" s="394"/>
      <c r="AJB205" s="394"/>
      <c r="AJC205" s="394"/>
      <c r="AJD205" s="394"/>
      <c r="AJE205" s="394"/>
      <c r="AJF205" s="394"/>
      <c r="AJG205" s="394"/>
      <c r="AJH205" s="394"/>
      <c r="AJI205" s="394"/>
      <c r="AJJ205" s="394"/>
      <c r="AJK205" s="394"/>
      <c r="AJL205" s="394"/>
      <c r="AJM205" s="394"/>
      <c r="AJN205" s="394"/>
      <c r="AJO205" s="394"/>
      <c r="AJP205" s="394"/>
      <c r="AJQ205" s="394"/>
      <c r="AJR205" s="394"/>
      <c r="AJS205" s="394"/>
      <c r="AJT205" s="394"/>
      <c r="AJU205" s="394"/>
      <c r="AJV205" s="394"/>
      <c r="AJW205" s="394"/>
      <c r="AJX205" s="394"/>
      <c r="AJY205" s="394"/>
      <c r="AJZ205" s="394"/>
      <c r="AKA205" s="394"/>
      <c r="AKB205" s="394"/>
      <c r="AKC205" s="394"/>
      <c r="AKD205" s="394"/>
      <c r="AKE205" s="394"/>
      <c r="AKF205" s="394"/>
      <c r="AKG205" s="394"/>
      <c r="AKH205" s="394"/>
      <c r="AKI205" s="394"/>
      <c r="AKJ205" s="394"/>
      <c r="AKK205" s="394"/>
      <c r="AKL205" s="394"/>
      <c r="AKM205" s="394"/>
      <c r="AKN205" s="394"/>
      <c r="AKO205" s="394"/>
      <c r="AKP205" s="394"/>
      <c r="AKQ205" s="394"/>
      <c r="AKR205" s="394"/>
      <c r="AKS205" s="394"/>
      <c r="AKT205" s="394"/>
      <c r="AKU205" s="394"/>
      <c r="AKV205" s="394"/>
      <c r="AKW205" s="394"/>
      <c r="AKX205" s="394"/>
      <c r="AKY205" s="394"/>
      <c r="AKZ205" s="394"/>
      <c r="ALA205" s="394"/>
      <c r="ALB205" s="394"/>
      <c r="ALC205" s="394"/>
      <c r="ALD205" s="394"/>
      <c r="ALE205" s="394"/>
      <c r="ALF205" s="394"/>
      <c r="ALG205" s="394"/>
      <c r="ALH205" s="394"/>
      <c r="ALI205" s="394"/>
      <c r="ALJ205" s="394"/>
      <c r="ALK205" s="394"/>
      <c r="ALL205" s="394"/>
      <c r="ALM205" s="394"/>
      <c r="ALN205" s="394"/>
      <c r="ALO205" s="394"/>
      <c r="ALP205" s="394"/>
      <c r="ALQ205" s="394"/>
      <c r="ALR205" s="394"/>
      <c r="ALS205" s="394"/>
      <c r="ALT205" s="394"/>
      <c r="ALU205" s="394"/>
      <c r="ALV205" s="394"/>
      <c r="ALW205" s="394"/>
      <c r="ALX205" s="394"/>
      <c r="ALY205" s="394"/>
      <c r="ALZ205" s="394"/>
      <c r="AMA205" s="394"/>
      <c r="AMB205" s="394"/>
      <c r="AMC205" s="394"/>
      <c r="AMD205" s="394"/>
      <c r="AME205" s="394"/>
      <c r="AMF205" s="394"/>
      <c r="AMG205" s="394"/>
      <c r="AMH205" s="394"/>
      <c r="AMI205" s="394"/>
      <c r="AMJ205" s="394"/>
      <c r="AMK205" s="394"/>
      <c r="AML205" s="394"/>
      <c r="AMM205" s="394"/>
      <c r="AMN205" s="394"/>
      <c r="AMO205" s="394"/>
      <c r="AMP205" s="394"/>
      <c r="AMQ205" s="394"/>
      <c r="AMR205" s="394"/>
      <c r="AMS205" s="394"/>
      <c r="AMT205" s="394"/>
      <c r="AMU205" s="394"/>
      <c r="AMV205" s="394"/>
      <c r="AMW205" s="394"/>
      <c r="AMX205" s="394"/>
      <c r="AMY205" s="394"/>
      <c r="AMZ205" s="394"/>
      <c r="ANA205" s="394"/>
      <c r="ANB205" s="394"/>
      <c r="ANC205" s="394"/>
      <c r="AND205" s="394"/>
      <c r="ANE205" s="394"/>
      <c r="ANF205" s="394"/>
      <c r="ANG205" s="394"/>
      <c r="ANH205" s="394"/>
      <c r="ANI205" s="394"/>
      <c r="ANJ205" s="394"/>
      <c r="ANK205" s="394"/>
      <c r="ANL205" s="394"/>
      <c r="ANM205" s="394"/>
      <c r="ANN205" s="394"/>
      <c r="ANO205" s="394"/>
      <c r="ANP205" s="394"/>
      <c r="ANQ205" s="394"/>
      <c r="ANR205" s="394"/>
      <c r="ANS205" s="394"/>
      <c r="ANT205" s="394"/>
      <c r="ANU205" s="394"/>
      <c r="ANV205" s="394"/>
      <c r="ANW205" s="394"/>
      <c r="ANX205" s="394"/>
      <c r="ANY205" s="394"/>
      <c r="ANZ205" s="394"/>
      <c r="AOA205" s="394"/>
      <c r="AOB205" s="394"/>
      <c r="AOC205" s="394"/>
      <c r="AOD205" s="394"/>
      <c r="AOE205" s="394"/>
      <c r="AOF205" s="394"/>
      <c r="AOG205" s="394"/>
      <c r="AOH205" s="394"/>
      <c r="AOI205" s="394"/>
      <c r="AOJ205" s="394"/>
      <c r="AOK205" s="394"/>
      <c r="AOL205" s="394"/>
      <c r="AOM205" s="394"/>
      <c r="AON205" s="394"/>
      <c r="AOO205" s="394"/>
      <c r="AOP205" s="394"/>
      <c r="AOQ205" s="394"/>
      <c r="AOR205" s="394"/>
      <c r="AOS205" s="394"/>
      <c r="AOT205" s="394"/>
      <c r="AOU205" s="394"/>
      <c r="AOV205" s="394"/>
      <c r="AOW205" s="394"/>
      <c r="AOX205" s="394"/>
      <c r="AOY205" s="394"/>
      <c r="AOZ205" s="394"/>
      <c r="APA205" s="394"/>
      <c r="APB205" s="394"/>
      <c r="APC205" s="394"/>
      <c r="APD205" s="394"/>
      <c r="APE205" s="394"/>
      <c r="APF205" s="394"/>
      <c r="APG205" s="394"/>
      <c r="APH205" s="394"/>
      <c r="API205" s="394"/>
      <c r="APJ205" s="394"/>
      <c r="APK205" s="394"/>
      <c r="APL205" s="394"/>
      <c r="APM205" s="394"/>
      <c r="APN205" s="394"/>
      <c r="APO205" s="394"/>
      <c r="APP205" s="394"/>
      <c r="APQ205" s="394"/>
      <c r="APR205" s="394"/>
      <c r="APS205" s="394"/>
      <c r="APT205" s="394"/>
      <c r="APU205" s="394"/>
      <c r="APV205" s="394"/>
      <c r="APW205" s="394"/>
      <c r="APX205" s="394"/>
      <c r="APY205" s="394"/>
      <c r="APZ205" s="394"/>
      <c r="AQA205" s="394"/>
      <c r="AQB205" s="394"/>
      <c r="AQC205" s="394"/>
      <c r="AQD205" s="394"/>
      <c r="AQE205" s="394"/>
      <c r="AQF205" s="394"/>
      <c r="AQG205" s="394"/>
      <c r="AQH205" s="394"/>
      <c r="AQI205" s="394"/>
      <c r="AQJ205" s="394"/>
      <c r="AQK205" s="394"/>
      <c r="AQL205" s="394"/>
      <c r="AQM205" s="394"/>
      <c r="AQN205" s="394"/>
      <c r="AQO205" s="394"/>
      <c r="AQP205" s="394"/>
      <c r="AQQ205" s="394"/>
      <c r="AQR205" s="394"/>
      <c r="AQS205" s="394"/>
      <c r="AQT205" s="394"/>
      <c r="AQU205" s="394"/>
      <c r="AQV205" s="394"/>
      <c r="AQW205" s="394"/>
      <c r="AQX205" s="394"/>
      <c r="AQY205" s="394"/>
      <c r="AQZ205" s="394"/>
      <c r="ARA205" s="394"/>
      <c r="ARB205" s="394"/>
      <c r="ARC205" s="394"/>
      <c r="ARD205" s="394"/>
      <c r="ARE205" s="394"/>
      <c r="ARF205" s="394"/>
      <c r="ARG205" s="394"/>
      <c r="ARH205" s="394"/>
      <c r="ARI205" s="394"/>
      <c r="ARJ205" s="394"/>
      <c r="ARK205" s="394"/>
      <c r="ARL205" s="394"/>
      <c r="ARM205" s="394"/>
      <c r="ARN205" s="394"/>
      <c r="ARO205" s="394"/>
      <c r="ARP205" s="394"/>
      <c r="ARQ205" s="394"/>
      <c r="ARR205" s="394"/>
      <c r="ARS205" s="394"/>
      <c r="ART205" s="394"/>
      <c r="ARU205" s="394"/>
      <c r="ARV205" s="394"/>
      <c r="ARW205" s="394"/>
      <c r="ARX205" s="394"/>
      <c r="ARY205" s="394"/>
      <c r="ARZ205" s="394"/>
      <c r="ASA205" s="394"/>
      <c r="ASB205" s="394"/>
      <c r="ASC205" s="394"/>
      <c r="ASD205" s="394"/>
      <c r="ASE205" s="394"/>
      <c r="ASF205" s="394"/>
      <c r="ASG205" s="394"/>
      <c r="ASH205" s="394"/>
      <c r="ASI205" s="394"/>
      <c r="ASJ205" s="394"/>
      <c r="ASK205" s="394"/>
      <c r="ASL205" s="394"/>
      <c r="ASM205" s="394"/>
      <c r="ASN205" s="394"/>
      <c r="ASO205" s="394"/>
      <c r="ASP205" s="394"/>
      <c r="ASQ205" s="394"/>
      <c r="ASR205" s="394"/>
      <c r="ASS205" s="394"/>
      <c r="AST205" s="394"/>
      <c r="ASU205" s="394"/>
      <c r="ASV205" s="394"/>
      <c r="ASW205" s="394"/>
      <c r="ASX205" s="394"/>
      <c r="ASY205" s="394"/>
      <c r="ASZ205" s="394"/>
      <c r="ATA205" s="394"/>
      <c r="ATB205" s="394"/>
      <c r="ATC205" s="394"/>
      <c r="ATD205" s="394"/>
      <c r="ATE205" s="394"/>
      <c r="ATF205" s="394"/>
      <c r="ATG205" s="394"/>
      <c r="ATH205" s="394"/>
      <c r="ATI205" s="394"/>
      <c r="ATJ205" s="394"/>
      <c r="ATK205" s="394"/>
      <c r="ATL205" s="394"/>
      <c r="ATM205" s="394"/>
      <c r="ATN205" s="394"/>
      <c r="ATO205" s="394"/>
      <c r="ATP205" s="394"/>
      <c r="ATQ205" s="394"/>
      <c r="ATR205" s="394"/>
      <c r="ATS205" s="394"/>
      <c r="ATT205" s="394"/>
      <c r="ATU205" s="394"/>
      <c r="ATV205" s="394"/>
      <c r="ATW205" s="394"/>
      <c r="ATX205" s="394"/>
      <c r="ATY205" s="394"/>
      <c r="ATZ205" s="394"/>
      <c r="AUA205" s="394"/>
      <c r="AUB205" s="394"/>
      <c r="AUC205" s="394"/>
      <c r="AUD205" s="394"/>
      <c r="AUE205" s="394"/>
      <c r="AUF205" s="394"/>
      <c r="AUG205" s="394"/>
      <c r="AUH205" s="394"/>
      <c r="AUI205" s="394"/>
      <c r="AUJ205" s="394"/>
      <c r="AUK205" s="394"/>
      <c r="AUL205" s="394"/>
      <c r="AUM205" s="394"/>
      <c r="AUN205" s="394"/>
      <c r="AUO205" s="394"/>
      <c r="AUP205" s="394"/>
      <c r="AUQ205" s="394"/>
      <c r="AUR205" s="394"/>
      <c r="AUS205" s="394"/>
      <c r="AUT205" s="394"/>
      <c r="AUU205" s="394"/>
      <c r="AUV205" s="394"/>
      <c r="AUW205" s="394"/>
      <c r="AUX205" s="394"/>
      <c r="AUY205" s="394"/>
      <c r="AUZ205" s="394"/>
      <c r="AVA205" s="394"/>
      <c r="AVB205" s="394"/>
      <c r="AVC205" s="394"/>
      <c r="AVD205" s="394"/>
      <c r="AVE205" s="394"/>
      <c r="AVF205" s="394"/>
      <c r="AVG205" s="394"/>
      <c r="AVH205" s="394"/>
      <c r="AVI205" s="394"/>
      <c r="AVJ205" s="394"/>
      <c r="AVK205" s="394"/>
      <c r="AVL205" s="394"/>
      <c r="AVM205" s="394"/>
      <c r="AVN205" s="394"/>
      <c r="AVO205" s="394"/>
      <c r="AVP205" s="394"/>
      <c r="AVQ205" s="394"/>
      <c r="AVR205" s="394"/>
      <c r="AVS205" s="394"/>
      <c r="AVT205" s="394"/>
      <c r="AVU205" s="394"/>
      <c r="AVV205" s="394"/>
      <c r="AVW205" s="394"/>
      <c r="AVX205" s="394"/>
      <c r="AVY205" s="394"/>
      <c r="AVZ205" s="394"/>
      <c r="AWA205" s="394"/>
      <c r="AWB205" s="394"/>
      <c r="AWC205" s="394"/>
      <c r="AWD205" s="394"/>
      <c r="AWE205" s="394"/>
      <c r="AWF205" s="394"/>
      <c r="AWG205" s="394"/>
      <c r="AWH205" s="394"/>
      <c r="AWI205" s="394"/>
      <c r="AWJ205" s="394"/>
      <c r="AWK205" s="394"/>
      <c r="AWL205" s="394"/>
      <c r="AWM205" s="394"/>
      <c r="AWN205" s="394"/>
      <c r="AWO205" s="394"/>
      <c r="AWP205" s="394"/>
      <c r="AWQ205" s="394"/>
      <c r="AWR205" s="394"/>
      <c r="AWS205" s="394"/>
      <c r="AWT205" s="394"/>
      <c r="AWU205" s="394"/>
      <c r="AWV205" s="394"/>
      <c r="AWW205" s="394"/>
      <c r="AWX205" s="394"/>
      <c r="AWY205" s="394"/>
      <c r="AWZ205" s="394"/>
      <c r="AXA205" s="394"/>
      <c r="AXB205" s="394"/>
      <c r="AXC205" s="394"/>
      <c r="AXD205" s="394"/>
      <c r="AXE205" s="394"/>
      <c r="AXF205" s="394"/>
      <c r="AXG205" s="394"/>
      <c r="AXH205" s="394"/>
      <c r="AXI205" s="394"/>
      <c r="AXJ205" s="394"/>
      <c r="AXK205" s="394"/>
      <c r="AXL205" s="394"/>
      <c r="AXM205" s="394"/>
      <c r="AXN205" s="394"/>
      <c r="AXO205" s="394"/>
      <c r="AXP205" s="394"/>
      <c r="AXQ205" s="394"/>
      <c r="AXR205" s="394"/>
      <c r="AXS205" s="394"/>
      <c r="AXT205" s="394"/>
      <c r="AXU205" s="394"/>
      <c r="AXV205" s="394"/>
      <c r="AXW205" s="394"/>
      <c r="AXX205" s="394"/>
      <c r="AXY205" s="394"/>
      <c r="AXZ205" s="394"/>
      <c r="AYA205" s="394"/>
      <c r="AYB205" s="394"/>
      <c r="AYC205" s="394"/>
      <c r="AYD205" s="394"/>
      <c r="AYE205" s="394"/>
      <c r="AYF205" s="394"/>
      <c r="AYG205" s="394"/>
      <c r="AYH205" s="394"/>
      <c r="AYI205" s="394"/>
      <c r="AYJ205" s="394"/>
      <c r="AYK205" s="394"/>
      <c r="AYL205" s="394"/>
      <c r="AYM205" s="394"/>
      <c r="AYN205" s="394"/>
      <c r="AYO205" s="394"/>
      <c r="AYP205" s="394"/>
      <c r="AYQ205" s="394"/>
      <c r="AYR205" s="394"/>
      <c r="AYS205" s="394"/>
      <c r="AYT205" s="394"/>
      <c r="AYU205" s="394"/>
      <c r="AYV205" s="394"/>
      <c r="AYW205" s="394"/>
      <c r="AYX205" s="394"/>
      <c r="AYY205" s="394"/>
      <c r="AYZ205" s="394"/>
      <c r="AZA205" s="394"/>
      <c r="AZB205" s="394"/>
      <c r="AZC205" s="394"/>
      <c r="AZD205" s="394"/>
      <c r="AZE205" s="394"/>
      <c r="AZF205" s="394"/>
      <c r="AZG205" s="394"/>
      <c r="AZH205" s="394"/>
      <c r="AZI205" s="394"/>
      <c r="AZJ205" s="394"/>
      <c r="AZK205" s="394"/>
      <c r="AZL205" s="394"/>
      <c r="AZM205" s="394"/>
      <c r="AZN205" s="394"/>
      <c r="AZO205" s="394"/>
      <c r="AZP205" s="394"/>
      <c r="AZQ205" s="394"/>
      <c r="AZR205" s="394"/>
      <c r="AZS205" s="394"/>
      <c r="AZT205" s="394"/>
      <c r="AZU205" s="394"/>
      <c r="AZV205" s="394"/>
      <c r="AZW205" s="394"/>
      <c r="AZX205" s="394"/>
      <c r="AZY205" s="394"/>
      <c r="AZZ205" s="394"/>
      <c r="BAA205" s="394"/>
      <c r="BAB205" s="394"/>
      <c r="BAC205" s="394"/>
      <c r="BAD205" s="394"/>
      <c r="BAE205" s="394"/>
      <c r="BAF205" s="394"/>
      <c r="BAG205" s="394"/>
      <c r="BAH205" s="394"/>
      <c r="BAI205" s="394"/>
      <c r="BAJ205" s="394"/>
      <c r="BAK205" s="394"/>
      <c r="BAL205" s="394"/>
      <c r="BAM205" s="394"/>
      <c r="BAN205" s="394"/>
      <c r="BAO205" s="394"/>
      <c r="BAP205" s="394"/>
      <c r="BAQ205" s="394"/>
      <c r="BAR205" s="394"/>
      <c r="BAS205" s="394"/>
      <c r="BAT205" s="394"/>
      <c r="BAU205" s="394"/>
      <c r="BAV205" s="394"/>
      <c r="BAW205" s="394"/>
      <c r="BAX205" s="394"/>
      <c r="BAY205" s="394"/>
      <c r="BAZ205" s="394"/>
      <c r="BBA205" s="394"/>
      <c r="BBB205" s="394"/>
      <c r="BBC205" s="394"/>
      <c r="BBD205" s="394"/>
      <c r="BBE205" s="394"/>
      <c r="BBF205" s="394"/>
      <c r="BBG205" s="394"/>
      <c r="BBH205" s="394"/>
      <c r="BBI205" s="394"/>
      <c r="BBJ205" s="394"/>
      <c r="BBK205" s="394"/>
      <c r="BBL205" s="394"/>
      <c r="BBM205" s="394"/>
      <c r="BBN205" s="394"/>
      <c r="BBO205" s="394"/>
      <c r="BBP205" s="394"/>
      <c r="BBQ205" s="394"/>
      <c r="BBR205" s="394"/>
      <c r="BBS205" s="394"/>
      <c r="BBT205" s="394"/>
      <c r="BBU205" s="394"/>
      <c r="BBV205" s="394"/>
      <c r="BBW205" s="394"/>
      <c r="BBX205" s="394"/>
      <c r="BBY205" s="394"/>
      <c r="BBZ205" s="394"/>
      <c r="BCA205" s="394"/>
      <c r="BCB205" s="394"/>
      <c r="BCC205" s="394"/>
      <c r="BCD205" s="394"/>
      <c r="BCE205" s="394"/>
      <c r="BCF205" s="394"/>
      <c r="BCG205" s="394"/>
      <c r="BCH205" s="394"/>
      <c r="BCI205" s="394"/>
      <c r="BCJ205" s="394"/>
      <c r="BCK205" s="394"/>
      <c r="BCL205" s="394"/>
      <c r="BCM205" s="394"/>
      <c r="BCN205" s="394"/>
      <c r="BCO205" s="394"/>
      <c r="BCP205" s="394"/>
      <c r="BCQ205" s="394"/>
      <c r="BCR205" s="394"/>
      <c r="BCS205" s="394"/>
      <c r="BCT205" s="394"/>
      <c r="BCU205" s="394"/>
      <c r="BCV205" s="394"/>
      <c r="BCW205" s="394"/>
      <c r="BCX205" s="394"/>
      <c r="BCY205" s="394"/>
      <c r="BCZ205" s="394"/>
      <c r="BDA205" s="394"/>
      <c r="BDB205" s="394"/>
      <c r="BDC205" s="394"/>
      <c r="BDD205" s="394"/>
      <c r="BDE205" s="394"/>
      <c r="BDF205" s="394"/>
      <c r="BDG205" s="394"/>
      <c r="BDH205" s="394"/>
      <c r="BDI205" s="394"/>
      <c r="BDJ205" s="394"/>
      <c r="BDK205" s="394"/>
      <c r="BDL205" s="394"/>
      <c r="BDM205" s="394"/>
      <c r="BDN205" s="394"/>
      <c r="BDO205" s="394"/>
      <c r="BDP205" s="394"/>
      <c r="BDQ205" s="394"/>
      <c r="BDR205" s="394"/>
      <c r="BDS205" s="394"/>
      <c r="BDT205" s="394"/>
      <c r="BDU205" s="394"/>
      <c r="BDV205" s="394"/>
      <c r="BDW205" s="394"/>
      <c r="BDX205" s="394"/>
      <c r="BDY205" s="394"/>
      <c r="BDZ205" s="394"/>
      <c r="BEA205" s="394"/>
      <c r="BEB205" s="394"/>
      <c r="BEC205" s="394"/>
      <c r="BED205" s="394"/>
      <c r="BEE205" s="394"/>
      <c r="BEF205" s="394"/>
      <c r="BEG205" s="394"/>
      <c r="BEH205" s="394"/>
      <c r="BEI205" s="394"/>
      <c r="BEJ205" s="394"/>
      <c r="BEK205" s="394"/>
      <c r="BEL205" s="394"/>
      <c r="BEM205" s="394"/>
      <c r="BEN205" s="394"/>
      <c r="BEO205" s="394"/>
      <c r="BEP205" s="394"/>
      <c r="BEQ205" s="394"/>
      <c r="BER205" s="394"/>
      <c r="BES205" s="394"/>
      <c r="BET205" s="394"/>
      <c r="BEU205" s="394"/>
      <c r="BEV205" s="394"/>
      <c r="BEW205" s="394"/>
      <c r="BEX205" s="394"/>
      <c r="BEY205" s="394"/>
      <c r="BEZ205" s="394"/>
      <c r="BFA205" s="394"/>
      <c r="BFB205" s="394"/>
      <c r="BFC205" s="394"/>
      <c r="BFD205" s="394"/>
      <c r="BFE205" s="394"/>
      <c r="BFF205" s="394"/>
      <c r="BFG205" s="394"/>
      <c r="BFH205" s="394"/>
      <c r="BFI205" s="394"/>
      <c r="BFJ205" s="394"/>
      <c r="BFK205" s="394"/>
      <c r="BFL205" s="394"/>
      <c r="BFM205" s="394"/>
      <c r="BFN205" s="394"/>
      <c r="BFO205" s="394"/>
      <c r="BFP205" s="394"/>
      <c r="BFQ205" s="394"/>
      <c r="BFR205" s="394"/>
      <c r="BFS205" s="394"/>
      <c r="BFT205" s="394"/>
      <c r="BFU205" s="394"/>
      <c r="BFV205" s="394"/>
      <c r="BFW205" s="394"/>
      <c r="BFX205" s="394"/>
      <c r="BFY205" s="394"/>
      <c r="BFZ205" s="394"/>
      <c r="BGA205" s="394"/>
      <c r="BGB205" s="394"/>
      <c r="BGC205" s="394"/>
      <c r="BGD205" s="394"/>
      <c r="BGE205" s="394"/>
      <c r="BGF205" s="394"/>
      <c r="BGG205" s="394"/>
      <c r="BGH205" s="394"/>
      <c r="BGI205" s="394"/>
      <c r="BGJ205" s="394"/>
      <c r="BGK205" s="394"/>
      <c r="BGL205" s="394"/>
      <c r="BGM205" s="394"/>
      <c r="BGN205" s="394"/>
      <c r="BGO205" s="394"/>
      <c r="BGP205" s="394"/>
      <c r="BGQ205" s="394"/>
      <c r="BGR205" s="394"/>
      <c r="BGS205" s="394"/>
      <c r="BGT205" s="394"/>
      <c r="BGU205" s="394"/>
      <c r="BGV205" s="394"/>
      <c r="BGW205" s="394"/>
      <c r="BGX205" s="394"/>
      <c r="BGY205" s="394"/>
      <c r="BGZ205" s="394"/>
      <c r="BHA205" s="394"/>
      <c r="BHB205" s="394"/>
      <c r="BHC205" s="394"/>
      <c r="BHD205" s="394"/>
      <c r="BHE205" s="394"/>
      <c r="BHF205" s="394"/>
      <c r="BHG205" s="394"/>
      <c r="BHH205" s="394"/>
      <c r="BHI205" s="394"/>
      <c r="BHJ205" s="394"/>
      <c r="BHK205" s="394"/>
      <c r="BHL205" s="394"/>
      <c r="BHM205" s="394"/>
      <c r="BHN205" s="394"/>
      <c r="BHO205" s="394"/>
      <c r="BHP205" s="394"/>
      <c r="BHQ205" s="394"/>
      <c r="BHR205" s="394"/>
      <c r="BHS205" s="394"/>
      <c r="BHT205" s="394"/>
      <c r="BHU205" s="394"/>
      <c r="BHV205" s="394"/>
      <c r="BHW205" s="394"/>
      <c r="BHX205" s="394"/>
      <c r="BHY205" s="394"/>
      <c r="BHZ205" s="394"/>
      <c r="BIA205" s="394"/>
      <c r="BIB205" s="394"/>
      <c r="BIC205" s="394"/>
      <c r="BID205" s="394"/>
      <c r="BIE205" s="394"/>
      <c r="BIF205" s="394"/>
      <c r="BIG205" s="394"/>
      <c r="BIH205" s="394"/>
      <c r="BII205" s="394"/>
      <c r="BIJ205" s="394"/>
      <c r="BIK205" s="394"/>
      <c r="BIL205" s="394"/>
      <c r="BIM205" s="394"/>
      <c r="BIN205" s="394"/>
      <c r="BIO205" s="394"/>
      <c r="BIP205" s="394"/>
      <c r="BIQ205" s="394"/>
      <c r="BIR205" s="394"/>
      <c r="BIS205" s="394"/>
      <c r="BIT205" s="394"/>
      <c r="BIU205" s="394"/>
      <c r="BIV205" s="394"/>
      <c r="BIW205" s="394"/>
      <c r="BIX205" s="394"/>
      <c r="BIY205" s="394"/>
      <c r="BIZ205" s="394"/>
      <c r="BJA205" s="394"/>
      <c r="BJB205" s="394"/>
      <c r="BJC205" s="394"/>
      <c r="BJD205" s="394"/>
      <c r="BJE205" s="394"/>
      <c r="BJF205" s="394"/>
      <c r="BJG205" s="394"/>
      <c r="BJH205" s="394"/>
      <c r="BJI205" s="394"/>
      <c r="BJJ205" s="394"/>
      <c r="BJK205" s="394"/>
      <c r="BJL205" s="394"/>
      <c r="BJM205" s="394"/>
      <c r="BJN205" s="394"/>
      <c r="BJO205" s="394"/>
      <c r="BJP205" s="394"/>
      <c r="BJQ205" s="394"/>
      <c r="BJR205" s="394"/>
      <c r="BJS205" s="394"/>
      <c r="BJT205" s="394"/>
      <c r="BJU205" s="394"/>
      <c r="BJV205" s="394"/>
      <c r="BJW205" s="394"/>
      <c r="BJX205" s="394"/>
      <c r="BJY205" s="394"/>
      <c r="BJZ205" s="394"/>
      <c r="BKA205" s="394"/>
      <c r="BKB205" s="394"/>
      <c r="BKC205" s="394"/>
      <c r="BKD205" s="394"/>
      <c r="BKE205" s="394"/>
      <c r="BKF205" s="394"/>
      <c r="BKG205" s="394"/>
      <c r="BKH205" s="394"/>
      <c r="BKI205" s="394"/>
      <c r="BKJ205" s="394"/>
      <c r="BKK205" s="394"/>
      <c r="BKL205" s="394"/>
      <c r="BKM205" s="394"/>
      <c r="BKN205" s="394"/>
      <c r="BKO205" s="394"/>
      <c r="BKP205" s="394"/>
      <c r="BKQ205" s="394"/>
      <c r="BKR205" s="394"/>
      <c r="BKS205" s="394"/>
      <c r="BKT205" s="394"/>
      <c r="BKU205" s="394"/>
      <c r="BKV205" s="394"/>
      <c r="BKW205" s="394"/>
      <c r="BKX205" s="394"/>
      <c r="BKY205" s="394"/>
      <c r="BKZ205" s="394"/>
      <c r="BLA205" s="394"/>
      <c r="BLB205" s="394"/>
      <c r="BLC205" s="394"/>
      <c r="BLD205" s="394"/>
      <c r="BLE205" s="394"/>
      <c r="BLF205" s="394"/>
      <c r="BLG205" s="394"/>
      <c r="BLH205" s="394"/>
      <c r="BLI205" s="394"/>
      <c r="BLJ205" s="394"/>
      <c r="BLK205" s="394"/>
      <c r="BLL205" s="394"/>
      <c r="BLM205" s="394"/>
      <c r="BLN205" s="394"/>
      <c r="BLO205" s="394"/>
      <c r="BLP205" s="394"/>
      <c r="BLQ205" s="394"/>
      <c r="BLR205" s="394"/>
      <c r="BLS205" s="394"/>
      <c r="BLT205" s="394"/>
      <c r="BLU205" s="394"/>
      <c r="BLV205" s="394"/>
      <c r="BLW205" s="394"/>
      <c r="BLX205" s="394"/>
      <c r="BLY205" s="394"/>
      <c r="BLZ205" s="394"/>
      <c r="BMA205" s="394"/>
      <c r="BMB205" s="394"/>
      <c r="BMC205" s="394"/>
      <c r="BMD205" s="394"/>
      <c r="BME205" s="394"/>
      <c r="BMF205" s="394"/>
      <c r="BMG205" s="394"/>
      <c r="BMH205" s="394"/>
      <c r="BMI205" s="394"/>
      <c r="BMJ205" s="394"/>
      <c r="BMK205" s="394"/>
      <c r="BML205" s="394"/>
      <c r="BMM205" s="394"/>
      <c r="BMN205" s="394"/>
      <c r="BMO205" s="394"/>
      <c r="BMP205" s="394"/>
      <c r="BMQ205" s="394"/>
      <c r="BMR205" s="394"/>
      <c r="BMS205" s="394"/>
      <c r="BMT205" s="394"/>
      <c r="BMU205" s="394"/>
      <c r="BMV205" s="394"/>
      <c r="BMW205" s="394"/>
      <c r="BMX205" s="394"/>
      <c r="BMY205" s="394"/>
      <c r="BMZ205" s="394"/>
      <c r="BNA205" s="394"/>
      <c r="BNB205" s="394"/>
      <c r="BNC205" s="394"/>
      <c r="BND205" s="394"/>
      <c r="BNE205" s="394"/>
      <c r="BNF205" s="394"/>
      <c r="BNG205" s="394"/>
      <c r="BNH205" s="394"/>
      <c r="BNI205" s="394"/>
      <c r="BNJ205" s="394"/>
      <c r="BNK205" s="394"/>
      <c r="BNL205" s="394"/>
      <c r="BNM205" s="394"/>
      <c r="BNN205" s="394"/>
      <c r="BNO205" s="394"/>
      <c r="BNP205" s="394"/>
      <c r="BNQ205" s="394"/>
      <c r="BNR205" s="394"/>
      <c r="BNS205" s="394"/>
      <c r="BNT205" s="394"/>
      <c r="BNU205" s="394"/>
      <c r="BNV205" s="394"/>
      <c r="BNW205" s="394"/>
      <c r="BNX205" s="394"/>
      <c r="BNY205" s="394"/>
      <c r="BNZ205" s="394"/>
      <c r="BOA205" s="394"/>
      <c r="BOB205" s="394"/>
      <c r="BOC205" s="394"/>
      <c r="BOD205" s="394"/>
      <c r="BOE205" s="394"/>
      <c r="BOF205" s="394"/>
      <c r="BOG205" s="394"/>
      <c r="BOH205" s="394"/>
      <c r="BOI205" s="394"/>
      <c r="BOJ205" s="394"/>
      <c r="BOK205" s="394"/>
      <c r="BOL205" s="394"/>
      <c r="BOM205" s="394"/>
      <c r="BON205" s="394"/>
      <c r="BOO205" s="394"/>
      <c r="BOP205" s="394"/>
      <c r="BOQ205" s="394"/>
      <c r="BOR205" s="394"/>
      <c r="BOS205" s="394"/>
      <c r="BOT205" s="394"/>
      <c r="BOU205" s="394"/>
      <c r="BOV205" s="394"/>
      <c r="BOW205" s="394"/>
      <c r="BOX205" s="394"/>
      <c r="BOY205" s="394"/>
      <c r="BOZ205" s="394"/>
      <c r="BPA205" s="394"/>
      <c r="BPB205" s="394"/>
      <c r="BPC205" s="394"/>
      <c r="BPD205" s="394"/>
      <c r="BPE205" s="394"/>
      <c r="BPF205" s="394"/>
      <c r="BPG205" s="394"/>
      <c r="BPH205" s="394"/>
      <c r="BPI205" s="394"/>
      <c r="BPJ205" s="394"/>
      <c r="BPK205" s="394"/>
      <c r="BPL205" s="394"/>
      <c r="BPM205" s="394"/>
      <c r="BPN205" s="394"/>
      <c r="BPO205" s="394"/>
      <c r="BPP205" s="394"/>
      <c r="BPQ205" s="394"/>
      <c r="BPR205" s="394"/>
      <c r="BPS205" s="394"/>
      <c r="BPT205" s="394"/>
      <c r="BPU205" s="394"/>
      <c r="BPV205" s="394"/>
      <c r="BPW205" s="394"/>
      <c r="BPX205" s="394"/>
      <c r="BPY205" s="394"/>
      <c r="BPZ205" s="394"/>
      <c r="BQA205" s="394"/>
      <c r="BQB205" s="394"/>
      <c r="BQC205" s="394"/>
      <c r="BQD205" s="394"/>
      <c r="BQE205" s="394"/>
      <c r="BQF205" s="394"/>
      <c r="BQG205" s="394"/>
      <c r="BQH205" s="394"/>
      <c r="BQI205" s="394"/>
      <c r="BQJ205" s="394"/>
      <c r="BQK205" s="394"/>
      <c r="BQL205" s="394"/>
      <c r="BQM205" s="394"/>
      <c r="BQN205" s="394"/>
      <c r="BQO205" s="394"/>
      <c r="BQP205" s="394"/>
      <c r="BQQ205" s="394"/>
      <c r="BQR205" s="394"/>
      <c r="BQS205" s="394"/>
      <c r="BQT205" s="394"/>
      <c r="BQU205" s="394"/>
      <c r="BQV205" s="394"/>
      <c r="BQW205" s="394"/>
      <c r="BQX205" s="394"/>
      <c r="BQY205" s="394"/>
      <c r="BQZ205" s="394"/>
      <c r="BRA205" s="394"/>
      <c r="BRB205" s="394"/>
      <c r="BRC205" s="394"/>
      <c r="BRD205" s="394"/>
      <c r="BRE205" s="394"/>
      <c r="BRF205" s="394"/>
      <c r="BRG205" s="394"/>
      <c r="BRH205" s="394"/>
      <c r="BRI205" s="394"/>
      <c r="BRJ205" s="394"/>
      <c r="BRK205" s="394"/>
      <c r="BRL205" s="394"/>
      <c r="BRM205" s="394"/>
      <c r="BRN205" s="394"/>
      <c r="BRO205" s="394"/>
      <c r="BRP205" s="394"/>
      <c r="BRQ205" s="394"/>
      <c r="BRR205" s="394"/>
      <c r="BRS205" s="394"/>
      <c r="BRT205" s="394"/>
      <c r="BRU205" s="394"/>
      <c r="BRV205" s="394"/>
      <c r="BRW205" s="394"/>
      <c r="BRX205" s="394"/>
      <c r="BRY205" s="394"/>
      <c r="BRZ205" s="394"/>
      <c r="BSA205" s="394"/>
      <c r="BSB205" s="394"/>
      <c r="BSC205" s="394"/>
      <c r="BSD205" s="394"/>
      <c r="BSE205" s="394"/>
      <c r="BSF205" s="394"/>
      <c r="BSG205" s="394"/>
      <c r="BSH205" s="394"/>
      <c r="BSI205" s="394"/>
      <c r="BSJ205" s="394"/>
      <c r="BSK205" s="394"/>
      <c r="BSL205" s="394"/>
      <c r="BSM205" s="394"/>
      <c r="BSN205" s="394"/>
      <c r="BSO205" s="394"/>
      <c r="BSP205" s="394"/>
      <c r="BSQ205" s="394"/>
      <c r="BSR205" s="394"/>
      <c r="BSS205" s="394"/>
      <c r="BST205" s="394"/>
      <c r="BSU205" s="394"/>
      <c r="BSV205" s="394"/>
      <c r="BSW205" s="394"/>
      <c r="BSX205" s="394"/>
      <c r="BSY205" s="394"/>
      <c r="BSZ205" s="394"/>
      <c r="BTA205" s="394"/>
      <c r="BTB205" s="394"/>
      <c r="BTC205" s="394"/>
      <c r="BTD205" s="394"/>
      <c r="BTE205" s="394"/>
      <c r="BTF205" s="394"/>
      <c r="BTG205" s="394"/>
      <c r="BTH205" s="394"/>
      <c r="BTI205" s="394"/>
    </row>
    <row r="206" spans="1:1881" s="391" customFormat="1" ht="110.25" customHeight="1" x14ac:dyDescent="0.25">
      <c r="A206" s="461">
        <v>622</v>
      </c>
      <c r="B206" s="246" t="s">
        <v>702</v>
      </c>
      <c r="C206" s="461" t="s">
        <v>820</v>
      </c>
      <c r="D206" s="461" t="s">
        <v>824</v>
      </c>
      <c r="E206" s="673" t="e">
        <f>HLOOKUP($D$2,'2019 Data(H)'!$C$1:$CP$300,282,FALSE)</f>
        <v>#N/A</v>
      </c>
      <c r="F206" s="589"/>
      <c r="G206" s="395"/>
      <c r="H206" s="67"/>
      <c r="I206" s="15"/>
      <c r="J206" s="394"/>
      <c r="K206" s="394"/>
      <c r="L206" s="394"/>
      <c r="M206" s="394"/>
      <c r="N206"/>
      <c r="O206" s="394"/>
      <c r="P206" s="394"/>
      <c r="Q206" s="394"/>
      <c r="R206" s="394"/>
      <c r="S206" s="394"/>
      <c r="T206" s="394"/>
      <c r="U206" s="394"/>
      <c r="V206" s="394"/>
      <c r="W206" s="394"/>
      <c r="X206" s="394"/>
      <c r="Y206" s="394"/>
      <c r="Z206" s="394"/>
      <c r="AA206" s="394"/>
      <c r="AB206" s="394"/>
      <c r="AC206" s="394"/>
      <c r="AD206" s="394"/>
      <c r="AE206" s="394"/>
      <c r="AF206" s="394"/>
      <c r="AG206" s="394"/>
      <c r="AH206" s="394"/>
      <c r="AI206" s="394"/>
      <c r="AJ206" s="394"/>
      <c r="AK206" s="394"/>
      <c r="AL206" s="394"/>
      <c r="AM206" s="394"/>
      <c r="AN206" s="394"/>
      <c r="AO206" s="394"/>
      <c r="AP206" s="394"/>
      <c r="AQ206" s="394"/>
      <c r="AR206" s="394"/>
      <c r="AS206" s="394"/>
      <c r="AT206" s="394"/>
      <c r="AU206" s="394"/>
      <c r="AV206" s="394"/>
      <c r="AW206" s="394"/>
      <c r="AX206" s="394"/>
      <c r="AY206" s="394"/>
      <c r="AZ206" s="394"/>
      <c r="BA206" s="394"/>
      <c r="BB206" s="394"/>
      <c r="BC206" s="394"/>
      <c r="BD206" s="394"/>
      <c r="BE206" s="394"/>
      <c r="BF206" s="394"/>
      <c r="BG206" s="394"/>
      <c r="BH206" s="394"/>
      <c r="BI206" s="394"/>
      <c r="BJ206" s="394"/>
      <c r="BK206" s="394"/>
      <c r="BL206" s="394"/>
      <c r="BM206" s="394"/>
      <c r="BN206" s="394"/>
      <c r="BO206" s="394"/>
      <c r="BP206" s="394"/>
      <c r="BQ206" s="394"/>
      <c r="BR206" s="394"/>
      <c r="BS206" s="394"/>
      <c r="BT206" s="394"/>
      <c r="BU206" s="394"/>
      <c r="BV206" s="394"/>
      <c r="BW206" s="394"/>
      <c r="BX206" s="394"/>
      <c r="BY206" s="394"/>
      <c r="BZ206" s="394"/>
      <c r="CA206" s="394"/>
      <c r="CB206" s="394"/>
      <c r="CC206" s="394"/>
      <c r="CD206" s="394"/>
      <c r="CE206" s="394"/>
      <c r="CF206" s="394"/>
      <c r="CG206" s="394"/>
      <c r="CH206" s="394"/>
      <c r="CI206" s="394"/>
      <c r="CJ206" s="394"/>
      <c r="CK206" s="394"/>
      <c r="CL206" s="394"/>
      <c r="CM206" s="394"/>
      <c r="CN206" s="394"/>
      <c r="CO206" s="394"/>
      <c r="CP206" s="394"/>
      <c r="CQ206" s="394"/>
      <c r="CR206" s="394"/>
      <c r="CS206" s="394"/>
      <c r="CT206" s="394"/>
      <c r="CU206" s="394"/>
      <c r="CV206" s="394"/>
      <c r="CW206" s="394"/>
      <c r="CX206" s="394"/>
      <c r="CY206" s="394"/>
      <c r="CZ206" s="394"/>
      <c r="DA206" s="394"/>
      <c r="DB206" s="394"/>
      <c r="DC206" s="394"/>
      <c r="DD206" s="394"/>
      <c r="DE206" s="394"/>
      <c r="DF206" s="394"/>
      <c r="DG206" s="394"/>
      <c r="DH206" s="394"/>
      <c r="DI206" s="394"/>
      <c r="DJ206" s="394"/>
      <c r="DK206" s="394"/>
      <c r="DL206" s="394"/>
      <c r="DM206" s="394"/>
      <c r="DN206" s="394"/>
      <c r="DO206" s="394"/>
      <c r="DP206" s="394"/>
      <c r="DQ206" s="394"/>
      <c r="DR206" s="394"/>
      <c r="DS206" s="394"/>
      <c r="DT206" s="394"/>
      <c r="DU206" s="394"/>
      <c r="DV206" s="394"/>
      <c r="DW206" s="394"/>
      <c r="DX206" s="394"/>
      <c r="DY206" s="394"/>
      <c r="DZ206" s="394"/>
      <c r="EA206" s="394"/>
      <c r="EB206" s="394"/>
      <c r="EC206" s="394"/>
      <c r="ED206" s="394"/>
      <c r="EE206" s="394"/>
      <c r="EF206" s="394"/>
      <c r="EG206" s="394"/>
      <c r="EH206" s="394"/>
      <c r="EI206" s="394"/>
      <c r="EJ206" s="394"/>
      <c r="EK206" s="394"/>
      <c r="EL206" s="394"/>
      <c r="EM206" s="394"/>
      <c r="EN206" s="394"/>
      <c r="EO206" s="394"/>
      <c r="EP206" s="394"/>
      <c r="EQ206" s="394"/>
      <c r="ER206" s="394"/>
      <c r="ES206" s="394"/>
      <c r="ET206" s="394"/>
      <c r="EU206" s="394"/>
      <c r="EV206" s="394"/>
      <c r="EW206" s="394"/>
      <c r="EX206" s="394"/>
      <c r="EY206" s="394"/>
      <c r="EZ206" s="394"/>
      <c r="FA206" s="394"/>
      <c r="FB206" s="394"/>
      <c r="FC206" s="394"/>
      <c r="FD206" s="394"/>
      <c r="FE206" s="394"/>
      <c r="FF206" s="394"/>
      <c r="FG206" s="394"/>
      <c r="FH206" s="394"/>
      <c r="FI206" s="394"/>
      <c r="FJ206" s="394"/>
      <c r="FK206" s="394"/>
      <c r="FL206" s="394"/>
      <c r="FM206" s="394"/>
      <c r="FN206" s="394"/>
      <c r="FO206" s="394"/>
      <c r="FP206" s="394"/>
      <c r="FQ206" s="394"/>
      <c r="FR206" s="394"/>
      <c r="FS206" s="394"/>
      <c r="FT206" s="394"/>
      <c r="FU206" s="394"/>
      <c r="FV206" s="394"/>
      <c r="FW206" s="394"/>
      <c r="FX206" s="394"/>
      <c r="FY206" s="394"/>
      <c r="FZ206" s="394"/>
      <c r="GA206" s="394"/>
      <c r="GB206" s="394"/>
      <c r="GC206" s="394"/>
      <c r="GD206" s="394"/>
      <c r="GE206" s="394"/>
      <c r="GF206" s="394"/>
      <c r="GG206" s="394"/>
      <c r="GH206" s="394"/>
      <c r="GI206" s="394"/>
      <c r="GJ206" s="394"/>
      <c r="GK206" s="394"/>
      <c r="GL206" s="394"/>
      <c r="GM206" s="394"/>
      <c r="GN206" s="394"/>
      <c r="GO206" s="394"/>
      <c r="GP206" s="394"/>
      <c r="GQ206" s="394"/>
      <c r="GR206" s="394"/>
      <c r="GS206" s="394"/>
      <c r="GT206" s="394"/>
      <c r="GU206" s="394"/>
      <c r="GV206" s="394"/>
      <c r="GW206" s="394"/>
      <c r="GX206" s="394"/>
      <c r="GY206" s="394"/>
      <c r="GZ206" s="394"/>
      <c r="HA206" s="394"/>
      <c r="HB206" s="394"/>
      <c r="HC206" s="394"/>
      <c r="HD206" s="394"/>
      <c r="HE206" s="394"/>
      <c r="HF206" s="394"/>
      <c r="HG206" s="394"/>
      <c r="HH206" s="394"/>
      <c r="HI206" s="394"/>
      <c r="HJ206" s="394"/>
      <c r="HK206" s="394"/>
      <c r="HL206" s="394"/>
      <c r="HM206" s="394"/>
      <c r="HN206" s="394"/>
      <c r="HO206" s="394"/>
      <c r="HP206" s="394"/>
      <c r="HQ206" s="394"/>
      <c r="HR206" s="394"/>
      <c r="HS206" s="394"/>
      <c r="HT206" s="394"/>
      <c r="HU206" s="394"/>
      <c r="HV206" s="394"/>
      <c r="HW206" s="394"/>
      <c r="HX206" s="394"/>
      <c r="HY206" s="394"/>
      <c r="HZ206" s="394"/>
      <c r="IA206" s="394"/>
      <c r="IB206" s="394"/>
      <c r="IC206" s="394"/>
      <c r="ID206" s="394"/>
      <c r="IE206" s="394"/>
      <c r="IF206" s="394"/>
      <c r="IG206" s="394"/>
      <c r="IH206" s="394"/>
      <c r="II206" s="394"/>
      <c r="IJ206" s="394"/>
      <c r="IK206" s="394"/>
      <c r="IL206" s="394"/>
      <c r="IM206" s="394"/>
      <c r="IN206" s="394"/>
      <c r="IO206" s="394"/>
      <c r="IP206" s="394"/>
      <c r="IQ206" s="394"/>
      <c r="IR206" s="394"/>
      <c r="IS206" s="394"/>
      <c r="IT206" s="394"/>
      <c r="IU206" s="394"/>
      <c r="IV206" s="394"/>
      <c r="IW206" s="394"/>
      <c r="IX206" s="394"/>
      <c r="IY206" s="394"/>
      <c r="IZ206" s="394"/>
      <c r="JA206" s="394"/>
      <c r="JB206" s="394"/>
      <c r="JC206" s="394"/>
      <c r="JD206" s="394"/>
      <c r="JE206" s="394"/>
      <c r="JF206" s="394"/>
      <c r="JG206" s="394"/>
      <c r="JH206" s="394"/>
      <c r="JI206" s="394"/>
      <c r="JJ206" s="394"/>
      <c r="JK206" s="394"/>
      <c r="JL206" s="394"/>
      <c r="JM206" s="394"/>
      <c r="JN206" s="394"/>
      <c r="JO206" s="394"/>
      <c r="JP206" s="394"/>
      <c r="JQ206" s="394"/>
      <c r="JR206" s="394"/>
      <c r="JS206" s="394"/>
      <c r="JT206" s="394"/>
      <c r="JU206" s="394"/>
      <c r="JV206" s="394"/>
      <c r="JW206" s="394"/>
      <c r="JX206" s="394"/>
      <c r="JY206" s="394"/>
      <c r="JZ206" s="394"/>
      <c r="KA206" s="394"/>
      <c r="KB206" s="394"/>
      <c r="KC206" s="394"/>
      <c r="KD206" s="394"/>
      <c r="KE206" s="394"/>
      <c r="KF206" s="394"/>
      <c r="KG206" s="394"/>
      <c r="KH206" s="394"/>
      <c r="KI206" s="394"/>
      <c r="KJ206" s="394"/>
      <c r="KK206" s="394"/>
      <c r="KL206" s="394"/>
      <c r="KM206" s="394"/>
      <c r="KN206" s="394"/>
      <c r="KO206" s="394"/>
      <c r="KP206" s="394"/>
      <c r="KQ206" s="394"/>
      <c r="KR206" s="394"/>
      <c r="KS206" s="394"/>
      <c r="KT206" s="394"/>
      <c r="KU206" s="394"/>
      <c r="KV206" s="394"/>
      <c r="KW206" s="394"/>
      <c r="KX206" s="394"/>
      <c r="KY206" s="394"/>
      <c r="KZ206" s="394"/>
      <c r="LA206" s="394"/>
      <c r="LB206" s="394"/>
      <c r="LC206" s="394"/>
      <c r="LD206" s="394"/>
      <c r="LE206" s="394"/>
      <c r="LF206" s="394"/>
      <c r="LG206" s="394"/>
      <c r="LH206" s="394"/>
      <c r="LI206" s="394"/>
      <c r="LJ206" s="394"/>
      <c r="LK206" s="394"/>
      <c r="LL206" s="394"/>
      <c r="LM206" s="394"/>
      <c r="LN206" s="394"/>
      <c r="LO206" s="394"/>
      <c r="LP206" s="394"/>
      <c r="LQ206" s="394"/>
      <c r="LR206" s="394"/>
      <c r="LS206" s="394"/>
      <c r="LT206" s="394"/>
      <c r="LU206" s="394"/>
      <c r="LV206" s="394"/>
      <c r="LW206" s="394"/>
      <c r="LX206" s="394"/>
      <c r="LY206" s="394"/>
      <c r="LZ206" s="394"/>
      <c r="MA206" s="394"/>
      <c r="MB206" s="394"/>
      <c r="MC206" s="394"/>
      <c r="MD206" s="394"/>
      <c r="ME206" s="394"/>
      <c r="MF206" s="394"/>
      <c r="MG206" s="394"/>
      <c r="MH206" s="394"/>
      <c r="MI206" s="394"/>
      <c r="MJ206" s="394"/>
      <c r="MK206" s="394"/>
      <c r="ML206" s="394"/>
      <c r="MM206" s="394"/>
      <c r="MN206" s="394"/>
      <c r="MO206" s="394"/>
      <c r="MP206" s="394"/>
      <c r="MQ206" s="394"/>
      <c r="MR206" s="394"/>
      <c r="MS206" s="394"/>
      <c r="MT206" s="394"/>
      <c r="MU206" s="394"/>
      <c r="MV206" s="394"/>
      <c r="MW206" s="394"/>
      <c r="MX206" s="394"/>
      <c r="MY206" s="394"/>
      <c r="MZ206" s="394"/>
      <c r="NA206" s="394"/>
      <c r="NB206" s="394"/>
      <c r="NC206" s="394"/>
      <c r="ND206" s="394"/>
      <c r="NE206" s="394"/>
      <c r="NF206" s="394"/>
      <c r="NG206" s="394"/>
      <c r="NH206" s="394"/>
      <c r="NI206" s="394"/>
      <c r="NJ206" s="394"/>
      <c r="NK206" s="394"/>
      <c r="NL206" s="394"/>
      <c r="NM206" s="394"/>
      <c r="NN206" s="394"/>
      <c r="NO206" s="394"/>
      <c r="NP206" s="394"/>
      <c r="NQ206" s="394"/>
      <c r="NR206" s="394"/>
      <c r="NS206" s="394"/>
      <c r="NT206" s="394"/>
      <c r="NU206" s="394"/>
      <c r="NV206" s="394"/>
      <c r="NW206" s="394"/>
      <c r="NX206" s="394"/>
      <c r="NY206" s="394"/>
      <c r="NZ206" s="394"/>
      <c r="OA206" s="394"/>
      <c r="OB206" s="394"/>
      <c r="OC206" s="394"/>
      <c r="OD206" s="394"/>
      <c r="OE206" s="394"/>
      <c r="OF206" s="394"/>
      <c r="OG206" s="394"/>
      <c r="OH206" s="394"/>
      <c r="OI206" s="394"/>
      <c r="OJ206" s="394"/>
      <c r="OK206" s="394"/>
      <c r="OL206" s="394"/>
      <c r="OM206" s="394"/>
      <c r="ON206" s="394"/>
      <c r="OO206" s="394"/>
      <c r="OP206" s="394"/>
      <c r="OQ206" s="394"/>
      <c r="OR206" s="394"/>
      <c r="OS206" s="394"/>
      <c r="OT206" s="394"/>
      <c r="OU206" s="394"/>
      <c r="OV206" s="394"/>
      <c r="OW206" s="394"/>
      <c r="OX206" s="394"/>
      <c r="OY206" s="394"/>
      <c r="OZ206" s="394"/>
      <c r="PA206" s="394"/>
      <c r="PB206" s="394"/>
      <c r="PC206" s="394"/>
      <c r="PD206" s="394"/>
      <c r="PE206" s="394"/>
      <c r="PF206" s="394"/>
      <c r="PG206" s="394"/>
      <c r="PH206" s="394"/>
      <c r="PI206" s="394"/>
      <c r="PJ206" s="394"/>
      <c r="PK206" s="394"/>
      <c r="PL206" s="394"/>
      <c r="PM206" s="394"/>
      <c r="PN206" s="394"/>
      <c r="PO206" s="394"/>
      <c r="PP206" s="394"/>
      <c r="PQ206" s="394"/>
      <c r="PR206" s="394"/>
      <c r="PS206" s="394"/>
      <c r="PT206" s="394"/>
      <c r="PU206" s="394"/>
      <c r="PV206" s="394"/>
      <c r="PW206" s="394"/>
      <c r="PX206" s="394"/>
      <c r="PY206" s="394"/>
      <c r="PZ206" s="394"/>
      <c r="QA206" s="394"/>
      <c r="QB206" s="394"/>
      <c r="QC206" s="394"/>
      <c r="QD206" s="394"/>
      <c r="QE206" s="394"/>
      <c r="QF206" s="394"/>
      <c r="QG206" s="394"/>
      <c r="QH206" s="394"/>
      <c r="QI206" s="394"/>
      <c r="QJ206" s="394"/>
      <c r="QK206" s="394"/>
      <c r="QL206" s="394"/>
      <c r="QM206" s="394"/>
      <c r="QN206" s="394"/>
      <c r="QO206" s="394"/>
      <c r="QP206" s="394"/>
      <c r="QQ206" s="394"/>
      <c r="QR206" s="394"/>
      <c r="QS206" s="394"/>
      <c r="QT206" s="394"/>
      <c r="QU206" s="394"/>
      <c r="QV206" s="394"/>
      <c r="QW206" s="394"/>
      <c r="QX206" s="394"/>
      <c r="QY206" s="394"/>
      <c r="QZ206" s="394"/>
      <c r="RA206" s="394"/>
      <c r="RB206" s="394"/>
      <c r="RC206" s="394"/>
      <c r="RD206" s="394"/>
      <c r="RE206" s="394"/>
      <c r="RF206" s="394"/>
      <c r="RG206" s="394"/>
      <c r="RH206" s="394"/>
      <c r="RI206" s="394"/>
      <c r="RJ206" s="394"/>
      <c r="RK206" s="394"/>
      <c r="RL206" s="394"/>
      <c r="RM206" s="394"/>
      <c r="RN206" s="394"/>
      <c r="RO206" s="394"/>
      <c r="RP206" s="394"/>
      <c r="RQ206" s="394"/>
      <c r="RR206" s="394"/>
      <c r="RS206" s="394"/>
      <c r="RT206" s="394"/>
      <c r="RU206" s="394"/>
      <c r="RV206" s="394"/>
      <c r="RW206" s="394"/>
      <c r="RX206" s="394"/>
      <c r="RY206" s="394"/>
      <c r="RZ206" s="394"/>
      <c r="SA206" s="394"/>
      <c r="SB206" s="394"/>
      <c r="SC206" s="394"/>
      <c r="SD206" s="394"/>
      <c r="SE206" s="394"/>
      <c r="SF206" s="394"/>
      <c r="SG206" s="394"/>
      <c r="SH206" s="394"/>
      <c r="SI206" s="394"/>
      <c r="SJ206" s="394"/>
      <c r="SK206" s="394"/>
      <c r="SL206" s="394"/>
      <c r="SM206" s="394"/>
      <c r="SN206" s="394"/>
      <c r="SO206" s="394"/>
      <c r="SP206" s="394"/>
      <c r="SQ206" s="394"/>
      <c r="SR206" s="394"/>
      <c r="SS206" s="394"/>
      <c r="ST206" s="394"/>
      <c r="SU206" s="394"/>
      <c r="SV206" s="394"/>
      <c r="SW206" s="394"/>
      <c r="SX206" s="394"/>
      <c r="SY206" s="394"/>
      <c r="SZ206" s="394"/>
      <c r="TA206" s="394"/>
      <c r="TB206" s="394"/>
      <c r="TC206" s="394"/>
      <c r="TD206" s="394"/>
      <c r="TE206" s="394"/>
      <c r="TF206" s="394"/>
      <c r="TG206" s="394"/>
      <c r="TH206" s="394"/>
      <c r="TI206" s="394"/>
      <c r="TJ206" s="394"/>
      <c r="TK206" s="394"/>
      <c r="TL206" s="394"/>
      <c r="TM206" s="394"/>
      <c r="TN206" s="394"/>
      <c r="TO206" s="394"/>
      <c r="TP206" s="394"/>
      <c r="TQ206" s="394"/>
      <c r="TR206" s="394"/>
      <c r="TS206" s="394"/>
      <c r="TT206" s="394"/>
      <c r="TU206" s="394"/>
      <c r="TV206" s="394"/>
      <c r="TW206" s="394"/>
      <c r="TX206" s="394"/>
      <c r="TY206" s="394"/>
      <c r="TZ206" s="394"/>
      <c r="UA206" s="394"/>
      <c r="UB206" s="394"/>
      <c r="UC206" s="394"/>
      <c r="UD206" s="394"/>
      <c r="UE206" s="394"/>
      <c r="UF206" s="394"/>
      <c r="UG206" s="394"/>
      <c r="UH206" s="394"/>
      <c r="UI206" s="394"/>
      <c r="UJ206" s="394"/>
      <c r="UK206" s="394"/>
      <c r="UL206" s="394"/>
      <c r="UM206" s="394"/>
      <c r="UN206" s="394"/>
      <c r="UO206" s="394"/>
      <c r="UP206" s="394"/>
      <c r="UQ206" s="394"/>
      <c r="UR206" s="394"/>
      <c r="US206" s="394"/>
      <c r="UT206" s="394"/>
      <c r="UU206" s="394"/>
      <c r="UV206" s="394"/>
      <c r="UW206" s="394"/>
      <c r="UX206" s="394"/>
      <c r="UY206" s="394"/>
      <c r="UZ206" s="394"/>
      <c r="VA206" s="394"/>
      <c r="VB206" s="394"/>
      <c r="VC206" s="394"/>
      <c r="VD206" s="394"/>
      <c r="VE206" s="394"/>
      <c r="VF206" s="394"/>
      <c r="VG206" s="394"/>
      <c r="VH206" s="394"/>
      <c r="VI206" s="394"/>
      <c r="VJ206" s="394"/>
      <c r="VK206" s="394"/>
      <c r="VL206" s="394"/>
      <c r="VM206" s="394"/>
      <c r="VN206" s="394"/>
      <c r="VO206" s="394"/>
      <c r="VP206" s="394"/>
      <c r="VQ206" s="394"/>
      <c r="VR206" s="394"/>
      <c r="VS206" s="394"/>
      <c r="VT206" s="394"/>
      <c r="VU206" s="394"/>
      <c r="VV206" s="394"/>
      <c r="VW206" s="394"/>
      <c r="VX206" s="394"/>
      <c r="VY206" s="394"/>
      <c r="VZ206" s="394"/>
      <c r="WA206" s="394"/>
      <c r="WB206" s="394"/>
      <c r="WC206" s="394"/>
      <c r="WD206" s="394"/>
      <c r="WE206" s="394"/>
      <c r="WF206" s="394"/>
      <c r="WG206" s="394"/>
      <c r="WH206" s="394"/>
      <c r="WI206" s="394"/>
      <c r="WJ206" s="394"/>
      <c r="WK206" s="394"/>
      <c r="WL206" s="394"/>
      <c r="WM206" s="394"/>
      <c r="WN206" s="394"/>
      <c r="WO206" s="394"/>
      <c r="WP206" s="394"/>
      <c r="WQ206" s="394"/>
      <c r="WR206" s="394"/>
      <c r="WS206" s="394"/>
      <c r="WT206" s="394"/>
      <c r="WU206" s="394"/>
      <c r="WV206" s="394"/>
      <c r="WW206" s="394"/>
      <c r="WX206" s="394"/>
      <c r="WY206" s="394"/>
      <c r="WZ206" s="394"/>
      <c r="XA206" s="394"/>
      <c r="XB206" s="394"/>
      <c r="XC206" s="394"/>
      <c r="XD206" s="394"/>
      <c r="XE206" s="394"/>
      <c r="XF206" s="394"/>
      <c r="XG206" s="394"/>
      <c r="XH206" s="394"/>
      <c r="XI206" s="394"/>
      <c r="XJ206" s="394"/>
      <c r="XK206" s="394"/>
      <c r="XL206" s="394"/>
      <c r="XM206" s="394"/>
      <c r="XN206" s="394"/>
      <c r="XO206" s="394"/>
      <c r="XP206" s="394"/>
      <c r="XQ206" s="394"/>
      <c r="XR206" s="394"/>
      <c r="XS206" s="394"/>
      <c r="XT206" s="394"/>
      <c r="XU206" s="394"/>
      <c r="XV206" s="394"/>
      <c r="XW206" s="394"/>
      <c r="XX206" s="394"/>
      <c r="XY206" s="394"/>
      <c r="XZ206" s="394"/>
      <c r="YA206" s="394"/>
      <c r="YB206" s="394"/>
      <c r="YC206" s="394"/>
      <c r="YD206" s="394"/>
      <c r="YE206" s="394"/>
      <c r="YF206" s="394"/>
      <c r="YG206" s="394"/>
      <c r="YH206" s="394"/>
      <c r="YI206" s="394"/>
      <c r="YJ206" s="394"/>
      <c r="YK206" s="394"/>
      <c r="YL206" s="394"/>
      <c r="YM206" s="394"/>
      <c r="YN206" s="394"/>
      <c r="YO206" s="394"/>
      <c r="YP206" s="394"/>
      <c r="YQ206" s="394"/>
      <c r="YR206" s="394"/>
      <c r="YS206" s="394"/>
      <c r="YT206" s="394"/>
      <c r="YU206" s="394"/>
      <c r="YV206" s="394"/>
      <c r="YW206" s="394"/>
      <c r="YX206" s="394"/>
      <c r="YY206" s="394"/>
      <c r="YZ206" s="394"/>
      <c r="ZA206" s="394"/>
      <c r="ZB206" s="394"/>
      <c r="ZC206" s="394"/>
      <c r="ZD206" s="394"/>
      <c r="ZE206" s="394"/>
      <c r="ZF206" s="394"/>
      <c r="ZG206" s="394"/>
      <c r="ZH206" s="394"/>
      <c r="ZI206" s="394"/>
      <c r="ZJ206" s="394"/>
      <c r="ZK206" s="394"/>
      <c r="ZL206" s="394"/>
      <c r="ZM206" s="394"/>
      <c r="ZN206" s="394"/>
      <c r="ZO206" s="394"/>
      <c r="ZP206" s="394"/>
      <c r="ZQ206" s="394"/>
      <c r="ZR206" s="394"/>
      <c r="ZS206" s="394"/>
      <c r="ZT206" s="394"/>
      <c r="ZU206" s="394"/>
      <c r="ZV206" s="394"/>
      <c r="ZW206" s="394"/>
      <c r="ZX206" s="394"/>
      <c r="ZY206" s="394"/>
      <c r="ZZ206" s="394"/>
      <c r="AAA206" s="394"/>
      <c r="AAB206" s="394"/>
      <c r="AAC206" s="394"/>
      <c r="AAD206" s="394"/>
      <c r="AAE206" s="394"/>
      <c r="AAF206" s="394"/>
      <c r="AAG206" s="394"/>
      <c r="AAH206" s="394"/>
      <c r="AAI206" s="394"/>
      <c r="AAJ206" s="394"/>
      <c r="AAK206" s="394"/>
      <c r="AAL206" s="394"/>
      <c r="AAM206" s="394"/>
      <c r="AAN206" s="394"/>
      <c r="AAO206" s="394"/>
      <c r="AAP206" s="394"/>
      <c r="AAQ206" s="394"/>
      <c r="AAR206" s="394"/>
      <c r="AAS206" s="394"/>
      <c r="AAT206" s="394"/>
      <c r="AAU206" s="394"/>
      <c r="AAV206" s="394"/>
      <c r="AAW206" s="394"/>
      <c r="AAX206" s="394"/>
      <c r="AAY206" s="394"/>
      <c r="AAZ206" s="394"/>
      <c r="ABA206" s="394"/>
      <c r="ABB206" s="394"/>
      <c r="ABC206" s="394"/>
      <c r="ABD206" s="394"/>
      <c r="ABE206" s="394"/>
      <c r="ABF206" s="394"/>
      <c r="ABG206" s="394"/>
      <c r="ABH206" s="394"/>
      <c r="ABI206" s="394"/>
      <c r="ABJ206" s="394"/>
      <c r="ABK206" s="394"/>
      <c r="ABL206" s="394"/>
      <c r="ABM206" s="394"/>
      <c r="ABN206" s="394"/>
      <c r="ABO206" s="394"/>
      <c r="ABP206" s="394"/>
      <c r="ABQ206" s="394"/>
      <c r="ABR206" s="394"/>
      <c r="ABS206" s="394"/>
      <c r="ABT206" s="394"/>
      <c r="ABU206" s="394"/>
      <c r="ABV206" s="394"/>
      <c r="ABW206" s="394"/>
      <c r="ABX206" s="394"/>
      <c r="ABY206" s="394"/>
      <c r="ABZ206" s="394"/>
      <c r="ACA206" s="394"/>
      <c r="ACB206" s="394"/>
      <c r="ACC206" s="394"/>
      <c r="ACD206" s="394"/>
      <c r="ACE206" s="394"/>
      <c r="ACF206" s="394"/>
      <c r="ACG206" s="394"/>
      <c r="ACH206" s="394"/>
      <c r="ACI206" s="394"/>
      <c r="ACJ206" s="394"/>
      <c r="ACK206" s="394"/>
      <c r="ACL206" s="394"/>
      <c r="ACM206" s="394"/>
      <c r="ACN206" s="394"/>
      <c r="ACO206" s="394"/>
      <c r="ACP206" s="394"/>
      <c r="ACQ206" s="394"/>
      <c r="ACR206" s="394"/>
      <c r="ACS206" s="394"/>
      <c r="ACT206" s="394"/>
      <c r="ACU206" s="394"/>
      <c r="ACV206" s="394"/>
      <c r="ACW206" s="394"/>
      <c r="ACX206" s="394"/>
      <c r="ACY206" s="394"/>
      <c r="ACZ206" s="394"/>
      <c r="ADA206" s="394"/>
      <c r="ADB206" s="394"/>
      <c r="ADC206" s="394"/>
      <c r="ADD206" s="394"/>
      <c r="ADE206" s="394"/>
      <c r="ADF206" s="394"/>
      <c r="ADG206" s="394"/>
      <c r="ADH206" s="394"/>
      <c r="ADI206" s="394"/>
      <c r="ADJ206" s="394"/>
      <c r="ADK206" s="394"/>
      <c r="ADL206" s="394"/>
      <c r="ADM206" s="394"/>
      <c r="ADN206" s="394"/>
      <c r="ADO206" s="394"/>
      <c r="ADP206" s="394"/>
      <c r="ADQ206" s="394"/>
      <c r="ADR206" s="394"/>
      <c r="ADS206" s="394"/>
      <c r="ADT206" s="394"/>
      <c r="ADU206" s="394"/>
      <c r="ADV206" s="394"/>
      <c r="ADW206" s="394"/>
      <c r="ADX206" s="394"/>
      <c r="ADY206" s="394"/>
      <c r="ADZ206" s="394"/>
      <c r="AEA206" s="394"/>
      <c r="AEB206" s="394"/>
      <c r="AEC206" s="394"/>
      <c r="AED206" s="394"/>
      <c r="AEE206" s="394"/>
      <c r="AEF206" s="394"/>
      <c r="AEG206" s="394"/>
      <c r="AEH206" s="394"/>
      <c r="AEI206" s="394"/>
      <c r="AEJ206" s="394"/>
      <c r="AEK206" s="394"/>
      <c r="AEL206" s="394"/>
      <c r="AEM206" s="394"/>
      <c r="AEN206" s="394"/>
      <c r="AEO206" s="394"/>
      <c r="AEP206" s="394"/>
      <c r="AEQ206" s="394"/>
      <c r="AER206" s="394"/>
      <c r="AES206" s="394"/>
      <c r="AET206" s="394"/>
      <c r="AEU206" s="394"/>
      <c r="AEV206" s="394"/>
      <c r="AEW206" s="394"/>
      <c r="AEX206" s="394"/>
      <c r="AEY206" s="394"/>
      <c r="AEZ206" s="394"/>
      <c r="AFA206" s="394"/>
      <c r="AFB206" s="394"/>
      <c r="AFC206" s="394"/>
      <c r="AFD206" s="394"/>
      <c r="AFE206" s="394"/>
      <c r="AFF206" s="394"/>
      <c r="AFG206" s="394"/>
      <c r="AFH206" s="394"/>
      <c r="AFI206" s="394"/>
      <c r="AFJ206" s="394"/>
      <c r="AFK206" s="394"/>
      <c r="AFL206" s="394"/>
      <c r="AFM206" s="394"/>
      <c r="AFN206" s="394"/>
      <c r="AFO206" s="394"/>
      <c r="AFP206" s="394"/>
      <c r="AFQ206" s="394"/>
      <c r="AFR206" s="394"/>
      <c r="AFS206" s="394"/>
      <c r="AFT206" s="394"/>
      <c r="AFU206" s="394"/>
      <c r="AFV206" s="394"/>
      <c r="AFW206" s="394"/>
      <c r="AFX206" s="394"/>
      <c r="AFY206" s="394"/>
      <c r="AFZ206" s="394"/>
      <c r="AGA206" s="394"/>
      <c r="AGB206" s="394"/>
      <c r="AGC206" s="394"/>
      <c r="AGD206" s="394"/>
      <c r="AGE206" s="394"/>
      <c r="AGF206" s="394"/>
      <c r="AGG206" s="394"/>
      <c r="AGH206" s="394"/>
      <c r="AGI206" s="394"/>
      <c r="AGJ206" s="394"/>
      <c r="AGK206" s="394"/>
      <c r="AGL206" s="394"/>
      <c r="AGM206" s="394"/>
      <c r="AGN206" s="394"/>
      <c r="AGO206" s="394"/>
      <c r="AGP206" s="394"/>
      <c r="AGQ206" s="394"/>
      <c r="AGR206" s="394"/>
      <c r="AGS206" s="394"/>
      <c r="AGT206" s="394"/>
      <c r="AGU206" s="394"/>
      <c r="AGV206" s="394"/>
      <c r="AGW206" s="394"/>
      <c r="AGX206" s="394"/>
      <c r="AGY206" s="394"/>
      <c r="AGZ206" s="394"/>
      <c r="AHA206" s="394"/>
      <c r="AHB206" s="394"/>
      <c r="AHC206" s="394"/>
      <c r="AHD206" s="394"/>
      <c r="AHE206" s="394"/>
      <c r="AHF206" s="394"/>
      <c r="AHG206" s="394"/>
      <c r="AHH206" s="394"/>
      <c r="AHI206" s="394"/>
      <c r="AHJ206" s="394"/>
      <c r="AHK206" s="394"/>
      <c r="AHL206" s="394"/>
      <c r="AHM206" s="394"/>
      <c r="AHN206" s="394"/>
      <c r="AHO206" s="394"/>
      <c r="AHP206" s="394"/>
      <c r="AHQ206" s="394"/>
      <c r="AHR206" s="394"/>
      <c r="AHS206" s="394"/>
      <c r="AHT206" s="394"/>
      <c r="AHU206" s="394"/>
      <c r="AHV206" s="394"/>
      <c r="AHW206" s="394"/>
      <c r="AHX206" s="394"/>
      <c r="AHY206" s="394"/>
      <c r="AHZ206" s="394"/>
      <c r="AIA206" s="394"/>
      <c r="AIB206" s="394"/>
      <c r="AIC206" s="394"/>
      <c r="AID206" s="394"/>
      <c r="AIE206" s="394"/>
      <c r="AIF206" s="394"/>
      <c r="AIG206" s="394"/>
      <c r="AIH206" s="394"/>
      <c r="AII206" s="394"/>
      <c r="AIJ206" s="394"/>
      <c r="AIK206" s="394"/>
      <c r="AIL206" s="394"/>
      <c r="AIM206" s="394"/>
      <c r="AIN206" s="394"/>
      <c r="AIO206" s="394"/>
      <c r="AIP206" s="394"/>
      <c r="AIQ206" s="394"/>
      <c r="AIR206" s="394"/>
      <c r="AIS206" s="394"/>
      <c r="AIT206" s="394"/>
      <c r="AIU206" s="394"/>
      <c r="AIV206" s="394"/>
      <c r="AIW206" s="394"/>
      <c r="AIX206" s="394"/>
      <c r="AIY206" s="394"/>
      <c r="AIZ206" s="394"/>
      <c r="AJA206" s="394"/>
      <c r="AJB206" s="394"/>
      <c r="AJC206" s="394"/>
      <c r="AJD206" s="394"/>
      <c r="AJE206" s="394"/>
      <c r="AJF206" s="394"/>
      <c r="AJG206" s="394"/>
      <c r="AJH206" s="394"/>
      <c r="AJI206" s="394"/>
      <c r="AJJ206" s="394"/>
      <c r="AJK206" s="394"/>
      <c r="AJL206" s="394"/>
      <c r="AJM206" s="394"/>
      <c r="AJN206" s="394"/>
      <c r="AJO206" s="394"/>
      <c r="AJP206" s="394"/>
      <c r="AJQ206" s="394"/>
      <c r="AJR206" s="394"/>
      <c r="AJS206" s="394"/>
      <c r="AJT206" s="394"/>
      <c r="AJU206" s="394"/>
      <c r="AJV206" s="394"/>
      <c r="AJW206" s="394"/>
      <c r="AJX206" s="394"/>
      <c r="AJY206" s="394"/>
      <c r="AJZ206" s="394"/>
      <c r="AKA206" s="394"/>
      <c r="AKB206" s="394"/>
      <c r="AKC206" s="394"/>
      <c r="AKD206" s="394"/>
      <c r="AKE206" s="394"/>
      <c r="AKF206" s="394"/>
      <c r="AKG206" s="394"/>
      <c r="AKH206" s="394"/>
      <c r="AKI206" s="394"/>
      <c r="AKJ206" s="394"/>
      <c r="AKK206" s="394"/>
      <c r="AKL206" s="394"/>
      <c r="AKM206" s="394"/>
      <c r="AKN206" s="394"/>
      <c r="AKO206" s="394"/>
      <c r="AKP206" s="394"/>
      <c r="AKQ206" s="394"/>
      <c r="AKR206" s="394"/>
      <c r="AKS206" s="394"/>
      <c r="AKT206" s="394"/>
      <c r="AKU206" s="394"/>
      <c r="AKV206" s="394"/>
      <c r="AKW206" s="394"/>
      <c r="AKX206" s="394"/>
      <c r="AKY206" s="394"/>
      <c r="AKZ206" s="394"/>
      <c r="ALA206" s="394"/>
      <c r="ALB206" s="394"/>
      <c r="ALC206" s="394"/>
      <c r="ALD206" s="394"/>
      <c r="ALE206" s="394"/>
      <c r="ALF206" s="394"/>
      <c r="ALG206" s="394"/>
      <c r="ALH206" s="394"/>
      <c r="ALI206" s="394"/>
      <c r="ALJ206" s="394"/>
      <c r="ALK206" s="394"/>
      <c r="ALL206" s="394"/>
      <c r="ALM206" s="394"/>
      <c r="ALN206" s="394"/>
      <c r="ALO206" s="394"/>
      <c r="ALP206" s="394"/>
      <c r="ALQ206" s="394"/>
      <c r="ALR206" s="394"/>
      <c r="ALS206" s="394"/>
      <c r="ALT206" s="394"/>
      <c r="ALU206" s="394"/>
      <c r="ALV206" s="394"/>
      <c r="ALW206" s="394"/>
      <c r="ALX206" s="394"/>
      <c r="ALY206" s="394"/>
      <c r="ALZ206" s="394"/>
      <c r="AMA206" s="394"/>
      <c r="AMB206" s="394"/>
      <c r="AMC206" s="394"/>
      <c r="AMD206" s="394"/>
      <c r="AME206" s="394"/>
      <c r="AMF206" s="394"/>
      <c r="AMG206" s="394"/>
      <c r="AMH206" s="394"/>
      <c r="AMI206" s="394"/>
      <c r="AMJ206" s="394"/>
      <c r="AMK206" s="394"/>
      <c r="AML206" s="394"/>
      <c r="AMM206" s="394"/>
      <c r="AMN206" s="394"/>
      <c r="AMO206" s="394"/>
      <c r="AMP206" s="394"/>
      <c r="AMQ206" s="394"/>
      <c r="AMR206" s="394"/>
      <c r="AMS206" s="394"/>
      <c r="AMT206" s="394"/>
      <c r="AMU206" s="394"/>
      <c r="AMV206" s="394"/>
      <c r="AMW206" s="394"/>
      <c r="AMX206" s="394"/>
      <c r="AMY206" s="394"/>
      <c r="AMZ206" s="394"/>
      <c r="ANA206" s="394"/>
      <c r="ANB206" s="394"/>
      <c r="ANC206" s="394"/>
      <c r="AND206" s="394"/>
      <c r="ANE206" s="394"/>
      <c r="ANF206" s="394"/>
      <c r="ANG206" s="394"/>
      <c r="ANH206" s="394"/>
      <c r="ANI206" s="394"/>
      <c r="ANJ206" s="394"/>
      <c r="ANK206" s="394"/>
      <c r="ANL206" s="394"/>
      <c r="ANM206" s="394"/>
      <c r="ANN206" s="394"/>
      <c r="ANO206" s="394"/>
      <c r="ANP206" s="394"/>
      <c r="ANQ206" s="394"/>
      <c r="ANR206" s="394"/>
      <c r="ANS206" s="394"/>
      <c r="ANT206" s="394"/>
      <c r="ANU206" s="394"/>
      <c r="ANV206" s="394"/>
      <c r="ANW206" s="394"/>
      <c r="ANX206" s="394"/>
      <c r="ANY206" s="394"/>
      <c r="ANZ206" s="394"/>
      <c r="AOA206" s="394"/>
      <c r="AOB206" s="394"/>
      <c r="AOC206" s="394"/>
      <c r="AOD206" s="394"/>
      <c r="AOE206" s="394"/>
      <c r="AOF206" s="394"/>
      <c r="AOG206" s="394"/>
      <c r="AOH206" s="394"/>
      <c r="AOI206" s="394"/>
      <c r="AOJ206" s="394"/>
      <c r="AOK206" s="394"/>
      <c r="AOL206" s="394"/>
      <c r="AOM206" s="394"/>
      <c r="AON206" s="394"/>
      <c r="AOO206" s="394"/>
      <c r="AOP206" s="394"/>
      <c r="AOQ206" s="394"/>
      <c r="AOR206" s="394"/>
      <c r="AOS206" s="394"/>
      <c r="AOT206" s="394"/>
      <c r="AOU206" s="394"/>
      <c r="AOV206" s="394"/>
      <c r="AOW206" s="394"/>
      <c r="AOX206" s="394"/>
      <c r="AOY206" s="394"/>
      <c r="AOZ206" s="394"/>
      <c r="APA206" s="394"/>
      <c r="APB206" s="394"/>
      <c r="APC206" s="394"/>
      <c r="APD206" s="394"/>
      <c r="APE206" s="394"/>
      <c r="APF206" s="394"/>
      <c r="APG206" s="394"/>
      <c r="APH206" s="394"/>
      <c r="API206" s="394"/>
      <c r="APJ206" s="394"/>
      <c r="APK206" s="394"/>
      <c r="APL206" s="394"/>
      <c r="APM206" s="394"/>
      <c r="APN206" s="394"/>
      <c r="APO206" s="394"/>
      <c r="APP206" s="394"/>
      <c r="APQ206" s="394"/>
      <c r="APR206" s="394"/>
      <c r="APS206" s="394"/>
      <c r="APT206" s="394"/>
      <c r="APU206" s="394"/>
      <c r="APV206" s="394"/>
      <c r="APW206" s="394"/>
      <c r="APX206" s="394"/>
      <c r="APY206" s="394"/>
      <c r="APZ206" s="394"/>
      <c r="AQA206" s="394"/>
      <c r="AQB206" s="394"/>
      <c r="AQC206" s="394"/>
      <c r="AQD206" s="394"/>
      <c r="AQE206" s="394"/>
      <c r="AQF206" s="394"/>
      <c r="AQG206" s="394"/>
      <c r="AQH206" s="394"/>
      <c r="AQI206" s="394"/>
      <c r="AQJ206" s="394"/>
      <c r="AQK206" s="394"/>
      <c r="AQL206" s="394"/>
      <c r="AQM206" s="394"/>
      <c r="AQN206" s="394"/>
      <c r="AQO206" s="394"/>
      <c r="AQP206" s="394"/>
      <c r="AQQ206" s="394"/>
      <c r="AQR206" s="394"/>
      <c r="AQS206" s="394"/>
      <c r="AQT206" s="394"/>
      <c r="AQU206" s="394"/>
      <c r="AQV206" s="394"/>
      <c r="AQW206" s="394"/>
      <c r="AQX206" s="394"/>
      <c r="AQY206" s="394"/>
      <c r="AQZ206" s="394"/>
      <c r="ARA206" s="394"/>
      <c r="ARB206" s="394"/>
      <c r="ARC206" s="394"/>
      <c r="ARD206" s="394"/>
      <c r="ARE206" s="394"/>
      <c r="ARF206" s="394"/>
      <c r="ARG206" s="394"/>
      <c r="ARH206" s="394"/>
      <c r="ARI206" s="394"/>
      <c r="ARJ206" s="394"/>
      <c r="ARK206" s="394"/>
      <c r="ARL206" s="394"/>
      <c r="ARM206" s="394"/>
      <c r="ARN206" s="394"/>
      <c r="ARO206" s="394"/>
      <c r="ARP206" s="394"/>
      <c r="ARQ206" s="394"/>
      <c r="ARR206" s="394"/>
      <c r="ARS206" s="394"/>
      <c r="ART206" s="394"/>
      <c r="ARU206" s="394"/>
      <c r="ARV206" s="394"/>
      <c r="ARW206" s="394"/>
      <c r="ARX206" s="394"/>
      <c r="ARY206" s="394"/>
      <c r="ARZ206" s="394"/>
      <c r="ASA206" s="394"/>
      <c r="ASB206" s="394"/>
      <c r="ASC206" s="394"/>
      <c r="ASD206" s="394"/>
      <c r="ASE206" s="394"/>
      <c r="ASF206" s="394"/>
      <c r="ASG206" s="394"/>
      <c r="ASH206" s="394"/>
      <c r="ASI206" s="394"/>
      <c r="ASJ206" s="394"/>
      <c r="ASK206" s="394"/>
      <c r="ASL206" s="394"/>
      <c r="ASM206" s="394"/>
      <c r="ASN206" s="394"/>
      <c r="ASO206" s="394"/>
      <c r="ASP206" s="394"/>
      <c r="ASQ206" s="394"/>
      <c r="ASR206" s="394"/>
      <c r="ASS206" s="394"/>
      <c r="AST206" s="394"/>
      <c r="ASU206" s="394"/>
      <c r="ASV206" s="394"/>
      <c r="ASW206" s="394"/>
      <c r="ASX206" s="394"/>
      <c r="ASY206" s="394"/>
      <c r="ASZ206" s="394"/>
      <c r="ATA206" s="394"/>
      <c r="ATB206" s="394"/>
      <c r="ATC206" s="394"/>
      <c r="ATD206" s="394"/>
      <c r="ATE206" s="394"/>
      <c r="ATF206" s="394"/>
      <c r="ATG206" s="394"/>
      <c r="ATH206" s="394"/>
      <c r="ATI206" s="394"/>
      <c r="ATJ206" s="394"/>
      <c r="ATK206" s="394"/>
      <c r="ATL206" s="394"/>
      <c r="ATM206" s="394"/>
      <c r="ATN206" s="394"/>
      <c r="ATO206" s="394"/>
      <c r="ATP206" s="394"/>
      <c r="ATQ206" s="394"/>
      <c r="ATR206" s="394"/>
      <c r="ATS206" s="394"/>
      <c r="ATT206" s="394"/>
      <c r="ATU206" s="394"/>
      <c r="ATV206" s="394"/>
      <c r="ATW206" s="394"/>
      <c r="ATX206" s="394"/>
      <c r="ATY206" s="394"/>
      <c r="ATZ206" s="394"/>
      <c r="AUA206" s="394"/>
      <c r="AUB206" s="394"/>
      <c r="AUC206" s="394"/>
      <c r="AUD206" s="394"/>
      <c r="AUE206" s="394"/>
      <c r="AUF206" s="394"/>
      <c r="AUG206" s="394"/>
      <c r="AUH206" s="394"/>
      <c r="AUI206" s="394"/>
      <c r="AUJ206" s="394"/>
      <c r="AUK206" s="394"/>
      <c r="AUL206" s="394"/>
      <c r="AUM206" s="394"/>
      <c r="AUN206" s="394"/>
      <c r="AUO206" s="394"/>
      <c r="AUP206" s="394"/>
      <c r="AUQ206" s="394"/>
      <c r="AUR206" s="394"/>
      <c r="AUS206" s="394"/>
      <c r="AUT206" s="394"/>
      <c r="AUU206" s="394"/>
      <c r="AUV206" s="394"/>
      <c r="AUW206" s="394"/>
      <c r="AUX206" s="394"/>
      <c r="AUY206" s="394"/>
      <c r="AUZ206" s="394"/>
      <c r="AVA206" s="394"/>
      <c r="AVB206" s="394"/>
      <c r="AVC206" s="394"/>
      <c r="AVD206" s="394"/>
      <c r="AVE206" s="394"/>
      <c r="AVF206" s="394"/>
      <c r="AVG206" s="394"/>
      <c r="AVH206" s="394"/>
      <c r="AVI206" s="394"/>
      <c r="AVJ206" s="394"/>
      <c r="AVK206" s="394"/>
      <c r="AVL206" s="394"/>
      <c r="AVM206" s="394"/>
      <c r="AVN206" s="394"/>
      <c r="AVO206" s="394"/>
      <c r="AVP206" s="394"/>
      <c r="AVQ206" s="394"/>
      <c r="AVR206" s="394"/>
      <c r="AVS206" s="394"/>
      <c r="AVT206" s="394"/>
      <c r="AVU206" s="394"/>
      <c r="AVV206" s="394"/>
      <c r="AVW206" s="394"/>
      <c r="AVX206" s="394"/>
      <c r="AVY206" s="394"/>
      <c r="AVZ206" s="394"/>
      <c r="AWA206" s="394"/>
      <c r="AWB206" s="394"/>
      <c r="AWC206" s="394"/>
      <c r="AWD206" s="394"/>
      <c r="AWE206" s="394"/>
      <c r="AWF206" s="394"/>
      <c r="AWG206" s="394"/>
      <c r="AWH206" s="394"/>
      <c r="AWI206" s="394"/>
      <c r="AWJ206" s="394"/>
      <c r="AWK206" s="394"/>
      <c r="AWL206" s="394"/>
      <c r="AWM206" s="394"/>
      <c r="AWN206" s="394"/>
      <c r="AWO206" s="394"/>
      <c r="AWP206" s="394"/>
      <c r="AWQ206" s="394"/>
      <c r="AWR206" s="394"/>
      <c r="AWS206" s="394"/>
      <c r="AWT206" s="394"/>
      <c r="AWU206" s="394"/>
      <c r="AWV206" s="394"/>
      <c r="AWW206" s="394"/>
      <c r="AWX206" s="394"/>
      <c r="AWY206" s="394"/>
      <c r="AWZ206" s="394"/>
      <c r="AXA206" s="394"/>
      <c r="AXB206" s="394"/>
      <c r="AXC206" s="394"/>
      <c r="AXD206" s="394"/>
      <c r="AXE206" s="394"/>
      <c r="AXF206" s="394"/>
      <c r="AXG206" s="394"/>
      <c r="AXH206" s="394"/>
      <c r="AXI206" s="394"/>
      <c r="AXJ206" s="394"/>
      <c r="AXK206" s="394"/>
      <c r="AXL206" s="394"/>
      <c r="AXM206" s="394"/>
      <c r="AXN206" s="394"/>
      <c r="AXO206" s="394"/>
      <c r="AXP206" s="394"/>
      <c r="AXQ206" s="394"/>
      <c r="AXR206" s="394"/>
      <c r="AXS206" s="394"/>
      <c r="AXT206" s="394"/>
      <c r="AXU206" s="394"/>
      <c r="AXV206" s="394"/>
      <c r="AXW206" s="394"/>
      <c r="AXX206" s="394"/>
      <c r="AXY206" s="394"/>
      <c r="AXZ206" s="394"/>
      <c r="AYA206" s="394"/>
      <c r="AYB206" s="394"/>
      <c r="AYC206" s="394"/>
      <c r="AYD206" s="394"/>
      <c r="AYE206" s="394"/>
      <c r="AYF206" s="394"/>
      <c r="AYG206" s="394"/>
      <c r="AYH206" s="394"/>
      <c r="AYI206" s="394"/>
      <c r="AYJ206" s="394"/>
      <c r="AYK206" s="394"/>
      <c r="AYL206" s="394"/>
      <c r="AYM206" s="394"/>
      <c r="AYN206" s="394"/>
      <c r="AYO206" s="394"/>
      <c r="AYP206" s="394"/>
      <c r="AYQ206" s="394"/>
      <c r="AYR206" s="394"/>
      <c r="AYS206" s="394"/>
      <c r="AYT206" s="394"/>
      <c r="AYU206" s="394"/>
      <c r="AYV206" s="394"/>
      <c r="AYW206" s="394"/>
      <c r="AYX206" s="394"/>
      <c r="AYY206" s="394"/>
      <c r="AYZ206" s="394"/>
      <c r="AZA206" s="394"/>
      <c r="AZB206" s="394"/>
      <c r="AZC206" s="394"/>
      <c r="AZD206" s="394"/>
      <c r="AZE206" s="394"/>
      <c r="AZF206" s="394"/>
      <c r="AZG206" s="394"/>
      <c r="AZH206" s="394"/>
      <c r="AZI206" s="394"/>
      <c r="AZJ206" s="394"/>
      <c r="AZK206" s="394"/>
      <c r="AZL206" s="394"/>
      <c r="AZM206" s="394"/>
      <c r="AZN206" s="394"/>
      <c r="AZO206" s="394"/>
      <c r="AZP206" s="394"/>
      <c r="AZQ206" s="394"/>
      <c r="AZR206" s="394"/>
      <c r="AZS206" s="394"/>
      <c r="AZT206" s="394"/>
      <c r="AZU206" s="394"/>
      <c r="AZV206" s="394"/>
      <c r="AZW206" s="394"/>
      <c r="AZX206" s="394"/>
      <c r="AZY206" s="394"/>
      <c r="AZZ206" s="394"/>
      <c r="BAA206" s="394"/>
      <c r="BAB206" s="394"/>
      <c r="BAC206" s="394"/>
      <c r="BAD206" s="394"/>
      <c r="BAE206" s="394"/>
      <c r="BAF206" s="394"/>
      <c r="BAG206" s="394"/>
      <c r="BAH206" s="394"/>
      <c r="BAI206" s="394"/>
      <c r="BAJ206" s="394"/>
      <c r="BAK206" s="394"/>
      <c r="BAL206" s="394"/>
      <c r="BAM206" s="394"/>
      <c r="BAN206" s="394"/>
      <c r="BAO206" s="394"/>
      <c r="BAP206" s="394"/>
      <c r="BAQ206" s="394"/>
      <c r="BAR206" s="394"/>
      <c r="BAS206" s="394"/>
      <c r="BAT206" s="394"/>
      <c r="BAU206" s="394"/>
      <c r="BAV206" s="394"/>
      <c r="BAW206" s="394"/>
      <c r="BAX206" s="394"/>
      <c r="BAY206" s="394"/>
      <c r="BAZ206" s="394"/>
      <c r="BBA206" s="394"/>
      <c r="BBB206" s="394"/>
      <c r="BBC206" s="394"/>
      <c r="BBD206" s="394"/>
      <c r="BBE206" s="394"/>
      <c r="BBF206" s="394"/>
      <c r="BBG206" s="394"/>
      <c r="BBH206" s="394"/>
      <c r="BBI206" s="394"/>
      <c r="BBJ206" s="394"/>
      <c r="BBK206" s="394"/>
      <c r="BBL206" s="394"/>
      <c r="BBM206" s="394"/>
      <c r="BBN206" s="394"/>
      <c r="BBO206" s="394"/>
      <c r="BBP206" s="394"/>
      <c r="BBQ206" s="394"/>
      <c r="BBR206" s="394"/>
      <c r="BBS206" s="394"/>
      <c r="BBT206" s="394"/>
      <c r="BBU206" s="394"/>
      <c r="BBV206" s="394"/>
      <c r="BBW206" s="394"/>
      <c r="BBX206" s="394"/>
      <c r="BBY206" s="394"/>
      <c r="BBZ206" s="394"/>
      <c r="BCA206" s="394"/>
      <c r="BCB206" s="394"/>
      <c r="BCC206" s="394"/>
      <c r="BCD206" s="394"/>
      <c r="BCE206" s="394"/>
      <c r="BCF206" s="394"/>
      <c r="BCG206" s="394"/>
      <c r="BCH206" s="394"/>
      <c r="BCI206" s="394"/>
      <c r="BCJ206" s="394"/>
      <c r="BCK206" s="394"/>
      <c r="BCL206" s="394"/>
      <c r="BCM206" s="394"/>
      <c r="BCN206" s="394"/>
      <c r="BCO206" s="394"/>
      <c r="BCP206" s="394"/>
      <c r="BCQ206" s="394"/>
      <c r="BCR206" s="394"/>
      <c r="BCS206" s="394"/>
      <c r="BCT206" s="394"/>
      <c r="BCU206" s="394"/>
      <c r="BCV206" s="394"/>
      <c r="BCW206" s="394"/>
      <c r="BCX206" s="394"/>
      <c r="BCY206" s="394"/>
      <c r="BCZ206" s="394"/>
      <c r="BDA206" s="394"/>
      <c r="BDB206" s="394"/>
      <c r="BDC206" s="394"/>
      <c r="BDD206" s="394"/>
      <c r="BDE206" s="394"/>
      <c r="BDF206" s="394"/>
      <c r="BDG206" s="394"/>
      <c r="BDH206" s="394"/>
      <c r="BDI206" s="394"/>
      <c r="BDJ206" s="394"/>
      <c r="BDK206" s="394"/>
      <c r="BDL206" s="394"/>
      <c r="BDM206" s="394"/>
      <c r="BDN206" s="394"/>
      <c r="BDO206" s="394"/>
      <c r="BDP206" s="394"/>
      <c r="BDQ206" s="394"/>
      <c r="BDR206" s="394"/>
      <c r="BDS206" s="394"/>
      <c r="BDT206" s="394"/>
      <c r="BDU206" s="394"/>
      <c r="BDV206" s="394"/>
      <c r="BDW206" s="394"/>
      <c r="BDX206" s="394"/>
      <c r="BDY206" s="394"/>
      <c r="BDZ206" s="394"/>
      <c r="BEA206" s="394"/>
      <c r="BEB206" s="394"/>
      <c r="BEC206" s="394"/>
      <c r="BED206" s="394"/>
      <c r="BEE206" s="394"/>
      <c r="BEF206" s="394"/>
      <c r="BEG206" s="394"/>
      <c r="BEH206" s="394"/>
      <c r="BEI206" s="394"/>
      <c r="BEJ206" s="394"/>
      <c r="BEK206" s="394"/>
      <c r="BEL206" s="394"/>
      <c r="BEM206" s="394"/>
      <c r="BEN206" s="394"/>
      <c r="BEO206" s="394"/>
      <c r="BEP206" s="394"/>
      <c r="BEQ206" s="394"/>
      <c r="BER206" s="394"/>
      <c r="BES206" s="394"/>
      <c r="BET206" s="394"/>
      <c r="BEU206" s="394"/>
      <c r="BEV206" s="394"/>
      <c r="BEW206" s="394"/>
      <c r="BEX206" s="394"/>
      <c r="BEY206" s="394"/>
      <c r="BEZ206" s="394"/>
      <c r="BFA206" s="394"/>
      <c r="BFB206" s="394"/>
      <c r="BFC206" s="394"/>
      <c r="BFD206" s="394"/>
      <c r="BFE206" s="394"/>
      <c r="BFF206" s="394"/>
      <c r="BFG206" s="394"/>
      <c r="BFH206" s="394"/>
      <c r="BFI206" s="394"/>
      <c r="BFJ206" s="394"/>
      <c r="BFK206" s="394"/>
      <c r="BFL206" s="394"/>
      <c r="BFM206" s="394"/>
      <c r="BFN206" s="394"/>
      <c r="BFO206" s="394"/>
      <c r="BFP206" s="394"/>
      <c r="BFQ206" s="394"/>
      <c r="BFR206" s="394"/>
      <c r="BFS206" s="394"/>
      <c r="BFT206" s="394"/>
      <c r="BFU206" s="394"/>
      <c r="BFV206" s="394"/>
      <c r="BFW206" s="394"/>
      <c r="BFX206" s="394"/>
      <c r="BFY206" s="394"/>
      <c r="BFZ206" s="394"/>
      <c r="BGA206" s="394"/>
      <c r="BGB206" s="394"/>
      <c r="BGC206" s="394"/>
      <c r="BGD206" s="394"/>
      <c r="BGE206" s="394"/>
      <c r="BGF206" s="394"/>
      <c r="BGG206" s="394"/>
      <c r="BGH206" s="394"/>
      <c r="BGI206" s="394"/>
      <c r="BGJ206" s="394"/>
      <c r="BGK206" s="394"/>
      <c r="BGL206" s="394"/>
      <c r="BGM206" s="394"/>
      <c r="BGN206" s="394"/>
      <c r="BGO206" s="394"/>
      <c r="BGP206" s="394"/>
      <c r="BGQ206" s="394"/>
      <c r="BGR206" s="394"/>
      <c r="BGS206" s="394"/>
      <c r="BGT206" s="394"/>
      <c r="BGU206" s="394"/>
      <c r="BGV206" s="394"/>
      <c r="BGW206" s="394"/>
      <c r="BGX206" s="394"/>
      <c r="BGY206" s="394"/>
      <c r="BGZ206" s="394"/>
      <c r="BHA206" s="394"/>
      <c r="BHB206" s="394"/>
      <c r="BHC206" s="394"/>
      <c r="BHD206" s="394"/>
      <c r="BHE206" s="394"/>
      <c r="BHF206" s="394"/>
      <c r="BHG206" s="394"/>
      <c r="BHH206" s="394"/>
      <c r="BHI206" s="394"/>
      <c r="BHJ206" s="394"/>
      <c r="BHK206" s="394"/>
      <c r="BHL206" s="394"/>
      <c r="BHM206" s="394"/>
      <c r="BHN206" s="394"/>
      <c r="BHO206" s="394"/>
      <c r="BHP206" s="394"/>
      <c r="BHQ206" s="394"/>
      <c r="BHR206" s="394"/>
      <c r="BHS206" s="394"/>
      <c r="BHT206" s="394"/>
      <c r="BHU206" s="394"/>
      <c r="BHV206" s="394"/>
      <c r="BHW206" s="394"/>
      <c r="BHX206" s="394"/>
      <c r="BHY206" s="394"/>
      <c r="BHZ206" s="394"/>
      <c r="BIA206" s="394"/>
      <c r="BIB206" s="394"/>
      <c r="BIC206" s="394"/>
      <c r="BID206" s="394"/>
      <c r="BIE206" s="394"/>
      <c r="BIF206" s="394"/>
      <c r="BIG206" s="394"/>
      <c r="BIH206" s="394"/>
      <c r="BII206" s="394"/>
      <c r="BIJ206" s="394"/>
      <c r="BIK206" s="394"/>
      <c r="BIL206" s="394"/>
      <c r="BIM206" s="394"/>
      <c r="BIN206" s="394"/>
      <c r="BIO206" s="394"/>
      <c r="BIP206" s="394"/>
      <c r="BIQ206" s="394"/>
      <c r="BIR206" s="394"/>
      <c r="BIS206" s="394"/>
      <c r="BIT206" s="394"/>
      <c r="BIU206" s="394"/>
      <c r="BIV206" s="394"/>
      <c r="BIW206" s="394"/>
      <c r="BIX206" s="394"/>
      <c r="BIY206" s="394"/>
      <c r="BIZ206" s="394"/>
      <c r="BJA206" s="394"/>
      <c r="BJB206" s="394"/>
      <c r="BJC206" s="394"/>
      <c r="BJD206" s="394"/>
      <c r="BJE206" s="394"/>
      <c r="BJF206" s="394"/>
      <c r="BJG206" s="394"/>
      <c r="BJH206" s="394"/>
      <c r="BJI206" s="394"/>
      <c r="BJJ206" s="394"/>
      <c r="BJK206" s="394"/>
      <c r="BJL206" s="394"/>
      <c r="BJM206" s="394"/>
      <c r="BJN206" s="394"/>
      <c r="BJO206" s="394"/>
      <c r="BJP206" s="394"/>
      <c r="BJQ206" s="394"/>
      <c r="BJR206" s="394"/>
      <c r="BJS206" s="394"/>
      <c r="BJT206" s="394"/>
      <c r="BJU206" s="394"/>
      <c r="BJV206" s="394"/>
      <c r="BJW206" s="394"/>
      <c r="BJX206" s="394"/>
      <c r="BJY206" s="394"/>
      <c r="BJZ206" s="394"/>
      <c r="BKA206" s="394"/>
      <c r="BKB206" s="394"/>
      <c r="BKC206" s="394"/>
      <c r="BKD206" s="394"/>
      <c r="BKE206" s="394"/>
      <c r="BKF206" s="394"/>
      <c r="BKG206" s="394"/>
      <c r="BKH206" s="394"/>
      <c r="BKI206" s="394"/>
      <c r="BKJ206" s="394"/>
      <c r="BKK206" s="394"/>
      <c r="BKL206" s="394"/>
      <c r="BKM206" s="394"/>
      <c r="BKN206" s="394"/>
      <c r="BKO206" s="394"/>
      <c r="BKP206" s="394"/>
      <c r="BKQ206" s="394"/>
      <c r="BKR206" s="394"/>
      <c r="BKS206" s="394"/>
      <c r="BKT206" s="394"/>
      <c r="BKU206" s="394"/>
      <c r="BKV206" s="394"/>
      <c r="BKW206" s="394"/>
      <c r="BKX206" s="394"/>
      <c r="BKY206" s="394"/>
      <c r="BKZ206" s="394"/>
      <c r="BLA206" s="394"/>
      <c r="BLB206" s="394"/>
      <c r="BLC206" s="394"/>
      <c r="BLD206" s="394"/>
      <c r="BLE206" s="394"/>
      <c r="BLF206" s="394"/>
      <c r="BLG206" s="394"/>
      <c r="BLH206" s="394"/>
      <c r="BLI206" s="394"/>
      <c r="BLJ206" s="394"/>
      <c r="BLK206" s="394"/>
      <c r="BLL206" s="394"/>
      <c r="BLM206" s="394"/>
      <c r="BLN206" s="394"/>
      <c r="BLO206" s="394"/>
      <c r="BLP206" s="394"/>
      <c r="BLQ206" s="394"/>
      <c r="BLR206" s="394"/>
      <c r="BLS206" s="394"/>
      <c r="BLT206" s="394"/>
      <c r="BLU206" s="394"/>
      <c r="BLV206" s="394"/>
      <c r="BLW206" s="394"/>
      <c r="BLX206" s="394"/>
      <c r="BLY206" s="394"/>
      <c r="BLZ206" s="394"/>
      <c r="BMA206" s="394"/>
      <c r="BMB206" s="394"/>
      <c r="BMC206" s="394"/>
      <c r="BMD206" s="394"/>
      <c r="BME206" s="394"/>
      <c r="BMF206" s="394"/>
      <c r="BMG206" s="394"/>
      <c r="BMH206" s="394"/>
      <c r="BMI206" s="394"/>
      <c r="BMJ206" s="394"/>
      <c r="BMK206" s="394"/>
      <c r="BML206" s="394"/>
      <c r="BMM206" s="394"/>
      <c r="BMN206" s="394"/>
      <c r="BMO206" s="394"/>
      <c r="BMP206" s="394"/>
      <c r="BMQ206" s="394"/>
      <c r="BMR206" s="394"/>
      <c r="BMS206" s="394"/>
      <c r="BMT206" s="394"/>
      <c r="BMU206" s="394"/>
      <c r="BMV206" s="394"/>
      <c r="BMW206" s="394"/>
      <c r="BMX206" s="394"/>
      <c r="BMY206" s="394"/>
      <c r="BMZ206" s="394"/>
      <c r="BNA206" s="394"/>
      <c r="BNB206" s="394"/>
      <c r="BNC206" s="394"/>
      <c r="BND206" s="394"/>
      <c r="BNE206" s="394"/>
      <c r="BNF206" s="394"/>
      <c r="BNG206" s="394"/>
      <c r="BNH206" s="394"/>
      <c r="BNI206" s="394"/>
      <c r="BNJ206" s="394"/>
      <c r="BNK206" s="394"/>
      <c r="BNL206" s="394"/>
      <c r="BNM206" s="394"/>
      <c r="BNN206" s="394"/>
      <c r="BNO206" s="394"/>
      <c r="BNP206" s="394"/>
      <c r="BNQ206" s="394"/>
      <c r="BNR206" s="394"/>
      <c r="BNS206" s="394"/>
      <c r="BNT206" s="394"/>
      <c r="BNU206" s="394"/>
      <c r="BNV206" s="394"/>
      <c r="BNW206" s="394"/>
      <c r="BNX206" s="394"/>
      <c r="BNY206" s="394"/>
      <c r="BNZ206" s="394"/>
      <c r="BOA206" s="394"/>
      <c r="BOB206" s="394"/>
      <c r="BOC206" s="394"/>
      <c r="BOD206" s="394"/>
      <c r="BOE206" s="394"/>
      <c r="BOF206" s="394"/>
      <c r="BOG206" s="394"/>
      <c r="BOH206" s="394"/>
      <c r="BOI206" s="394"/>
      <c r="BOJ206" s="394"/>
      <c r="BOK206" s="394"/>
      <c r="BOL206" s="394"/>
      <c r="BOM206" s="394"/>
      <c r="BON206" s="394"/>
      <c r="BOO206" s="394"/>
      <c r="BOP206" s="394"/>
      <c r="BOQ206" s="394"/>
      <c r="BOR206" s="394"/>
      <c r="BOS206" s="394"/>
      <c r="BOT206" s="394"/>
      <c r="BOU206" s="394"/>
      <c r="BOV206" s="394"/>
      <c r="BOW206" s="394"/>
      <c r="BOX206" s="394"/>
      <c r="BOY206" s="394"/>
      <c r="BOZ206" s="394"/>
      <c r="BPA206" s="394"/>
      <c r="BPB206" s="394"/>
      <c r="BPC206" s="394"/>
      <c r="BPD206" s="394"/>
      <c r="BPE206" s="394"/>
      <c r="BPF206" s="394"/>
      <c r="BPG206" s="394"/>
      <c r="BPH206" s="394"/>
      <c r="BPI206" s="394"/>
      <c r="BPJ206" s="394"/>
      <c r="BPK206" s="394"/>
      <c r="BPL206" s="394"/>
      <c r="BPM206" s="394"/>
      <c r="BPN206" s="394"/>
      <c r="BPO206" s="394"/>
      <c r="BPP206" s="394"/>
      <c r="BPQ206" s="394"/>
      <c r="BPR206" s="394"/>
      <c r="BPS206" s="394"/>
      <c r="BPT206" s="394"/>
      <c r="BPU206" s="394"/>
      <c r="BPV206" s="394"/>
      <c r="BPW206" s="394"/>
      <c r="BPX206" s="394"/>
      <c r="BPY206" s="394"/>
      <c r="BPZ206" s="394"/>
      <c r="BQA206" s="394"/>
      <c r="BQB206" s="394"/>
      <c r="BQC206" s="394"/>
      <c r="BQD206" s="394"/>
      <c r="BQE206" s="394"/>
      <c r="BQF206" s="394"/>
      <c r="BQG206" s="394"/>
      <c r="BQH206" s="394"/>
      <c r="BQI206" s="394"/>
      <c r="BQJ206" s="394"/>
      <c r="BQK206" s="394"/>
      <c r="BQL206" s="394"/>
      <c r="BQM206" s="394"/>
      <c r="BQN206" s="394"/>
      <c r="BQO206" s="394"/>
      <c r="BQP206" s="394"/>
      <c r="BQQ206" s="394"/>
      <c r="BQR206" s="394"/>
      <c r="BQS206" s="394"/>
      <c r="BQT206" s="394"/>
      <c r="BQU206" s="394"/>
      <c r="BQV206" s="394"/>
      <c r="BQW206" s="394"/>
      <c r="BQX206" s="394"/>
      <c r="BQY206" s="394"/>
      <c r="BQZ206" s="394"/>
      <c r="BRA206" s="394"/>
      <c r="BRB206" s="394"/>
      <c r="BRC206" s="394"/>
      <c r="BRD206" s="394"/>
      <c r="BRE206" s="394"/>
      <c r="BRF206" s="394"/>
      <c r="BRG206" s="394"/>
      <c r="BRH206" s="394"/>
      <c r="BRI206" s="394"/>
      <c r="BRJ206" s="394"/>
      <c r="BRK206" s="394"/>
      <c r="BRL206" s="394"/>
      <c r="BRM206" s="394"/>
      <c r="BRN206" s="394"/>
      <c r="BRO206" s="394"/>
      <c r="BRP206" s="394"/>
      <c r="BRQ206" s="394"/>
      <c r="BRR206" s="394"/>
      <c r="BRS206" s="394"/>
      <c r="BRT206" s="394"/>
      <c r="BRU206" s="394"/>
      <c r="BRV206" s="394"/>
      <c r="BRW206" s="394"/>
      <c r="BRX206" s="394"/>
      <c r="BRY206" s="394"/>
      <c r="BRZ206" s="394"/>
      <c r="BSA206" s="394"/>
      <c r="BSB206" s="394"/>
      <c r="BSC206" s="394"/>
      <c r="BSD206" s="394"/>
      <c r="BSE206" s="394"/>
      <c r="BSF206" s="394"/>
      <c r="BSG206" s="394"/>
      <c r="BSH206" s="394"/>
      <c r="BSI206" s="394"/>
      <c r="BSJ206" s="394"/>
      <c r="BSK206" s="394"/>
      <c r="BSL206" s="394"/>
      <c r="BSM206" s="394"/>
      <c r="BSN206" s="394"/>
      <c r="BSO206" s="394"/>
      <c r="BSP206" s="394"/>
      <c r="BSQ206" s="394"/>
      <c r="BSR206" s="394"/>
      <c r="BSS206" s="394"/>
      <c r="BST206" s="394"/>
      <c r="BSU206" s="394"/>
      <c r="BSV206" s="394"/>
      <c r="BSW206" s="394"/>
      <c r="BSX206" s="394"/>
      <c r="BSY206" s="394"/>
      <c r="BSZ206" s="394"/>
      <c r="BTA206" s="394"/>
      <c r="BTB206" s="394"/>
      <c r="BTC206" s="394"/>
      <c r="BTD206" s="394"/>
      <c r="BTE206" s="394"/>
      <c r="BTF206" s="394"/>
      <c r="BTG206" s="394"/>
      <c r="BTH206" s="394"/>
      <c r="BTI206" s="394"/>
    </row>
    <row r="207" spans="1:1881" s="391" customFormat="1" ht="193.5" customHeight="1" x14ac:dyDescent="0.25">
      <c r="A207" s="188">
        <v>577</v>
      </c>
      <c r="B207" s="150"/>
      <c r="C207" s="150" t="s">
        <v>631</v>
      </c>
      <c r="D207" s="339" t="s">
        <v>772</v>
      </c>
      <c r="E207" s="308"/>
      <c r="F207" s="589"/>
      <c r="G207" s="560" t="str">
        <f>IF(F207="Yes","In this cell - Please include the name of the plan, a brief description of the benefit and the population group that received the benefits."," ")</f>
        <v xml:space="preserve"> </v>
      </c>
      <c r="H207" s="67"/>
      <c r="I207" s="15"/>
      <c r="J207" s="365"/>
      <c r="K207" s="394"/>
      <c r="L207" s="394"/>
      <c r="M207" s="394"/>
      <c r="N207"/>
      <c r="O207" s="394"/>
      <c r="P207" s="394"/>
      <c r="Q207" s="394"/>
      <c r="R207" s="394"/>
      <c r="S207" s="394"/>
      <c r="T207" s="394"/>
      <c r="U207" s="394"/>
      <c r="V207" s="394"/>
      <c r="W207" s="394"/>
      <c r="X207" s="394"/>
      <c r="Y207" s="394"/>
      <c r="Z207" s="394"/>
      <c r="AA207" s="394"/>
      <c r="AB207" s="394"/>
      <c r="AC207" s="394"/>
      <c r="AD207" s="394"/>
      <c r="AE207" s="394"/>
      <c r="AF207" s="394"/>
      <c r="AG207" s="394"/>
      <c r="AH207" s="394"/>
      <c r="AI207" s="394"/>
      <c r="AJ207" s="394"/>
      <c r="AK207" s="394"/>
      <c r="AL207" s="394"/>
      <c r="AM207" s="394"/>
      <c r="AN207" s="394"/>
      <c r="AO207" s="394"/>
      <c r="AP207" s="394"/>
      <c r="AQ207" s="394"/>
      <c r="AR207" s="394"/>
      <c r="AS207" s="394"/>
      <c r="AT207" s="394"/>
      <c r="AU207" s="394"/>
      <c r="AV207" s="394"/>
      <c r="AW207" s="394"/>
      <c r="AX207" s="394"/>
      <c r="AY207" s="394"/>
      <c r="AZ207" s="394"/>
      <c r="BA207" s="394"/>
      <c r="BB207" s="394"/>
      <c r="BC207" s="394"/>
      <c r="BD207" s="394"/>
      <c r="BE207" s="394"/>
      <c r="BF207" s="394"/>
      <c r="BG207" s="394"/>
      <c r="BH207" s="394"/>
      <c r="BI207" s="394"/>
      <c r="BJ207" s="394"/>
      <c r="BK207" s="394"/>
      <c r="BL207" s="394"/>
      <c r="BM207" s="394"/>
      <c r="BN207" s="394"/>
      <c r="BO207" s="394"/>
      <c r="BP207" s="394"/>
      <c r="BQ207" s="394"/>
      <c r="BR207" s="394"/>
      <c r="BS207" s="394"/>
      <c r="BT207" s="394"/>
      <c r="BU207" s="394"/>
      <c r="BV207" s="394"/>
      <c r="BW207" s="394"/>
      <c r="BX207" s="394"/>
      <c r="BY207" s="394"/>
      <c r="BZ207" s="394"/>
      <c r="CA207" s="394"/>
      <c r="CB207" s="394"/>
      <c r="CC207" s="394"/>
      <c r="CD207" s="394"/>
      <c r="CE207" s="394"/>
      <c r="CF207" s="394"/>
      <c r="CG207" s="394"/>
      <c r="CH207" s="394"/>
      <c r="CI207" s="394"/>
      <c r="CJ207" s="394"/>
      <c r="CK207" s="394"/>
      <c r="CL207" s="394"/>
      <c r="CM207" s="394"/>
      <c r="CN207" s="394"/>
      <c r="CO207" s="394"/>
      <c r="CP207" s="394"/>
      <c r="CQ207" s="394"/>
      <c r="CR207" s="394"/>
      <c r="CS207" s="394"/>
      <c r="CT207" s="394"/>
      <c r="CU207" s="394"/>
      <c r="CV207" s="394"/>
      <c r="CW207" s="394"/>
      <c r="CX207" s="394"/>
      <c r="CY207" s="394"/>
      <c r="CZ207" s="394"/>
      <c r="DA207" s="394"/>
      <c r="DB207" s="394"/>
      <c r="DC207" s="394"/>
      <c r="DD207" s="394"/>
      <c r="DE207" s="394"/>
      <c r="DF207" s="394"/>
      <c r="DG207" s="394"/>
      <c r="DH207" s="394"/>
      <c r="DI207" s="394"/>
      <c r="DJ207" s="394"/>
      <c r="DK207" s="394"/>
      <c r="DL207" s="394"/>
      <c r="DM207" s="394"/>
      <c r="DN207" s="394"/>
      <c r="DO207" s="394"/>
      <c r="DP207" s="394"/>
      <c r="DQ207" s="394"/>
      <c r="DR207" s="394"/>
      <c r="DS207" s="394"/>
      <c r="DT207" s="394"/>
      <c r="DU207" s="394"/>
      <c r="DV207" s="394"/>
      <c r="DW207" s="394"/>
      <c r="DX207" s="394"/>
      <c r="DY207" s="394"/>
      <c r="DZ207" s="394"/>
      <c r="EA207" s="394"/>
      <c r="EB207" s="394"/>
      <c r="EC207" s="394"/>
      <c r="ED207" s="394"/>
      <c r="EE207" s="394"/>
      <c r="EF207" s="394"/>
      <c r="EG207" s="394"/>
      <c r="EH207" s="394"/>
      <c r="EI207" s="394"/>
      <c r="EJ207" s="394"/>
      <c r="EK207" s="394"/>
      <c r="EL207" s="394"/>
      <c r="EM207" s="394"/>
      <c r="EN207" s="394"/>
      <c r="EO207" s="394"/>
      <c r="EP207" s="394"/>
      <c r="EQ207" s="394"/>
      <c r="ER207" s="394"/>
      <c r="ES207" s="394"/>
      <c r="ET207" s="394"/>
      <c r="EU207" s="394"/>
      <c r="EV207" s="394"/>
      <c r="EW207" s="394"/>
      <c r="EX207" s="394"/>
      <c r="EY207" s="394"/>
      <c r="EZ207" s="394"/>
      <c r="FA207" s="394"/>
      <c r="FB207" s="394"/>
      <c r="FC207" s="394"/>
      <c r="FD207" s="394"/>
      <c r="FE207" s="394"/>
      <c r="FF207" s="394"/>
      <c r="FG207" s="394"/>
      <c r="FH207" s="394"/>
      <c r="FI207" s="394"/>
      <c r="FJ207" s="394"/>
      <c r="FK207" s="394"/>
      <c r="FL207" s="394"/>
      <c r="FM207" s="394"/>
      <c r="FN207" s="394"/>
      <c r="FO207" s="394"/>
      <c r="FP207" s="394"/>
      <c r="FQ207" s="394"/>
      <c r="FR207" s="394"/>
      <c r="FS207" s="394"/>
      <c r="FT207" s="394"/>
      <c r="FU207" s="394"/>
      <c r="FV207" s="394"/>
      <c r="FW207" s="394"/>
      <c r="FX207" s="394"/>
      <c r="FY207" s="394"/>
      <c r="FZ207" s="394"/>
      <c r="GA207" s="394"/>
      <c r="GB207" s="394"/>
      <c r="GC207" s="394"/>
      <c r="GD207" s="394"/>
      <c r="GE207" s="394"/>
      <c r="GF207" s="394"/>
      <c r="GG207" s="394"/>
      <c r="GH207" s="394"/>
      <c r="GI207" s="394"/>
      <c r="GJ207" s="394"/>
      <c r="GK207" s="394"/>
      <c r="GL207" s="394"/>
      <c r="GM207" s="394"/>
      <c r="GN207" s="394"/>
      <c r="GO207" s="394"/>
      <c r="GP207" s="394"/>
      <c r="GQ207" s="394"/>
      <c r="GR207" s="394"/>
      <c r="GS207" s="394"/>
      <c r="GT207" s="394"/>
      <c r="GU207" s="394"/>
      <c r="GV207" s="394"/>
      <c r="GW207" s="394"/>
      <c r="GX207" s="394"/>
      <c r="GY207" s="394"/>
      <c r="GZ207" s="394"/>
      <c r="HA207" s="394"/>
      <c r="HB207" s="394"/>
      <c r="HC207" s="394"/>
      <c r="HD207" s="394"/>
      <c r="HE207" s="394"/>
      <c r="HF207" s="394"/>
      <c r="HG207" s="394"/>
      <c r="HH207" s="394"/>
      <c r="HI207" s="394"/>
      <c r="HJ207" s="394"/>
      <c r="HK207" s="394"/>
      <c r="HL207" s="394"/>
      <c r="HM207" s="394"/>
      <c r="HN207" s="394"/>
      <c r="HO207" s="394"/>
      <c r="HP207" s="394"/>
      <c r="HQ207" s="394"/>
      <c r="HR207" s="394"/>
      <c r="HS207" s="394"/>
      <c r="HT207" s="394"/>
      <c r="HU207" s="394"/>
      <c r="HV207" s="394"/>
      <c r="HW207" s="394"/>
      <c r="HX207" s="394"/>
      <c r="HY207" s="394"/>
      <c r="HZ207" s="394"/>
      <c r="IA207" s="394"/>
      <c r="IB207" s="394"/>
      <c r="IC207" s="394"/>
      <c r="ID207" s="394"/>
      <c r="IE207" s="394"/>
      <c r="IF207" s="394"/>
      <c r="IG207" s="394"/>
      <c r="IH207" s="394"/>
      <c r="II207" s="394"/>
      <c r="IJ207" s="394"/>
      <c r="IK207" s="394"/>
      <c r="IL207" s="394"/>
      <c r="IM207" s="394"/>
      <c r="IN207" s="394"/>
      <c r="IO207" s="394"/>
      <c r="IP207" s="394"/>
      <c r="IQ207" s="394"/>
      <c r="IR207" s="394"/>
      <c r="IS207" s="394"/>
      <c r="IT207" s="394"/>
      <c r="IU207" s="394"/>
      <c r="IV207" s="394"/>
      <c r="IW207" s="394"/>
      <c r="IX207" s="394"/>
      <c r="IY207" s="394"/>
      <c r="IZ207" s="394"/>
      <c r="JA207" s="394"/>
      <c r="JB207" s="394"/>
      <c r="JC207" s="394"/>
      <c r="JD207" s="394"/>
      <c r="JE207" s="394"/>
      <c r="JF207" s="394"/>
      <c r="JG207" s="394"/>
      <c r="JH207" s="394"/>
      <c r="JI207" s="394"/>
      <c r="JJ207" s="394"/>
      <c r="JK207" s="394"/>
      <c r="JL207" s="394"/>
      <c r="JM207" s="394"/>
      <c r="JN207" s="394"/>
      <c r="JO207" s="394"/>
      <c r="JP207" s="394"/>
      <c r="JQ207" s="394"/>
      <c r="JR207" s="394"/>
      <c r="JS207" s="394"/>
      <c r="JT207" s="394"/>
      <c r="JU207" s="394"/>
      <c r="JV207" s="394"/>
      <c r="JW207" s="394"/>
      <c r="JX207" s="394"/>
      <c r="JY207" s="394"/>
      <c r="JZ207" s="394"/>
      <c r="KA207" s="394"/>
      <c r="KB207" s="394"/>
      <c r="KC207" s="394"/>
      <c r="KD207" s="394"/>
      <c r="KE207" s="394"/>
      <c r="KF207" s="394"/>
      <c r="KG207" s="394"/>
      <c r="KH207" s="394"/>
      <c r="KI207" s="394"/>
      <c r="KJ207" s="394"/>
      <c r="KK207" s="394"/>
      <c r="KL207" s="394"/>
      <c r="KM207" s="394"/>
      <c r="KN207" s="394"/>
      <c r="KO207" s="394"/>
      <c r="KP207" s="394"/>
      <c r="KQ207" s="394"/>
      <c r="KR207" s="394"/>
      <c r="KS207" s="394"/>
      <c r="KT207" s="394"/>
      <c r="KU207" s="394"/>
      <c r="KV207" s="394"/>
      <c r="KW207" s="394"/>
      <c r="KX207" s="394"/>
      <c r="KY207" s="394"/>
      <c r="KZ207" s="394"/>
      <c r="LA207" s="394"/>
      <c r="LB207" s="394"/>
      <c r="LC207" s="394"/>
      <c r="LD207" s="394"/>
      <c r="LE207" s="394"/>
      <c r="LF207" s="394"/>
      <c r="LG207" s="394"/>
      <c r="LH207" s="394"/>
      <c r="LI207" s="394"/>
      <c r="LJ207" s="394"/>
      <c r="LK207" s="394"/>
      <c r="LL207" s="394"/>
      <c r="LM207" s="394"/>
      <c r="LN207" s="394"/>
      <c r="LO207" s="394"/>
      <c r="LP207" s="394"/>
      <c r="LQ207" s="394"/>
      <c r="LR207" s="394"/>
      <c r="LS207" s="394"/>
      <c r="LT207" s="394"/>
      <c r="LU207" s="394"/>
      <c r="LV207" s="394"/>
      <c r="LW207" s="394"/>
      <c r="LX207" s="394"/>
      <c r="LY207" s="394"/>
      <c r="LZ207" s="394"/>
      <c r="MA207" s="394"/>
      <c r="MB207" s="394"/>
      <c r="MC207" s="394"/>
      <c r="MD207" s="394"/>
      <c r="ME207" s="394"/>
      <c r="MF207" s="394"/>
      <c r="MG207" s="394"/>
      <c r="MH207" s="394"/>
      <c r="MI207" s="394"/>
      <c r="MJ207" s="394"/>
      <c r="MK207" s="394"/>
      <c r="ML207" s="394"/>
      <c r="MM207" s="394"/>
      <c r="MN207" s="394"/>
      <c r="MO207" s="394"/>
      <c r="MP207" s="394"/>
      <c r="MQ207" s="394"/>
      <c r="MR207" s="394"/>
      <c r="MS207" s="394"/>
      <c r="MT207" s="394"/>
      <c r="MU207" s="394"/>
      <c r="MV207" s="394"/>
      <c r="MW207" s="394"/>
      <c r="MX207" s="394"/>
      <c r="MY207" s="394"/>
      <c r="MZ207" s="394"/>
      <c r="NA207" s="394"/>
      <c r="NB207" s="394"/>
      <c r="NC207" s="394"/>
      <c r="ND207" s="394"/>
      <c r="NE207" s="394"/>
      <c r="NF207" s="394"/>
      <c r="NG207" s="394"/>
      <c r="NH207" s="394"/>
      <c r="NI207" s="394"/>
      <c r="NJ207" s="394"/>
      <c r="NK207" s="394"/>
      <c r="NL207" s="394"/>
      <c r="NM207" s="394"/>
      <c r="NN207" s="394"/>
      <c r="NO207" s="394"/>
      <c r="NP207" s="394"/>
      <c r="NQ207" s="394"/>
      <c r="NR207" s="394"/>
      <c r="NS207" s="394"/>
      <c r="NT207" s="394"/>
      <c r="NU207" s="394"/>
      <c r="NV207" s="394"/>
      <c r="NW207" s="394"/>
      <c r="NX207" s="394"/>
      <c r="NY207" s="394"/>
      <c r="NZ207" s="394"/>
      <c r="OA207" s="394"/>
      <c r="OB207" s="394"/>
      <c r="OC207" s="394"/>
      <c r="OD207" s="394"/>
      <c r="OE207" s="394"/>
      <c r="OF207" s="394"/>
      <c r="OG207" s="394"/>
      <c r="OH207" s="394"/>
      <c r="OI207" s="394"/>
      <c r="OJ207" s="394"/>
      <c r="OK207" s="394"/>
      <c r="OL207" s="394"/>
      <c r="OM207" s="394"/>
      <c r="ON207" s="394"/>
      <c r="OO207" s="394"/>
      <c r="OP207" s="394"/>
      <c r="OQ207" s="394"/>
      <c r="OR207" s="394"/>
      <c r="OS207" s="394"/>
      <c r="OT207" s="394"/>
      <c r="OU207" s="394"/>
      <c r="OV207" s="394"/>
      <c r="OW207" s="394"/>
      <c r="OX207" s="394"/>
      <c r="OY207" s="394"/>
      <c r="OZ207" s="394"/>
      <c r="PA207" s="394"/>
      <c r="PB207" s="394"/>
      <c r="PC207" s="394"/>
      <c r="PD207" s="394"/>
      <c r="PE207" s="394"/>
      <c r="PF207" s="394"/>
      <c r="PG207" s="394"/>
      <c r="PH207" s="394"/>
      <c r="PI207" s="394"/>
      <c r="PJ207" s="394"/>
      <c r="PK207" s="394"/>
      <c r="PL207" s="394"/>
      <c r="PM207" s="394"/>
      <c r="PN207" s="394"/>
      <c r="PO207" s="394"/>
      <c r="PP207" s="394"/>
      <c r="PQ207" s="394"/>
      <c r="PR207" s="394"/>
      <c r="PS207" s="394"/>
      <c r="PT207" s="394"/>
      <c r="PU207" s="394"/>
      <c r="PV207" s="394"/>
      <c r="PW207" s="394"/>
      <c r="PX207" s="394"/>
      <c r="PY207" s="394"/>
      <c r="PZ207" s="394"/>
      <c r="QA207" s="394"/>
      <c r="QB207" s="394"/>
      <c r="QC207" s="394"/>
      <c r="QD207" s="394"/>
      <c r="QE207" s="394"/>
      <c r="QF207" s="394"/>
      <c r="QG207" s="394"/>
      <c r="QH207" s="394"/>
      <c r="QI207" s="394"/>
      <c r="QJ207" s="394"/>
      <c r="QK207" s="394"/>
      <c r="QL207" s="394"/>
      <c r="QM207" s="394"/>
      <c r="QN207" s="394"/>
      <c r="QO207" s="394"/>
      <c r="QP207" s="394"/>
      <c r="QQ207" s="394"/>
      <c r="QR207" s="394"/>
      <c r="QS207" s="394"/>
      <c r="QT207" s="394"/>
      <c r="QU207" s="394"/>
      <c r="QV207" s="394"/>
      <c r="QW207" s="394"/>
      <c r="QX207" s="394"/>
      <c r="QY207" s="394"/>
      <c r="QZ207" s="394"/>
      <c r="RA207" s="394"/>
      <c r="RB207" s="394"/>
      <c r="RC207" s="394"/>
      <c r="RD207" s="394"/>
      <c r="RE207" s="394"/>
      <c r="RF207" s="394"/>
      <c r="RG207" s="394"/>
      <c r="RH207" s="394"/>
      <c r="RI207" s="394"/>
      <c r="RJ207" s="394"/>
      <c r="RK207" s="394"/>
      <c r="RL207" s="394"/>
      <c r="RM207" s="394"/>
      <c r="RN207" s="394"/>
      <c r="RO207" s="394"/>
      <c r="RP207" s="394"/>
      <c r="RQ207" s="394"/>
      <c r="RR207" s="394"/>
      <c r="RS207" s="394"/>
      <c r="RT207" s="394"/>
      <c r="RU207" s="394"/>
      <c r="RV207" s="394"/>
      <c r="RW207" s="394"/>
      <c r="RX207" s="394"/>
      <c r="RY207" s="394"/>
      <c r="RZ207" s="394"/>
      <c r="SA207" s="394"/>
      <c r="SB207" s="394"/>
      <c r="SC207" s="394"/>
      <c r="SD207" s="394"/>
      <c r="SE207" s="394"/>
      <c r="SF207" s="394"/>
      <c r="SG207" s="394"/>
      <c r="SH207" s="394"/>
      <c r="SI207" s="394"/>
      <c r="SJ207" s="394"/>
      <c r="SK207" s="394"/>
      <c r="SL207" s="394"/>
      <c r="SM207" s="394"/>
      <c r="SN207" s="394"/>
      <c r="SO207" s="394"/>
      <c r="SP207" s="394"/>
      <c r="SQ207" s="394"/>
      <c r="SR207" s="394"/>
      <c r="SS207" s="394"/>
      <c r="ST207" s="394"/>
      <c r="SU207" s="394"/>
      <c r="SV207" s="394"/>
      <c r="SW207" s="394"/>
      <c r="SX207" s="394"/>
      <c r="SY207" s="394"/>
      <c r="SZ207" s="394"/>
      <c r="TA207" s="394"/>
      <c r="TB207" s="394"/>
      <c r="TC207" s="394"/>
      <c r="TD207" s="394"/>
      <c r="TE207" s="394"/>
      <c r="TF207" s="394"/>
      <c r="TG207" s="394"/>
      <c r="TH207" s="394"/>
      <c r="TI207" s="394"/>
      <c r="TJ207" s="394"/>
      <c r="TK207" s="394"/>
      <c r="TL207" s="394"/>
      <c r="TM207" s="394"/>
      <c r="TN207" s="394"/>
      <c r="TO207" s="394"/>
      <c r="TP207" s="394"/>
      <c r="TQ207" s="394"/>
      <c r="TR207" s="394"/>
      <c r="TS207" s="394"/>
      <c r="TT207" s="394"/>
      <c r="TU207" s="394"/>
      <c r="TV207" s="394"/>
      <c r="TW207" s="394"/>
      <c r="TX207" s="394"/>
      <c r="TY207" s="394"/>
      <c r="TZ207" s="394"/>
      <c r="UA207" s="394"/>
      <c r="UB207" s="394"/>
      <c r="UC207" s="394"/>
      <c r="UD207" s="394"/>
      <c r="UE207" s="394"/>
      <c r="UF207" s="394"/>
      <c r="UG207" s="394"/>
      <c r="UH207" s="394"/>
      <c r="UI207" s="394"/>
      <c r="UJ207" s="394"/>
      <c r="UK207" s="394"/>
      <c r="UL207" s="394"/>
      <c r="UM207" s="394"/>
      <c r="UN207" s="394"/>
      <c r="UO207" s="394"/>
      <c r="UP207" s="394"/>
      <c r="UQ207" s="394"/>
      <c r="UR207" s="394"/>
      <c r="US207" s="394"/>
      <c r="UT207" s="394"/>
      <c r="UU207" s="394"/>
      <c r="UV207" s="394"/>
      <c r="UW207" s="394"/>
      <c r="UX207" s="394"/>
      <c r="UY207" s="394"/>
      <c r="UZ207" s="394"/>
      <c r="VA207" s="394"/>
      <c r="VB207" s="394"/>
      <c r="VC207" s="394"/>
      <c r="VD207" s="394"/>
      <c r="VE207" s="394"/>
      <c r="VF207" s="394"/>
      <c r="VG207" s="394"/>
      <c r="VH207" s="394"/>
      <c r="VI207" s="394"/>
      <c r="VJ207" s="394"/>
      <c r="VK207" s="394"/>
      <c r="VL207" s="394"/>
      <c r="VM207" s="394"/>
      <c r="VN207" s="394"/>
      <c r="VO207" s="394"/>
      <c r="VP207" s="394"/>
      <c r="VQ207" s="394"/>
      <c r="VR207" s="394"/>
      <c r="VS207" s="394"/>
      <c r="VT207" s="394"/>
      <c r="VU207" s="394"/>
      <c r="VV207" s="394"/>
      <c r="VW207" s="394"/>
      <c r="VX207" s="394"/>
      <c r="VY207" s="394"/>
      <c r="VZ207" s="394"/>
      <c r="WA207" s="394"/>
      <c r="WB207" s="394"/>
      <c r="WC207" s="394"/>
      <c r="WD207" s="394"/>
      <c r="WE207" s="394"/>
      <c r="WF207" s="394"/>
      <c r="WG207" s="394"/>
      <c r="WH207" s="394"/>
      <c r="WI207" s="394"/>
      <c r="WJ207" s="394"/>
      <c r="WK207" s="394"/>
      <c r="WL207" s="394"/>
      <c r="WM207" s="394"/>
      <c r="WN207" s="394"/>
      <c r="WO207" s="394"/>
      <c r="WP207" s="394"/>
      <c r="WQ207" s="394"/>
      <c r="WR207" s="394"/>
      <c r="WS207" s="394"/>
      <c r="WT207" s="394"/>
      <c r="WU207" s="394"/>
      <c r="WV207" s="394"/>
      <c r="WW207" s="394"/>
      <c r="WX207" s="394"/>
      <c r="WY207" s="394"/>
      <c r="WZ207" s="394"/>
      <c r="XA207" s="394"/>
      <c r="XB207" s="394"/>
      <c r="XC207" s="394"/>
      <c r="XD207" s="394"/>
      <c r="XE207" s="394"/>
      <c r="XF207" s="394"/>
      <c r="XG207" s="394"/>
      <c r="XH207" s="394"/>
      <c r="XI207" s="394"/>
      <c r="XJ207" s="394"/>
      <c r="XK207" s="394"/>
      <c r="XL207" s="394"/>
      <c r="XM207" s="394"/>
      <c r="XN207" s="394"/>
      <c r="XO207" s="394"/>
      <c r="XP207" s="394"/>
      <c r="XQ207" s="394"/>
      <c r="XR207" s="394"/>
      <c r="XS207" s="394"/>
      <c r="XT207" s="394"/>
      <c r="XU207" s="394"/>
      <c r="XV207" s="394"/>
      <c r="XW207" s="394"/>
      <c r="XX207" s="394"/>
      <c r="XY207" s="394"/>
      <c r="XZ207" s="394"/>
      <c r="YA207" s="394"/>
      <c r="YB207" s="394"/>
      <c r="YC207" s="394"/>
      <c r="YD207" s="394"/>
      <c r="YE207" s="394"/>
      <c r="YF207" s="394"/>
      <c r="YG207" s="394"/>
      <c r="YH207" s="394"/>
      <c r="YI207" s="394"/>
      <c r="YJ207" s="394"/>
      <c r="YK207" s="394"/>
      <c r="YL207" s="394"/>
      <c r="YM207" s="394"/>
      <c r="YN207" s="394"/>
      <c r="YO207" s="394"/>
      <c r="YP207" s="394"/>
      <c r="YQ207" s="394"/>
      <c r="YR207" s="394"/>
      <c r="YS207" s="394"/>
      <c r="YT207" s="394"/>
      <c r="YU207" s="394"/>
      <c r="YV207" s="394"/>
      <c r="YW207" s="394"/>
      <c r="YX207" s="394"/>
      <c r="YY207" s="394"/>
      <c r="YZ207" s="394"/>
      <c r="ZA207" s="394"/>
      <c r="ZB207" s="394"/>
      <c r="ZC207" s="394"/>
      <c r="ZD207" s="394"/>
      <c r="ZE207" s="394"/>
      <c r="ZF207" s="394"/>
      <c r="ZG207" s="394"/>
      <c r="ZH207" s="394"/>
      <c r="ZI207" s="394"/>
      <c r="ZJ207" s="394"/>
      <c r="ZK207" s="394"/>
      <c r="ZL207" s="394"/>
      <c r="ZM207" s="394"/>
      <c r="ZN207" s="394"/>
      <c r="ZO207" s="394"/>
      <c r="ZP207" s="394"/>
      <c r="ZQ207" s="394"/>
      <c r="ZR207" s="394"/>
      <c r="ZS207" s="394"/>
      <c r="ZT207" s="394"/>
      <c r="ZU207" s="394"/>
      <c r="ZV207" s="394"/>
      <c r="ZW207" s="394"/>
      <c r="ZX207" s="394"/>
      <c r="ZY207" s="394"/>
      <c r="ZZ207" s="394"/>
      <c r="AAA207" s="394"/>
      <c r="AAB207" s="394"/>
      <c r="AAC207" s="394"/>
      <c r="AAD207" s="394"/>
      <c r="AAE207" s="394"/>
      <c r="AAF207" s="394"/>
      <c r="AAG207" s="394"/>
      <c r="AAH207" s="394"/>
      <c r="AAI207" s="394"/>
      <c r="AAJ207" s="394"/>
      <c r="AAK207" s="394"/>
      <c r="AAL207" s="394"/>
      <c r="AAM207" s="394"/>
      <c r="AAN207" s="394"/>
      <c r="AAO207" s="394"/>
      <c r="AAP207" s="394"/>
      <c r="AAQ207" s="394"/>
      <c r="AAR207" s="394"/>
      <c r="AAS207" s="394"/>
      <c r="AAT207" s="394"/>
      <c r="AAU207" s="394"/>
      <c r="AAV207" s="394"/>
      <c r="AAW207" s="394"/>
      <c r="AAX207" s="394"/>
      <c r="AAY207" s="394"/>
      <c r="AAZ207" s="394"/>
      <c r="ABA207" s="394"/>
      <c r="ABB207" s="394"/>
      <c r="ABC207" s="394"/>
      <c r="ABD207" s="394"/>
      <c r="ABE207" s="394"/>
      <c r="ABF207" s="394"/>
      <c r="ABG207" s="394"/>
      <c r="ABH207" s="394"/>
      <c r="ABI207" s="394"/>
      <c r="ABJ207" s="394"/>
      <c r="ABK207" s="394"/>
      <c r="ABL207" s="394"/>
      <c r="ABM207" s="394"/>
      <c r="ABN207" s="394"/>
      <c r="ABO207" s="394"/>
      <c r="ABP207" s="394"/>
      <c r="ABQ207" s="394"/>
      <c r="ABR207" s="394"/>
      <c r="ABS207" s="394"/>
      <c r="ABT207" s="394"/>
      <c r="ABU207" s="394"/>
      <c r="ABV207" s="394"/>
      <c r="ABW207" s="394"/>
      <c r="ABX207" s="394"/>
      <c r="ABY207" s="394"/>
      <c r="ABZ207" s="394"/>
      <c r="ACA207" s="394"/>
      <c r="ACB207" s="394"/>
      <c r="ACC207" s="394"/>
      <c r="ACD207" s="394"/>
      <c r="ACE207" s="394"/>
      <c r="ACF207" s="394"/>
      <c r="ACG207" s="394"/>
      <c r="ACH207" s="394"/>
      <c r="ACI207" s="394"/>
      <c r="ACJ207" s="394"/>
      <c r="ACK207" s="394"/>
      <c r="ACL207" s="394"/>
      <c r="ACM207" s="394"/>
      <c r="ACN207" s="394"/>
      <c r="ACO207" s="394"/>
      <c r="ACP207" s="394"/>
      <c r="ACQ207" s="394"/>
      <c r="ACR207" s="394"/>
      <c r="ACS207" s="394"/>
      <c r="ACT207" s="394"/>
      <c r="ACU207" s="394"/>
      <c r="ACV207" s="394"/>
      <c r="ACW207" s="394"/>
      <c r="ACX207" s="394"/>
      <c r="ACY207" s="394"/>
      <c r="ACZ207" s="394"/>
      <c r="ADA207" s="394"/>
      <c r="ADB207" s="394"/>
      <c r="ADC207" s="394"/>
      <c r="ADD207" s="394"/>
      <c r="ADE207" s="394"/>
      <c r="ADF207" s="394"/>
      <c r="ADG207" s="394"/>
      <c r="ADH207" s="394"/>
      <c r="ADI207" s="394"/>
      <c r="ADJ207" s="394"/>
      <c r="ADK207" s="394"/>
      <c r="ADL207" s="394"/>
      <c r="ADM207" s="394"/>
      <c r="ADN207" s="394"/>
      <c r="ADO207" s="394"/>
      <c r="ADP207" s="394"/>
      <c r="ADQ207" s="394"/>
      <c r="ADR207" s="394"/>
      <c r="ADS207" s="394"/>
      <c r="ADT207" s="394"/>
      <c r="ADU207" s="394"/>
      <c r="ADV207" s="394"/>
      <c r="ADW207" s="394"/>
      <c r="ADX207" s="394"/>
      <c r="ADY207" s="394"/>
      <c r="ADZ207" s="394"/>
      <c r="AEA207" s="394"/>
      <c r="AEB207" s="394"/>
      <c r="AEC207" s="394"/>
      <c r="AED207" s="394"/>
      <c r="AEE207" s="394"/>
      <c r="AEF207" s="394"/>
      <c r="AEG207" s="394"/>
      <c r="AEH207" s="394"/>
      <c r="AEI207" s="394"/>
      <c r="AEJ207" s="394"/>
      <c r="AEK207" s="394"/>
      <c r="AEL207" s="394"/>
      <c r="AEM207" s="394"/>
      <c r="AEN207" s="394"/>
      <c r="AEO207" s="394"/>
      <c r="AEP207" s="394"/>
      <c r="AEQ207" s="394"/>
      <c r="AER207" s="394"/>
      <c r="AES207" s="394"/>
      <c r="AET207" s="394"/>
      <c r="AEU207" s="394"/>
      <c r="AEV207" s="394"/>
      <c r="AEW207" s="394"/>
      <c r="AEX207" s="394"/>
      <c r="AEY207" s="394"/>
      <c r="AEZ207" s="394"/>
      <c r="AFA207" s="394"/>
      <c r="AFB207" s="394"/>
      <c r="AFC207" s="394"/>
      <c r="AFD207" s="394"/>
      <c r="AFE207" s="394"/>
      <c r="AFF207" s="394"/>
      <c r="AFG207" s="394"/>
      <c r="AFH207" s="394"/>
      <c r="AFI207" s="394"/>
      <c r="AFJ207" s="394"/>
      <c r="AFK207" s="394"/>
      <c r="AFL207" s="394"/>
      <c r="AFM207" s="394"/>
      <c r="AFN207" s="394"/>
      <c r="AFO207" s="394"/>
      <c r="AFP207" s="394"/>
      <c r="AFQ207" s="394"/>
      <c r="AFR207" s="394"/>
      <c r="AFS207" s="394"/>
      <c r="AFT207" s="394"/>
      <c r="AFU207" s="394"/>
      <c r="AFV207" s="394"/>
      <c r="AFW207" s="394"/>
      <c r="AFX207" s="394"/>
      <c r="AFY207" s="394"/>
      <c r="AFZ207" s="394"/>
      <c r="AGA207" s="394"/>
      <c r="AGB207" s="394"/>
      <c r="AGC207" s="394"/>
      <c r="AGD207" s="394"/>
      <c r="AGE207" s="394"/>
      <c r="AGF207" s="394"/>
      <c r="AGG207" s="394"/>
      <c r="AGH207" s="394"/>
      <c r="AGI207" s="394"/>
      <c r="AGJ207" s="394"/>
      <c r="AGK207" s="394"/>
      <c r="AGL207" s="394"/>
      <c r="AGM207" s="394"/>
      <c r="AGN207" s="394"/>
      <c r="AGO207" s="394"/>
      <c r="AGP207" s="394"/>
      <c r="AGQ207" s="394"/>
      <c r="AGR207" s="394"/>
      <c r="AGS207" s="394"/>
      <c r="AGT207" s="394"/>
      <c r="AGU207" s="394"/>
      <c r="AGV207" s="394"/>
      <c r="AGW207" s="394"/>
      <c r="AGX207" s="394"/>
      <c r="AGY207" s="394"/>
      <c r="AGZ207" s="394"/>
      <c r="AHA207" s="394"/>
      <c r="AHB207" s="394"/>
      <c r="AHC207" s="394"/>
      <c r="AHD207" s="394"/>
      <c r="AHE207" s="394"/>
      <c r="AHF207" s="394"/>
      <c r="AHG207" s="394"/>
      <c r="AHH207" s="394"/>
      <c r="AHI207" s="394"/>
      <c r="AHJ207" s="394"/>
      <c r="AHK207" s="394"/>
      <c r="AHL207" s="394"/>
      <c r="AHM207" s="394"/>
      <c r="AHN207" s="394"/>
      <c r="AHO207" s="394"/>
      <c r="AHP207" s="394"/>
      <c r="AHQ207" s="394"/>
      <c r="AHR207" s="394"/>
      <c r="AHS207" s="394"/>
      <c r="AHT207" s="394"/>
      <c r="AHU207" s="394"/>
      <c r="AHV207" s="394"/>
      <c r="AHW207" s="394"/>
      <c r="AHX207" s="394"/>
      <c r="AHY207" s="394"/>
      <c r="AHZ207" s="394"/>
      <c r="AIA207" s="394"/>
      <c r="AIB207" s="394"/>
      <c r="AIC207" s="394"/>
      <c r="AID207" s="394"/>
      <c r="AIE207" s="394"/>
      <c r="AIF207" s="394"/>
      <c r="AIG207" s="394"/>
      <c r="AIH207" s="394"/>
      <c r="AII207" s="394"/>
      <c r="AIJ207" s="394"/>
      <c r="AIK207" s="394"/>
      <c r="AIL207" s="394"/>
      <c r="AIM207" s="394"/>
      <c r="AIN207" s="394"/>
      <c r="AIO207" s="394"/>
      <c r="AIP207" s="394"/>
      <c r="AIQ207" s="394"/>
      <c r="AIR207" s="394"/>
      <c r="AIS207" s="394"/>
      <c r="AIT207" s="394"/>
      <c r="AIU207" s="394"/>
      <c r="AIV207" s="394"/>
      <c r="AIW207" s="394"/>
      <c r="AIX207" s="394"/>
      <c r="AIY207" s="394"/>
      <c r="AIZ207" s="394"/>
      <c r="AJA207" s="394"/>
      <c r="AJB207" s="394"/>
      <c r="AJC207" s="394"/>
      <c r="AJD207" s="394"/>
      <c r="AJE207" s="394"/>
      <c r="AJF207" s="394"/>
      <c r="AJG207" s="394"/>
      <c r="AJH207" s="394"/>
      <c r="AJI207" s="394"/>
      <c r="AJJ207" s="394"/>
      <c r="AJK207" s="394"/>
      <c r="AJL207" s="394"/>
      <c r="AJM207" s="394"/>
      <c r="AJN207" s="394"/>
      <c r="AJO207" s="394"/>
      <c r="AJP207" s="394"/>
      <c r="AJQ207" s="394"/>
      <c r="AJR207" s="394"/>
      <c r="AJS207" s="394"/>
      <c r="AJT207" s="394"/>
      <c r="AJU207" s="394"/>
      <c r="AJV207" s="394"/>
      <c r="AJW207" s="394"/>
      <c r="AJX207" s="394"/>
      <c r="AJY207" s="394"/>
      <c r="AJZ207" s="394"/>
      <c r="AKA207" s="394"/>
      <c r="AKB207" s="394"/>
      <c r="AKC207" s="394"/>
      <c r="AKD207" s="394"/>
      <c r="AKE207" s="394"/>
      <c r="AKF207" s="394"/>
      <c r="AKG207" s="394"/>
      <c r="AKH207" s="394"/>
      <c r="AKI207" s="394"/>
      <c r="AKJ207" s="394"/>
      <c r="AKK207" s="394"/>
      <c r="AKL207" s="394"/>
      <c r="AKM207" s="394"/>
      <c r="AKN207" s="394"/>
      <c r="AKO207" s="394"/>
      <c r="AKP207" s="394"/>
      <c r="AKQ207" s="394"/>
      <c r="AKR207" s="394"/>
      <c r="AKS207" s="394"/>
      <c r="AKT207" s="394"/>
      <c r="AKU207" s="394"/>
      <c r="AKV207" s="394"/>
      <c r="AKW207" s="394"/>
      <c r="AKX207" s="394"/>
      <c r="AKY207" s="394"/>
      <c r="AKZ207" s="394"/>
      <c r="ALA207" s="394"/>
      <c r="ALB207" s="394"/>
      <c r="ALC207" s="394"/>
      <c r="ALD207" s="394"/>
      <c r="ALE207" s="394"/>
      <c r="ALF207" s="394"/>
      <c r="ALG207" s="394"/>
      <c r="ALH207" s="394"/>
      <c r="ALI207" s="394"/>
      <c r="ALJ207" s="394"/>
      <c r="ALK207" s="394"/>
      <c r="ALL207" s="394"/>
      <c r="ALM207" s="394"/>
      <c r="ALN207" s="394"/>
      <c r="ALO207" s="394"/>
      <c r="ALP207" s="394"/>
      <c r="ALQ207" s="394"/>
      <c r="ALR207" s="394"/>
      <c r="ALS207" s="394"/>
      <c r="ALT207" s="394"/>
      <c r="ALU207" s="394"/>
      <c r="ALV207" s="394"/>
      <c r="ALW207" s="394"/>
      <c r="ALX207" s="394"/>
      <c r="ALY207" s="394"/>
      <c r="ALZ207" s="394"/>
      <c r="AMA207" s="394"/>
      <c r="AMB207" s="394"/>
      <c r="AMC207" s="394"/>
      <c r="AMD207" s="394"/>
      <c r="AME207" s="394"/>
      <c r="AMF207" s="394"/>
      <c r="AMG207" s="394"/>
      <c r="AMH207" s="394"/>
      <c r="AMI207" s="394"/>
      <c r="AMJ207" s="394"/>
      <c r="AMK207" s="394"/>
      <c r="AML207" s="394"/>
      <c r="AMM207" s="394"/>
      <c r="AMN207" s="394"/>
      <c r="AMO207" s="394"/>
      <c r="AMP207" s="394"/>
      <c r="AMQ207" s="394"/>
      <c r="AMR207" s="394"/>
      <c r="AMS207" s="394"/>
      <c r="AMT207" s="394"/>
      <c r="AMU207" s="394"/>
      <c r="AMV207" s="394"/>
      <c r="AMW207" s="394"/>
      <c r="AMX207" s="394"/>
      <c r="AMY207" s="394"/>
      <c r="AMZ207" s="394"/>
      <c r="ANA207" s="394"/>
      <c r="ANB207" s="394"/>
      <c r="ANC207" s="394"/>
      <c r="AND207" s="394"/>
      <c r="ANE207" s="394"/>
      <c r="ANF207" s="394"/>
      <c r="ANG207" s="394"/>
      <c r="ANH207" s="394"/>
      <c r="ANI207" s="394"/>
      <c r="ANJ207" s="394"/>
      <c r="ANK207" s="394"/>
      <c r="ANL207" s="394"/>
      <c r="ANM207" s="394"/>
      <c r="ANN207" s="394"/>
      <c r="ANO207" s="394"/>
      <c r="ANP207" s="394"/>
      <c r="ANQ207" s="394"/>
      <c r="ANR207" s="394"/>
      <c r="ANS207" s="394"/>
      <c r="ANT207" s="394"/>
      <c r="ANU207" s="394"/>
      <c r="ANV207" s="394"/>
      <c r="ANW207" s="394"/>
      <c r="ANX207" s="394"/>
      <c r="ANY207" s="394"/>
      <c r="ANZ207" s="394"/>
      <c r="AOA207" s="394"/>
      <c r="AOB207" s="394"/>
      <c r="AOC207" s="394"/>
      <c r="AOD207" s="394"/>
      <c r="AOE207" s="394"/>
      <c r="AOF207" s="394"/>
      <c r="AOG207" s="394"/>
      <c r="AOH207" s="394"/>
      <c r="AOI207" s="394"/>
      <c r="AOJ207" s="394"/>
      <c r="AOK207" s="394"/>
      <c r="AOL207" s="394"/>
      <c r="AOM207" s="394"/>
      <c r="AON207" s="394"/>
      <c r="AOO207" s="394"/>
      <c r="AOP207" s="394"/>
      <c r="AOQ207" s="394"/>
      <c r="AOR207" s="394"/>
      <c r="AOS207" s="394"/>
      <c r="AOT207" s="394"/>
      <c r="AOU207" s="394"/>
      <c r="AOV207" s="394"/>
      <c r="AOW207" s="394"/>
      <c r="AOX207" s="394"/>
      <c r="AOY207" s="394"/>
      <c r="AOZ207" s="394"/>
      <c r="APA207" s="394"/>
      <c r="APB207" s="394"/>
      <c r="APC207" s="394"/>
      <c r="APD207" s="394"/>
      <c r="APE207" s="394"/>
      <c r="APF207" s="394"/>
      <c r="APG207" s="394"/>
      <c r="APH207" s="394"/>
      <c r="API207" s="394"/>
      <c r="APJ207" s="394"/>
      <c r="APK207" s="394"/>
      <c r="APL207" s="394"/>
      <c r="APM207" s="394"/>
      <c r="APN207" s="394"/>
      <c r="APO207" s="394"/>
      <c r="APP207" s="394"/>
      <c r="APQ207" s="394"/>
      <c r="APR207" s="394"/>
      <c r="APS207" s="394"/>
      <c r="APT207" s="394"/>
      <c r="APU207" s="394"/>
      <c r="APV207" s="394"/>
      <c r="APW207" s="394"/>
      <c r="APX207" s="394"/>
      <c r="APY207" s="394"/>
      <c r="APZ207" s="394"/>
      <c r="AQA207" s="394"/>
      <c r="AQB207" s="394"/>
      <c r="AQC207" s="394"/>
      <c r="AQD207" s="394"/>
      <c r="AQE207" s="394"/>
      <c r="AQF207" s="394"/>
      <c r="AQG207" s="394"/>
      <c r="AQH207" s="394"/>
      <c r="AQI207" s="394"/>
      <c r="AQJ207" s="394"/>
      <c r="AQK207" s="394"/>
      <c r="AQL207" s="394"/>
      <c r="AQM207" s="394"/>
      <c r="AQN207" s="394"/>
      <c r="AQO207" s="394"/>
      <c r="AQP207" s="394"/>
      <c r="AQQ207" s="394"/>
      <c r="AQR207" s="394"/>
      <c r="AQS207" s="394"/>
      <c r="AQT207" s="394"/>
      <c r="AQU207" s="394"/>
      <c r="AQV207" s="394"/>
      <c r="AQW207" s="394"/>
      <c r="AQX207" s="394"/>
      <c r="AQY207" s="394"/>
      <c r="AQZ207" s="394"/>
      <c r="ARA207" s="394"/>
      <c r="ARB207" s="394"/>
      <c r="ARC207" s="394"/>
      <c r="ARD207" s="394"/>
      <c r="ARE207" s="394"/>
      <c r="ARF207" s="394"/>
      <c r="ARG207" s="394"/>
      <c r="ARH207" s="394"/>
      <c r="ARI207" s="394"/>
      <c r="ARJ207" s="394"/>
      <c r="ARK207" s="394"/>
      <c r="ARL207" s="394"/>
      <c r="ARM207" s="394"/>
      <c r="ARN207" s="394"/>
      <c r="ARO207" s="394"/>
      <c r="ARP207" s="394"/>
      <c r="ARQ207" s="394"/>
      <c r="ARR207" s="394"/>
      <c r="ARS207" s="394"/>
      <c r="ART207" s="394"/>
      <c r="ARU207" s="394"/>
      <c r="ARV207" s="394"/>
      <c r="ARW207" s="394"/>
      <c r="ARX207" s="394"/>
      <c r="ARY207" s="394"/>
      <c r="ARZ207" s="394"/>
      <c r="ASA207" s="394"/>
      <c r="ASB207" s="394"/>
      <c r="ASC207" s="394"/>
      <c r="ASD207" s="394"/>
      <c r="ASE207" s="394"/>
      <c r="ASF207" s="394"/>
      <c r="ASG207" s="394"/>
      <c r="ASH207" s="394"/>
      <c r="ASI207" s="394"/>
      <c r="ASJ207" s="394"/>
      <c r="ASK207" s="394"/>
      <c r="ASL207" s="394"/>
      <c r="ASM207" s="394"/>
      <c r="ASN207" s="394"/>
      <c r="ASO207" s="394"/>
      <c r="ASP207" s="394"/>
      <c r="ASQ207" s="394"/>
      <c r="ASR207" s="394"/>
      <c r="ASS207" s="394"/>
      <c r="AST207" s="394"/>
      <c r="ASU207" s="394"/>
      <c r="ASV207" s="394"/>
      <c r="ASW207" s="394"/>
      <c r="ASX207" s="394"/>
      <c r="ASY207" s="394"/>
      <c r="ASZ207" s="394"/>
      <c r="ATA207" s="394"/>
      <c r="ATB207" s="394"/>
      <c r="ATC207" s="394"/>
      <c r="ATD207" s="394"/>
      <c r="ATE207" s="394"/>
      <c r="ATF207" s="394"/>
      <c r="ATG207" s="394"/>
      <c r="ATH207" s="394"/>
      <c r="ATI207" s="394"/>
      <c r="ATJ207" s="394"/>
      <c r="ATK207" s="394"/>
      <c r="ATL207" s="394"/>
      <c r="ATM207" s="394"/>
      <c r="ATN207" s="394"/>
      <c r="ATO207" s="394"/>
      <c r="ATP207" s="394"/>
      <c r="ATQ207" s="394"/>
      <c r="ATR207" s="394"/>
      <c r="ATS207" s="394"/>
      <c r="ATT207" s="394"/>
      <c r="ATU207" s="394"/>
      <c r="ATV207" s="394"/>
      <c r="ATW207" s="394"/>
      <c r="ATX207" s="394"/>
      <c r="ATY207" s="394"/>
      <c r="ATZ207" s="394"/>
      <c r="AUA207" s="394"/>
      <c r="AUB207" s="394"/>
      <c r="AUC207" s="394"/>
      <c r="AUD207" s="394"/>
      <c r="AUE207" s="394"/>
      <c r="AUF207" s="394"/>
      <c r="AUG207" s="394"/>
      <c r="AUH207" s="394"/>
      <c r="AUI207" s="394"/>
      <c r="AUJ207" s="394"/>
      <c r="AUK207" s="394"/>
      <c r="AUL207" s="394"/>
      <c r="AUM207" s="394"/>
      <c r="AUN207" s="394"/>
      <c r="AUO207" s="394"/>
      <c r="AUP207" s="394"/>
      <c r="AUQ207" s="394"/>
      <c r="AUR207" s="394"/>
      <c r="AUS207" s="394"/>
      <c r="AUT207" s="394"/>
      <c r="AUU207" s="394"/>
      <c r="AUV207" s="394"/>
      <c r="AUW207" s="394"/>
      <c r="AUX207" s="394"/>
      <c r="AUY207" s="394"/>
      <c r="AUZ207" s="394"/>
      <c r="AVA207" s="394"/>
      <c r="AVB207" s="394"/>
      <c r="AVC207" s="394"/>
      <c r="AVD207" s="394"/>
      <c r="AVE207" s="394"/>
      <c r="AVF207" s="394"/>
      <c r="AVG207" s="394"/>
      <c r="AVH207" s="394"/>
      <c r="AVI207" s="394"/>
      <c r="AVJ207" s="394"/>
      <c r="AVK207" s="394"/>
      <c r="AVL207" s="394"/>
      <c r="AVM207" s="394"/>
      <c r="AVN207" s="394"/>
      <c r="AVO207" s="394"/>
      <c r="AVP207" s="394"/>
      <c r="AVQ207" s="394"/>
      <c r="AVR207" s="394"/>
      <c r="AVS207" s="394"/>
      <c r="AVT207" s="394"/>
      <c r="AVU207" s="394"/>
      <c r="AVV207" s="394"/>
      <c r="AVW207" s="394"/>
      <c r="AVX207" s="394"/>
      <c r="AVY207" s="394"/>
      <c r="AVZ207" s="394"/>
      <c r="AWA207" s="394"/>
      <c r="AWB207" s="394"/>
      <c r="AWC207" s="394"/>
      <c r="AWD207" s="394"/>
      <c r="AWE207" s="394"/>
      <c r="AWF207" s="394"/>
      <c r="AWG207" s="394"/>
      <c r="AWH207" s="394"/>
      <c r="AWI207" s="394"/>
      <c r="AWJ207" s="394"/>
      <c r="AWK207" s="394"/>
      <c r="AWL207" s="394"/>
      <c r="AWM207" s="394"/>
      <c r="AWN207" s="394"/>
      <c r="AWO207" s="394"/>
      <c r="AWP207" s="394"/>
      <c r="AWQ207" s="394"/>
      <c r="AWR207" s="394"/>
      <c r="AWS207" s="394"/>
      <c r="AWT207" s="394"/>
      <c r="AWU207" s="394"/>
      <c r="AWV207" s="394"/>
      <c r="AWW207" s="394"/>
      <c r="AWX207" s="394"/>
      <c r="AWY207" s="394"/>
      <c r="AWZ207" s="394"/>
      <c r="AXA207" s="394"/>
      <c r="AXB207" s="394"/>
      <c r="AXC207" s="394"/>
      <c r="AXD207" s="394"/>
      <c r="AXE207" s="394"/>
      <c r="AXF207" s="394"/>
      <c r="AXG207" s="394"/>
      <c r="AXH207" s="394"/>
      <c r="AXI207" s="394"/>
      <c r="AXJ207" s="394"/>
      <c r="AXK207" s="394"/>
      <c r="AXL207" s="394"/>
      <c r="AXM207" s="394"/>
      <c r="AXN207" s="394"/>
      <c r="AXO207" s="394"/>
      <c r="AXP207" s="394"/>
      <c r="AXQ207" s="394"/>
      <c r="AXR207" s="394"/>
      <c r="AXS207" s="394"/>
      <c r="AXT207" s="394"/>
      <c r="AXU207" s="394"/>
      <c r="AXV207" s="394"/>
      <c r="AXW207" s="394"/>
      <c r="AXX207" s="394"/>
      <c r="AXY207" s="394"/>
      <c r="AXZ207" s="394"/>
      <c r="AYA207" s="394"/>
      <c r="AYB207" s="394"/>
      <c r="AYC207" s="394"/>
      <c r="AYD207" s="394"/>
      <c r="AYE207" s="394"/>
      <c r="AYF207" s="394"/>
      <c r="AYG207" s="394"/>
      <c r="AYH207" s="394"/>
      <c r="AYI207" s="394"/>
      <c r="AYJ207" s="394"/>
      <c r="AYK207" s="394"/>
      <c r="AYL207" s="394"/>
      <c r="AYM207" s="394"/>
      <c r="AYN207" s="394"/>
      <c r="AYO207" s="394"/>
      <c r="AYP207" s="394"/>
      <c r="AYQ207" s="394"/>
      <c r="AYR207" s="394"/>
      <c r="AYS207" s="394"/>
      <c r="AYT207" s="394"/>
      <c r="AYU207" s="394"/>
      <c r="AYV207" s="394"/>
      <c r="AYW207" s="394"/>
      <c r="AYX207" s="394"/>
      <c r="AYY207" s="394"/>
      <c r="AYZ207" s="394"/>
      <c r="AZA207" s="394"/>
      <c r="AZB207" s="394"/>
      <c r="AZC207" s="394"/>
      <c r="AZD207" s="394"/>
      <c r="AZE207" s="394"/>
      <c r="AZF207" s="394"/>
      <c r="AZG207" s="394"/>
      <c r="AZH207" s="394"/>
      <c r="AZI207" s="394"/>
      <c r="AZJ207" s="394"/>
      <c r="AZK207" s="394"/>
      <c r="AZL207" s="394"/>
      <c r="AZM207" s="394"/>
      <c r="AZN207" s="394"/>
      <c r="AZO207" s="394"/>
      <c r="AZP207" s="394"/>
      <c r="AZQ207" s="394"/>
      <c r="AZR207" s="394"/>
      <c r="AZS207" s="394"/>
      <c r="AZT207" s="394"/>
      <c r="AZU207" s="394"/>
      <c r="AZV207" s="394"/>
      <c r="AZW207" s="394"/>
      <c r="AZX207" s="394"/>
      <c r="AZY207" s="394"/>
      <c r="AZZ207" s="394"/>
      <c r="BAA207" s="394"/>
      <c r="BAB207" s="394"/>
      <c r="BAC207" s="394"/>
      <c r="BAD207" s="394"/>
      <c r="BAE207" s="394"/>
      <c r="BAF207" s="394"/>
      <c r="BAG207" s="394"/>
      <c r="BAH207" s="394"/>
      <c r="BAI207" s="394"/>
      <c r="BAJ207" s="394"/>
      <c r="BAK207" s="394"/>
      <c r="BAL207" s="394"/>
      <c r="BAM207" s="394"/>
      <c r="BAN207" s="394"/>
      <c r="BAO207" s="394"/>
      <c r="BAP207" s="394"/>
      <c r="BAQ207" s="394"/>
      <c r="BAR207" s="394"/>
      <c r="BAS207" s="394"/>
      <c r="BAT207" s="394"/>
      <c r="BAU207" s="394"/>
      <c r="BAV207" s="394"/>
      <c r="BAW207" s="394"/>
      <c r="BAX207" s="394"/>
      <c r="BAY207" s="394"/>
      <c r="BAZ207" s="394"/>
      <c r="BBA207" s="394"/>
      <c r="BBB207" s="394"/>
      <c r="BBC207" s="394"/>
      <c r="BBD207" s="394"/>
      <c r="BBE207" s="394"/>
      <c r="BBF207" s="394"/>
      <c r="BBG207" s="394"/>
      <c r="BBH207" s="394"/>
      <c r="BBI207" s="394"/>
      <c r="BBJ207" s="394"/>
      <c r="BBK207" s="394"/>
      <c r="BBL207" s="394"/>
      <c r="BBM207" s="394"/>
      <c r="BBN207" s="394"/>
      <c r="BBO207" s="394"/>
      <c r="BBP207" s="394"/>
      <c r="BBQ207" s="394"/>
      <c r="BBR207" s="394"/>
      <c r="BBS207" s="394"/>
      <c r="BBT207" s="394"/>
      <c r="BBU207" s="394"/>
      <c r="BBV207" s="394"/>
      <c r="BBW207" s="394"/>
      <c r="BBX207" s="394"/>
      <c r="BBY207" s="394"/>
      <c r="BBZ207" s="394"/>
      <c r="BCA207" s="394"/>
      <c r="BCB207" s="394"/>
      <c r="BCC207" s="394"/>
      <c r="BCD207" s="394"/>
      <c r="BCE207" s="394"/>
      <c r="BCF207" s="394"/>
      <c r="BCG207" s="394"/>
      <c r="BCH207" s="394"/>
      <c r="BCI207" s="394"/>
      <c r="BCJ207" s="394"/>
      <c r="BCK207" s="394"/>
      <c r="BCL207" s="394"/>
      <c r="BCM207" s="394"/>
      <c r="BCN207" s="394"/>
      <c r="BCO207" s="394"/>
      <c r="BCP207" s="394"/>
      <c r="BCQ207" s="394"/>
      <c r="BCR207" s="394"/>
      <c r="BCS207" s="394"/>
      <c r="BCT207" s="394"/>
      <c r="BCU207" s="394"/>
      <c r="BCV207" s="394"/>
      <c r="BCW207" s="394"/>
      <c r="BCX207" s="394"/>
      <c r="BCY207" s="394"/>
      <c r="BCZ207" s="394"/>
      <c r="BDA207" s="394"/>
      <c r="BDB207" s="394"/>
      <c r="BDC207" s="394"/>
      <c r="BDD207" s="394"/>
      <c r="BDE207" s="394"/>
      <c r="BDF207" s="394"/>
      <c r="BDG207" s="394"/>
      <c r="BDH207" s="394"/>
      <c r="BDI207" s="394"/>
      <c r="BDJ207" s="394"/>
      <c r="BDK207" s="394"/>
      <c r="BDL207" s="394"/>
      <c r="BDM207" s="394"/>
      <c r="BDN207" s="394"/>
      <c r="BDO207" s="394"/>
      <c r="BDP207" s="394"/>
      <c r="BDQ207" s="394"/>
      <c r="BDR207" s="394"/>
      <c r="BDS207" s="394"/>
      <c r="BDT207" s="394"/>
      <c r="BDU207" s="394"/>
      <c r="BDV207" s="394"/>
      <c r="BDW207" s="394"/>
      <c r="BDX207" s="394"/>
      <c r="BDY207" s="394"/>
      <c r="BDZ207" s="394"/>
      <c r="BEA207" s="394"/>
      <c r="BEB207" s="394"/>
      <c r="BEC207" s="394"/>
      <c r="BED207" s="394"/>
      <c r="BEE207" s="394"/>
      <c r="BEF207" s="394"/>
      <c r="BEG207" s="394"/>
      <c r="BEH207" s="394"/>
      <c r="BEI207" s="394"/>
      <c r="BEJ207" s="394"/>
      <c r="BEK207" s="394"/>
      <c r="BEL207" s="394"/>
      <c r="BEM207" s="394"/>
      <c r="BEN207" s="394"/>
      <c r="BEO207" s="394"/>
      <c r="BEP207" s="394"/>
      <c r="BEQ207" s="394"/>
      <c r="BER207" s="394"/>
      <c r="BES207" s="394"/>
      <c r="BET207" s="394"/>
      <c r="BEU207" s="394"/>
      <c r="BEV207" s="394"/>
      <c r="BEW207" s="394"/>
      <c r="BEX207" s="394"/>
      <c r="BEY207" s="394"/>
      <c r="BEZ207" s="394"/>
      <c r="BFA207" s="394"/>
      <c r="BFB207" s="394"/>
      <c r="BFC207" s="394"/>
      <c r="BFD207" s="394"/>
      <c r="BFE207" s="394"/>
      <c r="BFF207" s="394"/>
      <c r="BFG207" s="394"/>
      <c r="BFH207" s="394"/>
      <c r="BFI207" s="394"/>
      <c r="BFJ207" s="394"/>
      <c r="BFK207" s="394"/>
      <c r="BFL207" s="394"/>
      <c r="BFM207" s="394"/>
      <c r="BFN207" s="394"/>
      <c r="BFO207" s="394"/>
      <c r="BFP207" s="394"/>
      <c r="BFQ207" s="394"/>
      <c r="BFR207" s="394"/>
      <c r="BFS207" s="394"/>
      <c r="BFT207" s="394"/>
      <c r="BFU207" s="394"/>
      <c r="BFV207" s="394"/>
      <c r="BFW207" s="394"/>
      <c r="BFX207" s="394"/>
      <c r="BFY207" s="394"/>
      <c r="BFZ207" s="394"/>
      <c r="BGA207" s="394"/>
      <c r="BGB207" s="394"/>
      <c r="BGC207" s="394"/>
      <c r="BGD207" s="394"/>
      <c r="BGE207" s="394"/>
      <c r="BGF207" s="394"/>
      <c r="BGG207" s="394"/>
      <c r="BGH207" s="394"/>
      <c r="BGI207" s="394"/>
      <c r="BGJ207" s="394"/>
      <c r="BGK207" s="394"/>
      <c r="BGL207" s="394"/>
      <c r="BGM207" s="394"/>
      <c r="BGN207" s="394"/>
      <c r="BGO207" s="394"/>
      <c r="BGP207" s="394"/>
      <c r="BGQ207" s="394"/>
      <c r="BGR207" s="394"/>
      <c r="BGS207" s="394"/>
      <c r="BGT207" s="394"/>
      <c r="BGU207" s="394"/>
      <c r="BGV207" s="394"/>
      <c r="BGW207" s="394"/>
      <c r="BGX207" s="394"/>
      <c r="BGY207" s="394"/>
      <c r="BGZ207" s="394"/>
      <c r="BHA207" s="394"/>
      <c r="BHB207" s="394"/>
      <c r="BHC207" s="394"/>
      <c r="BHD207" s="394"/>
      <c r="BHE207" s="394"/>
      <c r="BHF207" s="394"/>
      <c r="BHG207" s="394"/>
      <c r="BHH207" s="394"/>
      <c r="BHI207" s="394"/>
      <c r="BHJ207" s="394"/>
      <c r="BHK207" s="394"/>
      <c r="BHL207" s="394"/>
      <c r="BHM207" s="394"/>
      <c r="BHN207" s="394"/>
      <c r="BHO207" s="394"/>
      <c r="BHP207" s="394"/>
      <c r="BHQ207" s="394"/>
      <c r="BHR207" s="394"/>
      <c r="BHS207" s="394"/>
      <c r="BHT207" s="394"/>
      <c r="BHU207" s="394"/>
      <c r="BHV207" s="394"/>
      <c r="BHW207" s="394"/>
      <c r="BHX207" s="394"/>
      <c r="BHY207" s="394"/>
      <c r="BHZ207" s="394"/>
      <c r="BIA207" s="394"/>
      <c r="BIB207" s="394"/>
      <c r="BIC207" s="394"/>
      <c r="BID207" s="394"/>
      <c r="BIE207" s="394"/>
      <c r="BIF207" s="394"/>
      <c r="BIG207" s="394"/>
      <c r="BIH207" s="394"/>
      <c r="BII207" s="394"/>
      <c r="BIJ207" s="394"/>
      <c r="BIK207" s="394"/>
      <c r="BIL207" s="394"/>
      <c r="BIM207" s="394"/>
      <c r="BIN207" s="394"/>
      <c r="BIO207" s="394"/>
      <c r="BIP207" s="394"/>
      <c r="BIQ207" s="394"/>
      <c r="BIR207" s="394"/>
      <c r="BIS207" s="394"/>
      <c r="BIT207" s="394"/>
      <c r="BIU207" s="394"/>
      <c r="BIV207" s="394"/>
      <c r="BIW207" s="394"/>
      <c r="BIX207" s="394"/>
      <c r="BIY207" s="394"/>
      <c r="BIZ207" s="394"/>
      <c r="BJA207" s="394"/>
      <c r="BJB207" s="394"/>
      <c r="BJC207" s="394"/>
      <c r="BJD207" s="394"/>
      <c r="BJE207" s="394"/>
      <c r="BJF207" s="394"/>
      <c r="BJG207" s="394"/>
      <c r="BJH207" s="394"/>
      <c r="BJI207" s="394"/>
      <c r="BJJ207" s="394"/>
      <c r="BJK207" s="394"/>
      <c r="BJL207" s="394"/>
      <c r="BJM207" s="394"/>
      <c r="BJN207" s="394"/>
      <c r="BJO207" s="394"/>
      <c r="BJP207" s="394"/>
      <c r="BJQ207" s="394"/>
      <c r="BJR207" s="394"/>
      <c r="BJS207" s="394"/>
      <c r="BJT207" s="394"/>
      <c r="BJU207" s="394"/>
      <c r="BJV207" s="394"/>
      <c r="BJW207" s="394"/>
      <c r="BJX207" s="394"/>
      <c r="BJY207" s="394"/>
      <c r="BJZ207" s="394"/>
      <c r="BKA207" s="394"/>
      <c r="BKB207" s="394"/>
      <c r="BKC207" s="394"/>
      <c r="BKD207" s="394"/>
      <c r="BKE207" s="394"/>
      <c r="BKF207" s="394"/>
      <c r="BKG207" s="394"/>
      <c r="BKH207" s="394"/>
      <c r="BKI207" s="394"/>
      <c r="BKJ207" s="394"/>
      <c r="BKK207" s="394"/>
      <c r="BKL207" s="394"/>
      <c r="BKM207" s="394"/>
      <c r="BKN207" s="394"/>
      <c r="BKO207" s="394"/>
      <c r="BKP207" s="394"/>
      <c r="BKQ207" s="394"/>
      <c r="BKR207" s="394"/>
      <c r="BKS207" s="394"/>
      <c r="BKT207" s="394"/>
      <c r="BKU207" s="394"/>
      <c r="BKV207" s="394"/>
      <c r="BKW207" s="394"/>
      <c r="BKX207" s="394"/>
      <c r="BKY207" s="394"/>
      <c r="BKZ207" s="394"/>
      <c r="BLA207" s="394"/>
      <c r="BLB207" s="394"/>
      <c r="BLC207" s="394"/>
      <c r="BLD207" s="394"/>
      <c r="BLE207" s="394"/>
      <c r="BLF207" s="394"/>
      <c r="BLG207" s="394"/>
      <c r="BLH207" s="394"/>
      <c r="BLI207" s="394"/>
      <c r="BLJ207" s="394"/>
      <c r="BLK207" s="394"/>
      <c r="BLL207" s="394"/>
      <c r="BLM207" s="394"/>
      <c r="BLN207" s="394"/>
      <c r="BLO207" s="394"/>
      <c r="BLP207" s="394"/>
      <c r="BLQ207" s="394"/>
      <c r="BLR207" s="394"/>
      <c r="BLS207" s="394"/>
      <c r="BLT207" s="394"/>
      <c r="BLU207" s="394"/>
      <c r="BLV207" s="394"/>
      <c r="BLW207" s="394"/>
      <c r="BLX207" s="394"/>
      <c r="BLY207" s="394"/>
      <c r="BLZ207" s="394"/>
      <c r="BMA207" s="394"/>
      <c r="BMB207" s="394"/>
      <c r="BMC207" s="394"/>
      <c r="BMD207" s="394"/>
      <c r="BME207" s="394"/>
      <c r="BMF207" s="394"/>
      <c r="BMG207" s="394"/>
      <c r="BMH207" s="394"/>
      <c r="BMI207" s="394"/>
      <c r="BMJ207" s="394"/>
      <c r="BMK207" s="394"/>
      <c r="BML207" s="394"/>
      <c r="BMM207" s="394"/>
      <c r="BMN207" s="394"/>
      <c r="BMO207" s="394"/>
      <c r="BMP207" s="394"/>
      <c r="BMQ207" s="394"/>
      <c r="BMR207" s="394"/>
      <c r="BMS207" s="394"/>
      <c r="BMT207" s="394"/>
      <c r="BMU207" s="394"/>
      <c r="BMV207" s="394"/>
      <c r="BMW207" s="394"/>
      <c r="BMX207" s="394"/>
      <c r="BMY207" s="394"/>
      <c r="BMZ207" s="394"/>
      <c r="BNA207" s="394"/>
      <c r="BNB207" s="394"/>
      <c r="BNC207" s="394"/>
      <c r="BND207" s="394"/>
      <c r="BNE207" s="394"/>
      <c r="BNF207" s="394"/>
      <c r="BNG207" s="394"/>
      <c r="BNH207" s="394"/>
      <c r="BNI207" s="394"/>
      <c r="BNJ207" s="394"/>
      <c r="BNK207" s="394"/>
      <c r="BNL207" s="394"/>
      <c r="BNM207" s="394"/>
      <c r="BNN207" s="394"/>
      <c r="BNO207" s="394"/>
      <c r="BNP207" s="394"/>
      <c r="BNQ207" s="394"/>
      <c r="BNR207" s="394"/>
      <c r="BNS207" s="394"/>
      <c r="BNT207" s="394"/>
      <c r="BNU207" s="394"/>
      <c r="BNV207" s="394"/>
      <c r="BNW207" s="394"/>
      <c r="BNX207" s="394"/>
      <c r="BNY207" s="394"/>
      <c r="BNZ207" s="394"/>
      <c r="BOA207" s="394"/>
      <c r="BOB207" s="394"/>
      <c r="BOC207" s="394"/>
      <c r="BOD207" s="394"/>
      <c r="BOE207" s="394"/>
      <c r="BOF207" s="394"/>
      <c r="BOG207" s="394"/>
      <c r="BOH207" s="394"/>
      <c r="BOI207" s="394"/>
      <c r="BOJ207" s="394"/>
      <c r="BOK207" s="394"/>
      <c r="BOL207" s="394"/>
      <c r="BOM207" s="394"/>
      <c r="BON207" s="394"/>
      <c r="BOO207" s="394"/>
      <c r="BOP207" s="394"/>
      <c r="BOQ207" s="394"/>
      <c r="BOR207" s="394"/>
      <c r="BOS207" s="394"/>
      <c r="BOT207" s="394"/>
      <c r="BOU207" s="394"/>
      <c r="BOV207" s="394"/>
      <c r="BOW207" s="394"/>
      <c r="BOX207" s="394"/>
      <c r="BOY207" s="394"/>
      <c r="BOZ207" s="394"/>
      <c r="BPA207" s="394"/>
      <c r="BPB207" s="394"/>
      <c r="BPC207" s="394"/>
      <c r="BPD207" s="394"/>
      <c r="BPE207" s="394"/>
      <c r="BPF207" s="394"/>
      <c r="BPG207" s="394"/>
      <c r="BPH207" s="394"/>
      <c r="BPI207" s="394"/>
      <c r="BPJ207" s="394"/>
      <c r="BPK207" s="394"/>
      <c r="BPL207" s="394"/>
      <c r="BPM207" s="394"/>
      <c r="BPN207" s="394"/>
      <c r="BPO207" s="394"/>
      <c r="BPP207" s="394"/>
      <c r="BPQ207" s="394"/>
      <c r="BPR207" s="394"/>
      <c r="BPS207" s="394"/>
      <c r="BPT207" s="394"/>
      <c r="BPU207" s="394"/>
      <c r="BPV207" s="394"/>
      <c r="BPW207" s="394"/>
      <c r="BPX207" s="394"/>
      <c r="BPY207" s="394"/>
      <c r="BPZ207" s="394"/>
      <c r="BQA207" s="394"/>
      <c r="BQB207" s="394"/>
      <c r="BQC207" s="394"/>
      <c r="BQD207" s="394"/>
      <c r="BQE207" s="394"/>
      <c r="BQF207" s="394"/>
      <c r="BQG207" s="394"/>
      <c r="BQH207" s="394"/>
      <c r="BQI207" s="394"/>
      <c r="BQJ207" s="394"/>
      <c r="BQK207" s="394"/>
      <c r="BQL207" s="394"/>
      <c r="BQM207" s="394"/>
      <c r="BQN207" s="394"/>
      <c r="BQO207" s="394"/>
      <c r="BQP207" s="394"/>
      <c r="BQQ207" s="394"/>
      <c r="BQR207" s="394"/>
      <c r="BQS207" s="394"/>
      <c r="BQT207" s="394"/>
      <c r="BQU207" s="394"/>
      <c r="BQV207" s="394"/>
      <c r="BQW207" s="394"/>
      <c r="BQX207" s="394"/>
      <c r="BQY207" s="394"/>
      <c r="BQZ207" s="394"/>
      <c r="BRA207" s="394"/>
      <c r="BRB207" s="394"/>
      <c r="BRC207" s="394"/>
      <c r="BRD207" s="394"/>
      <c r="BRE207" s="394"/>
      <c r="BRF207" s="394"/>
      <c r="BRG207" s="394"/>
      <c r="BRH207" s="394"/>
      <c r="BRI207" s="394"/>
      <c r="BRJ207" s="394"/>
      <c r="BRK207" s="394"/>
      <c r="BRL207" s="394"/>
      <c r="BRM207" s="394"/>
      <c r="BRN207" s="394"/>
      <c r="BRO207" s="394"/>
      <c r="BRP207" s="394"/>
      <c r="BRQ207" s="394"/>
      <c r="BRR207" s="394"/>
      <c r="BRS207" s="394"/>
      <c r="BRT207" s="394"/>
      <c r="BRU207" s="394"/>
      <c r="BRV207" s="394"/>
      <c r="BRW207" s="394"/>
      <c r="BRX207" s="394"/>
      <c r="BRY207" s="394"/>
      <c r="BRZ207" s="394"/>
      <c r="BSA207" s="394"/>
      <c r="BSB207" s="394"/>
      <c r="BSC207" s="394"/>
      <c r="BSD207" s="394"/>
      <c r="BSE207" s="394"/>
      <c r="BSF207" s="394"/>
      <c r="BSG207" s="394"/>
      <c r="BSH207" s="394"/>
      <c r="BSI207" s="394"/>
      <c r="BSJ207" s="394"/>
      <c r="BSK207" s="394"/>
      <c r="BSL207" s="394"/>
      <c r="BSM207" s="394"/>
      <c r="BSN207" s="394"/>
      <c r="BSO207" s="394"/>
      <c r="BSP207" s="394"/>
      <c r="BSQ207" s="394"/>
      <c r="BSR207" s="394"/>
      <c r="BSS207" s="394"/>
      <c r="BST207" s="394"/>
      <c r="BSU207" s="394"/>
      <c r="BSV207" s="394"/>
      <c r="BSW207" s="394"/>
      <c r="BSX207" s="394"/>
      <c r="BSY207" s="394"/>
      <c r="BSZ207" s="394"/>
      <c r="BTA207" s="394"/>
      <c r="BTB207" s="394"/>
      <c r="BTC207" s="394"/>
      <c r="BTD207" s="394"/>
      <c r="BTE207" s="394"/>
      <c r="BTF207" s="394"/>
      <c r="BTG207" s="394"/>
      <c r="BTH207" s="394"/>
      <c r="BTI207" s="394"/>
    </row>
    <row r="208" spans="1:1881" s="391" customFormat="1" ht="30.75" customHeight="1" x14ac:dyDescent="0.25">
      <c r="A208" s="189"/>
      <c r="B208" s="161" t="s">
        <v>600</v>
      </c>
      <c r="C208" s="160"/>
      <c r="D208" s="154"/>
      <c r="E208" s="148"/>
      <c r="F208" s="729"/>
      <c r="G208" s="551"/>
      <c r="H208" s="67"/>
      <c r="I208" s="31"/>
      <c r="J208" s="394"/>
      <c r="K208" s="394"/>
      <c r="L208" s="394"/>
      <c r="M208" s="394"/>
      <c r="N208"/>
      <c r="O208" s="394"/>
      <c r="P208" s="394"/>
      <c r="Q208" s="394"/>
      <c r="R208" s="394"/>
      <c r="S208" s="394"/>
      <c r="T208" s="394"/>
      <c r="U208" s="394"/>
      <c r="V208" s="394"/>
      <c r="W208" s="394"/>
      <c r="X208" s="394"/>
      <c r="Y208" s="394"/>
      <c r="Z208" s="394"/>
      <c r="AA208" s="394"/>
      <c r="AB208" s="394"/>
      <c r="AC208" s="394"/>
      <c r="AD208" s="394"/>
      <c r="AE208" s="394"/>
      <c r="AF208" s="394"/>
      <c r="AG208" s="394"/>
      <c r="AH208" s="394"/>
      <c r="AI208" s="394"/>
      <c r="AJ208" s="394"/>
      <c r="AK208" s="394"/>
      <c r="AL208" s="394"/>
      <c r="AM208" s="394"/>
      <c r="AN208" s="394"/>
      <c r="AO208" s="394"/>
      <c r="AP208" s="394"/>
      <c r="AQ208" s="394"/>
      <c r="AR208" s="394"/>
      <c r="AS208" s="394"/>
      <c r="AT208" s="394"/>
      <c r="AU208" s="394"/>
      <c r="AV208" s="394"/>
      <c r="AW208" s="394"/>
      <c r="AX208" s="394"/>
      <c r="AY208" s="394"/>
      <c r="AZ208" s="394"/>
      <c r="BA208" s="394"/>
      <c r="BB208" s="394"/>
      <c r="BC208" s="394"/>
      <c r="BD208" s="394"/>
      <c r="BE208" s="394"/>
      <c r="BF208" s="394"/>
      <c r="BG208" s="394"/>
      <c r="BH208" s="394"/>
      <c r="BI208" s="394"/>
      <c r="BJ208" s="394"/>
      <c r="BK208" s="394"/>
      <c r="BL208" s="394"/>
      <c r="BM208" s="394"/>
      <c r="BN208" s="394"/>
      <c r="BO208" s="394"/>
      <c r="BP208" s="394"/>
      <c r="BQ208" s="394"/>
      <c r="BR208" s="394"/>
      <c r="BS208" s="394"/>
      <c r="BT208" s="394"/>
      <c r="BU208" s="394"/>
      <c r="BV208" s="394"/>
      <c r="BW208" s="394"/>
      <c r="BX208" s="394"/>
      <c r="BY208" s="394"/>
      <c r="BZ208" s="394"/>
      <c r="CA208" s="394"/>
      <c r="CB208" s="394"/>
      <c r="CC208" s="394"/>
      <c r="CD208" s="394"/>
      <c r="CE208" s="394"/>
      <c r="CF208" s="394"/>
      <c r="CG208" s="394"/>
      <c r="CH208" s="394"/>
      <c r="CI208" s="394"/>
      <c r="CJ208" s="394"/>
      <c r="CK208" s="394"/>
      <c r="CL208" s="394"/>
      <c r="CM208" s="394"/>
      <c r="CN208" s="394"/>
      <c r="CO208" s="394"/>
      <c r="CP208" s="394"/>
      <c r="CQ208" s="394"/>
      <c r="CR208" s="394"/>
      <c r="CS208" s="394"/>
      <c r="CT208" s="394"/>
      <c r="CU208" s="394"/>
      <c r="CV208" s="394"/>
      <c r="CW208" s="394"/>
      <c r="CX208" s="394"/>
      <c r="CY208" s="394"/>
      <c r="CZ208" s="394"/>
      <c r="DA208" s="394"/>
      <c r="DB208" s="394"/>
      <c r="DC208" s="394"/>
      <c r="DD208" s="394"/>
      <c r="DE208" s="394"/>
      <c r="DF208" s="394"/>
      <c r="DG208" s="394"/>
      <c r="DH208" s="394"/>
      <c r="DI208" s="394"/>
      <c r="DJ208" s="394"/>
      <c r="DK208" s="394"/>
      <c r="DL208" s="394"/>
      <c r="DM208" s="394"/>
      <c r="DN208" s="394"/>
      <c r="DO208" s="394"/>
      <c r="DP208" s="394"/>
      <c r="DQ208" s="394"/>
      <c r="DR208" s="394"/>
      <c r="DS208" s="394"/>
      <c r="DT208" s="394"/>
      <c r="DU208" s="394"/>
      <c r="DV208" s="394"/>
      <c r="DW208" s="394"/>
      <c r="DX208" s="394"/>
      <c r="DY208" s="394"/>
      <c r="DZ208" s="394"/>
      <c r="EA208" s="394"/>
      <c r="EB208" s="394"/>
      <c r="EC208" s="394"/>
      <c r="ED208" s="394"/>
      <c r="EE208" s="394"/>
      <c r="EF208" s="394"/>
      <c r="EG208" s="394"/>
      <c r="EH208" s="394"/>
      <c r="EI208" s="394"/>
      <c r="EJ208" s="394"/>
      <c r="EK208" s="394"/>
      <c r="EL208" s="394"/>
      <c r="EM208" s="394"/>
      <c r="EN208" s="394"/>
      <c r="EO208" s="394"/>
      <c r="EP208" s="394"/>
      <c r="EQ208" s="394"/>
      <c r="ER208" s="394"/>
      <c r="ES208" s="394"/>
      <c r="ET208" s="394"/>
      <c r="EU208" s="394"/>
      <c r="EV208" s="394"/>
      <c r="EW208" s="394"/>
      <c r="EX208" s="394"/>
      <c r="EY208" s="394"/>
      <c r="EZ208" s="394"/>
      <c r="FA208" s="394"/>
      <c r="FB208" s="394"/>
      <c r="FC208" s="394"/>
      <c r="FD208" s="394"/>
      <c r="FE208" s="394"/>
      <c r="FF208" s="394"/>
      <c r="FG208" s="394"/>
      <c r="FH208" s="394"/>
      <c r="FI208" s="394"/>
      <c r="FJ208" s="394"/>
      <c r="FK208" s="394"/>
      <c r="FL208" s="394"/>
      <c r="FM208" s="394"/>
      <c r="FN208" s="394"/>
      <c r="FO208" s="394"/>
      <c r="FP208" s="394"/>
      <c r="FQ208" s="394"/>
      <c r="FR208" s="394"/>
      <c r="FS208" s="394"/>
      <c r="FT208" s="394"/>
      <c r="FU208" s="394"/>
      <c r="FV208" s="394"/>
      <c r="FW208" s="394"/>
      <c r="FX208" s="394"/>
      <c r="FY208" s="394"/>
      <c r="FZ208" s="394"/>
      <c r="GA208" s="394"/>
      <c r="GB208" s="394"/>
      <c r="GC208" s="394"/>
      <c r="GD208" s="394"/>
      <c r="GE208" s="394"/>
      <c r="GF208" s="394"/>
      <c r="GG208" s="394"/>
      <c r="GH208" s="394"/>
      <c r="GI208" s="394"/>
      <c r="GJ208" s="394"/>
      <c r="GK208" s="394"/>
      <c r="GL208" s="394"/>
      <c r="GM208" s="394"/>
      <c r="GN208" s="394"/>
      <c r="GO208" s="394"/>
      <c r="GP208" s="394"/>
      <c r="GQ208" s="394"/>
      <c r="GR208" s="394"/>
      <c r="GS208" s="394"/>
      <c r="GT208" s="394"/>
      <c r="GU208" s="394"/>
      <c r="GV208" s="394"/>
      <c r="GW208" s="394"/>
      <c r="GX208" s="394"/>
      <c r="GY208" s="394"/>
      <c r="GZ208" s="394"/>
      <c r="HA208" s="394"/>
      <c r="HB208" s="394"/>
      <c r="HC208" s="394"/>
      <c r="HD208" s="394"/>
      <c r="HE208" s="394"/>
      <c r="HF208" s="394"/>
      <c r="HG208" s="394"/>
      <c r="HH208" s="394"/>
      <c r="HI208" s="394"/>
      <c r="HJ208" s="394"/>
      <c r="HK208" s="394"/>
      <c r="HL208" s="394"/>
      <c r="HM208" s="394"/>
      <c r="HN208" s="394"/>
      <c r="HO208" s="394"/>
      <c r="HP208" s="394"/>
      <c r="HQ208" s="394"/>
      <c r="HR208" s="394"/>
      <c r="HS208" s="394"/>
      <c r="HT208" s="394"/>
      <c r="HU208" s="394"/>
      <c r="HV208" s="394"/>
      <c r="HW208" s="394"/>
      <c r="HX208" s="394"/>
      <c r="HY208" s="394"/>
      <c r="HZ208" s="394"/>
      <c r="IA208" s="394"/>
      <c r="IB208" s="394"/>
      <c r="IC208" s="394"/>
      <c r="ID208" s="394"/>
      <c r="IE208" s="394"/>
      <c r="IF208" s="394"/>
      <c r="IG208" s="394"/>
      <c r="IH208" s="394"/>
      <c r="II208" s="394"/>
      <c r="IJ208" s="394"/>
      <c r="IK208" s="394"/>
      <c r="IL208" s="394"/>
      <c r="IM208" s="394"/>
      <c r="IN208" s="394"/>
      <c r="IO208" s="394"/>
      <c r="IP208" s="394"/>
      <c r="IQ208" s="394"/>
      <c r="IR208" s="394"/>
      <c r="IS208" s="394"/>
      <c r="IT208" s="394"/>
      <c r="IU208" s="394"/>
      <c r="IV208" s="394"/>
      <c r="IW208" s="394"/>
      <c r="IX208" s="394"/>
      <c r="IY208" s="394"/>
      <c r="IZ208" s="394"/>
      <c r="JA208" s="394"/>
      <c r="JB208" s="394"/>
      <c r="JC208" s="394"/>
      <c r="JD208" s="394"/>
      <c r="JE208" s="394"/>
      <c r="JF208" s="394"/>
      <c r="JG208" s="394"/>
      <c r="JH208" s="394"/>
      <c r="JI208" s="394"/>
      <c r="JJ208" s="394"/>
      <c r="JK208" s="394"/>
      <c r="JL208" s="394"/>
      <c r="JM208" s="394"/>
      <c r="JN208" s="394"/>
      <c r="JO208" s="394"/>
      <c r="JP208" s="394"/>
      <c r="JQ208" s="394"/>
      <c r="JR208" s="394"/>
      <c r="JS208" s="394"/>
      <c r="JT208" s="394"/>
      <c r="JU208" s="394"/>
      <c r="JV208" s="394"/>
      <c r="JW208" s="394"/>
      <c r="JX208" s="394"/>
      <c r="JY208" s="394"/>
      <c r="JZ208" s="394"/>
      <c r="KA208" s="394"/>
      <c r="KB208" s="394"/>
      <c r="KC208" s="394"/>
      <c r="KD208" s="394"/>
      <c r="KE208" s="394"/>
      <c r="KF208" s="394"/>
      <c r="KG208" s="394"/>
      <c r="KH208" s="394"/>
      <c r="KI208" s="394"/>
      <c r="KJ208" s="394"/>
      <c r="KK208" s="394"/>
      <c r="KL208" s="394"/>
      <c r="KM208" s="394"/>
      <c r="KN208" s="394"/>
      <c r="KO208" s="394"/>
      <c r="KP208" s="394"/>
      <c r="KQ208" s="394"/>
      <c r="KR208" s="394"/>
      <c r="KS208" s="394"/>
      <c r="KT208" s="394"/>
      <c r="KU208" s="394"/>
      <c r="KV208" s="394"/>
      <c r="KW208" s="394"/>
      <c r="KX208" s="394"/>
      <c r="KY208" s="394"/>
      <c r="KZ208" s="394"/>
      <c r="LA208" s="394"/>
      <c r="LB208" s="394"/>
      <c r="LC208" s="394"/>
      <c r="LD208" s="394"/>
      <c r="LE208" s="394"/>
      <c r="LF208" s="394"/>
      <c r="LG208" s="394"/>
      <c r="LH208" s="394"/>
      <c r="LI208" s="394"/>
      <c r="LJ208" s="394"/>
      <c r="LK208" s="394"/>
      <c r="LL208" s="394"/>
      <c r="LM208" s="394"/>
      <c r="LN208" s="394"/>
      <c r="LO208" s="394"/>
      <c r="LP208" s="394"/>
      <c r="LQ208" s="394"/>
      <c r="LR208" s="394"/>
      <c r="LS208" s="394"/>
      <c r="LT208" s="394"/>
      <c r="LU208" s="394"/>
      <c r="LV208" s="394"/>
      <c r="LW208" s="394"/>
      <c r="LX208" s="394"/>
      <c r="LY208" s="394"/>
      <c r="LZ208" s="394"/>
      <c r="MA208" s="394"/>
      <c r="MB208" s="394"/>
      <c r="MC208" s="394"/>
      <c r="MD208" s="394"/>
      <c r="ME208" s="394"/>
      <c r="MF208" s="394"/>
      <c r="MG208" s="394"/>
      <c r="MH208" s="394"/>
      <c r="MI208" s="394"/>
      <c r="MJ208" s="394"/>
      <c r="MK208" s="394"/>
      <c r="ML208" s="394"/>
      <c r="MM208" s="394"/>
      <c r="MN208" s="394"/>
      <c r="MO208" s="394"/>
      <c r="MP208" s="394"/>
      <c r="MQ208" s="394"/>
      <c r="MR208" s="394"/>
      <c r="MS208" s="394"/>
      <c r="MT208" s="394"/>
      <c r="MU208" s="394"/>
      <c r="MV208" s="394"/>
      <c r="MW208" s="394"/>
      <c r="MX208" s="394"/>
      <c r="MY208" s="394"/>
      <c r="MZ208" s="394"/>
      <c r="NA208" s="394"/>
      <c r="NB208" s="394"/>
      <c r="NC208" s="394"/>
      <c r="ND208" s="394"/>
      <c r="NE208" s="394"/>
      <c r="NF208" s="394"/>
      <c r="NG208" s="394"/>
      <c r="NH208" s="394"/>
      <c r="NI208" s="394"/>
      <c r="NJ208" s="394"/>
      <c r="NK208" s="394"/>
      <c r="NL208" s="394"/>
      <c r="NM208" s="394"/>
      <c r="NN208" s="394"/>
      <c r="NO208" s="394"/>
      <c r="NP208" s="394"/>
      <c r="NQ208" s="394"/>
      <c r="NR208" s="394"/>
      <c r="NS208" s="394"/>
      <c r="NT208" s="394"/>
      <c r="NU208" s="394"/>
      <c r="NV208" s="394"/>
      <c r="NW208" s="394"/>
      <c r="NX208" s="394"/>
      <c r="NY208" s="394"/>
      <c r="NZ208" s="394"/>
      <c r="OA208" s="394"/>
      <c r="OB208" s="394"/>
      <c r="OC208" s="394"/>
      <c r="OD208" s="394"/>
      <c r="OE208" s="394"/>
      <c r="OF208" s="394"/>
      <c r="OG208" s="394"/>
      <c r="OH208" s="394"/>
      <c r="OI208" s="394"/>
      <c r="OJ208" s="394"/>
      <c r="OK208" s="394"/>
      <c r="OL208" s="394"/>
      <c r="OM208" s="394"/>
      <c r="ON208" s="394"/>
      <c r="OO208" s="394"/>
      <c r="OP208" s="394"/>
      <c r="OQ208" s="394"/>
      <c r="OR208" s="394"/>
      <c r="OS208" s="394"/>
      <c r="OT208" s="394"/>
      <c r="OU208" s="394"/>
      <c r="OV208" s="394"/>
      <c r="OW208" s="394"/>
      <c r="OX208" s="394"/>
      <c r="OY208" s="394"/>
      <c r="OZ208" s="394"/>
      <c r="PA208" s="394"/>
      <c r="PB208" s="394"/>
      <c r="PC208" s="394"/>
      <c r="PD208" s="394"/>
      <c r="PE208" s="394"/>
      <c r="PF208" s="394"/>
      <c r="PG208" s="394"/>
      <c r="PH208" s="394"/>
      <c r="PI208" s="394"/>
      <c r="PJ208" s="394"/>
      <c r="PK208" s="394"/>
      <c r="PL208" s="394"/>
      <c r="PM208" s="394"/>
      <c r="PN208" s="394"/>
      <c r="PO208" s="394"/>
      <c r="PP208" s="394"/>
      <c r="PQ208" s="394"/>
      <c r="PR208" s="394"/>
      <c r="PS208" s="394"/>
      <c r="PT208" s="394"/>
      <c r="PU208" s="394"/>
      <c r="PV208" s="394"/>
      <c r="PW208" s="394"/>
      <c r="PX208" s="394"/>
      <c r="PY208" s="394"/>
      <c r="PZ208" s="394"/>
      <c r="QA208" s="394"/>
      <c r="QB208" s="394"/>
      <c r="QC208" s="394"/>
      <c r="QD208" s="394"/>
      <c r="QE208" s="394"/>
      <c r="QF208" s="394"/>
      <c r="QG208" s="394"/>
      <c r="QH208" s="394"/>
      <c r="QI208" s="394"/>
      <c r="QJ208" s="394"/>
      <c r="QK208" s="394"/>
      <c r="QL208" s="394"/>
      <c r="QM208" s="394"/>
      <c r="QN208" s="394"/>
      <c r="QO208" s="394"/>
      <c r="QP208" s="394"/>
      <c r="QQ208" s="394"/>
      <c r="QR208" s="394"/>
      <c r="QS208" s="394"/>
      <c r="QT208" s="394"/>
      <c r="QU208" s="394"/>
      <c r="QV208" s="394"/>
      <c r="QW208" s="394"/>
      <c r="QX208" s="394"/>
      <c r="QY208" s="394"/>
      <c r="QZ208" s="394"/>
      <c r="RA208" s="394"/>
      <c r="RB208" s="394"/>
      <c r="RC208" s="394"/>
      <c r="RD208" s="394"/>
      <c r="RE208" s="394"/>
      <c r="RF208" s="394"/>
      <c r="RG208" s="394"/>
      <c r="RH208" s="394"/>
      <c r="RI208" s="394"/>
      <c r="RJ208" s="394"/>
      <c r="RK208" s="394"/>
      <c r="RL208" s="394"/>
      <c r="RM208" s="394"/>
      <c r="RN208" s="394"/>
      <c r="RO208" s="394"/>
      <c r="RP208" s="394"/>
      <c r="RQ208" s="394"/>
      <c r="RR208" s="394"/>
      <c r="RS208" s="394"/>
      <c r="RT208" s="394"/>
      <c r="RU208" s="394"/>
      <c r="RV208" s="394"/>
      <c r="RW208" s="394"/>
      <c r="RX208" s="394"/>
      <c r="RY208" s="394"/>
      <c r="RZ208" s="394"/>
      <c r="SA208" s="394"/>
      <c r="SB208" s="394"/>
      <c r="SC208" s="394"/>
      <c r="SD208" s="394"/>
      <c r="SE208" s="394"/>
      <c r="SF208" s="394"/>
      <c r="SG208" s="394"/>
      <c r="SH208" s="394"/>
      <c r="SI208" s="394"/>
      <c r="SJ208" s="394"/>
      <c r="SK208" s="394"/>
      <c r="SL208" s="394"/>
      <c r="SM208" s="394"/>
      <c r="SN208" s="394"/>
      <c r="SO208" s="394"/>
      <c r="SP208" s="394"/>
      <c r="SQ208" s="394"/>
      <c r="SR208" s="394"/>
      <c r="SS208" s="394"/>
      <c r="ST208" s="394"/>
      <c r="SU208" s="394"/>
      <c r="SV208" s="394"/>
      <c r="SW208" s="394"/>
      <c r="SX208" s="394"/>
      <c r="SY208" s="394"/>
      <c r="SZ208" s="394"/>
      <c r="TA208" s="394"/>
      <c r="TB208" s="394"/>
      <c r="TC208" s="394"/>
      <c r="TD208" s="394"/>
      <c r="TE208" s="394"/>
      <c r="TF208" s="394"/>
      <c r="TG208" s="394"/>
      <c r="TH208" s="394"/>
      <c r="TI208" s="394"/>
      <c r="TJ208" s="394"/>
      <c r="TK208" s="394"/>
      <c r="TL208" s="394"/>
      <c r="TM208" s="394"/>
      <c r="TN208" s="394"/>
      <c r="TO208" s="394"/>
      <c r="TP208" s="394"/>
      <c r="TQ208" s="394"/>
      <c r="TR208" s="394"/>
      <c r="TS208" s="394"/>
      <c r="TT208" s="394"/>
      <c r="TU208" s="394"/>
      <c r="TV208" s="394"/>
      <c r="TW208" s="394"/>
      <c r="TX208" s="394"/>
      <c r="TY208" s="394"/>
      <c r="TZ208" s="394"/>
      <c r="UA208" s="394"/>
      <c r="UB208" s="394"/>
      <c r="UC208" s="394"/>
      <c r="UD208" s="394"/>
      <c r="UE208" s="394"/>
      <c r="UF208" s="394"/>
      <c r="UG208" s="394"/>
      <c r="UH208" s="394"/>
      <c r="UI208" s="394"/>
      <c r="UJ208" s="394"/>
      <c r="UK208" s="394"/>
      <c r="UL208" s="394"/>
      <c r="UM208" s="394"/>
      <c r="UN208" s="394"/>
      <c r="UO208" s="394"/>
      <c r="UP208" s="394"/>
      <c r="UQ208" s="394"/>
      <c r="UR208" s="394"/>
      <c r="US208" s="394"/>
      <c r="UT208" s="394"/>
      <c r="UU208" s="394"/>
      <c r="UV208" s="394"/>
      <c r="UW208" s="394"/>
      <c r="UX208" s="394"/>
      <c r="UY208" s="394"/>
      <c r="UZ208" s="394"/>
      <c r="VA208" s="394"/>
      <c r="VB208" s="394"/>
      <c r="VC208" s="394"/>
      <c r="VD208" s="394"/>
      <c r="VE208" s="394"/>
      <c r="VF208" s="394"/>
      <c r="VG208" s="394"/>
      <c r="VH208" s="394"/>
      <c r="VI208" s="394"/>
      <c r="VJ208" s="394"/>
      <c r="VK208" s="394"/>
      <c r="VL208" s="394"/>
      <c r="VM208" s="394"/>
      <c r="VN208" s="394"/>
      <c r="VO208" s="394"/>
      <c r="VP208" s="394"/>
      <c r="VQ208" s="394"/>
      <c r="VR208" s="394"/>
      <c r="VS208" s="394"/>
      <c r="VT208" s="394"/>
      <c r="VU208" s="394"/>
      <c r="VV208" s="394"/>
      <c r="VW208" s="394"/>
      <c r="VX208" s="394"/>
      <c r="VY208" s="394"/>
      <c r="VZ208" s="394"/>
      <c r="WA208" s="394"/>
      <c r="WB208" s="394"/>
      <c r="WC208" s="394"/>
      <c r="WD208" s="394"/>
      <c r="WE208" s="394"/>
      <c r="WF208" s="394"/>
      <c r="WG208" s="394"/>
      <c r="WH208" s="394"/>
      <c r="WI208" s="394"/>
      <c r="WJ208" s="394"/>
      <c r="WK208" s="394"/>
      <c r="WL208" s="394"/>
      <c r="WM208" s="394"/>
      <c r="WN208" s="394"/>
      <c r="WO208" s="394"/>
      <c r="WP208" s="394"/>
      <c r="WQ208" s="394"/>
      <c r="WR208" s="394"/>
      <c r="WS208" s="394"/>
      <c r="WT208" s="394"/>
      <c r="WU208" s="394"/>
      <c r="WV208" s="394"/>
      <c r="WW208" s="394"/>
      <c r="WX208" s="394"/>
      <c r="WY208" s="394"/>
      <c r="WZ208" s="394"/>
      <c r="XA208" s="394"/>
      <c r="XB208" s="394"/>
      <c r="XC208" s="394"/>
      <c r="XD208" s="394"/>
      <c r="XE208" s="394"/>
      <c r="XF208" s="394"/>
      <c r="XG208" s="394"/>
      <c r="XH208" s="394"/>
      <c r="XI208" s="394"/>
      <c r="XJ208" s="394"/>
      <c r="XK208" s="394"/>
      <c r="XL208" s="394"/>
      <c r="XM208" s="394"/>
      <c r="XN208" s="394"/>
      <c r="XO208" s="394"/>
      <c r="XP208" s="394"/>
      <c r="XQ208" s="394"/>
      <c r="XR208" s="394"/>
      <c r="XS208" s="394"/>
      <c r="XT208" s="394"/>
      <c r="XU208" s="394"/>
      <c r="XV208" s="394"/>
      <c r="XW208" s="394"/>
      <c r="XX208" s="394"/>
      <c r="XY208" s="394"/>
      <c r="XZ208" s="394"/>
      <c r="YA208" s="394"/>
      <c r="YB208" s="394"/>
      <c r="YC208" s="394"/>
      <c r="YD208" s="394"/>
      <c r="YE208" s="394"/>
      <c r="YF208" s="394"/>
      <c r="YG208" s="394"/>
      <c r="YH208" s="394"/>
      <c r="YI208" s="394"/>
      <c r="YJ208" s="394"/>
      <c r="YK208" s="394"/>
      <c r="YL208" s="394"/>
      <c r="YM208" s="394"/>
      <c r="YN208" s="394"/>
      <c r="YO208" s="394"/>
      <c r="YP208" s="394"/>
      <c r="YQ208" s="394"/>
      <c r="YR208" s="394"/>
      <c r="YS208" s="394"/>
      <c r="YT208" s="394"/>
      <c r="YU208" s="394"/>
      <c r="YV208" s="394"/>
      <c r="YW208" s="394"/>
      <c r="YX208" s="394"/>
      <c r="YY208" s="394"/>
      <c r="YZ208" s="394"/>
      <c r="ZA208" s="394"/>
      <c r="ZB208" s="394"/>
      <c r="ZC208" s="394"/>
      <c r="ZD208" s="394"/>
      <c r="ZE208" s="394"/>
      <c r="ZF208" s="394"/>
      <c r="ZG208" s="394"/>
      <c r="ZH208" s="394"/>
      <c r="ZI208" s="394"/>
      <c r="ZJ208" s="394"/>
      <c r="ZK208" s="394"/>
      <c r="ZL208" s="394"/>
      <c r="ZM208" s="394"/>
      <c r="ZN208" s="394"/>
      <c r="ZO208" s="394"/>
      <c r="ZP208" s="394"/>
      <c r="ZQ208" s="394"/>
      <c r="ZR208" s="394"/>
      <c r="ZS208" s="394"/>
      <c r="ZT208" s="394"/>
      <c r="ZU208" s="394"/>
      <c r="ZV208" s="394"/>
      <c r="ZW208" s="394"/>
      <c r="ZX208" s="394"/>
      <c r="ZY208" s="394"/>
      <c r="ZZ208" s="394"/>
      <c r="AAA208" s="394"/>
      <c r="AAB208" s="394"/>
      <c r="AAC208" s="394"/>
      <c r="AAD208" s="394"/>
      <c r="AAE208" s="394"/>
      <c r="AAF208" s="394"/>
      <c r="AAG208" s="394"/>
      <c r="AAH208" s="394"/>
      <c r="AAI208" s="394"/>
      <c r="AAJ208" s="394"/>
      <c r="AAK208" s="394"/>
      <c r="AAL208" s="394"/>
      <c r="AAM208" s="394"/>
      <c r="AAN208" s="394"/>
      <c r="AAO208" s="394"/>
      <c r="AAP208" s="394"/>
      <c r="AAQ208" s="394"/>
      <c r="AAR208" s="394"/>
      <c r="AAS208" s="394"/>
      <c r="AAT208" s="394"/>
      <c r="AAU208" s="394"/>
      <c r="AAV208" s="394"/>
      <c r="AAW208" s="394"/>
      <c r="AAX208" s="394"/>
      <c r="AAY208" s="394"/>
      <c r="AAZ208" s="394"/>
      <c r="ABA208" s="394"/>
      <c r="ABB208" s="394"/>
      <c r="ABC208" s="394"/>
      <c r="ABD208" s="394"/>
      <c r="ABE208" s="394"/>
      <c r="ABF208" s="394"/>
      <c r="ABG208" s="394"/>
      <c r="ABH208" s="394"/>
      <c r="ABI208" s="394"/>
      <c r="ABJ208" s="394"/>
      <c r="ABK208" s="394"/>
      <c r="ABL208" s="394"/>
      <c r="ABM208" s="394"/>
      <c r="ABN208" s="394"/>
      <c r="ABO208" s="394"/>
      <c r="ABP208" s="394"/>
      <c r="ABQ208" s="394"/>
      <c r="ABR208" s="394"/>
      <c r="ABS208" s="394"/>
      <c r="ABT208" s="394"/>
      <c r="ABU208" s="394"/>
      <c r="ABV208" s="394"/>
      <c r="ABW208" s="394"/>
      <c r="ABX208" s="394"/>
      <c r="ABY208" s="394"/>
      <c r="ABZ208" s="394"/>
      <c r="ACA208" s="394"/>
      <c r="ACB208" s="394"/>
      <c r="ACC208" s="394"/>
      <c r="ACD208" s="394"/>
      <c r="ACE208" s="394"/>
      <c r="ACF208" s="394"/>
      <c r="ACG208" s="394"/>
      <c r="ACH208" s="394"/>
      <c r="ACI208" s="394"/>
      <c r="ACJ208" s="394"/>
      <c r="ACK208" s="394"/>
      <c r="ACL208" s="394"/>
      <c r="ACM208" s="394"/>
      <c r="ACN208" s="394"/>
      <c r="ACO208" s="394"/>
      <c r="ACP208" s="394"/>
      <c r="ACQ208" s="394"/>
      <c r="ACR208" s="394"/>
      <c r="ACS208" s="394"/>
      <c r="ACT208" s="394"/>
      <c r="ACU208" s="394"/>
      <c r="ACV208" s="394"/>
      <c r="ACW208" s="394"/>
      <c r="ACX208" s="394"/>
      <c r="ACY208" s="394"/>
      <c r="ACZ208" s="394"/>
      <c r="ADA208" s="394"/>
      <c r="ADB208" s="394"/>
      <c r="ADC208" s="394"/>
      <c r="ADD208" s="394"/>
      <c r="ADE208" s="394"/>
      <c r="ADF208" s="394"/>
      <c r="ADG208" s="394"/>
      <c r="ADH208" s="394"/>
      <c r="ADI208" s="394"/>
      <c r="ADJ208" s="394"/>
      <c r="ADK208" s="394"/>
      <c r="ADL208" s="394"/>
      <c r="ADM208" s="394"/>
      <c r="ADN208" s="394"/>
      <c r="ADO208" s="394"/>
      <c r="ADP208" s="394"/>
      <c r="ADQ208" s="394"/>
      <c r="ADR208" s="394"/>
      <c r="ADS208" s="394"/>
      <c r="ADT208" s="394"/>
      <c r="ADU208" s="394"/>
      <c r="ADV208" s="394"/>
      <c r="ADW208" s="394"/>
      <c r="ADX208" s="394"/>
      <c r="ADY208" s="394"/>
      <c r="ADZ208" s="394"/>
      <c r="AEA208" s="394"/>
      <c r="AEB208" s="394"/>
      <c r="AEC208" s="394"/>
      <c r="AED208" s="394"/>
      <c r="AEE208" s="394"/>
      <c r="AEF208" s="394"/>
      <c r="AEG208" s="394"/>
      <c r="AEH208" s="394"/>
      <c r="AEI208" s="394"/>
      <c r="AEJ208" s="394"/>
      <c r="AEK208" s="394"/>
      <c r="AEL208" s="394"/>
      <c r="AEM208" s="394"/>
      <c r="AEN208" s="394"/>
      <c r="AEO208" s="394"/>
      <c r="AEP208" s="394"/>
      <c r="AEQ208" s="394"/>
      <c r="AER208" s="394"/>
      <c r="AES208" s="394"/>
      <c r="AET208" s="394"/>
      <c r="AEU208" s="394"/>
      <c r="AEV208" s="394"/>
      <c r="AEW208" s="394"/>
      <c r="AEX208" s="394"/>
      <c r="AEY208" s="394"/>
      <c r="AEZ208" s="394"/>
      <c r="AFA208" s="394"/>
      <c r="AFB208" s="394"/>
      <c r="AFC208" s="394"/>
      <c r="AFD208" s="394"/>
      <c r="AFE208" s="394"/>
      <c r="AFF208" s="394"/>
      <c r="AFG208" s="394"/>
      <c r="AFH208" s="394"/>
      <c r="AFI208" s="394"/>
      <c r="AFJ208" s="394"/>
      <c r="AFK208" s="394"/>
      <c r="AFL208" s="394"/>
      <c r="AFM208" s="394"/>
      <c r="AFN208" s="394"/>
      <c r="AFO208" s="394"/>
      <c r="AFP208" s="394"/>
      <c r="AFQ208" s="394"/>
      <c r="AFR208" s="394"/>
      <c r="AFS208" s="394"/>
      <c r="AFT208" s="394"/>
      <c r="AFU208" s="394"/>
      <c r="AFV208" s="394"/>
      <c r="AFW208" s="394"/>
      <c r="AFX208" s="394"/>
      <c r="AFY208" s="394"/>
      <c r="AFZ208" s="394"/>
      <c r="AGA208" s="394"/>
      <c r="AGB208" s="394"/>
      <c r="AGC208" s="394"/>
      <c r="AGD208" s="394"/>
      <c r="AGE208" s="394"/>
      <c r="AGF208" s="394"/>
      <c r="AGG208" s="394"/>
      <c r="AGH208" s="394"/>
      <c r="AGI208" s="394"/>
      <c r="AGJ208" s="394"/>
      <c r="AGK208" s="394"/>
      <c r="AGL208" s="394"/>
      <c r="AGM208" s="394"/>
      <c r="AGN208" s="394"/>
      <c r="AGO208" s="394"/>
      <c r="AGP208" s="394"/>
      <c r="AGQ208" s="394"/>
      <c r="AGR208" s="394"/>
      <c r="AGS208" s="394"/>
      <c r="AGT208" s="394"/>
      <c r="AGU208" s="394"/>
      <c r="AGV208" s="394"/>
      <c r="AGW208" s="394"/>
      <c r="AGX208" s="394"/>
      <c r="AGY208" s="394"/>
      <c r="AGZ208" s="394"/>
      <c r="AHA208" s="394"/>
      <c r="AHB208" s="394"/>
      <c r="AHC208" s="394"/>
      <c r="AHD208" s="394"/>
      <c r="AHE208" s="394"/>
      <c r="AHF208" s="394"/>
      <c r="AHG208" s="394"/>
      <c r="AHH208" s="394"/>
      <c r="AHI208" s="394"/>
      <c r="AHJ208" s="394"/>
      <c r="AHK208" s="394"/>
      <c r="AHL208" s="394"/>
      <c r="AHM208" s="394"/>
      <c r="AHN208" s="394"/>
      <c r="AHO208" s="394"/>
      <c r="AHP208" s="394"/>
      <c r="AHQ208" s="394"/>
      <c r="AHR208" s="394"/>
      <c r="AHS208" s="394"/>
      <c r="AHT208" s="394"/>
      <c r="AHU208" s="394"/>
      <c r="AHV208" s="394"/>
      <c r="AHW208" s="394"/>
      <c r="AHX208" s="394"/>
      <c r="AHY208" s="394"/>
      <c r="AHZ208" s="394"/>
      <c r="AIA208" s="394"/>
      <c r="AIB208" s="394"/>
      <c r="AIC208" s="394"/>
      <c r="AID208" s="394"/>
      <c r="AIE208" s="394"/>
      <c r="AIF208" s="394"/>
      <c r="AIG208" s="394"/>
      <c r="AIH208" s="394"/>
      <c r="AII208" s="394"/>
      <c r="AIJ208" s="394"/>
      <c r="AIK208" s="394"/>
      <c r="AIL208" s="394"/>
      <c r="AIM208" s="394"/>
      <c r="AIN208" s="394"/>
      <c r="AIO208" s="394"/>
      <c r="AIP208" s="394"/>
      <c r="AIQ208" s="394"/>
      <c r="AIR208" s="394"/>
      <c r="AIS208" s="394"/>
      <c r="AIT208" s="394"/>
      <c r="AIU208" s="394"/>
      <c r="AIV208" s="394"/>
      <c r="AIW208" s="394"/>
      <c r="AIX208" s="394"/>
      <c r="AIY208" s="394"/>
      <c r="AIZ208" s="394"/>
      <c r="AJA208" s="394"/>
      <c r="AJB208" s="394"/>
      <c r="AJC208" s="394"/>
      <c r="AJD208" s="394"/>
      <c r="AJE208" s="394"/>
      <c r="AJF208" s="394"/>
      <c r="AJG208" s="394"/>
      <c r="AJH208" s="394"/>
      <c r="AJI208" s="394"/>
      <c r="AJJ208" s="394"/>
      <c r="AJK208" s="394"/>
      <c r="AJL208" s="394"/>
      <c r="AJM208" s="394"/>
      <c r="AJN208" s="394"/>
      <c r="AJO208" s="394"/>
      <c r="AJP208" s="394"/>
      <c r="AJQ208" s="394"/>
      <c r="AJR208" s="394"/>
      <c r="AJS208" s="394"/>
      <c r="AJT208" s="394"/>
      <c r="AJU208" s="394"/>
      <c r="AJV208" s="394"/>
      <c r="AJW208" s="394"/>
      <c r="AJX208" s="394"/>
      <c r="AJY208" s="394"/>
      <c r="AJZ208" s="394"/>
      <c r="AKA208" s="394"/>
      <c r="AKB208" s="394"/>
      <c r="AKC208" s="394"/>
      <c r="AKD208" s="394"/>
      <c r="AKE208" s="394"/>
      <c r="AKF208" s="394"/>
      <c r="AKG208" s="394"/>
      <c r="AKH208" s="394"/>
      <c r="AKI208" s="394"/>
      <c r="AKJ208" s="394"/>
      <c r="AKK208" s="394"/>
      <c r="AKL208" s="394"/>
      <c r="AKM208" s="394"/>
      <c r="AKN208" s="394"/>
      <c r="AKO208" s="394"/>
      <c r="AKP208" s="394"/>
      <c r="AKQ208" s="394"/>
      <c r="AKR208" s="394"/>
      <c r="AKS208" s="394"/>
      <c r="AKT208" s="394"/>
      <c r="AKU208" s="394"/>
      <c r="AKV208" s="394"/>
      <c r="AKW208" s="394"/>
      <c r="AKX208" s="394"/>
      <c r="AKY208" s="394"/>
      <c r="AKZ208" s="394"/>
      <c r="ALA208" s="394"/>
      <c r="ALB208" s="394"/>
      <c r="ALC208" s="394"/>
      <c r="ALD208" s="394"/>
      <c r="ALE208" s="394"/>
      <c r="ALF208" s="394"/>
      <c r="ALG208" s="394"/>
      <c r="ALH208" s="394"/>
      <c r="ALI208" s="394"/>
      <c r="ALJ208" s="394"/>
      <c r="ALK208" s="394"/>
      <c r="ALL208" s="394"/>
      <c r="ALM208" s="394"/>
      <c r="ALN208" s="394"/>
      <c r="ALO208" s="394"/>
      <c r="ALP208" s="394"/>
      <c r="ALQ208" s="394"/>
      <c r="ALR208" s="394"/>
      <c r="ALS208" s="394"/>
      <c r="ALT208" s="394"/>
      <c r="ALU208" s="394"/>
      <c r="ALV208" s="394"/>
      <c r="ALW208" s="394"/>
      <c r="ALX208" s="394"/>
      <c r="ALY208" s="394"/>
      <c r="ALZ208" s="394"/>
      <c r="AMA208" s="394"/>
      <c r="AMB208" s="394"/>
      <c r="AMC208" s="394"/>
      <c r="AMD208" s="394"/>
      <c r="AME208" s="394"/>
      <c r="AMF208" s="394"/>
      <c r="AMG208" s="394"/>
      <c r="AMH208" s="394"/>
      <c r="AMI208" s="394"/>
      <c r="AMJ208" s="394"/>
      <c r="AMK208" s="394"/>
      <c r="AML208" s="394"/>
      <c r="AMM208" s="394"/>
      <c r="AMN208" s="394"/>
      <c r="AMO208" s="394"/>
      <c r="AMP208" s="394"/>
      <c r="AMQ208" s="394"/>
      <c r="AMR208" s="394"/>
      <c r="AMS208" s="394"/>
      <c r="AMT208" s="394"/>
      <c r="AMU208" s="394"/>
      <c r="AMV208" s="394"/>
      <c r="AMW208" s="394"/>
      <c r="AMX208" s="394"/>
      <c r="AMY208" s="394"/>
      <c r="AMZ208" s="394"/>
      <c r="ANA208" s="394"/>
      <c r="ANB208" s="394"/>
      <c r="ANC208" s="394"/>
      <c r="AND208" s="394"/>
      <c r="ANE208" s="394"/>
      <c r="ANF208" s="394"/>
      <c r="ANG208" s="394"/>
      <c r="ANH208" s="394"/>
      <c r="ANI208" s="394"/>
      <c r="ANJ208" s="394"/>
      <c r="ANK208" s="394"/>
      <c r="ANL208" s="394"/>
      <c r="ANM208" s="394"/>
      <c r="ANN208" s="394"/>
      <c r="ANO208" s="394"/>
      <c r="ANP208" s="394"/>
      <c r="ANQ208" s="394"/>
      <c r="ANR208" s="394"/>
      <c r="ANS208" s="394"/>
      <c r="ANT208" s="394"/>
      <c r="ANU208" s="394"/>
      <c r="ANV208" s="394"/>
      <c r="ANW208" s="394"/>
      <c r="ANX208" s="394"/>
      <c r="ANY208" s="394"/>
      <c r="ANZ208" s="394"/>
      <c r="AOA208" s="394"/>
      <c r="AOB208" s="394"/>
      <c r="AOC208" s="394"/>
      <c r="AOD208" s="394"/>
      <c r="AOE208" s="394"/>
      <c r="AOF208" s="394"/>
      <c r="AOG208" s="394"/>
      <c r="AOH208" s="394"/>
      <c r="AOI208" s="394"/>
      <c r="AOJ208" s="394"/>
      <c r="AOK208" s="394"/>
      <c r="AOL208" s="394"/>
      <c r="AOM208" s="394"/>
      <c r="AON208" s="394"/>
      <c r="AOO208" s="394"/>
      <c r="AOP208" s="394"/>
      <c r="AOQ208" s="394"/>
      <c r="AOR208" s="394"/>
      <c r="AOS208" s="394"/>
      <c r="AOT208" s="394"/>
      <c r="AOU208" s="394"/>
      <c r="AOV208" s="394"/>
      <c r="AOW208" s="394"/>
      <c r="AOX208" s="394"/>
      <c r="AOY208" s="394"/>
      <c r="AOZ208" s="394"/>
      <c r="APA208" s="394"/>
      <c r="APB208" s="394"/>
      <c r="APC208" s="394"/>
      <c r="APD208" s="394"/>
      <c r="APE208" s="394"/>
      <c r="APF208" s="394"/>
      <c r="APG208" s="394"/>
      <c r="APH208" s="394"/>
      <c r="API208" s="394"/>
      <c r="APJ208" s="394"/>
      <c r="APK208" s="394"/>
      <c r="APL208" s="394"/>
      <c r="APM208" s="394"/>
      <c r="APN208" s="394"/>
      <c r="APO208" s="394"/>
      <c r="APP208" s="394"/>
      <c r="APQ208" s="394"/>
      <c r="APR208" s="394"/>
      <c r="APS208" s="394"/>
      <c r="APT208" s="394"/>
      <c r="APU208" s="394"/>
      <c r="APV208" s="394"/>
      <c r="APW208" s="394"/>
      <c r="APX208" s="394"/>
      <c r="APY208" s="394"/>
      <c r="APZ208" s="394"/>
      <c r="AQA208" s="394"/>
      <c r="AQB208" s="394"/>
      <c r="AQC208" s="394"/>
      <c r="AQD208" s="394"/>
      <c r="AQE208" s="394"/>
      <c r="AQF208" s="394"/>
      <c r="AQG208" s="394"/>
      <c r="AQH208" s="394"/>
      <c r="AQI208" s="394"/>
      <c r="AQJ208" s="394"/>
      <c r="AQK208" s="394"/>
      <c r="AQL208" s="394"/>
      <c r="AQM208" s="394"/>
      <c r="AQN208" s="394"/>
      <c r="AQO208" s="394"/>
      <c r="AQP208" s="394"/>
      <c r="AQQ208" s="394"/>
      <c r="AQR208" s="394"/>
      <c r="AQS208" s="394"/>
      <c r="AQT208" s="394"/>
      <c r="AQU208" s="394"/>
      <c r="AQV208" s="394"/>
      <c r="AQW208" s="394"/>
      <c r="AQX208" s="394"/>
      <c r="AQY208" s="394"/>
      <c r="AQZ208" s="394"/>
      <c r="ARA208" s="394"/>
      <c r="ARB208" s="394"/>
      <c r="ARC208" s="394"/>
      <c r="ARD208" s="394"/>
      <c r="ARE208" s="394"/>
      <c r="ARF208" s="394"/>
      <c r="ARG208" s="394"/>
      <c r="ARH208" s="394"/>
      <c r="ARI208" s="394"/>
      <c r="ARJ208" s="394"/>
      <c r="ARK208" s="394"/>
      <c r="ARL208" s="394"/>
      <c r="ARM208" s="394"/>
      <c r="ARN208" s="394"/>
      <c r="ARO208" s="394"/>
      <c r="ARP208" s="394"/>
      <c r="ARQ208" s="394"/>
      <c r="ARR208" s="394"/>
      <c r="ARS208" s="394"/>
      <c r="ART208" s="394"/>
      <c r="ARU208" s="394"/>
      <c r="ARV208" s="394"/>
      <c r="ARW208" s="394"/>
      <c r="ARX208" s="394"/>
      <c r="ARY208" s="394"/>
      <c r="ARZ208" s="394"/>
      <c r="ASA208" s="394"/>
      <c r="ASB208" s="394"/>
      <c r="ASC208" s="394"/>
      <c r="ASD208" s="394"/>
      <c r="ASE208" s="394"/>
      <c r="ASF208" s="394"/>
      <c r="ASG208" s="394"/>
      <c r="ASH208" s="394"/>
      <c r="ASI208" s="394"/>
      <c r="ASJ208" s="394"/>
      <c r="ASK208" s="394"/>
      <c r="ASL208" s="394"/>
      <c r="ASM208" s="394"/>
      <c r="ASN208" s="394"/>
      <c r="ASO208" s="394"/>
      <c r="ASP208" s="394"/>
      <c r="ASQ208" s="394"/>
      <c r="ASR208" s="394"/>
      <c r="ASS208" s="394"/>
      <c r="AST208" s="394"/>
      <c r="ASU208" s="394"/>
      <c r="ASV208" s="394"/>
      <c r="ASW208" s="394"/>
      <c r="ASX208" s="394"/>
      <c r="ASY208" s="394"/>
      <c r="ASZ208" s="394"/>
      <c r="ATA208" s="394"/>
      <c r="ATB208" s="394"/>
      <c r="ATC208" s="394"/>
      <c r="ATD208" s="394"/>
      <c r="ATE208" s="394"/>
      <c r="ATF208" s="394"/>
      <c r="ATG208" s="394"/>
      <c r="ATH208" s="394"/>
      <c r="ATI208" s="394"/>
      <c r="ATJ208" s="394"/>
      <c r="ATK208" s="394"/>
      <c r="ATL208" s="394"/>
      <c r="ATM208" s="394"/>
      <c r="ATN208" s="394"/>
      <c r="ATO208" s="394"/>
      <c r="ATP208" s="394"/>
      <c r="ATQ208" s="394"/>
      <c r="ATR208" s="394"/>
      <c r="ATS208" s="394"/>
      <c r="ATT208" s="394"/>
      <c r="ATU208" s="394"/>
      <c r="ATV208" s="394"/>
      <c r="ATW208" s="394"/>
      <c r="ATX208" s="394"/>
      <c r="ATY208" s="394"/>
      <c r="ATZ208" s="394"/>
      <c r="AUA208" s="394"/>
      <c r="AUB208" s="394"/>
      <c r="AUC208" s="394"/>
      <c r="AUD208" s="394"/>
      <c r="AUE208" s="394"/>
      <c r="AUF208" s="394"/>
      <c r="AUG208" s="394"/>
      <c r="AUH208" s="394"/>
      <c r="AUI208" s="394"/>
      <c r="AUJ208" s="394"/>
      <c r="AUK208" s="394"/>
      <c r="AUL208" s="394"/>
      <c r="AUM208" s="394"/>
      <c r="AUN208" s="394"/>
      <c r="AUO208" s="394"/>
      <c r="AUP208" s="394"/>
      <c r="AUQ208" s="394"/>
      <c r="AUR208" s="394"/>
      <c r="AUS208" s="394"/>
      <c r="AUT208" s="394"/>
      <c r="AUU208" s="394"/>
      <c r="AUV208" s="394"/>
      <c r="AUW208" s="394"/>
      <c r="AUX208" s="394"/>
      <c r="AUY208" s="394"/>
      <c r="AUZ208" s="394"/>
      <c r="AVA208" s="394"/>
      <c r="AVB208" s="394"/>
      <c r="AVC208" s="394"/>
      <c r="AVD208" s="394"/>
      <c r="AVE208" s="394"/>
      <c r="AVF208" s="394"/>
      <c r="AVG208" s="394"/>
      <c r="AVH208" s="394"/>
      <c r="AVI208" s="394"/>
      <c r="AVJ208" s="394"/>
      <c r="AVK208" s="394"/>
      <c r="AVL208" s="394"/>
      <c r="AVM208" s="394"/>
      <c r="AVN208" s="394"/>
      <c r="AVO208" s="394"/>
      <c r="AVP208" s="394"/>
      <c r="AVQ208" s="394"/>
      <c r="AVR208" s="394"/>
      <c r="AVS208" s="394"/>
      <c r="AVT208" s="394"/>
      <c r="AVU208" s="394"/>
      <c r="AVV208" s="394"/>
      <c r="AVW208" s="394"/>
      <c r="AVX208" s="394"/>
      <c r="AVY208" s="394"/>
      <c r="AVZ208" s="394"/>
      <c r="AWA208" s="394"/>
      <c r="AWB208" s="394"/>
      <c r="AWC208" s="394"/>
      <c r="AWD208" s="394"/>
      <c r="AWE208" s="394"/>
      <c r="AWF208" s="394"/>
      <c r="AWG208" s="394"/>
      <c r="AWH208" s="394"/>
      <c r="AWI208" s="394"/>
      <c r="AWJ208" s="394"/>
      <c r="AWK208" s="394"/>
      <c r="AWL208" s="394"/>
      <c r="AWM208" s="394"/>
      <c r="AWN208" s="394"/>
      <c r="AWO208" s="394"/>
      <c r="AWP208" s="394"/>
      <c r="AWQ208" s="394"/>
      <c r="AWR208" s="394"/>
      <c r="AWS208" s="394"/>
      <c r="AWT208" s="394"/>
      <c r="AWU208" s="394"/>
      <c r="AWV208" s="394"/>
      <c r="AWW208" s="394"/>
      <c r="AWX208" s="394"/>
      <c r="AWY208" s="394"/>
      <c r="AWZ208" s="394"/>
      <c r="AXA208" s="394"/>
      <c r="AXB208" s="394"/>
      <c r="AXC208" s="394"/>
      <c r="AXD208" s="394"/>
      <c r="AXE208" s="394"/>
      <c r="AXF208" s="394"/>
      <c r="AXG208" s="394"/>
      <c r="AXH208" s="394"/>
      <c r="AXI208" s="394"/>
      <c r="AXJ208" s="394"/>
      <c r="AXK208" s="394"/>
      <c r="AXL208" s="394"/>
      <c r="AXM208" s="394"/>
      <c r="AXN208" s="394"/>
      <c r="AXO208" s="394"/>
      <c r="AXP208" s="394"/>
      <c r="AXQ208" s="394"/>
      <c r="AXR208" s="394"/>
      <c r="AXS208" s="394"/>
      <c r="AXT208" s="394"/>
      <c r="AXU208" s="394"/>
      <c r="AXV208" s="394"/>
      <c r="AXW208" s="394"/>
      <c r="AXX208" s="394"/>
      <c r="AXY208" s="394"/>
      <c r="AXZ208" s="394"/>
      <c r="AYA208" s="394"/>
      <c r="AYB208" s="394"/>
      <c r="AYC208" s="394"/>
      <c r="AYD208" s="394"/>
      <c r="AYE208" s="394"/>
      <c r="AYF208" s="394"/>
      <c r="AYG208" s="394"/>
      <c r="AYH208" s="394"/>
      <c r="AYI208" s="394"/>
      <c r="AYJ208" s="394"/>
      <c r="AYK208" s="394"/>
      <c r="AYL208" s="394"/>
      <c r="AYM208" s="394"/>
      <c r="AYN208" s="394"/>
      <c r="AYO208" s="394"/>
      <c r="AYP208" s="394"/>
      <c r="AYQ208" s="394"/>
      <c r="AYR208" s="394"/>
      <c r="AYS208" s="394"/>
      <c r="AYT208" s="394"/>
      <c r="AYU208" s="394"/>
      <c r="AYV208" s="394"/>
      <c r="AYW208" s="394"/>
      <c r="AYX208" s="394"/>
      <c r="AYY208" s="394"/>
      <c r="AYZ208" s="394"/>
      <c r="AZA208" s="394"/>
      <c r="AZB208" s="394"/>
      <c r="AZC208" s="394"/>
      <c r="AZD208" s="394"/>
      <c r="AZE208" s="394"/>
      <c r="AZF208" s="394"/>
      <c r="AZG208" s="394"/>
      <c r="AZH208" s="394"/>
      <c r="AZI208" s="394"/>
      <c r="AZJ208" s="394"/>
      <c r="AZK208" s="394"/>
      <c r="AZL208" s="394"/>
      <c r="AZM208" s="394"/>
      <c r="AZN208" s="394"/>
      <c r="AZO208" s="394"/>
      <c r="AZP208" s="394"/>
      <c r="AZQ208" s="394"/>
      <c r="AZR208" s="394"/>
      <c r="AZS208" s="394"/>
      <c r="AZT208" s="394"/>
      <c r="AZU208" s="394"/>
      <c r="AZV208" s="394"/>
      <c r="AZW208" s="394"/>
      <c r="AZX208" s="394"/>
      <c r="AZY208" s="394"/>
      <c r="AZZ208" s="394"/>
      <c r="BAA208" s="394"/>
      <c r="BAB208" s="394"/>
      <c r="BAC208" s="394"/>
      <c r="BAD208" s="394"/>
      <c r="BAE208" s="394"/>
      <c r="BAF208" s="394"/>
      <c r="BAG208" s="394"/>
      <c r="BAH208" s="394"/>
      <c r="BAI208" s="394"/>
      <c r="BAJ208" s="394"/>
      <c r="BAK208" s="394"/>
      <c r="BAL208" s="394"/>
      <c r="BAM208" s="394"/>
      <c r="BAN208" s="394"/>
      <c r="BAO208" s="394"/>
      <c r="BAP208" s="394"/>
      <c r="BAQ208" s="394"/>
      <c r="BAR208" s="394"/>
      <c r="BAS208" s="394"/>
      <c r="BAT208" s="394"/>
      <c r="BAU208" s="394"/>
      <c r="BAV208" s="394"/>
      <c r="BAW208" s="394"/>
      <c r="BAX208" s="394"/>
      <c r="BAY208" s="394"/>
      <c r="BAZ208" s="394"/>
      <c r="BBA208" s="394"/>
      <c r="BBB208" s="394"/>
      <c r="BBC208" s="394"/>
      <c r="BBD208" s="394"/>
      <c r="BBE208" s="394"/>
      <c r="BBF208" s="394"/>
      <c r="BBG208" s="394"/>
      <c r="BBH208" s="394"/>
      <c r="BBI208" s="394"/>
      <c r="BBJ208" s="394"/>
      <c r="BBK208" s="394"/>
      <c r="BBL208" s="394"/>
      <c r="BBM208" s="394"/>
      <c r="BBN208" s="394"/>
      <c r="BBO208" s="394"/>
      <c r="BBP208" s="394"/>
      <c r="BBQ208" s="394"/>
      <c r="BBR208" s="394"/>
      <c r="BBS208" s="394"/>
      <c r="BBT208" s="394"/>
      <c r="BBU208" s="394"/>
      <c r="BBV208" s="394"/>
      <c r="BBW208" s="394"/>
      <c r="BBX208" s="394"/>
      <c r="BBY208" s="394"/>
      <c r="BBZ208" s="394"/>
      <c r="BCA208" s="394"/>
      <c r="BCB208" s="394"/>
      <c r="BCC208" s="394"/>
      <c r="BCD208" s="394"/>
      <c r="BCE208" s="394"/>
      <c r="BCF208" s="394"/>
      <c r="BCG208" s="394"/>
      <c r="BCH208" s="394"/>
      <c r="BCI208" s="394"/>
      <c r="BCJ208" s="394"/>
      <c r="BCK208" s="394"/>
      <c r="BCL208" s="394"/>
      <c r="BCM208" s="394"/>
      <c r="BCN208" s="394"/>
      <c r="BCO208" s="394"/>
      <c r="BCP208" s="394"/>
      <c r="BCQ208" s="394"/>
      <c r="BCR208" s="394"/>
      <c r="BCS208" s="394"/>
      <c r="BCT208" s="394"/>
      <c r="BCU208" s="394"/>
      <c r="BCV208" s="394"/>
      <c r="BCW208" s="394"/>
      <c r="BCX208" s="394"/>
      <c r="BCY208" s="394"/>
      <c r="BCZ208" s="394"/>
      <c r="BDA208" s="394"/>
      <c r="BDB208" s="394"/>
      <c r="BDC208" s="394"/>
      <c r="BDD208" s="394"/>
      <c r="BDE208" s="394"/>
      <c r="BDF208" s="394"/>
      <c r="BDG208" s="394"/>
      <c r="BDH208" s="394"/>
      <c r="BDI208" s="394"/>
      <c r="BDJ208" s="394"/>
      <c r="BDK208" s="394"/>
      <c r="BDL208" s="394"/>
      <c r="BDM208" s="394"/>
      <c r="BDN208" s="394"/>
      <c r="BDO208" s="394"/>
      <c r="BDP208" s="394"/>
      <c r="BDQ208" s="394"/>
      <c r="BDR208" s="394"/>
      <c r="BDS208" s="394"/>
      <c r="BDT208" s="394"/>
      <c r="BDU208" s="394"/>
      <c r="BDV208" s="394"/>
      <c r="BDW208" s="394"/>
      <c r="BDX208" s="394"/>
      <c r="BDY208" s="394"/>
      <c r="BDZ208" s="394"/>
      <c r="BEA208" s="394"/>
      <c r="BEB208" s="394"/>
      <c r="BEC208" s="394"/>
      <c r="BED208" s="394"/>
      <c r="BEE208" s="394"/>
      <c r="BEF208" s="394"/>
      <c r="BEG208" s="394"/>
      <c r="BEH208" s="394"/>
      <c r="BEI208" s="394"/>
      <c r="BEJ208" s="394"/>
      <c r="BEK208" s="394"/>
      <c r="BEL208" s="394"/>
      <c r="BEM208" s="394"/>
      <c r="BEN208" s="394"/>
      <c r="BEO208" s="394"/>
      <c r="BEP208" s="394"/>
      <c r="BEQ208" s="394"/>
      <c r="BER208" s="394"/>
      <c r="BES208" s="394"/>
      <c r="BET208" s="394"/>
      <c r="BEU208" s="394"/>
      <c r="BEV208" s="394"/>
      <c r="BEW208" s="394"/>
      <c r="BEX208" s="394"/>
      <c r="BEY208" s="394"/>
      <c r="BEZ208" s="394"/>
      <c r="BFA208" s="394"/>
      <c r="BFB208" s="394"/>
      <c r="BFC208" s="394"/>
      <c r="BFD208" s="394"/>
      <c r="BFE208" s="394"/>
      <c r="BFF208" s="394"/>
      <c r="BFG208" s="394"/>
      <c r="BFH208" s="394"/>
      <c r="BFI208" s="394"/>
      <c r="BFJ208" s="394"/>
      <c r="BFK208" s="394"/>
      <c r="BFL208" s="394"/>
      <c r="BFM208" s="394"/>
      <c r="BFN208" s="394"/>
      <c r="BFO208" s="394"/>
      <c r="BFP208" s="394"/>
      <c r="BFQ208" s="394"/>
      <c r="BFR208" s="394"/>
      <c r="BFS208" s="394"/>
      <c r="BFT208" s="394"/>
      <c r="BFU208" s="394"/>
      <c r="BFV208" s="394"/>
      <c r="BFW208" s="394"/>
      <c r="BFX208" s="394"/>
      <c r="BFY208" s="394"/>
      <c r="BFZ208" s="394"/>
      <c r="BGA208" s="394"/>
      <c r="BGB208" s="394"/>
      <c r="BGC208" s="394"/>
      <c r="BGD208" s="394"/>
      <c r="BGE208" s="394"/>
      <c r="BGF208" s="394"/>
      <c r="BGG208" s="394"/>
      <c r="BGH208" s="394"/>
      <c r="BGI208" s="394"/>
      <c r="BGJ208" s="394"/>
      <c r="BGK208" s="394"/>
      <c r="BGL208" s="394"/>
      <c r="BGM208" s="394"/>
      <c r="BGN208" s="394"/>
      <c r="BGO208" s="394"/>
      <c r="BGP208" s="394"/>
      <c r="BGQ208" s="394"/>
      <c r="BGR208" s="394"/>
      <c r="BGS208" s="394"/>
      <c r="BGT208" s="394"/>
      <c r="BGU208" s="394"/>
      <c r="BGV208" s="394"/>
      <c r="BGW208" s="394"/>
      <c r="BGX208" s="394"/>
      <c r="BGY208" s="394"/>
      <c r="BGZ208" s="394"/>
      <c r="BHA208" s="394"/>
      <c r="BHB208" s="394"/>
      <c r="BHC208" s="394"/>
      <c r="BHD208" s="394"/>
      <c r="BHE208" s="394"/>
      <c r="BHF208" s="394"/>
      <c r="BHG208" s="394"/>
      <c r="BHH208" s="394"/>
      <c r="BHI208" s="394"/>
      <c r="BHJ208" s="394"/>
      <c r="BHK208" s="394"/>
      <c r="BHL208" s="394"/>
      <c r="BHM208" s="394"/>
      <c r="BHN208" s="394"/>
      <c r="BHO208" s="394"/>
      <c r="BHP208" s="394"/>
      <c r="BHQ208" s="394"/>
      <c r="BHR208" s="394"/>
      <c r="BHS208" s="394"/>
      <c r="BHT208" s="394"/>
      <c r="BHU208" s="394"/>
      <c r="BHV208" s="394"/>
      <c r="BHW208" s="394"/>
      <c r="BHX208" s="394"/>
      <c r="BHY208" s="394"/>
      <c r="BHZ208" s="394"/>
      <c r="BIA208" s="394"/>
      <c r="BIB208" s="394"/>
      <c r="BIC208" s="394"/>
      <c r="BID208" s="394"/>
      <c r="BIE208" s="394"/>
      <c r="BIF208" s="394"/>
      <c r="BIG208" s="394"/>
      <c r="BIH208" s="394"/>
      <c r="BII208" s="394"/>
      <c r="BIJ208" s="394"/>
      <c r="BIK208" s="394"/>
      <c r="BIL208" s="394"/>
      <c r="BIM208" s="394"/>
      <c r="BIN208" s="394"/>
      <c r="BIO208" s="394"/>
      <c r="BIP208" s="394"/>
      <c r="BIQ208" s="394"/>
      <c r="BIR208" s="394"/>
      <c r="BIS208" s="394"/>
      <c r="BIT208" s="394"/>
      <c r="BIU208" s="394"/>
      <c r="BIV208" s="394"/>
      <c r="BIW208" s="394"/>
      <c r="BIX208" s="394"/>
      <c r="BIY208" s="394"/>
      <c r="BIZ208" s="394"/>
      <c r="BJA208" s="394"/>
      <c r="BJB208" s="394"/>
      <c r="BJC208" s="394"/>
      <c r="BJD208" s="394"/>
      <c r="BJE208" s="394"/>
      <c r="BJF208" s="394"/>
      <c r="BJG208" s="394"/>
      <c r="BJH208" s="394"/>
      <c r="BJI208" s="394"/>
      <c r="BJJ208" s="394"/>
      <c r="BJK208" s="394"/>
      <c r="BJL208" s="394"/>
      <c r="BJM208" s="394"/>
      <c r="BJN208" s="394"/>
      <c r="BJO208" s="394"/>
      <c r="BJP208" s="394"/>
      <c r="BJQ208" s="394"/>
      <c r="BJR208" s="394"/>
      <c r="BJS208" s="394"/>
      <c r="BJT208" s="394"/>
      <c r="BJU208" s="394"/>
      <c r="BJV208" s="394"/>
      <c r="BJW208" s="394"/>
      <c r="BJX208" s="394"/>
      <c r="BJY208" s="394"/>
      <c r="BJZ208" s="394"/>
      <c r="BKA208" s="394"/>
      <c r="BKB208" s="394"/>
      <c r="BKC208" s="394"/>
      <c r="BKD208" s="394"/>
      <c r="BKE208" s="394"/>
      <c r="BKF208" s="394"/>
      <c r="BKG208" s="394"/>
      <c r="BKH208" s="394"/>
      <c r="BKI208" s="394"/>
      <c r="BKJ208" s="394"/>
      <c r="BKK208" s="394"/>
      <c r="BKL208" s="394"/>
      <c r="BKM208" s="394"/>
      <c r="BKN208" s="394"/>
      <c r="BKO208" s="394"/>
      <c r="BKP208" s="394"/>
      <c r="BKQ208" s="394"/>
      <c r="BKR208" s="394"/>
      <c r="BKS208" s="394"/>
      <c r="BKT208" s="394"/>
      <c r="BKU208" s="394"/>
      <c r="BKV208" s="394"/>
      <c r="BKW208" s="394"/>
      <c r="BKX208" s="394"/>
      <c r="BKY208" s="394"/>
      <c r="BKZ208" s="394"/>
      <c r="BLA208" s="394"/>
      <c r="BLB208" s="394"/>
      <c r="BLC208" s="394"/>
      <c r="BLD208" s="394"/>
      <c r="BLE208" s="394"/>
      <c r="BLF208" s="394"/>
      <c r="BLG208" s="394"/>
      <c r="BLH208" s="394"/>
      <c r="BLI208" s="394"/>
      <c r="BLJ208" s="394"/>
      <c r="BLK208" s="394"/>
      <c r="BLL208" s="394"/>
      <c r="BLM208" s="394"/>
      <c r="BLN208" s="394"/>
      <c r="BLO208" s="394"/>
      <c r="BLP208" s="394"/>
      <c r="BLQ208" s="394"/>
      <c r="BLR208" s="394"/>
      <c r="BLS208" s="394"/>
      <c r="BLT208" s="394"/>
      <c r="BLU208" s="394"/>
      <c r="BLV208" s="394"/>
      <c r="BLW208" s="394"/>
      <c r="BLX208" s="394"/>
      <c r="BLY208" s="394"/>
      <c r="BLZ208" s="394"/>
      <c r="BMA208" s="394"/>
      <c r="BMB208" s="394"/>
      <c r="BMC208" s="394"/>
      <c r="BMD208" s="394"/>
      <c r="BME208" s="394"/>
      <c r="BMF208" s="394"/>
      <c r="BMG208" s="394"/>
      <c r="BMH208" s="394"/>
      <c r="BMI208" s="394"/>
      <c r="BMJ208" s="394"/>
      <c r="BMK208" s="394"/>
      <c r="BML208" s="394"/>
      <c r="BMM208" s="394"/>
      <c r="BMN208" s="394"/>
      <c r="BMO208" s="394"/>
      <c r="BMP208" s="394"/>
      <c r="BMQ208" s="394"/>
      <c r="BMR208" s="394"/>
      <c r="BMS208" s="394"/>
      <c r="BMT208" s="394"/>
      <c r="BMU208" s="394"/>
      <c r="BMV208" s="394"/>
      <c r="BMW208" s="394"/>
      <c r="BMX208" s="394"/>
      <c r="BMY208" s="394"/>
      <c r="BMZ208" s="394"/>
      <c r="BNA208" s="394"/>
      <c r="BNB208" s="394"/>
      <c r="BNC208" s="394"/>
      <c r="BND208" s="394"/>
      <c r="BNE208" s="394"/>
      <c r="BNF208" s="394"/>
      <c r="BNG208" s="394"/>
      <c r="BNH208" s="394"/>
      <c r="BNI208" s="394"/>
      <c r="BNJ208" s="394"/>
      <c r="BNK208" s="394"/>
      <c r="BNL208" s="394"/>
      <c r="BNM208" s="394"/>
      <c r="BNN208" s="394"/>
      <c r="BNO208" s="394"/>
      <c r="BNP208" s="394"/>
      <c r="BNQ208" s="394"/>
      <c r="BNR208" s="394"/>
      <c r="BNS208" s="394"/>
      <c r="BNT208" s="394"/>
      <c r="BNU208" s="394"/>
      <c r="BNV208" s="394"/>
      <c r="BNW208" s="394"/>
      <c r="BNX208" s="394"/>
      <c r="BNY208" s="394"/>
      <c r="BNZ208" s="394"/>
      <c r="BOA208" s="394"/>
      <c r="BOB208" s="394"/>
      <c r="BOC208" s="394"/>
      <c r="BOD208" s="394"/>
      <c r="BOE208" s="394"/>
      <c r="BOF208" s="394"/>
      <c r="BOG208" s="394"/>
      <c r="BOH208" s="394"/>
      <c r="BOI208" s="394"/>
      <c r="BOJ208" s="394"/>
      <c r="BOK208" s="394"/>
      <c r="BOL208" s="394"/>
      <c r="BOM208" s="394"/>
      <c r="BON208" s="394"/>
      <c r="BOO208" s="394"/>
      <c r="BOP208" s="394"/>
      <c r="BOQ208" s="394"/>
      <c r="BOR208" s="394"/>
      <c r="BOS208" s="394"/>
      <c r="BOT208" s="394"/>
      <c r="BOU208" s="394"/>
      <c r="BOV208" s="394"/>
      <c r="BOW208" s="394"/>
      <c r="BOX208" s="394"/>
      <c r="BOY208" s="394"/>
      <c r="BOZ208" s="394"/>
      <c r="BPA208" s="394"/>
      <c r="BPB208" s="394"/>
      <c r="BPC208" s="394"/>
      <c r="BPD208" s="394"/>
      <c r="BPE208" s="394"/>
      <c r="BPF208" s="394"/>
      <c r="BPG208" s="394"/>
      <c r="BPH208" s="394"/>
      <c r="BPI208" s="394"/>
      <c r="BPJ208" s="394"/>
      <c r="BPK208" s="394"/>
      <c r="BPL208" s="394"/>
      <c r="BPM208" s="394"/>
      <c r="BPN208" s="394"/>
      <c r="BPO208" s="394"/>
      <c r="BPP208" s="394"/>
      <c r="BPQ208" s="394"/>
      <c r="BPR208" s="394"/>
      <c r="BPS208" s="394"/>
      <c r="BPT208" s="394"/>
      <c r="BPU208" s="394"/>
      <c r="BPV208" s="394"/>
      <c r="BPW208" s="394"/>
      <c r="BPX208" s="394"/>
      <c r="BPY208" s="394"/>
      <c r="BPZ208" s="394"/>
      <c r="BQA208" s="394"/>
      <c r="BQB208" s="394"/>
      <c r="BQC208" s="394"/>
      <c r="BQD208" s="394"/>
      <c r="BQE208" s="394"/>
      <c r="BQF208" s="394"/>
      <c r="BQG208" s="394"/>
      <c r="BQH208" s="394"/>
      <c r="BQI208" s="394"/>
      <c r="BQJ208" s="394"/>
      <c r="BQK208" s="394"/>
      <c r="BQL208" s="394"/>
      <c r="BQM208" s="394"/>
      <c r="BQN208" s="394"/>
      <c r="BQO208" s="394"/>
      <c r="BQP208" s="394"/>
      <c r="BQQ208" s="394"/>
      <c r="BQR208" s="394"/>
      <c r="BQS208" s="394"/>
      <c r="BQT208" s="394"/>
      <c r="BQU208" s="394"/>
      <c r="BQV208" s="394"/>
      <c r="BQW208" s="394"/>
      <c r="BQX208" s="394"/>
      <c r="BQY208" s="394"/>
      <c r="BQZ208" s="394"/>
      <c r="BRA208" s="394"/>
      <c r="BRB208" s="394"/>
      <c r="BRC208" s="394"/>
      <c r="BRD208" s="394"/>
      <c r="BRE208" s="394"/>
      <c r="BRF208" s="394"/>
      <c r="BRG208" s="394"/>
      <c r="BRH208" s="394"/>
      <c r="BRI208" s="394"/>
      <c r="BRJ208" s="394"/>
      <c r="BRK208" s="394"/>
      <c r="BRL208" s="394"/>
      <c r="BRM208" s="394"/>
      <c r="BRN208" s="394"/>
      <c r="BRO208" s="394"/>
      <c r="BRP208" s="394"/>
      <c r="BRQ208" s="394"/>
      <c r="BRR208" s="394"/>
      <c r="BRS208" s="394"/>
      <c r="BRT208" s="394"/>
      <c r="BRU208" s="394"/>
      <c r="BRV208" s="394"/>
      <c r="BRW208" s="394"/>
      <c r="BRX208" s="394"/>
      <c r="BRY208" s="394"/>
      <c r="BRZ208" s="394"/>
      <c r="BSA208" s="394"/>
      <c r="BSB208" s="394"/>
      <c r="BSC208" s="394"/>
      <c r="BSD208" s="394"/>
      <c r="BSE208" s="394"/>
      <c r="BSF208" s="394"/>
      <c r="BSG208" s="394"/>
      <c r="BSH208" s="394"/>
      <c r="BSI208" s="394"/>
      <c r="BSJ208" s="394"/>
      <c r="BSK208" s="394"/>
      <c r="BSL208" s="394"/>
      <c r="BSM208" s="394"/>
      <c r="BSN208" s="394"/>
      <c r="BSO208" s="394"/>
      <c r="BSP208" s="394"/>
      <c r="BSQ208" s="394"/>
      <c r="BSR208" s="394"/>
      <c r="BSS208" s="394"/>
      <c r="BST208" s="394"/>
      <c r="BSU208" s="394"/>
      <c r="BSV208" s="394"/>
      <c r="BSW208" s="394"/>
      <c r="BSX208" s="394"/>
      <c r="BSY208" s="394"/>
      <c r="BSZ208" s="394"/>
      <c r="BTA208" s="394"/>
      <c r="BTB208" s="394"/>
      <c r="BTC208" s="394"/>
      <c r="BTD208" s="394"/>
      <c r="BTE208" s="394"/>
      <c r="BTF208" s="394"/>
      <c r="BTG208" s="394"/>
      <c r="BTH208" s="394"/>
      <c r="BTI208" s="394"/>
    </row>
    <row r="209" spans="1:1881" s="391" customFormat="1" ht="84.75" customHeight="1" x14ac:dyDescent="0.25">
      <c r="A209" s="188">
        <v>598</v>
      </c>
      <c r="B209" s="150" t="s">
        <v>66</v>
      </c>
      <c r="C209" s="182" t="s">
        <v>601</v>
      </c>
      <c r="D209" s="232" t="s">
        <v>780</v>
      </c>
      <c r="E209" s="32" t="e">
        <f>HLOOKUP($D$2,'2019 Data(H)'!$C$1:$CP$300,258,FALSE)</f>
        <v>#N/A</v>
      </c>
      <c r="F209" s="589"/>
      <c r="G209" s="581">
        <f>IF(F209&lt;0,"Error: Enter as positive.",)</f>
        <v>0</v>
      </c>
      <c r="H209" s="70"/>
      <c r="I209" s="15"/>
      <c r="J209" s="365"/>
      <c r="K209" s="394"/>
      <c r="L209" s="394"/>
      <c r="M209" s="394"/>
      <c r="N209"/>
      <c r="O209" s="394"/>
      <c r="P209" s="394"/>
      <c r="Q209" s="394"/>
      <c r="R209" s="394"/>
      <c r="S209" s="394"/>
      <c r="T209" s="394"/>
      <c r="U209" s="394"/>
      <c r="V209" s="394"/>
      <c r="W209" s="394"/>
      <c r="X209" s="394"/>
      <c r="Y209" s="394"/>
      <c r="Z209" s="394"/>
      <c r="AA209" s="394"/>
      <c r="AB209" s="394"/>
      <c r="AC209" s="394"/>
      <c r="AD209" s="394"/>
      <c r="AE209" s="394"/>
      <c r="AF209" s="394"/>
      <c r="AG209" s="394"/>
      <c r="AH209" s="394"/>
      <c r="AI209" s="394"/>
      <c r="AJ209" s="394"/>
      <c r="AK209" s="394"/>
      <c r="AL209" s="394"/>
      <c r="AM209" s="394"/>
      <c r="AN209" s="394"/>
      <c r="AO209" s="394"/>
      <c r="AP209" s="394"/>
      <c r="AQ209" s="394"/>
      <c r="AR209" s="394"/>
      <c r="AS209" s="394"/>
      <c r="AT209" s="394"/>
      <c r="AU209" s="394"/>
      <c r="AV209" s="394"/>
      <c r="AW209" s="394"/>
      <c r="AX209" s="394"/>
      <c r="AY209" s="394"/>
      <c r="AZ209" s="394"/>
      <c r="BA209" s="394"/>
      <c r="BB209" s="394"/>
      <c r="BC209" s="394"/>
      <c r="BD209" s="394"/>
      <c r="BE209" s="394"/>
      <c r="BF209" s="394"/>
      <c r="BG209" s="394"/>
      <c r="BH209" s="394"/>
      <c r="BI209" s="394"/>
      <c r="BJ209" s="394"/>
      <c r="BK209" s="394"/>
      <c r="BL209" s="394"/>
      <c r="BM209" s="394"/>
      <c r="BN209" s="394"/>
      <c r="BO209" s="394"/>
      <c r="BP209" s="394"/>
      <c r="BQ209" s="394"/>
      <c r="BR209" s="394"/>
      <c r="BS209" s="394"/>
      <c r="BT209" s="394"/>
      <c r="BU209" s="394"/>
      <c r="BV209" s="394"/>
      <c r="BW209" s="394"/>
      <c r="BX209" s="394"/>
      <c r="BY209" s="394"/>
      <c r="BZ209" s="394"/>
      <c r="CA209" s="394"/>
      <c r="CB209" s="394"/>
      <c r="CC209" s="394"/>
      <c r="CD209" s="394"/>
      <c r="CE209" s="394"/>
      <c r="CF209" s="394"/>
      <c r="CG209" s="394"/>
      <c r="CH209" s="394"/>
      <c r="CI209" s="394"/>
      <c r="CJ209" s="394"/>
      <c r="CK209" s="394"/>
      <c r="CL209" s="394"/>
      <c r="CM209" s="394"/>
      <c r="CN209" s="394"/>
      <c r="CO209" s="394"/>
      <c r="CP209" s="394"/>
      <c r="CQ209" s="394"/>
      <c r="CR209" s="394"/>
      <c r="CS209" s="394"/>
      <c r="CT209" s="394"/>
      <c r="CU209" s="394"/>
      <c r="CV209" s="394"/>
      <c r="CW209" s="394"/>
      <c r="CX209" s="394"/>
      <c r="CY209" s="394"/>
      <c r="CZ209" s="394"/>
      <c r="DA209" s="394"/>
      <c r="DB209" s="394"/>
      <c r="DC209" s="394"/>
      <c r="DD209" s="394"/>
      <c r="DE209" s="394"/>
      <c r="DF209" s="394"/>
      <c r="DG209" s="394"/>
      <c r="DH209" s="394"/>
      <c r="DI209" s="394"/>
      <c r="DJ209" s="394"/>
      <c r="DK209" s="394"/>
      <c r="DL209" s="394"/>
      <c r="DM209" s="394"/>
      <c r="DN209" s="394"/>
      <c r="DO209" s="394"/>
      <c r="DP209" s="394"/>
      <c r="DQ209" s="394"/>
      <c r="DR209" s="394"/>
      <c r="DS209" s="394"/>
      <c r="DT209" s="394"/>
      <c r="DU209" s="394"/>
      <c r="DV209" s="394"/>
      <c r="DW209" s="394"/>
      <c r="DX209" s="394"/>
      <c r="DY209" s="394"/>
      <c r="DZ209" s="394"/>
      <c r="EA209" s="394"/>
      <c r="EB209" s="394"/>
      <c r="EC209" s="394"/>
      <c r="ED209" s="394"/>
      <c r="EE209" s="394"/>
      <c r="EF209" s="394"/>
      <c r="EG209" s="394"/>
      <c r="EH209" s="394"/>
      <c r="EI209" s="394"/>
      <c r="EJ209" s="394"/>
      <c r="EK209" s="394"/>
      <c r="EL209" s="394"/>
      <c r="EM209" s="394"/>
      <c r="EN209" s="394"/>
      <c r="EO209" s="394"/>
      <c r="EP209" s="394"/>
      <c r="EQ209" s="394"/>
      <c r="ER209" s="394"/>
      <c r="ES209" s="394"/>
      <c r="ET209" s="394"/>
      <c r="EU209" s="394"/>
      <c r="EV209" s="394"/>
      <c r="EW209" s="394"/>
      <c r="EX209" s="394"/>
      <c r="EY209" s="394"/>
      <c r="EZ209" s="394"/>
      <c r="FA209" s="394"/>
      <c r="FB209" s="394"/>
      <c r="FC209" s="394"/>
      <c r="FD209" s="394"/>
      <c r="FE209" s="394"/>
      <c r="FF209" s="394"/>
      <c r="FG209" s="394"/>
      <c r="FH209" s="394"/>
      <c r="FI209" s="394"/>
      <c r="FJ209" s="394"/>
      <c r="FK209" s="394"/>
      <c r="FL209" s="394"/>
      <c r="FM209" s="394"/>
      <c r="FN209" s="394"/>
      <c r="FO209" s="394"/>
      <c r="FP209" s="394"/>
      <c r="FQ209" s="394"/>
      <c r="FR209" s="394"/>
      <c r="FS209" s="394"/>
      <c r="FT209" s="394"/>
      <c r="FU209" s="394"/>
      <c r="FV209" s="394"/>
      <c r="FW209" s="394"/>
      <c r="FX209" s="394"/>
      <c r="FY209" s="394"/>
      <c r="FZ209" s="394"/>
      <c r="GA209" s="394"/>
      <c r="GB209" s="394"/>
      <c r="GC209" s="394"/>
      <c r="GD209" s="394"/>
      <c r="GE209" s="394"/>
      <c r="GF209" s="394"/>
      <c r="GG209" s="394"/>
      <c r="GH209" s="394"/>
      <c r="GI209" s="394"/>
      <c r="GJ209" s="394"/>
      <c r="GK209" s="394"/>
      <c r="GL209" s="394"/>
      <c r="GM209" s="394"/>
      <c r="GN209" s="394"/>
      <c r="GO209" s="394"/>
      <c r="GP209" s="394"/>
      <c r="GQ209" s="394"/>
      <c r="GR209" s="394"/>
      <c r="GS209" s="394"/>
      <c r="GT209" s="394"/>
      <c r="GU209" s="394"/>
      <c r="GV209" s="394"/>
      <c r="GW209" s="394"/>
      <c r="GX209" s="394"/>
      <c r="GY209" s="394"/>
      <c r="GZ209" s="394"/>
      <c r="HA209" s="394"/>
      <c r="HB209" s="394"/>
      <c r="HC209" s="394"/>
      <c r="HD209" s="394"/>
      <c r="HE209" s="394"/>
      <c r="HF209" s="394"/>
      <c r="HG209" s="394"/>
      <c r="HH209" s="394"/>
      <c r="HI209" s="394"/>
      <c r="HJ209" s="394"/>
      <c r="HK209" s="394"/>
      <c r="HL209" s="394"/>
      <c r="HM209" s="394"/>
      <c r="HN209" s="394"/>
      <c r="HO209" s="394"/>
      <c r="HP209" s="394"/>
      <c r="HQ209" s="394"/>
      <c r="HR209" s="394"/>
      <c r="HS209" s="394"/>
      <c r="HT209" s="394"/>
      <c r="HU209" s="394"/>
      <c r="HV209" s="394"/>
      <c r="HW209" s="394"/>
      <c r="HX209" s="394"/>
      <c r="HY209" s="394"/>
      <c r="HZ209" s="394"/>
      <c r="IA209" s="394"/>
      <c r="IB209" s="394"/>
      <c r="IC209" s="394"/>
      <c r="ID209" s="394"/>
      <c r="IE209" s="394"/>
      <c r="IF209" s="394"/>
      <c r="IG209" s="394"/>
      <c r="IH209" s="394"/>
      <c r="II209" s="394"/>
      <c r="IJ209" s="394"/>
      <c r="IK209" s="394"/>
      <c r="IL209" s="394"/>
      <c r="IM209" s="394"/>
      <c r="IN209" s="394"/>
      <c r="IO209" s="394"/>
      <c r="IP209" s="394"/>
      <c r="IQ209" s="394"/>
      <c r="IR209" s="394"/>
      <c r="IS209" s="394"/>
      <c r="IT209" s="394"/>
      <c r="IU209" s="394"/>
      <c r="IV209" s="394"/>
      <c r="IW209" s="394"/>
      <c r="IX209" s="394"/>
      <c r="IY209" s="394"/>
      <c r="IZ209" s="394"/>
      <c r="JA209" s="394"/>
      <c r="JB209" s="394"/>
      <c r="JC209" s="394"/>
      <c r="JD209" s="394"/>
      <c r="JE209" s="394"/>
      <c r="JF209" s="394"/>
      <c r="JG209" s="394"/>
      <c r="JH209" s="394"/>
      <c r="JI209" s="394"/>
      <c r="JJ209" s="394"/>
      <c r="JK209" s="394"/>
      <c r="JL209" s="394"/>
      <c r="JM209" s="394"/>
      <c r="JN209" s="394"/>
      <c r="JO209" s="394"/>
      <c r="JP209" s="394"/>
      <c r="JQ209" s="394"/>
      <c r="JR209" s="394"/>
      <c r="JS209" s="394"/>
      <c r="JT209" s="394"/>
      <c r="JU209" s="394"/>
      <c r="JV209" s="394"/>
      <c r="JW209" s="394"/>
      <c r="JX209" s="394"/>
      <c r="JY209" s="394"/>
      <c r="JZ209" s="394"/>
      <c r="KA209" s="394"/>
      <c r="KB209" s="394"/>
      <c r="KC209" s="394"/>
      <c r="KD209" s="394"/>
      <c r="KE209" s="394"/>
      <c r="KF209" s="394"/>
      <c r="KG209" s="394"/>
      <c r="KH209" s="394"/>
      <c r="KI209" s="394"/>
      <c r="KJ209" s="394"/>
      <c r="KK209" s="394"/>
      <c r="KL209" s="394"/>
      <c r="KM209" s="394"/>
      <c r="KN209" s="394"/>
      <c r="KO209" s="394"/>
      <c r="KP209" s="394"/>
      <c r="KQ209" s="394"/>
      <c r="KR209" s="394"/>
      <c r="KS209" s="394"/>
      <c r="KT209" s="394"/>
      <c r="KU209" s="394"/>
      <c r="KV209" s="394"/>
      <c r="KW209" s="394"/>
      <c r="KX209" s="394"/>
      <c r="KY209" s="394"/>
      <c r="KZ209" s="394"/>
      <c r="LA209" s="394"/>
      <c r="LB209" s="394"/>
      <c r="LC209" s="394"/>
      <c r="LD209" s="394"/>
      <c r="LE209" s="394"/>
      <c r="LF209" s="394"/>
      <c r="LG209" s="394"/>
      <c r="LH209" s="394"/>
      <c r="LI209" s="394"/>
      <c r="LJ209" s="394"/>
      <c r="LK209" s="394"/>
      <c r="LL209" s="394"/>
      <c r="LM209" s="394"/>
      <c r="LN209" s="394"/>
      <c r="LO209" s="394"/>
      <c r="LP209" s="394"/>
      <c r="LQ209" s="394"/>
      <c r="LR209" s="394"/>
      <c r="LS209" s="394"/>
      <c r="LT209" s="394"/>
      <c r="LU209" s="394"/>
      <c r="LV209" s="394"/>
      <c r="LW209" s="394"/>
      <c r="LX209" s="394"/>
      <c r="LY209" s="394"/>
      <c r="LZ209" s="394"/>
      <c r="MA209" s="394"/>
      <c r="MB209" s="394"/>
      <c r="MC209" s="394"/>
      <c r="MD209" s="394"/>
      <c r="ME209" s="394"/>
      <c r="MF209" s="394"/>
      <c r="MG209" s="394"/>
      <c r="MH209" s="394"/>
      <c r="MI209" s="394"/>
      <c r="MJ209" s="394"/>
      <c r="MK209" s="394"/>
      <c r="ML209" s="394"/>
      <c r="MM209" s="394"/>
      <c r="MN209" s="394"/>
      <c r="MO209" s="394"/>
      <c r="MP209" s="394"/>
      <c r="MQ209" s="394"/>
      <c r="MR209" s="394"/>
      <c r="MS209" s="394"/>
      <c r="MT209" s="394"/>
      <c r="MU209" s="394"/>
      <c r="MV209" s="394"/>
      <c r="MW209" s="394"/>
      <c r="MX209" s="394"/>
      <c r="MY209" s="394"/>
      <c r="MZ209" s="394"/>
      <c r="NA209" s="394"/>
      <c r="NB209" s="394"/>
      <c r="NC209" s="394"/>
      <c r="ND209" s="394"/>
      <c r="NE209" s="394"/>
      <c r="NF209" s="394"/>
      <c r="NG209" s="394"/>
      <c r="NH209" s="394"/>
      <c r="NI209" s="394"/>
      <c r="NJ209" s="394"/>
      <c r="NK209" s="394"/>
      <c r="NL209" s="394"/>
      <c r="NM209" s="394"/>
      <c r="NN209" s="394"/>
      <c r="NO209" s="394"/>
      <c r="NP209" s="394"/>
      <c r="NQ209" s="394"/>
      <c r="NR209" s="394"/>
      <c r="NS209" s="394"/>
      <c r="NT209" s="394"/>
      <c r="NU209" s="394"/>
      <c r="NV209" s="394"/>
      <c r="NW209" s="394"/>
      <c r="NX209" s="394"/>
      <c r="NY209" s="394"/>
      <c r="NZ209" s="394"/>
      <c r="OA209" s="394"/>
      <c r="OB209" s="394"/>
      <c r="OC209" s="394"/>
      <c r="OD209" s="394"/>
      <c r="OE209" s="394"/>
      <c r="OF209" s="394"/>
      <c r="OG209" s="394"/>
      <c r="OH209" s="394"/>
      <c r="OI209" s="394"/>
      <c r="OJ209" s="394"/>
      <c r="OK209" s="394"/>
      <c r="OL209" s="394"/>
      <c r="OM209" s="394"/>
      <c r="ON209" s="394"/>
      <c r="OO209" s="394"/>
      <c r="OP209" s="394"/>
      <c r="OQ209" s="394"/>
      <c r="OR209" s="394"/>
      <c r="OS209" s="394"/>
      <c r="OT209" s="394"/>
      <c r="OU209" s="394"/>
      <c r="OV209" s="394"/>
      <c r="OW209" s="394"/>
      <c r="OX209" s="394"/>
      <c r="OY209" s="394"/>
      <c r="OZ209" s="394"/>
      <c r="PA209" s="394"/>
      <c r="PB209" s="394"/>
      <c r="PC209" s="394"/>
      <c r="PD209" s="394"/>
      <c r="PE209" s="394"/>
      <c r="PF209" s="394"/>
      <c r="PG209" s="394"/>
      <c r="PH209" s="394"/>
      <c r="PI209" s="394"/>
      <c r="PJ209" s="394"/>
      <c r="PK209" s="394"/>
      <c r="PL209" s="394"/>
      <c r="PM209" s="394"/>
      <c r="PN209" s="394"/>
      <c r="PO209" s="394"/>
      <c r="PP209" s="394"/>
      <c r="PQ209" s="394"/>
      <c r="PR209" s="394"/>
      <c r="PS209" s="394"/>
      <c r="PT209" s="394"/>
      <c r="PU209" s="394"/>
      <c r="PV209" s="394"/>
      <c r="PW209" s="394"/>
      <c r="PX209" s="394"/>
      <c r="PY209" s="394"/>
      <c r="PZ209" s="394"/>
      <c r="QA209" s="394"/>
      <c r="QB209" s="394"/>
      <c r="QC209" s="394"/>
      <c r="QD209" s="394"/>
      <c r="QE209" s="394"/>
      <c r="QF209" s="394"/>
      <c r="QG209" s="394"/>
      <c r="QH209" s="394"/>
      <c r="QI209" s="394"/>
      <c r="QJ209" s="394"/>
      <c r="QK209" s="394"/>
      <c r="QL209" s="394"/>
      <c r="QM209" s="394"/>
      <c r="QN209" s="394"/>
      <c r="QO209" s="394"/>
      <c r="QP209" s="394"/>
      <c r="QQ209" s="394"/>
      <c r="QR209" s="394"/>
      <c r="QS209" s="394"/>
      <c r="QT209" s="394"/>
      <c r="QU209" s="394"/>
      <c r="QV209" s="394"/>
      <c r="QW209" s="394"/>
      <c r="QX209" s="394"/>
      <c r="QY209" s="394"/>
      <c r="QZ209" s="394"/>
      <c r="RA209" s="394"/>
      <c r="RB209" s="394"/>
      <c r="RC209" s="394"/>
      <c r="RD209" s="394"/>
      <c r="RE209" s="394"/>
      <c r="RF209" s="394"/>
      <c r="RG209" s="394"/>
      <c r="RH209" s="394"/>
      <c r="RI209" s="394"/>
      <c r="RJ209" s="394"/>
      <c r="RK209" s="394"/>
      <c r="RL209" s="394"/>
      <c r="RM209" s="394"/>
      <c r="RN209" s="394"/>
      <c r="RO209" s="394"/>
      <c r="RP209" s="394"/>
      <c r="RQ209" s="394"/>
      <c r="RR209" s="394"/>
      <c r="RS209" s="394"/>
      <c r="RT209" s="394"/>
      <c r="RU209" s="394"/>
      <c r="RV209" s="394"/>
      <c r="RW209" s="394"/>
      <c r="RX209" s="394"/>
      <c r="RY209" s="394"/>
      <c r="RZ209" s="394"/>
      <c r="SA209" s="394"/>
      <c r="SB209" s="394"/>
      <c r="SC209" s="394"/>
      <c r="SD209" s="394"/>
      <c r="SE209" s="394"/>
      <c r="SF209" s="394"/>
      <c r="SG209" s="394"/>
      <c r="SH209" s="394"/>
      <c r="SI209" s="394"/>
      <c r="SJ209" s="394"/>
      <c r="SK209" s="394"/>
      <c r="SL209" s="394"/>
      <c r="SM209" s="394"/>
      <c r="SN209" s="394"/>
      <c r="SO209" s="394"/>
      <c r="SP209" s="394"/>
      <c r="SQ209" s="394"/>
      <c r="SR209" s="394"/>
      <c r="SS209" s="394"/>
      <c r="ST209" s="394"/>
      <c r="SU209" s="394"/>
      <c r="SV209" s="394"/>
      <c r="SW209" s="394"/>
      <c r="SX209" s="394"/>
      <c r="SY209" s="394"/>
      <c r="SZ209" s="394"/>
      <c r="TA209" s="394"/>
      <c r="TB209" s="394"/>
      <c r="TC209" s="394"/>
      <c r="TD209" s="394"/>
      <c r="TE209" s="394"/>
      <c r="TF209" s="394"/>
      <c r="TG209" s="394"/>
      <c r="TH209" s="394"/>
      <c r="TI209" s="394"/>
      <c r="TJ209" s="394"/>
      <c r="TK209" s="394"/>
      <c r="TL209" s="394"/>
      <c r="TM209" s="394"/>
      <c r="TN209" s="394"/>
      <c r="TO209" s="394"/>
      <c r="TP209" s="394"/>
      <c r="TQ209" s="394"/>
      <c r="TR209" s="394"/>
      <c r="TS209" s="394"/>
      <c r="TT209" s="394"/>
      <c r="TU209" s="394"/>
      <c r="TV209" s="394"/>
      <c r="TW209" s="394"/>
      <c r="TX209" s="394"/>
      <c r="TY209" s="394"/>
      <c r="TZ209" s="394"/>
      <c r="UA209" s="394"/>
      <c r="UB209" s="394"/>
      <c r="UC209" s="394"/>
      <c r="UD209" s="394"/>
      <c r="UE209" s="394"/>
      <c r="UF209" s="394"/>
      <c r="UG209" s="394"/>
      <c r="UH209" s="394"/>
      <c r="UI209" s="394"/>
      <c r="UJ209" s="394"/>
      <c r="UK209" s="394"/>
      <c r="UL209" s="394"/>
      <c r="UM209" s="394"/>
      <c r="UN209" s="394"/>
      <c r="UO209" s="394"/>
      <c r="UP209" s="394"/>
      <c r="UQ209" s="394"/>
      <c r="UR209" s="394"/>
      <c r="US209" s="394"/>
      <c r="UT209" s="394"/>
      <c r="UU209" s="394"/>
      <c r="UV209" s="394"/>
      <c r="UW209" s="394"/>
      <c r="UX209" s="394"/>
      <c r="UY209" s="394"/>
      <c r="UZ209" s="394"/>
      <c r="VA209" s="394"/>
      <c r="VB209" s="394"/>
      <c r="VC209" s="394"/>
      <c r="VD209" s="394"/>
      <c r="VE209" s="394"/>
      <c r="VF209" s="394"/>
      <c r="VG209" s="394"/>
      <c r="VH209" s="394"/>
      <c r="VI209" s="394"/>
      <c r="VJ209" s="394"/>
      <c r="VK209" s="394"/>
      <c r="VL209" s="394"/>
      <c r="VM209" s="394"/>
      <c r="VN209" s="394"/>
      <c r="VO209" s="394"/>
      <c r="VP209" s="394"/>
      <c r="VQ209" s="394"/>
      <c r="VR209" s="394"/>
      <c r="VS209" s="394"/>
      <c r="VT209" s="394"/>
      <c r="VU209" s="394"/>
      <c r="VV209" s="394"/>
      <c r="VW209" s="394"/>
      <c r="VX209" s="394"/>
      <c r="VY209" s="394"/>
      <c r="VZ209" s="394"/>
      <c r="WA209" s="394"/>
      <c r="WB209" s="394"/>
      <c r="WC209" s="394"/>
      <c r="WD209" s="394"/>
      <c r="WE209" s="394"/>
      <c r="WF209" s="394"/>
      <c r="WG209" s="394"/>
      <c r="WH209" s="394"/>
      <c r="WI209" s="394"/>
      <c r="WJ209" s="394"/>
      <c r="WK209" s="394"/>
      <c r="WL209" s="394"/>
      <c r="WM209" s="394"/>
      <c r="WN209" s="394"/>
      <c r="WO209" s="394"/>
      <c r="WP209" s="394"/>
      <c r="WQ209" s="394"/>
      <c r="WR209" s="394"/>
      <c r="WS209" s="394"/>
      <c r="WT209" s="394"/>
      <c r="WU209" s="394"/>
      <c r="WV209" s="394"/>
      <c r="WW209" s="394"/>
      <c r="WX209" s="394"/>
      <c r="WY209" s="394"/>
      <c r="WZ209" s="394"/>
      <c r="XA209" s="394"/>
      <c r="XB209" s="394"/>
      <c r="XC209" s="394"/>
      <c r="XD209" s="394"/>
      <c r="XE209" s="394"/>
      <c r="XF209" s="394"/>
      <c r="XG209" s="394"/>
      <c r="XH209" s="394"/>
      <c r="XI209" s="394"/>
      <c r="XJ209" s="394"/>
      <c r="XK209" s="394"/>
      <c r="XL209" s="394"/>
      <c r="XM209" s="394"/>
      <c r="XN209" s="394"/>
      <c r="XO209" s="394"/>
      <c r="XP209" s="394"/>
      <c r="XQ209" s="394"/>
      <c r="XR209" s="394"/>
      <c r="XS209" s="394"/>
      <c r="XT209" s="394"/>
      <c r="XU209" s="394"/>
      <c r="XV209" s="394"/>
      <c r="XW209" s="394"/>
      <c r="XX209" s="394"/>
      <c r="XY209" s="394"/>
      <c r="XZ209" s="394"/>
      <c r="YA209" s="394"/>
      <c r="YB209" s="394"/>
      <c r="YC209" s="394"/>
      <c r="YD209" s="394"/>
      <c r="YE209" s="394"/>
      <c r="YF209" s="394"/>
      <c r="YG209" s="394"/>
      <c r="YH209" s="394"/>
      <c r="YI209" s="394"/>
      <c r="YJ209" s="394"/>
      <c r="YK209" s="394"/>
      <c r="YL209" s="394"/>
      <c r="YM209" s="394"/>
      <c r="YN209" s="394"/>
      <c r="YO209" s="394"/>
      <c r="YP209" s="394"/>
      <c r="YQ209" s="394"/>
      <c r="YR209" s="394"/>
      <c r="YS209" s="394"/>
      <c r="YT209" s="394"/>
      <c r="YU209" s="394"/>
      <c r="YV209" s="394"/>
      <c r="YW209" s="394"/>
      <c r="YX209" s="394"/>
      <c r="YY209" s="394"/>
      <c r="YZ209" s="394"/>
      <c r="ZA209" s="394"/>
      <c r="ZB209" s="394"/>
      <c r="ZC209" s="394"/>
      <c r="ZD209" s="394"/>
      <c r="ZE209" s="394"/>
      <c r="ZF209" s="394"/>
      <c r="ZG209" s="394"/>
      <c r="ZH209" s="394"/>
      <c r="ZI209" s="394"/>
      <c r="ZJ209" s="394"/>
      <c r="ZK209" s="394"/>
      <c r="ZL209" s="394"/>
      <c r="ZM209" s="394"/>
      <c r="ZN209" s="394"/>
      <c r="ZO209" s="394"/>
      <c r="ZP209" s="394"/>
      <c r="ZQ209" s="394"/>
      <c r="ZR209" s="394"/>
      <c r="ZS209" s="394"/>
      <c r="ZT209" s="394"/>
      <c r="ZU209" s="394"/>
      <c r="ZV209" s="394"/>
      <c r="ZW209" s="394"/>
      <c r="ZX209" s="394"/>
      <c r="ZY209" s="394"/>
      <c r="ZZ209" s="394"/>
      <c r="AAA209" s="394"/>
      <c r="AAB209" s="394"/>
      <c r="AAC209" s="394"/>
      <c r="AAD209" s="394"/>
      <c r="AAE209" s="394"/>
      <c r="AAF209" s="394"/>
      <c r="AAG209" s="394"/>
      <c r="AAH209" s="394"/>
      <c r="AAI209" s="394"/>
      <c r="AAJ209" s="394"/>
      <c r="AAK209" s="394"/>
      <c r="AAL209" s="394"/>
      <c r="AAM209" s="394"/>
      <c r="AAN209" s="394"/>
      <c r="AAO209" s="394"/>
      <c r="AAP209" s="394"/>
      <c r="AAQ209" s="394"/>
      <c r="AAR209" s="394"/>
      <c r="AAS209" s="394"/>
      <c r="AAT209" s="394"/>
      <c r="AAU209" s="394"/>
      <c r="AAV209" s="394"/>
      <c r="AAW209" s="394"/>
      <c r="AAX209" s="394"/>
      <c r="AAY209" s="394"/>
      <c r="AAZ209" s="394"/>
      <c r="ABA209" s="394"/>
      <c r="ABB209" s="394"/>
      <c r="ABC209" s="394"/>
      <c r="ABD209" s="394"/>
      <c r="ABE209" s="394"/>
      <c r="ABF209" s="394"/>
      <c r="ABG209" s="394"/>
      <c r="ABH209" s="394"/>
      <c r="ABI209" s="394"/>
      <c r="ABJ209" s="394"/>
      <c r="ABK209" s="394"/>
      <c r="ABL209" s="394"/>
      <c r="ABM209" s="394"/>
      <c r="ABN209" s="394"/>
      <c r="ABO209" s="394"/>
      <c r="ABP209" s="394"/>
      <c r="ABQ209" s="394"/>
      <c r="ABR209" s="394"/>
      <c r="ABS209" s="394"/>
      <c r="ABT209" s="394"/>
      <c r="ABU209" s="394"/>
      <c r="ABV209" s="394"/>
      <c r="ABW209" s="394"/>
      <c r="ABX209" s="394"/>
      <c r="ABY209" s="394"/>
      <c r="ABZ209" s="394"/>
      <c r="ACA209" s="394"/>
      <c r="ACB209" s="394"/>
      <c r="ACC209" s="394"/>
      <c r="ACD209" s="394"/>
      <c r="ACE209" s="394"/>
      <c r="ACF209" s="394"/>
      <c r="ACG209" s="394"/>
      <c r="ACH209" s="394"/>
      <c r="ACI209" s="394"/>
      <c r="ACJ209" s="394"/>
      <c r="ACK209" s="394"/>
      <c r="ACL209" s="394"/>
      <c r="ACM209" s="394"/>
      <c r="ACN209" s="394"/>
      <c r="ACO209" s="394"/>
      <c r="ACP209" s="394"/>
      <c r="ACQ209" s="394"/>
      <c r="ACR209" s="394"/>
      <c r="ACS209" s="394"/>
      <c r="ACT209" s="394"/>
      <c r="ACU209" s="394"/>
      <c r="ACV209" s="394"/>
      <c r="ACW209" s="394"/>
      <c r="ACX209" s="394"/>
      <c r="ACY209" s="394"/>
      <c r="ACZ209" s="394"/>
      <c r="ADA209" s="394"/>
      <c r="ADB209" s="394"/>
      <c r="ADC209" s="394"/>
      <c r="ADD209" s="394"/>
      <c r="ADE209" s="394"/>
      <c r="ADF209" s="394"/>
      <c r="ADG209" s="394"/>
      <c r="ADH209" s="394"/>
      <c r="ADI209" s="394"/>
      <c r="ADJ209" s="394"/>
      <c r="ADK209" s="394"/>
      <c r="ADL209" s="394"/>
      <c r="ADM209" s="394"/>
      <c r="ADN209" s="394"/>
      <c r="ADO209" s="394"/>
      <c r="ADP209" s="394"/>
      <c r="ADQ209" s="394"/>
      <c r="ADR209" s="394"/>
      <c r="ADS209" s="394"/>
      <c r="ADT209" s="394"/>
      <c r="ADU209" s="394"/>
      <c r="ADV209" s="394"/>
      <c r="ADW209" s="394"/>
      <c r="ADX209" s="394"/>
      <c r="ADY209" s="394"/>
      <c r="ADZ209" s="394"/>
      <c r="AEA209" s="394"/>
      <c r="AEB209" s="394"/>
      <c r="AEC209" s="394"/>
      <c r="AED209" s="394"/>
      <c r="AEE209" s="394"/>
      <c r="AEF209" s="394"/>
      <c r="AEG209" s="394"/>
      <c r="AEH209" s="394"/>
      <c r="AEI209" s="394"/>
      <c r="AEJ209" s="394"/>
      <c r="AEK209" s="394"/>
      <c r="AEL209" s="394"/>
      <c r="AEM209" s="394"/>
      <c r="AEN209" s="394"/>
      <c r="AEO209" s="394"/>
      <c r="AEP209" s="394"/>
      <c r="AEQ209" s="394"/>
      <c r="AER209" s="394"/>
      <c r="AES209" s="394"/>
      <c r="AET209" s="394"/>
      <c r="AEU209" s="394"/>
      <c r="AEV209" s="394"/>
      <c r="AEW209" s="394"/>
      <c r="AEX209" s="394"/>
      <c r="AEY209" s="394"/>
      <c r="AEZ209" s="394"/>
      <c r="AFA209" s="394"/>
      <c r="AFB209" s="394"/>
      <c r="AFC209" s="394"/>
      <c r="AFD209" s="394"/>
      <c r="AFE209" s="394"/>
      <c r="AFF209" s="394"/>
      <c r="AFG209" s="394"/>
      <c r="AFH209" s="394"/>
      <c r="AFI209" s="394"/>
      <c r="AFJ209" s="394"/>
      <c r="AFK209" s="394"/>
      <c r="AFL209" s="394"/>
      <c r="AFM209" s="394"/>
      <c r="AFN209" s="394"/>
      <c r="AFO209" s="394"/>
      <c r="AFP209" s="394"/>
      <c r="AFQ209" s="394"/>
      <c r="AFR209" s="394"/>
      <c r="AFS209" s="394"/>
      <c r="AFT209" s="394"/>
      <c r="AFU209" s="394"/>
      <c r="AFV209" s="394"/>
      <c r="AFW209" s="394"/>
      <c r="AFX209" s="394"/>
      <c r="AFY209" s="394"/>
      <c r="AFZ209" s="394"/>
      <c r="AGA209" s="394"/>
      <c r="AGB209" s="394"/>
      <c r="AGC209" s="394"/>
      <c r="AGD209" s="394"/>
      <c r="AGE209" s="394"/>
      <c r="AGF209" s="394"/>
      <c r="AGG209" s="394"/>
      <c r="AGH209" s="394"/>
      <c r="AGI209" s="394"/>
      <c r="AGJ209" s="394"/>
      <c r="AGK209" s="394"/>
      <c r="AGL209" s="394"/>
      <c r="AGM209" s="394"/>
      <c r="AGN209" s="394"/>
      <c r="AGO209" s="394"/>
      <c r="AGP209" s="394"/>
      <c r="AGQ209" s="394"/>
      <c r="AGR209" s="394"/>
      <c r="AGS209" s="394"/>
      <c r="AGT209" s="394"/>
      <c r="AGU209" s="394"/>
      <c r="AGV209" s="394"/>
      <c r="AGW209" s="394"/>
      <c r="AGX209" s="394"/>
      <c r="AGY209" s="394"/>
      <c r="AGZ209" s="394"/>
      <c r="AHA209" s="394"/>
      <c r="AHB209" s="394"/>
      <c r="AHC209" s="394"/>
      <c r="AHD209" s="394"/>
      <c r="AHE209" s="394"/>
      <c r="AHF209" s="394"/>
      <c r="AHG209" s="394"/>
      <c r="AHH209" s="394"/>
      <c r="AHI209" s="394"/>
      <c r="AHJ209" s="394"/>
      <c r="AHK209" s="394"/>
      <c r="AHL209" s="394"/>
      <c r="AHM209" s="394"/>
      <c r="AHN209" s="394"/>
      <c r="AHO209" s="394"/>
      <c r="AHP209" s="394"/>
      <c r="AHQ209" s="394"/>
      <c r="AHR209" s="394"/>
      <c r="AHS209" s="394"/>
      <c r="AHT209" s="394"/>
      <c r="AHU209" s="394"/>
      <c r="AHV209" s="394"/>
      <c r="AHW209" s="394"/>
      <c r="AHX209" s="394"/>
      <c r="AHY209" s="394"/>
      <c r="AHZ209" s="394"/>
      <c r="AIA209" s="394"/>
      <c r="AIB209" s="394"/>
      <c r="AIC209" s="394"/>
      <c r="AID209" s="394"/>
      <c r="AIE209" s="394"/>
      <c r="AIF209" s="394"/>
      <c r="AIG209" s="394"/>
      <c r="AIH209" s="394"/>
      <c r="AII209" s="394"/>
      <c r="AIJ209" s="394"/>
      <c r="AIK209" s="394"/>
      <c r="AIL209" s="394"/>
      <c r="AIM209" s="394"/>
      <c r="AIN209" s="394"/>
      <c r="AIO209" s="394"/>
      <c r="AIP209" s="394"/>
      <c r="AIQ209" s="394"/>
      <c r="AIR209" s="394"/>
      <c r="AIS209" s="394"/>
      <c r="AIT209" s="394"/>
      <c r="AIU209" s="394"/>
      <c r="AIV209" s="394"/>
      <c r="AIW209" s="394"/>
      <c r="AIX209" s="394"/>
      <c r="AIY209" s="394"/>
      <c r="AIZ209" s="394"/>
      <c r="AJA209" s="394"/>
      <c r="AJB209" s="394"/>
      <c r="AJC209" s="394"/>
      <c r="AJD209" s="394"/>
      <c r="AJE209" s="394"/>
      <c r="AJF209" s="394"/>
      <c r="AJG209" s="394"/>
      <c r="AJH209" s="394"/>
      <c r="AJI209" s="394"/>
      <c r="AJJ209" s="394"/>
      <c r="AJK209" s="394"/>
      <c r="AJL209" s="394"/>
      <c r="AJM209" s="394"/>
      <c r="AJN209" s="394"/>
      <c r="AJO209" s="394"/>
      <c r="AJP209" s="394"/>
      <c r="AJQ209" s="394"/>
      <c r="AJR209" s="394"/>
      <c r="AJS209" s="394"/>
      <c r="AJT209" s="394"/>
      <c r="AJU209" s="394"/>
      <c r="AJV209" s="394"/>
      <c r="AJW209" s="394"/>
      <c r="AJX209" s="394"/>
      <c r="AJY209" s="394"/>
      <c r="AJZ209" s="394"/>
      <c r="AKA209" s="394"/>
      <c r="AKB209" s="394"/>
      <c r="AKC209" s="394"/>
      <c r="AKD209" s="394"/>
      <c r="AKE209" s="394"/>
      <c r="AKF209" s="394"/>
      <c r="AKG209" s="394"/>
      <c r="AKH209" s="394"/>
      <c r="AKI209" s="394"/>
      <c r="AKJ209" s="394"/>
      <c r="AKK209" s="394"/>
      <c r="AKL209" s="394"/>
      <c r="AKM209" s="394"/>
      <c r="AKN209" s="394"/>
      <c r="AKO209" s="394"/>
      <c r="AKP209" s="394"/>
      <c r="AKQ209" s="394"/>
      <c r="AKR209" s="394"/>
      <c r="AKS209" s="394"/>
      <c r="AKT209" s="394"/>
      <c r="AKU209" s="394"/>
      <c r="AKV209" s="394"/>
      <c r="AKW209" s="394"/>
      <c r="AKX209" s="394"/>
      <c r="AKY209" s="394"/>
      <c r="AKZ209" s="394"/>
      <c r="ALA209" s="394"/>
      <c r="ALB209" s="394"/>
      <c r="ALC209" s="394"/>
      <c r="ALD209" s="394"/>
      <c r="ALE209" s="394"/>
      <c r="ALF209" s="394"/>
      <c r="ALG209" s="394"/>
      <c r="ALH209" s="394"/>
      <c r="ALI209" s="394"/>
      <c r="ALJ209" s="394"/>
      <c r="ALK209" s="394"/>
      <c r="ALL209" s="394"/>
      <c r="ALM209" s="394"/>
      <c r="ALN209" s="394"/>
      <c r="ALO209" s="394"/>
      <c r="ALP209" s="394"/>
      <c r="ALQ209" s="394"/>
      <c r="ALR209" s="394"/>
      <c r="ALS209" s="394"/>
      <c r="ALT209" s="394"/>
      <c r="ALU209" s="394"/>
      <c r="ALV209" s="394"/>
      <c r="ALW209" s="394"/>
      <c r="ALX209" s="394"/>
      <c r="ALY209" s="394"/>
      <c r="ALZ209" s="394"/>
      <c r="AMA209" s="394"/>
      <c r="AMB209" s="394"/>
      <c r="AMC209" s="394"/>
      <c r="AMD209" s="394"/>
      <c r="AME209" s="394"/>
      <c r="AMF209" s="394"/>
      <c r="AMG209" s="394"/>
      <c r="AMH209" s="394"/>
      <c r="AMI209" s="394"/>
      <c r="AMJ209" s="394"/>
      <c r="AMK209" s="394"/>
      <c r="AML209" s="394"/>
      <c r="AMM209" s="394"/>
      <c r="AMN209" s="394"/>
      <c r="AMO209" s="394"/>
      <c r="AMP209" s="394"/>
      <c r="AMQ209" s="394"/>
      <c r="AMR209" s="394"/>
      <c r="AMS209" s="394"/>
      <c r="AMT209" s="394"/>
      <c r="AMU209" s="394"/>
      <c r="AMV209" s="394"/>
      <c r="AMW209" s="394"/>
      <c r="AMX209" s="394"/>
      <c r="AMY209" s="394"/>
      <c r="AMZ209" s="394"/>
      <c r="ANA209" s="394"/>
      <c r="ANB209" s="394"/>
      <c r="ANC209" s="394"/>
      <c r="AND209" s="394"/>
      <c r="ANE209" s="394"/>
      <c r="ANF209" s="394"/>
      <c r="ANG209" s="394"/>
      <c r="ANH209" s="394"/>
      <c r="ANI209" s="394"/>
      <c r="ANJ209" s="394"/>
      <c r="ANK209" s="394"/>
      <c r="ANL209" s="394"/>
      <c r="ANM209" s="394"/>
      <c r="ANN209" s="394"/>
      <c r="ANO209" s="394"/>
      <c r="ANP209" s="394"/>
      <c r="ANQ209" s="394"/>
      <c r="ANR209" s="394"/>
      <c r="ANS209" s="394"/>
      <c r="ANT209" s="394"/>
      <c r="ANU209" s="394"/>
      <c r="ANV209" s="394"/>
      <c r="ANW209" s="394"/>
      <c r="ANX209" s="394"/>
      <c r="ANY209" s="394"/>
      <c r="ANZ209" s="394"/>
      <c r="AOA209" s="394"/>
      <c r="AOB209" s="394"/>
      <c r="AOC209" s="394"/>
      <c r="AOD209" s="394"/>
      <c r="AOE209" s="394"/>
      <c r="AOF209" s="394"/>
      <c r="AOG209" s="394"/>
      <c r="AOH209" s="394"/>
      <c r="AOI209" s="394"/>
      <c r="AOJ209" s="394"/>
      <c r="AOK209" s="394"/>
      <c r="AOL209" s="394"/>
      <c r="AOM209" s="394"/>
      <c r="AON209" s="394"/>
      <c r="AOO209" s="394"/>
      <c r="AOP209" s="394"/>
      <c r="AOQ209" s="394"/>
      <c r="AOR209" s="394"/>
      <c r="AOS209" s="394"/>
      <c r="AOT209" s="394"/>
      <c r="AOU209" s="394"/>
      <c r="AOV209" s="394"/>
      <c r="AOW209" s="394"/>
      <c r="AOX209" s="394"/>
      <c r="AOY209" s="394"/>
      <c r="AOZ209" s="394"/>
      <c r="APA209" s="394"/>
      <c r="APB209" s="394"/>
      <c r="APC209" s="394"/>
      <c r="APD209" s="394"/>
      <c r="APE209" s="394"/>
      <c r="APF209" s="394"/>
      <c r="APG209" s="394"/>
      <c r="APH209" s="394"/>
      <c r="API209" s="394"/>
      <c r="APJ209" s="394"/>
      <c r="APK209" s="394"/>
      <c r="APL209" s="394"/>
      <c r="APM209" s="394"/>
      <c r="APN209" s="394"/>
      <c r="APO209" s="394"/>
      <c r="APP209" s="394"/>
      <c r="APQ209" s="394"/>
      <c r="APR209" s="394"/>
      <c r="APS209" s="394"/>
      <c r="APT209" s="394"/>
      <c r="APU209" s="394"/>
      <c r="APV209" s="394"/>
      <c r="APW209" s="394"/>
      <c r="APX209" s="394"/>
      <c r="APY209" s="394"/>
      <c r="APZ209" s="394"/>
      <c r="AQA209" s="394"/>
      <c r="AQB209" s="394"/>
      <c r="AQC209" s="394"/>
      <c r="AQD209" s="394"/>
      <c r="AQE209" s="394"/>
      <c r="AQF209" s="394"/>
      <c r="AQG209" s="394"/>
      <c r="AQH209" s="394"/>
      <c r="AQI209" s="394"/>
      <c r="AQJ209" s="394"/>
      <c r="AQK209" s="394"/>
      <c r="AQL209" s="394"/>
      <c r="AQM209" s="394"/>
      <c r="AQN209" s="394"/>
      <c r="AQO209" s="394"/>
      <c r="AQP209" s="394"/>
      <c r="AQQ209" s="394"/>
      <c r="AQR209" s="394"/>
      <c r="AQS209" s="394"/>
      <c r="AQT209" s="394"/>
      <c r="AQU209" s="394"/>
      <c r="AQV209" s="394"/>
      <c r="AQW209" s="394"/>
      <c r="AQX209" s="394"/>
      <c r="AQY209" s="394"/>
      <c r="AQZ209" s="394"/>
      <c r="ARA209" s="394"/>
      <c r="ARB209" s="394"/>
      <c r="ARC209" s="394"/>
      <c r="ARD209" s="394"/>
      <c r="ARE209" s="394"/>
      <c r="ARF209" s="394"/>
      <c r="ARG209" s="394"/>
      <c r="ARH209" s="394"/>
      <c r="ARI209" s="394"/>
      <c r="ARJ209" s="394"/>
      <c r="ARK209" s="394"/>
      <c r="ARL209" s="394"/>
      <c r="ARM209" s="394"/>
      <c r="ARN209" s="394"/>
      <c r="ARO209" s="394"/>
      <c r="ARP209" s="394"/>
      <c r="ARQ209" s="394"/>
      <c r="ARR209" s="394"/>
      <c r="ARS209" s="394"/>
      <c r="ART209" s="394"/>
      <c r="ARU209" s="394"/>
      <c r="ARV209" s="394"/>
      <c r="ARW209" s="394"/>
      <c r="ARX209" s="394"/>
      <c r="ARY209" s="394"/>
      <c r="ARZ209" s="394"/>
      <c r="ASA209" s="394"/>
      <c r="ASB209" s="394"/>
      <c r="ASC209" s="394"/>
      <c r="ASD209" s="394"/>
      <c r="ASE209" s="394"/>
      <c r="ASF209" s="394"/>
      <c r="ASG209" s="394"/>
      <c r="ASH209" s="394"/>
      <c r="ASI209" s="394"/>
      <c r="ASJ209" s="394"/>
      <c r="ASK209" s="394"/>
      <c r="ASL209" s="394"/>
      <c r="ASM209" s="394"/>
      <c r="ASN209" s="394"/>
      <c r="ASO209" s="394"/>
      <c r="ASP209" s="394"/>
      <c r="ASQ209" s="394"/>
      <c r="ASR209" s="394"/>
      <c r="ASS209" s="394"/>
      <c r="AST209" s="394"/>
      <c r="ASU209" s="394"/>
      <c r="ASV209" s="394"/>
      <c r="ASW209" s="394"/>
      <c r="ASX209" s="394"/>
      <c r="ASY209" s="394"/>
      <c r="ASZ209" s="394"/>
      <c r="ATA209" s="394"/>
      <c r="ATB209" s="394"/>
      <c r="ATC209" s="394"/>
      <c r="ATD209" s="394"/>
      <c r="ATE209" s="394"/>
      <c r="ATF209" s="394"/>
      <c r="ATG209" s="394"/>
      <c r="ATH209" s="394"/>
      <c r="ATI209" s="394"/>
      <c r="ATJ209" s="394"/>
      <c r="ATK209" s="394"/>
      <c r="ATL209" s="394"/>
      <c r="ATM209" s="394"/>
      <c r="ATN209" s="394"/>
      <c r="ATO209" s="394"/>
      <c r="ATP209" s="394"/>
      <c r="ATQ209" s="394"/>
      <c r="ATR209" s="394"/>
      <c r="ATS209" s="394"/>
      <c r="ATT209" s="394"/>
      <c r="ATU209" s="394"/>
      <c r="ATV209" s="394"/>
      <c r="ATW209" s="394"/>
      <c r="ATX209" s="394"/>
      <c r="ATY209" s="394"/>
      <c r="ATZ209" s="394"/>
      <c r="AUA209" s="394"/>
      <c r="AUB209" s="394"/>
      <c r="AUC209" s="394"/>
      <c r="AUD209" s="394"/>
      <c r="AUE209" s="394"/>
      <c r="AUF209" s="394"/>
      <c r="AUG209" s="394"/>
      <c r="AUH209" s="394"/>
      <c r="AUI209" s="394"/>
      <c r="AUJ209" s="394"/>
      <c r="AUK209" s="394"/>
      <c r="AUL209" s="394"/>
      <c r="AUM209" s="394"/>
      <c r="AUN209" s="394"/>
      <c r="AUO209" s="394"/>
      <c r="AUP209" s="394"/>
      <c r="AUQ209" s="394"/>
      <c r="AUR209" s="394"/>
      <c r="AUS209" s="394"/>
      <c r="AUT209" s="394"/>
      <c r="AUU209" s="394"/>
      <c r="AUV209" s="394"/>
      <c r="AUW209" s="394"/>
      <c r="AUX209" s="394"/>
      <c r="AUY209" s="394"/>
      <c r="AUZ209" s="394"/>
      <c r="AVA209" s="394"/>
      <c r="AVB209" s="394"/>
      <c r="AVC209" s="394"/>
      <c r="AVD209" s="394"/>
      <c r="AVE209" s="394"/>
      <c r="AVF209" s="394"/>
      <c r="AVG209" s="394"/>
      <c r="AVH209" s="394"/>
      <c r="AVI209" s="394"/>
      <c r="AVJ209" s="394"/>
      <c r="AVK209" s="394"/>
      <c r="AVL209" s="394"/>
      <c r="AVM209" s="394"/>
      <c r="AVN209" s="394"/>
      <c r="AVO209" s="394"/>
      <c r="AVP209" s="394"/>
      <c r="AVQ209" s="394"/>
      <c r="AVR209" s="394"/>
      <c r="AVS209" s="394"/>
      <c r="AVT209" s="394"/>
      <c r="AVU209" s="394"/>
      <c r="AVV209" s="394"/>
      <c r="AVW209" s="394"/>
      <c r="AVX209" s="394"/>
      <c r="AVY209" s="394"/>
      <c r="AVZ209" s="394"/>
      <c r="AWA209" s="394"/>
      <c r="AWB209" s="394"/>
      <c r="AWC209" s="394"/>
      <c r="AWD209" s="394"/>
      <c r="AWE209" s="394"/>
      <c r="AWF209" s="394"/>
      <c r="AWG209" s="394"/>
      <c r="AWH209" s="394"/>
      <c r="AWI209" s="394"/>
      <c r="AWJ209" s="394"/>
      <c r="AWK209" s="394"/>
      <c r="AWL209" s="394"/>
      <c r="AWM209" s="394"/>
      <c r="AWN209" s="394"/>
      <c r="AWO209" s="394"/>
      <c r="AWP209" s="394"/>
      <c r="AWQ209" s="394"/>
      <c r="AWR209" s="394"/>
      <c r="AWS209" s="394"/>
      <c r="AWT209" s="394"/>
      <c r="AWU209" s="394"/>
      <c r="AWV209" s="394"/>
      <c r="AWW209" s="394"/>
      <c r="AWX209" s="394"/>
      <c r="AWY209" s="394"/>
      <c r="AWZ209" s="394"/>
      <c r="AXA209" s="394"/>
      <c r="AXB209" s="394"/>
      <c r="AXC209" s="394"/>
      <c r="AXD209" s="394"/>
      <c r="AXE209" s="394"/>
      <c r="AXF209" s="394"/>
      <c r="AXG209" s="394"/>
      <c r="AXH209" s="394"/>
      <c r="AXI209" s="394"/>
      <c r="AXJ209" s="394"/>
      <c r="AXK209" s="394"/>
      <c r="AXL209" s="394"/>
      <c r="AXM209" s="394"/>
      <c r="AXN209" s="394"/>
      <c r="AXO209" s="394"/>
      <c r="AXP209" s="394"/>
      <c r="AXQ209" s="394"/>
      <c r="AXR209" s="394"/>
      <c r="AXS209" s="394"/>
      <c r="AXT209" s="394"/>
      <c r="AXU209" s="394"/>
      <c r="AXV209" s="394"/>
      <c r="AXW209" s="394"/>
      <c r="AXX209" s="394"/>
      <c r="AXY209" s="394"/>
      <c r="AXZ209" s="394"/>
      <c r="AYA209" s="394"/>
      <c r="AYB209" s="394"/>
      <c r="AYC209" s="394"/>
      <c r="AYD209" s="394"/>
      <c r="AYE209" s="394"/>
      <c r="AYF209" s="394"/>
      <c r="AYG209" s="394"/>
      <c r="AYH209" s="394"/>
      <c r="AYI209" s="394"/>
      <c r="AYJ209" s="394"/>
      <c r="AYK209" s="394"/>
      <c r="AYL209" s="394"/>
      <c r="AYM209" s="394"/>
      <c r="AYN209" s="394"/>
      <c r="AYO209" s="394"/>
      <c r="AYP209" s="394"/>
      <c r="AYQ209" s="394"/>
      <c r="AYR209" s="394"/>
      <c r="AYS209" s="394"/>
      <c r="AYT209" s="394"/>
      <c r="AYU209" s="394"/>
      <c r="AYV209" s="394"/>
      <c r="AYW209" s="394"/>
      <c r="AYX209" s="394"/>
      <c r="AYY209" s="394"/>
      <c r="AYZ209" s="394"/>
      <c r="AZA209" s="394"/>
      <c r="AZB209" s="394"/>
      <c r="AZC209" s="394"/>
      <c r="AZD209" s="394"/>
      <c r="AZE209" s="394"/>
      <c r="AZF209" s="394"/>
      <c r="AZG209" s="394"/>
      <c r="AZH209" s="394"/>
      <c r="AZI209" s="394"/>
      <c r="AZJ209" s="394"/>
      <c r="AZK209" s="394"/>
      <c r="AZL209" s="394"/>
      <c r="AZM209" s="394"/>
      <c r="AZN209" s="394"/>
      <c r="AZO209" s="394"/>
      <c r="AZP209" s="394"/>
      <c r="AZQ209" s="394"/>
      <c r="AZR209" s="394"/>
      <c r="AZS209" s="394"/>
      <c r="AZT209" s="394"/>
      <c r="AZU209" s="394"/>
      <c r="AZV209" s="394"/>
      <c r="AZW209" s="394"/>
      <c r="AZX209" s="394"/>
      <c r="AZY209" s="394"/>
      <c r="AZZ209" s="394"/>
      <c r="BAA209" s="394"/>
      <c r="BAB209" s="394"/>
      <c r="BAC209" s="394"/>
      <c r="BAD209" s="394"/>
      <c r="BAE209" s="394"/>
      <c r="BAF209" s="394"/>
      <c r="BAG209" s="394"/>
      <c r="BAH209" s="394"/>
      <c r="BAI209" s="394"/>
      <c r="BAJ209" s="394"/>
      <c r="BAK209" s="394"/>
      <c r="BAL209" s="394"/>
      <c r="BAM209" s="394"/>
      <c r="BAN209" s="394"/>
      <c r="BAO209" s="394"/>
      <c r="BAP209" s="394"/>
      <c r="BAQ209" s="394"/>
      <c r="BAR209" s="394"/>
      <c r="BAS209" s="394"/>
      <c r="BAT209" s="394"/>
      <c r="BAU209" s="394"/>
      <c r="BAV209" s="394"/>
      <c r="BAW209" s="394"/>
      <c r="BAX209" s="394"/>
      <c r="BAY209" s="394"/>
      <c r="BAZ209" s="394"/>
      <c r="BBA209" s="394"/>
      <c r="BBB209" s="394"/>
      <c r="BBC209" s="394"/>
      <c r="BBD209" s="394"/>
      <c r="BBE209" s="394"/>
      <c r="BBF209" s="394"/>
      <c r="BBG209" s="394"/>
      <c r="BBH209" s="394"/>
      <c r="BBI209" s="394"/>
      <c r="BBJ209" s="394"/>
      <c r="BBK209" s="394"/>
      <c r="BBL209" s="394"/>
      <c r="BBM209" s="394"/>
      <c r="BBN209" s="394"/>
      <c r="BBO209" s="394"/>
      <c r="BBP209" s="394"/>
      <c r="BBQ209" s="394"/>
      <c r="BBR209" s="394"/>
      <c r="BBS209" s="394"/>
      <c r="BBT209" s="394"/>
      <c r="BBU209" s="394"/>
      <c r="BBV209" s="394"/>
      <c r="BBW209" s="394"/>
      <c r="BBX209" s="394"/>
      <c r="BBY209" s="394"/>
      <c r="BBZ209" s="394"/>
      <c r="BCA209" s="394"/>
      <c r="BCB209" s="394"/>
      <c r="BCC209" s="394"/>
      <c r="BCD209" s="394"/>
      <c r="BCE209" s="394"/>
      <c r="BCF209" s="394"/>
      <c r="BCG209" s="394"/>
      <c r="BCH209" s="394"/>
      <c r="BCI209" s="394"/>
      <c r="BCJ209" s="394"/>
      <c r="BCK209" s="394"/>
      <c r="BCL209" s="394"/>
      <c r="BCM209" s="394"/>
      <c r="BCN209" s="394"/>
      <c r="BCO209" s="394"/>
      <c r="BCP209" s="394"/>
      <c r="BCQ209" s="394"/>
      <c r="BCR209" s="394"/>
      <c r="BCS209" s="394"/>
      <c r="BCT209" s="394"/>
      <c r="BCU209" s="394"/>
      <c r="BCV209" s="394"/>
      <c r="BCW209" s="394"/>
      <c r="BCX209" s="394"/>
      <c r="BCY209" s="394"/>
      <c r="BCZ209" s="394"/>
      <c r="BDA209" s="394"/>
      <c r="BDB209" s="394"/>
      <c r="BDC209" s="394"/>
      <c r="BDD209" s="394"/>
      <c r="BDE209" s="394"/>
      <c r="BDF209" s="394"/>
      <c r="BDG209" s="394"/>
      <c r="BDH209" s="394"/>
      <c r="BDI209" s="394"/>
      <c r="BDJ209" s="394"/>
      <c r="BDK209" s="394"/>
      <c r="BDL209" s="394"/>
      <c r="BDM209" s="394"/>
      <c r="BDN209" s="394"/>
      <c r="BDO209" s="394"/>
      <c r="BDP209" s="394"/>
      <c r="BDQ209" s="394"/>
      <c r="BDR209" s="394"/>
      <c r="BDS209" s="394"/>
      <c r="BDT209" s="394"/>
      <c r="BDU209" s="394"/>
      <c r="BDV209" s="394"/>
      <c r="BDW209" s="394"/>
      <c r="BDX209" s="394"/>
      <c r="BDY209" s="394"/>
      <c r="BDZ209" s="394"/>
      <c r="BEA209" s="394"/>
      <c r="BEB209" s="394"/>
      <c r="BEC209" s="394"/>
      <c r="BED209" s="394"/>
      <c r="BEE209" s="394"/>
      <c r="BEF209" s="394"/>
      <c r="BEG209" s="394"/>
      <c r="BEH209" s="394"/>
      <c r="BEI209" s="394"/>
      <c r="BEJ209" s="394"/>
      <c r="BEK209" s="394"/>
      <c r="BEL209" s="394"/>
      <c r="BEM209" s="394"/>
      <c r="BEN209" s="394"/>
      <c r="BEO209" s="394"/>
      <c r="BEP209" s="394"/>
      <c r="BEQ209" s="394"/>
      <c r="BER209" s="394"/>
      <c r="BES209" s="394"/>
      <c r="BET209" s="394"/>
      <c r="BEU209" s="394"/>
      <c r="BEV209" s="394"/>
      <c r="BEW209" s="394"/>
      <c r="BEX209" s="394"/>
      <c r="BEY209" s="394"/>
      <c r="BEZ209" s="394"/>
      <c r="BFA209" s="394"/>
      <c r="BFB209" s="394"/>
      <c r="BFC209" s="394"/>
      <c r="BFD209" s="394"/>
      <c r="BFE209" s="394"/>
      <c r="BFF209" s="394"/>
      <c r="BFG209" s="394"/>
      <c r="BFH209" s="394"/>
      <c r="BFI209" s="394"/>
      <c r="BFJ209" s="394"/>
      <c r="BFK209" s="394"/>
      <c r="BFL209" s="394"/>
      <c r="BFM209" s="394"/>
      <c r="BFN209" s="394"/>
      <c r="BFO209" s="394"/>
      <c r="BFP209" s="394"/>
      <c r="BFQ209" s="394"/>
      <c r="BFR209" s="394"/>
      <c r="BFS209" s="394"/>
      <c r="BFT209" s="394"/>
      <c r="BFU209" s="394"/>
      <c r="BFV209" s="394"/>
      <c r="BFW209" s="394"/>
      <c r="BFX209" s="394"/>
      <c r="BFY209" s="394"/>
      <c r="BFZ209" s="394"/>
      <c r="BGA209" s="394"/>
      <c r="BGB209" s="394"/>
      <c r="BGC209" s="394"/>
      <c r="BGD209" s="394"/>
      <c r="BGE209" s="394"/>
      <c r="BGF209" s="394"/>
      <c r="BGG209" s="394"/>
      <c r="BGH209" s="394"/>
      <c r="BGI209" s="394"/>
      <c r="BGJ209" s="394"/>
      <c r="BGK209" s="394"/>
      <c r="BGL209" s="394"/>
      <c r="BGM209" s="394"/>
      <c r="BGN209" s="394"/>
      <c r="BGO209" s="394"/>
      <c r="BGP209" s="394"/>
      <c r="BGQ209" s="394"/>
      <c r="BGR209" s="394"/>
      <c r="BGS209" s="394"/>
      <c r="BGT209" s="394"/>
      <c r="BGU209" s="394"/>
      <c r="BGV209" s="394"/>
      <c r="BGW209" s="394"/>
      <c r="BGX209" s="394"/>
      <c r="BGY209" s="394"/>
      <c r="BGZ209" s="394"/>
      <c r="BHA209" s="394"/>
      <c r="BHB209" s="394"/>
      <c r="BHC209" s="394"/>
      <c r="BHD209" s="394"/>
      <c r="BHE209" s="394"/>
      <c r="BHF209" s="394"/>
      <c r="BHG209" s="394"/>
      <c r="BHH209" s="394"/>
      <c r="BHI209" s="394"/>
      <c r="BHJ209" s="394"/>
      <c r="BHK209" s="394"/>
      <c r="BHL209" s="394"/>
      <c r="BHM209" s="394"/>
      <c r="BHN209" s="394"/>
      <c r="BHO209" s="394"/>
      <c r="BHP209" s="394"/>
      <c r="BHQ209" s="394"/>
      <c r="BHR209" s="394"/>
      <c r="BHS209" s="394"/>
      <c r="BHT209" s="394"/>
      <c r="BHU209" s="394"/>
      <c r="BHV209" s="394"/>
      <c r="BHW209" s="394"/>
      <c r="BHX209" s="394"/>
      <c r="BHY209" s="394"/>
      <c r="BHZ209" s="394"/>
      <c r="BIA209" s="394"/>
      <c r="BIB209" s="394"/>
      <c r="BIC209" s="394"/>
      <c r="BID209" s="394"/>
      <c r="BIE209" s="394"/>
      <c r="BIF209" s="394"/>
      <c r="BIG209" s="394"/>
      <c r="BIH209" s="394"/>
      <c r="BII209" s="394"/>
      <c r="BIJ209" s="394"/>
      <c r="BIK209" s="394"/>
      <c r="BIL209" s="394"/>
      <c r="BIM209" s="394"/>
      <c r="BIN209" s="394"/>
      <c r="BIO209" s="394"/>
      <c r="BIP209" s="394"/>
      <c r="BIQ209" s="394"/>
      <c r="BIR209" s="394"/>
      <c r="BIS209" s="394"/>
      <c r="BIT209" s="394"/>
      <c r="BIU209" s="394"/>
      <c r="BIV209" s="394"/>
      <c r="BIW209" s="394"/>
      <c r="BIX209" s="394"/>
      <c r="BIY209" s="394"/>
      <c r="BIZ209" s="394"/>
      <c r="BJA209" s="394"/>
      <c r="BJB209" s="394"/>
      <c r="BJC209" s="394"/>
      <c r="BJD209" s="394"/>
      <c r="BJE209" s="394"/>
      <c r="BJF209" s="394"/>
      <c r="BJG209" s="394"/>
      <c r="BJH209" s="394"/>
      <c r="BJI209" s="394"/>
      <c r="BJJ209" s="394"/>
      <c r="BJK209" s="394"/>
      <c r="BJL209" s="394"/>
      <c r="BJM209" s="394"/>
      <c r="BJN209" s="394"/>
      <c r="BJO209" s="394"/>
      <c r="BJP209" s="394"/>
      <c r="BJQ209" s="394"/>
      <c r="BJR209" s="394"/>
      <c r="BJS209" s="394"/>
      <c r="BJT209" s="394"/>
      <c r="BJU209" s="394"/>
      <c r="BJV209" s="394"/>
      <c r="BJW209" s="394"/>
      <c r="BJX209" s="394"/>
      <c r="BJY209" s="394"/>
      <c r="BJZ209" s="394"/>
      <c r="BKA209" s="394"/>
      <c r="BKB209" s="394"/>
      <c r="BKC209" s="394"/>
      <c r="BKD209" s="394"/>
      <c r="BKE209" s="394"/>
      <c r="BKF209" s="394"/>
      <c r="BKG209" s="394"/>
      <c r="BKH209" s="394"/>
      <c r="BKI209" s="394"/>
      <c r="BKJ209" s="394"/>
      <c r="BKK209" s="394"/>
      <c r="BKL209" s="394"/>
      <c r="BKM209" s="394"/>
      <c r="BKN209" s="394"/>
      <c r="BKO209" s="394"/>
      <c r="BKP209" s="394"/>
      <c r="BKQ209" s="394"/>
      <c r="BKR209" s="394"/>
      <c r="BKS209" s="394"/>
      <c r="BKT209" s="394"/>
      <c r="BKU209" s="394"/>
      <c r="BKV209" s="394"/>
      <c r="BKW209" s="394"/>
      <c r="BKX209" s="394"/>
      <c r="BKY209" s="394"/>
      <c r="BKZ209" s="394"/>
      <c r="BLA209" s="394"/>
      <c r="BLB209" s="394"/>
      <c r="BLC209" s="394"/>
      <c r="BLD209" s="394"/>
      <c r="BLE209" s="394"/>
      <c r="BLF209" s="394"/>
      <c r="BLG209" s="394"/>
      <c r="BLH209" s="394"/>
      <c r="BLI209" s="394"/>
      <c r="BLJ209" s="394"/>
      <c r="BLK209" s="394"/>
      <c r="BLL209" s="394"/>
      <c r="BLM209" s="394"/>
      <c r="BLN209" s="394"/>
      <c r="BLO209" s="394"/>
      <c r="BLP209" s="394"/>
      <c r="BLQ209" s="394"/>
      <c r="BLR209" s="394"/>
      <c r="BLS209" s="394"/>
      <c r="BLT209" s="394"/>
      <c r="BLU209" s="394"/>
      <c r="BLV209" s="394"/>
      <c r="BLW209" s="394"/>
      <c r="BLX209" s="394"/>
      <c r="BLY209" s="394"/>
      <c r="BLZ209" s="394"/>
      <c r="BMA209" s="394"/>
      <c r="BMB209" s="394"/>
      <c r="BMC209" s="394"/>
      <c r="BMD209" s="394"/>
      <c r="BME209" s="394"/>
      <c r="BMF209" s="394"/>
      <c r="BMG209" s="394"/>
      <c r="BMH209" s="394"/>
      <c r="BMI209" s="394"/>
      <c r="BMJ209" s="394"/>
      <c r="BMK209" s="394"/>
      <c r="BML209" s="394"/>
      <c r="BMM209" s="394"/>
      <c r="BMN209" s="394"/>
      <c r="BMO209" s="394"/>
      <c r="BMP209" s="394"/>
      <c r="BMQ209" s="394"/>
      <c r="BMR209" s="394"/>
      <c r="BMS209" s="394"/>
      <c r="BMT209" s="394"/>
      <c r="BMU209" s="394"/>
      <c r="BMV209" s="394"/>
      <c r="BMW209" s="394"/>
      <c r="BMX209" s="394"/>
      <c r="BMY209" s="394"/>
      <c r="BMZ209" s="394"/>
      <c r="BNA209" s="394"/>
      <c r="BNB209" s="394"/>
      <c r="BNC209" s="394"/>
      <c r="BND209" s="394"/>
      <c r="BNE209" s="394"/>
      <c r="BNF209" s="394"/>
      <c r="BNG209" s="394"/>
      <c r="BNH209" s="394"/>
      <c r="BNI209" s="394"/>
      <c r="BNJ209" s="394"/>
      <c r="BNK209" s="394"/>
      <c r="BNL209" s="394"/>
      <c r="BNM209" s="394"/>
      <c r="BNN209" s="394"/>
      <c r="BNO209" s="394"/>
      <c r="BNP209" s="394"/>
      <c r="BNQ209" s="394"/>
      <c r="BNR209" s="394"/>
      <c r="BNS209" s="394"/>
      <c r="BNT209" s="394"/>
      <c r="BNU209" s="394"/>
      <c r="BNV209" s="394"/>
      <c r="BNW209" s="394"/>
      <c r="BNX209" s="394"/>
      <c r="BNY209" s="394"/>
      <c r="BNZ209" s="394"/>
      <c r="BOA209" s="394"/>
      <c r="BOB209" s="394"/>
      <c r="BOC209" s="394"/>
      <c r="BOD209" s="394"/>
      <c r="BOE209" s="394"/>
      <c r="BOF209" s="394"/>
      <c r="BOG209" s="394"/>
      <c r="BOH209" s="394"/>
      <c r="BOI209" s="394"/>
      <c r="BOJ209" s="394"/>
      <c r="BOK209" s="394"/>
      <c r="BOL209" s="394"/>
      <c r="BOM209" s="394"/>
      <c r="BON209" s="394"/>
      <c r="BOO209" s="394"/>
      <c r="BOP209" s="394"/>
      <c r="BOQ209" s="394"/>
      <c r="BOR209" s="394"/>
      <c r="BOS209" s="394"/>
      <c r="BOT209" s="394"/>
      <c r="BOU209" s="394"/>
      <c r="BOV209" s="394"/>
      <c r="BOW209" s="394"/>
      <c r="BOX209" s="394"/>
      <c r="BOY209" s="394"/>
      <c r="BOZ209" s="394"/>
      <c r="BPA209" s="394"/>
      <c r="BPB209" s="394"/>
      <c r="BPC209" s="394"/>
      <c r="BPD209" s="394"/>
      <c r="BPE209" s="394"/>
      <c r="BPF209" s="394"/>
      <c r="BPG209" s="394"/>
      <c r="BPH209" s="394"/>
      <c r="BPI209" s="394"/>
      <c r="BPJ209" s="394"/>
      <c r="BPK209" s="394"/>
      <c r="BPL209" s="394"/>
      <c r="BPM209" s="394"/>
      <c r="BPN209" s="394"/>
      <c r="BPO209" s="394"/>
      <c r="BPP209" s="394"/>
      <c r="BPQ209" s="394"/>
      <c r="BPR209" s="394"/>
      <c r="BPS209" s="394"/>
      <c r="BPT209" s="394"/>
      <c r="BPU209" s="394"/>
      <c r="BPV209" s="394"/>
      <c r="BPW209" s="394"/>
      <c r="BPX209" s="394"/>
      <c r="BPY209" s="394"/>
      <c r="BPZ209" s="394"/>
      <c r="BQA209" s="394"/>
      <c r="BQB209" s="394"/>
      <c r="BQC209" s="394"/>
      <c r="BQD209" s="394"/>
      <c r="BQE209" s="394"/>
      <c r="BQF209" s="394"/>
      <c r="BQG209" s="394"/>
      <c r="BQH209" s="394"/>
      <c r="BQI209" s="394"/>
      <c r="BQJ209" s="394"/>
      <c r="BQK209" s="394"/>
      <c r="BQL209" s="394"/>
      <c r="BQM209" s="394"/>
      <c r="BQN209" s="394"/>
      <c r="BQO209" s="394"/>
      <c r="BQP209" s="394"/>
      <c r="BQQ209" s="394"/>
      <c r="BQR209" s="394"/>
      <c r="BQS209" s="394"/>
      <c r="BQT209" s="394"/>
      <c r="BQU209" s="394"/>
      <c r="BQV209" s="394"/>
      <c r="BQW209" s="394"/>
      <c r="BQX209" s="394"/>
      <c r="BQY209" s="394"/>
      <c r="BQZ209" s="394"/>
      <c r="BRA209" s="394"/>
      <c r="BRB209" s="394"/>
      <c r="BRC209" s="394"/>
      <c r="BRD209" s="394"/>
      <c r="BRE209" s="394"/>
      <c r="BRF209" s="394"/>
      <c r="BRG209" s="394"/>
      <c r="BRH209" s="394"/>
      <c r="BRI209" s="394"/>
      <c r="BRJ209" s="394"/>
      <c r="BRK209" s="394"/>
      <c r="BRL209" s="394"/>
      <c r="BRM209" s="394"/>
      <c r="BRN209" s="394"/>
      <c r="BRO209" s="394"/>
      <c r="BRP209" s="394"/>
      <c r="BRQ209" s="394"/>
      <c r="BRR209" s="394"/>
      <c r="BRS209" s="394"/>
      <c r="BRT209" s="394"/>
      <c r="BRU209" s="394"/>
      <c r="BRV209" s="394"/>
      <c r="BRW209" s="394"/>
      <c r="BRX209" s="394"/>
      <c r="BRY209" s="394"/>
      <c r="BRZ209" s="394"/>
      <c r="BSA209" s="394"/>
      <c r="BSB209" s="394"/>
      <c r="BSC209" s="394"/>
      <c r="BSD209" s="394"/>
      <c r="BSE209" s="394"/>
      <c r="BSF209" s="394"/>
      <c r="BSG209" s="394"/>
      <c r="BSH209" s="394"/>
      <c r="BSI209" s="394"/>
      <c r="BSJ209" s="394"/>
      <c r="BSK209" s="394"/>
      <c r="BSL209" s="394"/>
      <c r="BSM209" s="394"/>
      <c r="BSN209" s="394"/>
      <c r="BSO209" s="394"/>
      <c r="BSP209" s="394"/>
      <c r="BSQ209" s="394"/>
      <c r="BSR209" s="394"/>
      <c r="BSS209" s="394"/>
      <c r="BST209" s="394"/>
      <c r="BSU209" s="394"/>
      <c r="BSV209" s="394"/>
      <c r="BSW209" s="394"/>
      <c r="BSX209" s="394"/>
      <c r="BSY209" s="394"/>
      <c r="BSZ209" s="394"/>
      <c r="BTA209" s="394"/>
      <c r="BTB209" s="394"/>
      <c r="BTC209" s="394"/>
      <c r="BTD209" s="394"/>
      <c r="BTE209" s="394"/>
      <c r="BTF209" s="394"/>
      <c r="BTG209" s="394"/>
      <c r="BTH209" s="394"/>
      <c r="BTI209" s="394"/>
    </row>
    <row r="210" spans="1:1881" s="391" customFormat="1" ht="53.25" customHeight="1" x14ac:dyDescent="0.25">
      <c r="A210" s="188">
        <v>599</v>
      </c>
      <c r="B210" s="150" t="s">
        <v>66</v>
      </c>
      <c r="C210" s="150" t="s">
        <v>601</v>
      </c>
      <c r="D210" s="175" t="s">
        <v>781</v>
      </c>
      <c r="E210" s="32" t="e">
        <f>HLOOKUP($D$2,'2019 Data(H)'!$C$1:$CP$300,259,FALSE)</f>
        <v>#N/A</v>
      </c>
      <c r="F210" s="589"/>
      <c r="G210" s="561" t="str">
        <f>IF(ISBLANK(F210),"Please do not leave blank","")</f>
        <v>Please do not leave blank</v>
      </c>
      <c r="H210" s="70">
        <f>IF(F210&lt;0,"Error: Enter as positive.",)</f>
        <v>0</v>
      </c>
      <c r="I210" s="31"/>
      <c r="J210" s="359"/>
      <c r="K210" s="394"/>
      <c r="L210" s="394"/>
      <c r="M210" s="394"/>
      <c r="N210"/>
      <c r="O210" s="394"/>
      <c r="P210" s="394"/>
      <c r="Q210" s="394"/>
      <c r="R210" s="394"/>
      <c r="S210" s="394"/>
      <c r="T210" s="394"/>
      <c r="U210" s="394"/>
      <c r="V210" s="394"/>
      <c r="W210" s="394"/>
      <c r="X210" s="394"/>
      <c r="Y210" s="394"/>
      <c r="Z210" s="394"/>
      <c r="AA210" s="394"/>
      <c r="AB210" s="394"/>
      <c r="AC210" s="394"/>
      <c r="AD210" s="394"/>
      <c r="AE210" s="394"/>
      <c r="AF210" s="394"/>
      <c r="AG210" s="394"/>
      <c r="AH210" s="394"/>
      <c r="AI210" s="394"/>
      <c r="AJ210" s="394"/>
      <c r="AK210" s="394"/>
      <c r="AL210" s="394"/>
      <c r="AM210" s="394"/>
      <c r="AN210" s="394"/>
      <c r="AO210" s="394"/>
      <c r="AP210" s="394"/>
      <c r="AQ210" s="394"/>
      <c r="AR210" s="394"/>
      <c r="AS210" s="394"/>
      <c r="AT210" s="394"/>
      <c r="AU210" s="394"/>
      <c r="AV210" s="394"/>
      <c r="AW210" s="394"/>
      <c r="AX210" s="394"/>
      <c r="AY210" s="394"/>
      <c r="AZ210" s="394"/>
      <c r="BA210" s="394"/>
      <c r="BB210" s="394"/>
      <c r="BC210" s="394"/>
      <c r="BD210" s="394"/>
      <c r="BE210" s="394"/>
      <c r="BF210" s="394"/>
      <c r="BG210" s="394"/>
      <c r="BH210" s="394"/>
      <c r="BI210" s="394"/>
      <c r="BJ210" s="394"/>
      <c r="BK210" s="394"/>
      <c r="BL210" s="394"/>
      <c r="BM210" s="394"/>
      <c r="BN210" s="394"/>
      <c r="BO210" s="394"/>
      <c r="BP210" s="394"/>
      <c r="BQ210" s="394"/>
      <c r="BR210" s="394"/>
      <c r="BS210" s="394"/>
      <c r="BT210" s="394"/>
      <c r="BU210" s="394"/>
      <c r="BV210" s="394"/>
      <c r="BW210" s="394"/>
      <c r="BX210" s="394"/>
      <c r="BY210" s="394"/>
      <c r="BZ210" s="394"/>
      <c r="CA210" s="394"/>
      <c r="CB210" s="394"/>
      <c r="CC210" s="394"/>
      <c r="CD210" s="394"/>
      <c r="CE210" s="394"/>
      <c r="CF210" s="394"/>
      <c r="CG210" s="394"/>
      <c r="CH210" s="394"/>
      <c r="CI210" s="394"/>
      <c r="CJ210" s="394"/>
      <c r="CK210" s="394"/>
      <c r="CL210" s="394"/>
      <c r="CM210" s="394"/>
      <c r="CN210" s="394"/>
      <c r="CO210" s="394"/>
      <c r="CP210" s="394"/>
      <c r="CQ210" s="394"/>
      <c r="CR210" s="394"/>
      <c r="CS210" s="394"/>
      <c r="CT210" s="394"/>
      <c r="CU210" s="394"/>
      <c r="CV210" s="394"/>
      <c r="CW210" s="394"/>
      <c r="CX210" s="394"/>
      <c r="CY210" s="394"/>
      <c r="CZ210" s="394"/>
      <c r="DA210" s="394"/>
      <c r="DB210" s="394"/>
      <c r="DC210" s="394"/>
      <c r="DD210" s="394"/>
      <c r="DE210" s="394"/>
      <c r="DF210" s="394"/>
      <c r="DG210" s="394"/>
      <c r="DH210" s="394"/>
      <c r="DI210" s="394"/>
      <c r="DJ210" s="394"/>
      <c r="DK210" s="394"/>
      <c r="DL210" s="394"/>
      <c r="DM210" s="394"/>
      <c r="DN210" s="394"/>
      <c r="DO210" s="394"/>
      <c r="DP210" s="394"/>
      <c r="DQ210" s="394"/>
      <c r="DR210" s="394"/>
      <c r="DS210" s="394"/>
      <c r="DT210" s="394"/>
      <c r="DU210" s="394"/>
      <c r="DV210" s="394"/>
      <c r="DW210" s="394"/>
      <c r="DX210" s="394"/>
      <c r="DY210" s="394"/>
      <c r="DZ210" s="394"/>
      <c r="EA210" s="394"/>
      <c r="EB210" s="394"/>
      <c r="EC210" s="394"/>
      <c r="ED210" s="394"/>
      <c r="EE210" s="394"/>
      <c r="EF210" s="394"/>
      <c r="EG210" s="394"/>
      <c r="EH210" s="394"/>
      <c r="EI210" s="394"/>
      <c r="EJ210" s="394"/>
      <c r="EK210" s="394"/>
      <c r="EL210" s="394"/>
      <c r="EM210" s="394"/>
      <c r="EN210" s="394"/>
      <c r="EO210" s="394"/>
      <c r="EP210" s="394"/>
      <c r="EQ210" s="394"/>
      <c r="ER210" s="394"/>
      <c r="ES210" s="394"/>
      <c r="ET210" s="394"/>
      <c r="EU210" s="394"/>
      <c r="EV210" s="394"/>
      <c r="EW210" s="394"/>
      <c r="EX210" s="394"/>
      <c r="EY210" s="394"/>
      <c r="EZ210" s="394"/>
      <c r="FA210" s="394"/>
      <c r="FB210" s="394"/>
      <c r="FC210" s="394"/>
      <c r="FD210" s="394"/>
      <c r="FE210" s="394"/>
      <c r="FF210" s="394"/>
      <c r="FG210" s="394"/>
      <c r="FH210" s="394"/>
      <c r="FI210" s="394"/>
      <c r="FJ210" s="394"/>
      <c r="FK210" s="394"/>
      <c r="FL210" s="394"/>
      <c r="FM210" s="394"/>
      <c r="FN210" s="394"/>
      <c r="FO210" s="394"/>
      <c r="FP210" s="394"/>
      <c r="FQ210" s="394"/>
      <c r="FR210" s="394"/>
      <c r="FS210" s="394"/>
      <c r="FT210" s="394"/>
      <c r="FU210" s="394"/>
      <c r="FV210" s="394"/>
      <c r="FW210" s="394"/>
      <c r="FX210" s="394"/>
      <c r="FY210" s="394"/>
      <c r="FZ210" s="394"/>
      <c r="GA210" s="394"/>
      <c r="GB210" s="394"/>
      <c r="GC210" s="394"/>
      <c r="GD210" s="394"/>
      <c r="GE210" s="394"/>
      <c r="GF210" s="394"/>
      <c r="GG210" s="394"/>
      <c r="GH210" s="394"/>
      <c r="GI210" s="394"/>
      <c r="GJ210" s="394"/>
      <c r="GK210" s="394"/>
      <c r="GL210" s="394"/>
      <c r="GM210" s="394"/>
      <c r="GN210" s="394"/>
      <c r="GO210" s="394"/>
      <c r="GP210" s="394"/>
      <c r="GQ210" s="394"/>
      <c r="GR210" s="394"/>
      <c r="GS210" s="394"/>
      <c r="GT210" s="394"/>
      <c r="GU210" s="394"/>
      <c r="GV210" s="394"/>
      <c r="GW210" s="394"/>
      <c r="GX210" s="394"/>
      <c r="GY210" s="394"/>
      <c r="GZ210" s="394"/>
      <c r="HA210" s="394"/>
      <c r="HB210" s="394"/>
      <c r="HC210" s="394"/>
      <c r="HD210" s="394"/>
      <c r="HE210" s="394"/>
      <c r="HF210" s="394"/>
      <c r="HG210" s="394"/>
      <c r="HH210" s="394"/>
      <c r="HI210" s="394"/>
      <c r="HJ210" s="394"/>
      <c r="HK210" s="394"/>
      <c r="HL210" s="394"/>
      <c r="HM210" s="394"/>
      <c r="HN210" s="394"/>
      <c r="HO210" s="394"/>
      <c r="HP210" s="394"/>
      <c r="HQ210" s="394"/>
      <c r="HR210" s="394"/>
      <c r="HS210" s="394"/>
      <c r="HT210" s="394"/>
      <c r="HU210" s="394"/>
      <c r="HV210" s="394"/>
      <c r="HW210" s="394"/>
      <c r="HX210" s="394"/>
      <c r="HY210" s="394"/>
      <c r="HZ210" s="394"/>
      <c r="IA210" s="394"/>
      <c r="IB210" s="394"/>
      <c r="IC210" s="394"/>
      <c r="ID210" s="394"/>
      <c r="IE210" s="394"/>
      <c r="IF210" s="394"/>
      <c r="IG210" s="394"/>
      <c r="IH210" s="394"/>
      <c r="II210" s="394"/>
      <c r="IJ210" s="394"/>
      <c r="IK210" s="394"/>
      <c r="IL210" s="394"/>
      <c r="IM210" s="394"/>
      <c r="IN210" s="394"/>
      <c r="IO210" s="394"/>
      <c r="IP210" s="394"/>
      <c r="IQ210" s="394"/>
      <c r="IR210" s="394"/>
      <c r="IS210" s="394"/>
      <c r="IT210" s="394"/>
      <c r="IU210" s="394"/>
      <c r="IV210" s="394"/>
      <c r="IW210" s="394"/>
      <c r="IX210" s="394"/>
      <c r="IY210" s="394"/>
      <c r="IZ210" s="394"/>
      <c r="JA210" s="394"/>
      <c r="JB210" s="394"/>
      <c r="JC210" s="394"/>
      <c r="JD210" s="394"/>
      <c r="JE210" s="394"/>
      <c r="JF210" s="394"/>
      <c r="JG210" s="394"/>
      <c r="JH210" s="394"/>
      <c r="JI210" s="394"/>
      <c r="JJ210" s="394"/>
      <c r="JK210" s="394"/>
      <c r="JL210" s="394"/>
      <c r="JM210" s="394"/>
      <c r="JN210" s="394"/>
      <c r="JO210" s="394"/>
      <c r="JP210" s="394"/>
      <c r="JQ210" s="394"/>
      <c r="JR210" s="394"/>
      <c r="JS210" s="394"/>
      <c r="JT210" s="394"/>
      <c r="JU210" s="394"/>
      <c r="JV210" s="394"/>
      <c r="JW210" s="394"/>
      <c r="JX210" s="394"/>
      <c r="JY210" s="394"/>
      <c r="JZ210" s="394"/>
      <c r="KA210" s="394"/>
      <c r="KB210" s="394"/>
      <c r="KC210" s="394"/>
      <c r="KD210" s="394"/>
      <c r="KE210" s="394"/>
      <c r="KF210" s="394"/>
      <c r="KG210" s="394"/>
      <c r="KH210" s="394"/>
      <c r="KI210" s="394"/>
      <c r="KJ210" s="394"/>
      <c r="KK210" s="394"/>
      <c r="KL210" s="394"/>
      <c r="KM210" s="394"/>
      <c r="KN210" s="394"/>
      <c r="KO210" s="394"/>
      <c r="KP210" s="394"/>
      <c r="KQ210" s="394"/>
      <c r="KR210" s="394"/>
      <c r="KS210" s="394"/>
      <c r="KT210" s="394"/>
      <c r="KU210" s="394"/>
      <c r="KV210" s="394"/>
      <c r="KW210" s="394"/>
      <c r="KX210" s="394"/>
      <c r="KY210" s="394"/>
      <c r="KZ210" s="394"/>
      <c r="LA210" s="394"/>
      <c r="LB210" s="394"/>
      <c r="LC210" s="394"/>
      <c r="LD210" s="394"/>
      <c r="LE210" s="394"/>
      <c r="LF210" s="394"/>
      <c r="LG210" s="394"/>
      <c r="LH210" s="394"/>
      <c r="LI210" s="394"/>
      <c r="LJ210" s="394"/>
      <c r="LK210" s="394"/>
      <c r="LL210" s="394"/>
      <c r="LM210" s="394"/>
      <c r="LN210" s="394"/>
      <c r="LO210" s="394"/>
      <c r="LP210" s="394"/>
      <c r="LQ210" s="394"/>
      <c r="LR210" s="394"/>
      <c r="LS210" s="394"/>
      <c r="LT210" s="394"/>
      <c r="LU210" s="394"/>
      <c r="LV210" s="394"/>
      <c r="LW210" s="394"/>
      <c r="LX210" s="394"/>
      <c r="LY210" s="394"/>
      <c r="LZ210" s="394"/>
      <c r="MA210" s="394"/>
      <c r="MB210" s="394"/>
      <c r="MC210" s="394"/>
      <c r="MD210" s="394"/>
      <c r="ME210" s="394"/>
      <c r="MF210" s="394"/>
      <c r="MG210" s="394"/>
      <c r="MH210" s="394"/>
      <c r="MI210" s="394"/>
      <c r="MJ210" s="394"/>
      <c r="MK210" s="394"/>
      <c r="ML210" s="394"/>
      <c r="MM210" s="394"/>
      <c r="MN210" s="394"/>
      <c r="MO210" s="394"/>
      <c r="MP210" s="394"/>
      <c r="MQ210" s="394"/>
      <c r="MR210" s="394"/>
      <c r="MS210" s="394"/>
      <c r="MT210" s="394"/>
      <c r="MU210" s="394"/>
      <c r="MV210" s="394"/>
      <c r="MW210" s="394"/>
      <c r="MX210" s="394"/>
      <c r="MY210" s="394"/>
      <c r="MZ210" s="394"/>
      <c r="NA210" s="394"/>
      <c r="NB210" s="394"/>
      <c r="NC210" s="394"/>
      <c r="ND210" s="394"/>
      <c r="NE210" s="394"/>
      <c r="NF210" s="394"/>
      <c r="NG210" s="394"/>
      <c r="NH210" s="394"/>
      <c r="NI210" s="394"/>
      <c r="NJ210" s="394"/>
      <c r="NK210" s="394"/>
      <c r="NL210" s="394"/>
      <c r="NM210" s="394"/>
      <c r="NN210" s="394"/>
      <c r="NO210" s="394"/>
      <c r="NP210" s="394"/>
      <c r="NQ210" s="394"/>
      <c r="NR210" s="394"/>
      <c r="NS210" s="394"/>
      <c r="NT210" s="394"/>
      <c r="NU210" s="394"/>
      <c r="NV210" s="394"/>
      <c r="NW210" s="394"/>
      <c r="NX210" s="394"/>
      <c r="NY210" s="394"/>
      <c r="NZ210" s="394"/>
      <c r="OA210" s="394"/>
      <c r="OB210" s="394"/>
      <c r="OC210" s="394"/>
      <c r="OD210" s="394"/>
      <c r="OE210" s="394"/>
      <c r="OF210" s="394"/>
      <c r="OG210" s="394"/>
      <c r="OH210" s="394"/>
      <c r="OI210" s="394"/>
      <c r="OJ210" s="394"/>
      <c r="OK210" s="394"/>
      <c r="OL210" s="394"/>
      <c r="OM210" s="394"/>
      <c r="ON210" s="394"/>
      <c r="OO210" s="394"/>
      <c r="OP210" s="394"/>
      <c r="OQ210" s="394"/>
      <c r="OR210" s="394"/>
      <c r="OS210" s="394"/>
      <c r="OT210" s="394"/>
      <c r="OU210" s="394"/>
      <c r="OV210" s="394"/>
      <c r="OW210" s="394"/>
      <c r="OX210" s="394"/>
      <c r="OY210" s="394"/>
      <c r="OZ210" s="394"/>
      <c r="PA210" s="394"/>
      <c r="PB210" s="394"/>
      <c r="PC210" s="394"/>
      <c r="PD210" s="394"/>
      <c r="PE210" s="394"/>
      <c r="PF210" s="394"/>
      <c r="PG210" s="394"/>
      <c r="PH210" s="394"/>
      <c r="PI210" s="394"/>
      <c r="PJ210" s="394"/>
      <c r="PK210" s="394"/>
      <c r="PL210" s="394"/>
      <c r="PM210" s="394"/>
      <c r="PN210" s="394"/>
      <c r="PO210" s="394"/>
      <c r="PP210" s="394"/>
      <c r="PQ210" s="394"/>
      <c r="PR210" s="394"/>
      <c r="PS210" s="394"/>
      <c r="PT210" s="394"/>
      <c r="PU210" s="394"/>
      <c r="PV210" s="394"/>
      <c r="PW210" s="394"/>
      <c r="PX210" s="394"/>
      <c r="PY210" s="394"/>
      <c r="PZ210" s="394"/>
      <c r="QA210" s="394"/>
      <c r="QB210" s="394"/>
      <c r="QC210" s="394"/>
      <c r="QD210" s="394"/>
      <c r="QE210" s="394"/>
      <c r="QF210" s="394"/>
      <c r="QG210" s="394"/>
      <c r="QH210" s="394"/>
      <c r="QI210" s="394"/>
      <c r="QJ210" s="394"/>
      <c r="QK210" s="394"/>
      <c r="QL210" s="394"/>
      <c r="QM210" s="394"/>
      <c r="QN210" s="394"/>
      <c r="QO210" s="394"/>
      <c r="QP210" s="394"/>
      <c r="QQ210" s="394"/>
      <c r="QR210" s="394"/>
      <c r="QS210" s="394"/>
      <c r="QT210" s="394"/>
      <c r="QU210" s="394"/>
      <c r="QV210" s="394"/>
      <c r="QW210" s="394"/>
      <c r="QX210" s="394"/>
      <c r="QY210" s="394"/>
      <c r="QZ210" s="394"/>
      <c r="RA210" s="394"/>
      <c r="RB210" s="394"/>
      <c r="RC210" s="394"/>
      <c r="RD210" s="394"/>
      <c r="RE210" s="394"/>
      <c r="RF210" s="394"/>
      <c r="RG210" s="394"/>
      <c r="RH210" s="394"/>
      <c r="RI210" s="394"/>
      <c r="RJ210" s="394"/>
      <c r="RK210" s="394"/>
      <c r="RL210" s="394"/>
      <c r="RM210" s="394"/>
      <c r="RN210" s="394"/>
      <c r="RO210" s="394"/>
      <c r="RP210" s="394"/>
      <c r="RQ210" s="394"/>
      <c r="RR210" s="394"/>
      <c r="RS210" s="394"/>
      <c r="RT210" s="394"/>
      <c r="RU210" s="394"/>
      <c r="RV210" s="394"/>
      <c r="RW210" s="394"/>
      <c r="RX210" s="394"/>
      <c r="RY210" s="394"/>
      <c r="RZ210" s="394"/>
      <c r="SA210" s="394"/>
      <c r="SB210" s="394"/>
      <c r="SC210" s="394"/>
      <c r="SD210" s="394"/>
      <c r="SE210" s="394"/>
      <c r="SF210" s="394"/>
      <c r="SG210" s="394"/>
      <c r="SH210" s="394"/>
      <c r="SI210" s="394"/>
      <c r="SJ210" s="394"/>
      <c r="SK210" s="394"/>
      <c r="SL210" s="394"/>
      <c r="SM210" s="394"/>
      <c r="SN210" s="394"/>
      <c r="SO210" s="394"/>
      <c r="SP210" s="394"/>
      <c r="SQ210" s="394"/>
      <c r="SR210" s="394"/>
      <c r="SS210" s="394"/>
      <c r="ST210" s="394"/>
      <c r="SU210" s="394"/>
      <c r="SV210" s="394"/>
      <c r="SW210" s="394"/>
      <c r="SX210" s="394"/>
      <c r="SY210" s="394"/>
      <c r="SZ210" s="394"/>
      <c r="TA210" s="394"/>
      <c r="TB210" s="394"/>
      <c r="TC210" s="394"/>
      <c r="TD210" s="394"/>
      <c r="TE210" s="394"/>
      <c r="TF210" s="394"/>
      <c r="TG210" s="394"/>
      <c r="TH210" s="394"/>
      <c r="TI210" s="394"/>
      <c r="TJ210" s="394"/>
      <c r="TK210" s="394"/>
      <c r="TL210" s="394"/>
      <c r="TM210" s="394"/>
      <c r="TN210" s="394"/>
      <c r="TO210" s="394"/>
      <c r="TP210" s="394"/>
      <c r="TQ210" s="394"/>
      <c r="TR210" s="394"/>
      <c r="TS210" s="394"/>
      <c r="TT210" s="394"/>
      <c r="TU210" s="394"/>
      <c r="TV210" s="394"/>
      <c r="TW210" s="394"/>
      <c r="TX210" s="394"/>
      <c r="TY210" s="394"/>
      <c r="TZ210" s="394"/>
      <c r="UA210" s="394"/>
      <c r="UB210" s="394"/>
      <c r="UC210" s="394"/>
      <c r="UD210" s="394"/>
      <c r="UE210" s="394"/>
      <c r="UF210" s="394"/>
      <c r="UG210" s="394"/>
      <c r="UH210" s="394"/>
      <c r="UI210" s="394"/>
      <c r="UJ210" s="394"/>
      <c r="UK210" s="394"/>
      <c r="UL210" s="394"/>
      <c r="UM210" s="394"/>
      <c r="UN210" s="394"/>
      <c r="UO210" s="394"/>
      <c r="UP210" s="394"/>
      <c r="UQ210" s="394"/>
      <c r="UR210" s="394"/>
      <c r="US210" s="394"/>
      <c r="UT210" s="394"/>
      <c r="UU210" s="394"/>
      <c r="UV210" s="394"/>
      <c r="UW210" s="394"/>
      <c r="UX210" s="394"/>
      <c r="UY210" s="394"/>
      <c r="UZ210" s="394"/>
      <c r="VA210" s="394"/>
      <c r="VB210" s="394"/>
      <c r="VC210" s="394"/>
      <c r="VD210" s="394"/>
      <c r="VE210" s="394"/>
      <c r="VF210" s="394"/>
      <c r="VG210" s="394"/>
      <c r="VH210" s="394"/>
      <c r="VI210" s="394"/>
      <c r="VJ210" s="394"/>
      <c r="VK210" s="394"/>
      <c r="VL210" s="394"/>
      <c r="VM210" s="394"/>
      <c r="VN210" s="394"/>
      <c r="VO210" s="394"/>
      <c r="VP210" s="394"/>
      <c r="VQ210" s="394"/>
      <c r="VR210" s="394"/>
      <c r="VS210" s="394"/>
      <c r="VT210" s="394"/>
      <c r="VU210" s="394"/>
      <c r="VV210" s="394"/>
      <c r="VW210" s="394"/>
      <c r="VX210" s="394"/>
      <c r="VY210" s="394"/>
      <c r="VZ210" s="394"/>
      <c r="WA210" s="394"/>
      <c r="WB210" s="394"/>
      <c r="WC210" s="394"/>
      <c r="WD210" s="394"/>
      <c r="WE210" s="394"/>
      <c r="WF210" s="394"/>
      <c r="WG210" s="394"/>
      <c r="WH210" s="394"/>
      <c r="WI210" s="394"/>
      <c r="WJ210" s="394"/>
      <c r="WK210" s="394"/>
      <c r="WL210" s="394"/>
      <c r="WM210" s="394"/>
      <c r="WN210" s="394"/>
      <c r="WO210" s="394"/>
      <c r="WP210" s="394"/>
      <c r="WQ210" s="394"/>
      <c r="WR210" s="394"/>
      <c r="WS210" s="394"/>
      <c r="WT210" s="394"/>
      <c r="WU210" s="394"/>
      <c r="WV210" s="394"/>
      <c r="WW210" s="394"/>
      <c r="WX210" s="394"/>
      <c r="WY210" s="394"/>
      <c r="WZ210" s="394"/>
      <c r="XA210" s="394"/>
      <c r="XB210" s="394"/>
      <c r="XC210" s="394"/>
      <c r="XD210" s="394"/>
      <c r="XE210" s="394"/>
      <c r="XF210" s="394"/>
      <c r="XG210" s="394"/>
      <c r="XH210" s="394"/>
      <c r="XI210" s="394"/>
      <c r="XJ210" s="394"/>
      <c r="XK210" s="394"/>
      <c r="XL210" s="394"/>
      <c r="XM210" s="394"/>
      <c r="XN210" s="394"/>
      <c r="XO210" s="394"/>
      <c r="XP210" s="394"/>
      <c r="XQ210" s="394"/>
      <c r="XR210" s="394"/>
      <c r="XS210" s="394"/>
      <c r="XT210" s="394"/>
      <c r="XU210" s="394"/>
      <c r="XV210" s="394"/>
      <c r="XW210" s="394"/>
      <c r="XX210" s="394"/>
      <c r="XY210" s="394"/>
      <c r="XZ210" s="394"/>
      <c r="YA210" s="394"/>
      <c r="YB210" s="394"/>
      <c r="YC210" s="394"/>
      <c r="YD210" s="394"/>
      <c r="YE210" s="394"/>
      <c r="YF210" s="394"/>
      <c r="YG210" s="394"/>
      <c r="YH210" s="394"/>
      <c r="YI210" s="394"/>
      <c r="YJ210" s="394"/>
      <c r="YK210" s="394"/>
      <c r="YL210" s="394"/>
      <c r="YM210" s="394"/>
      <c r="YN210" s="394"/>
      <c r="YO210" s="394"/>
      <c r="YP210" s="394"/>
      <c r="YQ210" s="394"/>
      <c r="YR210" s="394"/>
      <c r="YS210" s="394"/>
      <c r="YT210" s="394"/>
      <c r="YU210" s="394"/>
      <c r="YV210" s="394"/>
      <c r="YW210" s="394"/>
      <c r="YX210" s="394"/>
      <c r="YY210" s="394"/>
      <c r="YZ210" s="394"/>
      <c r="ZA210" s="394"/>
      <c r="ZB210" s="394"/>
      <c r="ZC210" s="394"/>
      <c r="ZD210" s="394"/>
      <c r="ZE210" s="394"/>
      <c r="ZF210" s="394"/>
      <c r="ZG210" s="394"/>
      <c r="ZH210" s="394"/>
      <c r="ZI210" s="394"/>
      <c r="ZJ210" s="394"/>
      <c r="ZK210" s="394"/>
      <c r="ZL210" s="394"/>
      <c r="ZM210" s="394"/>
      <c r="ZN210" s="394"/>
      <c r="ZO210" s="394"/>
      <c r="ZP210" s="394"/>
      <c r="ZQ210" s="394"/>
      <c r="ZR210" s="394"/>
      <c r="ZS210" s="394"/>
      <c r="ZT210" s="394"/>
      <c r="ZU210" s="394"/>
      <c r="ZV210" s="394"/>
      <c r="ZW210" s="394"/>
      <c r="ZX210" s="394"/>
      <c r="ZY210" s="394"/>
      <c r="ZZ210" s="394"/>
      <c r="AAA210" s="394"/>
      <c r="AAB210" s="394"/>
      <c r="AAC210" s="394"/>
      <c r="AAD210" s="394"/>
      <c r="AAE210" s="394"/>
      <c r="AAF210" s="394"/>
      <c r="AAG210" s="394"/>
      <c r="AAH210" s="394"/>
      <c r="AAI210" s="394"/>
      <c r="AAJ210" s="394"/>
      <c r="AAK210" s="394"/>
      <c r="AAL210" s="394"/>
      <c r="AAM210" s="394"/>
      <c r="AAN210" s="394"/>
      <c r="AAO210" s="394"/>
      <c r="AAP210" s="394"/>
      <c r="AAQ210" s="394"/>
      <c r="AAR210" s="394"/>
      <c r="AAS210" s="394"/>
      <c r="AAT210" s="394"/>
      <c r="AAU210" s="394"/>
      <c r="AAV210" s="394"/>
      <c r="AAW210" s="394"/>
      <c r="AAX210" s="394"/>
      <c r="AAY210" s="394"/>
      <c r="AAZ210" s="394"/>
      <c r="ABA210" s="394"/>
      <c r="ABB210" s="394"/>
      <c r="ABC210" s="394"/>
      <c r="ABD210" s="394"/>
      <c r="ABE210" s="394"/>
      <c r="ABF210" s="394"/>
      <c r="ABG210" s="394"/>
      <c r="ABH210" s="394"/>
      <c r="ABI210" s="394"/>
      <c r="ABJ210" s="394"/>
      <c r="ABK210" s="394"/>
      <c r="ABL210" s="394"/>
      <c r="ABM210" s="394"/>
      <c r="ABN210" s="394"/>
      <c r="ABO210" s="394"/>
      <c r="ABP210" s="394"/>
      <c r="ABQ210" s="394"/>
      <c r="ABR210" s="394"/>
      <c r="ABS210" s="394"/>
      <c r="ABT210" s="394"/>
      <c r="ABU210" s="394"/>
      <c r="ABV210" s="394"/>
      <c r="ABW210" s="394"/>
      <c r="ABX210" s="394"/>
      <c r="ABY210" s="394"/>
      <c r="ABZ210" s="394"/>
      <c r="ACA210" s="394"/>
      <c r="ACB210" s="394"/>
      <c r="ACC210" s="394"/>
      <c r="ACD210" s="394"/>
      <c r="ACE210" s="394"/>
      <c r="ACF210" s="394"/>
      <c r="ACG210" s="394"/>
      <c r="ACH210" s="394"/>
      <c r="ACI210" s="394"/>
      <c r="ACJ210" s="394"/>
      <c r="ACK210" s="394"/>
      <c r="ACL210" s="394"/>
      <c r="ACM210" s="394"/>
      <c r="ACN210" s="394"/>
      <c r="ACO210" s="394"/>
      <c r="ACP210" s="394"/>
      <c r="ACQ210" s="394"/>
      <c r="ACR210" s="394"/>
      <c r="ACS210" s="394"/>
      <c r="ACT210" s="394"/>
      <c r="ACU210" s="394"/>
      <c r="ACV210" s="394"/>
      <c r="ACW210" s="394"/>
      <c r="ACX210" s="394"/>
      <c r="ACY210" s="394"/>
      <c r="ACZ210" s="394"/>
      <c r="ADA210" s="394"/>
      <c r="ADB210" s="394"/>
      <c r="ADC210" s="394"/>
      <c r="ADD210" s="394"/>
      <c r="ADE210" s="394"/>
      <c r="ADF210" s="394"/>
      <c r="ADG210" s="394"/>
      <c r="ADH210" s="394"/>
      <c r="ADI210" s="394"/>
      <c r="ADJ210" s="394"/>
      <c r="ADK210" s="394"/>
      <c r="ADL210" s="394"/>
      <c r="ADM210" s="394"/>
      <c r="ADN210" s="394"/>
      <c r="ADO210" s="394"/>
      <c r="ADP210" s="394"/>
      <c r="ADQ210" s="394"/>
      <c r="ADR210" s="394"/>
      <c r="ADS210" s="394"/>
      <c r="ADT210" s="394"/>
      <c r="ADU210" s="394"/>
      <c r="ADV210" s="394"/>
      <c r="ADW210" s="394"/>
      <c r="ADX210" s="394"/>
      <c r="ADY210" s="394"/>
      <c r="ADZ210" s="394"/>
      <c r="AEA210" s="394"/>
      <c r="AEB210" s="394"/>
      <c r="AEC210" s="394"/>
      <c r="AED210" s="394"/>
      <c r="AEE210" s="394"/>
      <c r="AEF210" s="394"/>
      <c r="AEG210" s="394"/>
      <c r="AEH210" s="394"/>
      <c r="AEI210" s="394"/>
      <c r="AEJ210" s="394"/>
      <c r="AEK210" s="394"/>
      <c r="AEL210" s="394"/>
      <c r="AEM210" s="394"/>
      <c r="AEN210" s="394"/>
      <c r="AEO210" s="394"/>
      <c r="AEP210" s="394"/>
      <c r="AEQ210" s="394"/>
      <c r="AER210" s="394"/>
      <c r="AES210" s="394"/>
      <c r="AET210" s="394"/>
      <c r="AEU210" s="394"/>
      <c r="AEV210" s="394"/>
      <c r="AEW210" s="394"/>
      <c r="AEX210" s="394"/>
      <c r="AEY210" s="394"/>
      <c r="AEZ210" s="394"/>
      <c r="AFA210" s="394"/>
      <c r="AFB210" s="394"/>
      <c r="AFC210" s="394"/>
      <c r="AFD210" s="394"/>
      <c r="AFE210" s="394"/>
      <c r="AFF210" s="394"/>
      <c r="AFG210" s="394"/>
      <c r="AFH210" s="394"/>
      <c r="AFI210" s="394"/>
      <c r="AFJ210" s="394"/>
      <c r="AFK210" s="394"/>
      <c r="AFL210" s="394"/>
      <c r="AFM210" s="394"/>
      <c r="AFN210" s="394"/>
      <c r="AFO210" s="394"/>
      <c r="AFP210" s="394"/>
      <c r="AFQ210" s="394"/>
      <c r="AFR210" s="394"/>
      <c r="AFS210" s="394"/>
      <c r="AFT210" s="394"/>
      <c r="AFU210" s="394"/>
      <c r="AFV210" s="394"/>
      <c r="AFW210" s="394"/>
      <c r="AFX210" s="394"/>
      <c r="AFY210" s="394"/>
      <c r="AFZ210" s="394"/>
      <c r="AGA210" s="394"/>
      <c r="AGB210" s="394"/>
      <c r="AGC210" s="394"/>
      <c r="AGD210" s="394"/>
      <c r="AGE210" s="394"/>
      <c r="AGF210" s="394"/>
      <c r="AGG210" s="394"/>
      <c r="AGH210" s="394"/>
      <c r="AGI210" s="394"/>
      <c r="AGJ210" s="394"/>
      <c r="AGK210" s="394"/>
      <c r="AGL210" s="394"/>
      <c r="AGM210" s="394"/>
      <c r="AGN210" s="394"/>
      <c r="AGO210" s="394"/>
      <c r="AGP210" s="394"/>
      <c r="AGQ210" s="394"/>
      <c r="AGR210" s="394"/>
      <c r="AGS210" s="394"/>
      <c r="AGT210" s="394"/>
      <c r="AGU210" s="394"/>
      <c r="AGV210" s="394"/>
      <c r="AGW210" s="394"/>
      <c r="AGX210" s="394"/>
      <c r="AGY210" s="394"/>
      <c r="AGZ210" s="394"/>
      <c r="AHA210" s="394"/>
      <c r="AHB210" s="394"/>
      <c r="AHC210" s="394"/>
      <c r="AHD210" s="394"/>
      <c r="AHE210" s="394"/>
      <c r="AHF210" s="394"/>
      <c r="AHG210" s="394"/>
      <c r="AHH210" s="394"/>
      <c r="AHI210" s="394"/>
      <c r="AHJ210" s="394"/>
      <c r="AHK210" s="394"/>
      <c r="AHL210" s="394"/>
      <c r="AHM210" s="394"/>
      <c r="AHN210" s="394"/>
      <c r="AHO210" s="394"/>
      <c r="AHP210" s="394"/>
      <c r="AHQ210" s="394"/>
      <c r="AHR210" s="394"/>
      <c r="AHS210" s="394"/>
      <c r="AHT210" s="394"/>
      <c r="AHU210" s="394"/>
      <c r="AHV210" s="394"/>
      <c r="AHW210" s="394"/>
      <c r="AHX210" s="394"/>
      <c r="AHY210" s="394"/>
      <c r="AHZ210" s="394"/>
      <c r="AIA210" s="394"/>
      <c r="AIB210" s="394"/>
      <c r="AIC210" s="394"/>
      <c r="AID210" s="394"/>
      <c r="AIE210" s="394"/>
      <c r="AIF210" s="394"/>
      <c r="AIG210" s="394"/>
      <c r="AIH210" s="394"/>
      <c r="AII210" s="394"/>
      <c r="AIJ210" s="394"/>
      <c r="AIK210" s="394"/>
      <c r="AIL210" s="394"/>
      <c r="AIM210" s="394"/>
      <c r="AIN210" s="394"/>
      <c r="AIO210" s="394"/>
      <c r="AIP210" s="394"/>
      <c r="AIQ210" s="394"/>
      <c r="AIR210" s="394"/>
      <c r="AIS210" s="394"/>
      <c r="AIT210" s="394"/>
      <c r="AIU210" s="394"/>
      <c r="AIV210" s="394"/>
      <c r="AIW210" s="394"/>
      <c r="AIX210" s="394"/>
      <c r="AIY210" s="394"/>
      <c r="AIZ210" s="394"/>
      <c r="AJA210" s="394"/>
      <c r="AJB210" s="394"/>
      <c r="AJC210" s="394"/>
      <c r="AJD210" s="394"/>
      <c r="AJE210" s="394"/>
      <c r="AJF210" s="394"/>
      <c r="AJG210" s="394"/>
      <c r="AJH210" s="394"/>
      <c r="AJI210" s="394"/>
      <c r="AJJ210" s="394"/>
      <c r="AJK210" s="394"/>
      <c r="AJL210" s="394"/>
      <c r="AJM210" s="394"/>
      <c r="AJN210" s="394"/>
      <c r="AJO210" s="394"/>
      <c r="AJP210" s="394"/>
      <c r="AJQ210" s="394"/>
      <c r="AJR210" s="394"/>
      <c r="AJS210" s="394"/>
      <c r="AJT210" s="394"/>
      <c r="AJU210" s="394"/>
      <c r="AJV210" s="394"/>
      <c r="AJW210" s="394"/>
      <c r="AJX210" s="394"/>
      <c r="AJY210" s="394"/>
      <c r="AJZ210" s="394"/>
      <c r="AKA210" s="394"/>
      <c r="AKB210" s="394"/>
      <c r="AKC210" s="394"/>
      <c r="AKD210" s="394"/>
      <c r="AKE210" s="394"/>
      <c r="AKF210" s="394"/>
      <c r="AKG210" s="394"/>
      <c r="AKH210" s="394"/>
      <c r="AKI210" s="394"/>
      <c r="AKJ210" s="394"/>
      <c r="AKK210" s="394"/>
      <c r="AKL210" s="394"/>
      <c r="AKM210" s="394"/>
      <c r="AKN210" s="394"/>
      <c r="AKO210" s="394"/>
      <c r="AKP210" s="394"/>
      <c r="AKQ210" s="394"/>
      <c r="AKR210" s="394"/>
      <c r="AKS210" s="394"/>
      <c r="AKT210" s="394"/>
      <c r="AKU210" s="394"/>
      <c r="AKV210" s="394"/>
      <c r="AKW210" s="394"/>
      <c r="AKX210" s="394"/>
      <c r="AKY210" s="394"/>
      <c r="AKZ210" s="394"/>
      <c r="ALA210" s="394"/>
      <c r="ALB210" s="394"/>
      <c r="ALC210" s="394"/>
      <c r="ALD210" s="394"/>
      <c r="ALE210" s="394"/>
      <c r="ALF210" s="394"/>
      <c r="ALG210" s="394"/>
      <c r="ALH210" s="394"/>
      <c r="ALI210" s="394"/>
      <c r="ALJ210" s="394"/>
      <c r="ALK210" s="394"/>
      <c r="ALL210" s="394"/>
      <c r="ALM210" s="394"/>
      <c r="ALN210" s="394"/>
      <c r="ALO210" s="394"/>
      <c r="ALP210" s="394"/>
      <c r="ALQ210" s="394"/>
      <c r="ALR210" s="394"/>
      <c r="ALS210" s="394"/>
      <c r="ALT210" s="394"/>
      <c r="ALU210" s="394"/>
      <c r="ALV210" s="394"/>
      <c r="ALW210" s="394"/>
      <c r="ALX210" s="394"/>
      <c r="ALY210" s="394"/>
      <c r="ALZ210" s="394"/>
      <c r="AMA210" s="394"/>
      <c r="AMB210" s="394"/>
      <c r="AMC210" s="394"/>
      <c r="AMD210" s="394"/>
      <c r="AME210" s="394"/>
      <c r="AMF210" s="394"/>
      <c r="AMG210" s="394"/>
      <c r="AMH210" s="394"/>
      <c r="AMI210" s="394"/>
      <c r="AMJ210" s="394"/>
      <c r="AMK210" s="394"/>
      <c r="AML210" s="394"/>
      <c r="AMM210" s="394"/>
      <c r="AMN210" s="394"/>
      <c r="AMO210" s="394"/>
      <c r="AMP210" s="394"/>
      <c r="AMQ210" s="394"/>
      <c r="AMR210" s="394"/>
      <c r="AMS210" s="394"/>
      <c r="AMT210" s="394"/>
      <c r="AMU210" s="394"/>
      <c r="AMV210" s="394"/>
      <c r="AMW210" s="394"/>
      <c r="AMX210" s="394"/>
      <c r="AMY210" s="394"/>
      <c r="AMZ210" s="394"/>
      <c r="ANA210" s="394"/>
      <c r="ANB210" s="394"/>
      <c r="ANC210" s="394"/>
      <c r="AND210" s="394"/>
      <c r="ANE210" s="394"/>
      <c r="ANF210" s="394"/>
      <c r="ANG210" s="394"/>
      <c r="ANH210" s="394"/>
      <c r="ANI210" s="394"/>
      <c r="ANJ210" s="394"/>
      <c r="ANK210" s="394"/>
      <c r="ANL210" s="394"/>
      <c r="ANM210" s="394"/>
      <c r="ANN210" s="394"/>
      <c r="ANO210" s="394"/>
      <c r="ANP210" s="394"/>
      <c r="ANQ210" s="394"/>
      <c r="ANR210" s="394"/>
      <c r="ANS210" s="394"/>
      <c r="ANT210" s="394"/>
      <c r="ANU210" s="394"/>
      <c r="ANV210" s="394"/>
      <c r="ANW210" s="394"/>
      <c r="ANX210" s="394"/>
      <c r="ANY210" s="394"/>
      <c r="ANZ210" s="394"/>
      <c r="AOA210" s="394"/>
      <c r="AOB210" s="394"/>
      <c r="AOC210" s="394"/>
      <c r="AOD210" s="394"/>
      <c r="AOE210" s="394"/>
      <c r="AOF210" s="394"/>
      <c r="AOG210" s="394"/>
      <c r="AOH210" s="394"/>
      <c r="AOI210" s="394"/>
      <c r="AOJ210" s="394"/>
      <c r="AOK210" s="394"/>
      <c r="AOL210" s="394"/>
      <c r="AOM210" s="394"/>
      <c r="AON210" s="394"/>
      <c r="AOO210" s="394"/>
      <c r="AOP210" s="394"/>
      <c r="AOQ210" s="394"/>
      <c r="AOR210" s="394"/>
      <c r="AOS210" s="394"/>
      <c r="AOT210" s="394"/>
      <c r="AOU210" s="394"/>
      <c r="AOV210" s="394"/>
      <c r="AOW210" s="394"/>
      <c r="AOX210" s="394"/>
      <c r="AOY210" s="394"/>
      <c r="AOZ210" s="394"/>
      <c r="APA210" s="394"/>
      <c r="APB210" s="394"/>
      <c r="APC210" s="394"/>
      <c r="APD210" s="394"/>
      <c r="APE210" s="394"/>
      <c r="APF210" s="394"/>
      <c r="APG210" s="394"/>
      <c r="APH210" s="394"/>
      <c r="API210" s="394"/>
      <c r="APJ210" s="394"/>
      <c r="APK210" s="394"/>
      <c r="APL210" s="394"/>
      <c r="APM210" s="394"/>
      <c r="APN210" s="394"/>
      <c r="APO210" s="394"/>
      <c r="APP210" s="394"/>
      <c r="APQ210" s="394"/>
      <c r="APR210" s="394"/>
      <c r="APS210" s="394"/>
      <c r="APT210" s="394"/>
      <c r="APU210" s="394"/>
      <c r="APV210" s="394"/>
      <c r="APW210" s="394"/>
      <c r="APX210" s="394"/>
      <c r="APY210" s="394"/>
      <c r="APZ210" s="394"/>
      <c r="AQA210" s="394"/>
      <c r="AQB210" s="394"/>
      <c r="AQC210" s="394"/>
      <c r="AQD210" s="394"/>
      <c r="AQE210" s="394"/>
      <c r="AQF210" s="394"/>
      <c r="AQG210" s="394"/>
      <c r="AQH210" s="394"/>
      <c r="AQI210" s="394"/>
      <c r="AQJ210" s="394"/>
      <c r="AQK210" s="394"/>
      <c r="AQL210" s="394"/>
      <c r="AQM210" s="394"/>
      <c r="AQN210" s="394"/>
      <c r="AQO210" s="394"/>
      <c r="AQP210" s="394"/>
      <c r="AQQ210" s="394"/>
      <c r="AQR210" s="394"/>
      <c r="AQS210" s="394"/>
      <c r="AQT210" s="394"/>
      <c r="AQU210" s="394"/>
      <c r="AQV210" s="394"/>
      <c r="AQW210" s="394"/>
      <c r="AQX210" s="394"/>
      <c r="AQY210" s="394"/>
      <c r="AQZ210" s="394"/>
      <c r="ARA210" s="394"/>
      <c r="ARB210" s="394"/>
      <c r="ARC210" s="394"/>
      <c r="ARD210" s="394"/>
      <c r="ARE210" s="394"/>
      <c r="ARF210" s="394"/>
      <c r="ARG210" s="394"/>
      <c r="ARH210" s="394"/>
      <c r="ARI210" s="394"/>
      <c r="ARJ210" s="394"/>
      <c r="ARK210" s="394"/>
      <c r="ARL210" s="394"/>
      <c r="ARM210" s="394"/>
      <c r="ARN210" s="394"/>
      <c r="ARO210" s="394"/>
      <c r="ARP210" s="394"/>
      <c r="ARQ210" s="394"/>
      <c r="ARR210" s="394"/>
      <c r="ARS210" s="394"/>
      <c r="ART210" s="394"/>
      <c r="ARU210" s="394"/>
      <c r="ARV210" s="394"/>
      <c r="ARW210" s="394"/>
      <c r="ARX210" s="394"/>
      <c r="ARY210" s="394"/>
      <c r="ARZ210" s="394"/>
      <c r="ASA210" s="394"/>
      <c r="ASB210" s="394"/>
      <c r="ASC210" s="394"/>
      <c r="ASD210" s="394"/>
      <c r="ASE210" s="394"/>
      <c r="ASF210" s="394"/>
      <c r="ASG210" s="394"/>
      <c r="ASH210" s="394"/>
      <c r="ASI210" s="394"/>
      <c r="ASJ210" s="394"/>
      <c r="ASK210" s="394"/>
      <c r="ASL210" s="394"/>
      <c r="ASM210" s="394"/>
      <c r="ASN210" s="394"/>
      <c r="ASO210" s="394"/>
      <c r="ASP210" s="394"/>
      <c r="ASQ210" s="394"/>
      <c r="ASR210" s="394"/>
      <c r="ASS210" s="394"/>
      <c r="AST210" s="394"/>
      <c r="ASU210" s="394"/>
      <c r="ASV210" s="394"/>
      <c r="ASW210" s="394"/>
      <c r="ASX210" s="394"/>
      <c r="ASY210" s="394"/>
      <c r="ASZ210" s="394"/>
      <c r="ATA210" s="394"/>
      <c r="ATB210" s="394"/>
      <c r="ATC210" s="394"/>
      <c r="ATD210" s="394"/>
      <c r="ATE210" s="394"/>
      <c r="ATF210" s="394"/>
      <c r="ATG210" s="394"/>
      <c r="ATH210" s="394"/>
      <c r="ATI210" s="394"/>
      <c r="ATJ210" s="394"/>
      <c r="ATK210" s="394"/>
      <c r="ATL210" s="394"/>
      <c r="ATM210" s="394"/>
      <c r="ATN210" s="394"/>
      <c r="ATO210" s="394"/>
      <c r="ATP210" s="394"/>
      <c r="ATQ210" s="394"/>
      <c r="ATR210" s="394"/>
      <c r="ATS210" s="394"/>
      <c r="ATT210" s="394"/>
      <c r="ATU210" s="394"/>
      <c r="ATV210" s="394"/>
      <c r="ATW210" s="394"/>
      <c r="ATX210" s="394"/>
      <c r="ATY210" s="394"/>
      <c r="ATZ210" s="394"/>
      <c r="AUA210" s="394"/>
      <c r="AUB210" s="394"/>
      <c r="AUC210" s="394"/>
      <c r="AUD210" s="394"/>
      <c r="AUE210" s="394"/>
      <c r="AUF210" s="394"/>
      <c r="AUG210" s="394"/>
      <c r="AUH210" s="394"/>
      <c r="AUI210" s="394"/>
      <c r="AUJ210" s="394"/>
      <c r="AUK210" s="394"/>
      <c r="AUL210" s="394"/>
      <c r="AUM210" s="394"/>
      <c r="AUN210" s="394"/>
      <c r="AUO210" s="394"/>
      <c r="AUP210" s="394"/>
      <c r="AUQ210" s="394"/>
      <c r="AUR210" s="394"/>
      <c r="AUS210" s="394"/>
      <c r="AUT210" s="394"/>
      <c r="AUU210" s="394"/>
      <c r="AUV210" s="394"/>
      <c r="AUW210" s="394"/>
      <c r="AUX210" s="394"/>
      <c r="AUY210" s="394"/>
      <c r="AUZ210" s="394"/>
      <c r="AVA210" s="394"/>
      <c r="AVB210" s="394"/>
      <c r="AVC210" s="394"/>
      <c r="AVD210" s="394"/>
      <c r="AVE210" s="394"/>
      <c r="AVF210" s="394"/>
      <c r="AVG210" s="394"/>
      <c r="AVH210" s="394"/>
      <c r="AVI210" s="394"/>
      <c r="AVJ210" s="394"/>
      <c r="AVK210" s="394"/>
      <c r="AVL210" s="394"/>
      <c r="AVM210" s="394"/>
      <c r="AVN210" s="394"/>
      <c r="AVO210" s="394"/>
      <c r="AVP210" s="394"/>
      <c r="AVQ210" s="394"/>
      <c r="AVR210" s="394"/>
      <c r="AVS210" s="394"/>
      <c r="AVT210" s="394"/>
      <c r="AVU210" s="394"/>
      <c r="AVV210" s="394"/>
      <c r="AVW210" s="394"/>
      <c r="AVX210" s="394"/>
      <c r="AVY210" s="394"/>
      <c r="AVZ210" s="394"/>
      <c r="AWA210" s="394"/>
      <c r="AWB210" s="394"/>
      <c r="AWC210" s="394"/>
      <c r="AWD210" s="394"/>
      <c r="AWE210" s="394"/>
      <c r="AWF210" s="394"/>
      <c r="AWG210" s="394"/>
      <c r="AWH210" s="394"/>
      <c r="AWI210" s="394"/>
      <c r="AWJ210" s="394"/>
      <c r="AWK210" s="394"/>
      <c r="AWL210" s="394"/>
      <c r="AWM210" s="394"/>
      <c r="AWN210" s="394"/>
      <c r="AWO210" s="394"/>
      <c r="AWP210" s="394"/>
      <c r="AWQ210" s="394"/>
      <c r="AWR210" s="394"/>
      <c r="AWS210" s="394"/>
      <c r="AWT210" s="394"/>
      <c r="AWU210" s="394"/>
      <c r="AWV210" s="394"/>
      <c r="AWW210" s="394"/>
      <c r="AWX210" s="394"/>
      <c r="AWY210" s="394"/>
      <c r="AWZ210" s="394"/>
      <c r="AXA210" s="394"/>
      <c r="AXB210" s="394"/>
      <c r="AXC210" s="394"/>
      <c r="AXD210" s="394"/>
      <c r="AXE210" s="394"/>
      <c r="AXF210" s="394"/>
      <c r="AXG210" s="394"/>
      <c r="AXH210" s="394"/>
      <c r="AXI210" s="394"/>
      <c r="AXJ210" s="394"/>
      <c r="AXK210" s="394"/>
      <c r="AXL210" s="394"/>
      <c r="AXM210" s="394"/>
      <c r="AXN210" s="394"/>
      <c r="AXO210" s="394"/>
      <c r="AXP210" s="394"/>
      <c r="AXQ210" s="394"/>
      <c r="AXR210" s="394"/>
      <c r="AXS210" s="394"/>
      <c r="AXT210" s="394"/>
      <c r="AXU210" s="394"/>
      <c r="AXV210" s="394"/>
      <c r="AXW210" s="394"/>
      <c r="AXX210" s="394"/>
      <c r="AXY210" s="394"/>
      <c r="AXZ210" s="394"/>
      <c r="AYA210" s="394"/>
      <c r="AYB210" s="394"/>
      <c r="AYC210" s="394"/>
      <c r="AYD210" s="394"/>
      <c r="AYE210" s="394"/>
      <c r="AYF210" s="394"/>
      <c r="AYG210" s="394"/>
      <c r="AYH210" s="394"/>
      <c r="AYI210" s="394"/>
      <c r="AYJ210" s="394"/>
      <c r="AYK210" s="394"/>
      <c r="AYL210" s="394"/>
      <c r="AYM210" s="394"/>
      <c r="AYN210" s="394"/>
      <c r="AYO210" s="394"/>
      <c r="AYP210" s="394"/>
      <c r="AYQ210" s="394"/>
      <c r="AYR210" s="394"/>
      <c r="AYS210" s="394"/>
      <c r="AYT210" s="394"/>
      <c r="AYU210" s="394"/>
      <c r="AYV210" s="394"/>
      <c r="AYW210" s="394"/>
      <c r="AYX210" s="394"/>
      <c r="AYY210" s="394"/>
      <c r="AYZ210" s="394"/>
      <c r="AZA210" s="394"/>
      <c r="AZB210" s="394"/>
      <c r="AZC210" s="394"/>
      <c r="AZD210" s="394"/>
      <c r="AZE210" s="394"/>
      <c r="AZF210" s="394"/>
      <c r="AZG210" s="394"/>
      <c r="AZH210" s="394"/>
      <c r="AZI210" s="394"/>
      <c r="AZJ210" s="394"/>
      <c r="AZK210" s="394"/>
      <c r="AZL210" s="394"/>
      <c r="AZM210" s="394"/>
      <c r="AZN210" s="394"/>
      <c r="AZO210" s="394"/>
      <c r="AZP210" s="394"/>
      <c r="AZQ210" s="394"/>
      <c r="AZR210" s="394"/>
      <c r="AZS210" s="394"/>
      <c r="AZT210" s="394"/>
      <c r="AZU210" s="394"/>
      <c r="AZV210" s="394"/>
      <c r="AZW210" s="394"/>
      <c r="AZX210" s="394"/>
      <c r="AZY210" s="394"/>
      <c r="AZZ210" s="394"/>
      <c r="BAA210" s="394"/>
      <c r="BAB210" s="394"/>
      <c r="BAC210" s="394"/>
      <c r="BAD210" s="394"/>
      <c r="BAE210" s="394"/>
      <c r="BAF210" s="394"/>
      <c r="BAG210" s="394"/>
      <c r="BAH210" s="394"/>
      <c r="BAI210" s="394"/>
      <c r="BAJ210" s="394"/>
      <c r="BAK210" s="394"/>
      <c r="BAL210" s="394"/>
      <c r="BAM210" s="394"/>
      <c r="BAN210" s="394"/>
      <c r="BAO210" s="394"/>
      <c r="BAP210" s="394"/>
      <c r="BAQ210" s="394"/>
      <c r="BAR210" s="394"/>
      <c r="BAS210" s="394"/>
      <c r="BAT210" s="394"/>
      <c r="BAU210" s="394"/>
      <c r="BAV210" s="394"/>
      <c r="BAW210" s="394"/>
      <c r="BAX210" s="394"/>
      <c r="BAY210" s="394"/>
      <c r="BAZ210" s="394"/>
      <c r="BBA210" s="394"/>
      <c r="BBB210" s="394"/>
      <c r="BBC210" s="394"/>
      <c r="BBD210" s="394"/>
      <c r="BBE210" s="394"/>
      <c r="BBF210" s="394"/>
      <c r="BBG210" s="394"/>
      <c r="BBH210" s="394"/>
      <c r="BBI210" s="394"/>
      <c r="BBJ210" s="394"/>
      <c r="BBK210" s="394"/>
      <c r="BBL210" s="394"/>
      <c r="BBM210" s="394"/>
      <c r="BBN210" s="394"/>
      <c r="BBO210" s="394"/>
      <c r="BBP210" s="394"/>
      <c r="BBQ210" s="394"/>
      <c r="BBR210" s="394"/>
      <c r="BBS210" s="394"/>
      <c r="BBT210" s="394"/>
      <c r="BBU210" s="394"/>
      <c r="BBV210" s="394"/>
      <c r="BBW210" s="394"/>
      <c r="BBX210" s="394"/>
      <c r="BBY210" s="394"/>
      <c r="BBZ210" s="394"/>
      <c r="BCA210" s="394"/>
      <c r="BCB210" s="394"/>
      <c r="BCC210" s="394"/>
      <c r="BCD210" s="394"/>
      <c r="BCE210" s="394"/>
      <c r="BCF210" s="394"/>
      <c r="BCG210" s="394"/>
      <c r="BCH210" s="394"/>
      <c r="BCI210" s="394"/>
      <c r="BCJ210" s="394"/>
      <c r="BCK210" s="394"/>
      <c r="BCL210" s="394"/>
      <c r="BCM210" s="394"/>
      <c r="BCN210" s="394"/>
      <c r="BCO210" s="394"/>
      <c r="BCP210" s="394"/>
      <c r="BCQ210" s="394"/>
      <c r="BCR210" s="394"/>
      <c r="BCS210" s="394"/>
      <c r="BCT210" s="394"/>
      <c r="BCU210" s="394"/>
      <c r="BCV210" s="394"/>
      <c r="BCW210" s="394"/>
      <c r="BCX210" s="394"/>
      <c r="BCY210" s="394"/>
      <c r="BCZ210" s="394"/>
      <c r="BDA210" s="394"/>
      <c r="BDB210" s="394"/>
      <c r="BDC210" s="394"/>
      <c r="BDD210" s="394"/>
      <c r="BDE210" s="394"/>
      <c r="BDF210" s="394"/>
      <c r="BDG210" s="394"/>
      <c r="BDH210" s="394"/>
      <c r="BDI210" s="394"/>
      <c r="BDJ210" s="394"/>
      <c r="BDK210" s="394"/>
      <c r="BDL210" s="394"/>
      <c r="BDM210" s="394"/>
      <c r="BDN210" s="394"/>
      <c r="BDO210" s="394"/>
      <c r="BDP210" s="394"/>
      <c r="BDQ210" s="394"/>
      <c r="BDR210" s="394"/>
      <c r="BDS210" s="394"/>
      <c r="BDT210" s="394"/>
      <c r="BDU210" s="394"/>
      <c r="BDV210" s="394"/>
      <c r="BDW210" s="394"/>
      <c r="BDX210" s="394"/>
      <c r="BDY210" s="394"/>
      <c r="BDZ210" s="394"/>
      <c r="BEA210" s="394"/>
      <c r="BEB210" s="394"/>
      <c r="BEC210" s="394"/>
      <c r="BED210" s="394"/>
      <c r="BEE210" s="394"/>
      <c r="BEF210" s="394"/>
      <c r="BEG210" s="394"/>
      <c r="BEH210" s="394"/>
      <c r="BEI210" s="394"/>
      <c r="BEJ210" s="394"/>
      <c r="BEK210" s="394"/>
      <c r="BEL210" s="394"/>
      <c r="BEM210" s="394"/>
      <c r="BEN210" s="394"/>
      <c r="BEO210" s="394"/>
      <c r="BEP210" s="394"/>
      <c r="BEQ210" s="394"/>
      <c r="BER210" s="394"/>
      <c r="BES210" s="394"/>
      <c r="BET210" s="394"/>
      <c r="BEU210" s="394"/>
      <c r="BEV210" s="394"/>
      <c r="BEW210" s="394"/>
      <c r="BEX210" s="394"/>
      <c r="BEY210" s="394"/>
      <c r="BEZ210" s="394"/>
      <c r="BFA210" s="394"/>
      <c r="BFB210" s="394"/>
      <c r="BFC210" s="394"/>
      <c r="BFD210" s="394"/>
      <c r="BFE210" s="394"/>
      <c r="BFF210" s="394"/>
      <c r="BFG210" s="394"/>
      <c r="BFH210" s="394"/>
      <c r="BFI210" s="394"/>
      <c r="BFJ210" s="394"/>
      <c r="BFK210" s="394"/>
      <c r="BFL210" s="394"/>
      <c r="BFM210" s="394"/>
      <c r="BFN210" s="394"/>
      <c r="BFO210" s="394"/>
      <c r="BFP210" s="394"/>
      <c r="BFQ210" s="394"/>
      <c r="BFR210" s="394"/>
      <c r="BFS210" s="394"/>
      <c r="BFT210" s="394"/>
      <c r="BFU210" s="394"/>
      <c r="BFV210" s="394"/>
      <c r="BFW210" s="394"/>
      <c r="BFX210" s="394"/>
      <c r="BFY210" s="394"/>
      <c r="BFZ210" s="394"/>
      <c r="BGA210" s="394"/>
      <c r="BGB210" s="394"/>
      <c r="BGC210" s="394"/>
      <c r="BGD210" s="394"/>
      <c r="BGE210" s="394"/>
      <c r="BGF210" s="394"/>
      <c r="BGG210" s="394"/>
      <c r="BGH210" s="394"/>
      <c r="BGI210" s="394"/>
      <c r="BGJ210" s="394"/>
      <c r="BGK210" s="394"/>
      <c r="BGL210" s="394"/>
      <c r="BGM210" s="394"/>
      <c r="BGN210" s="394"/>
      <c r="BGO210" s="394"/>
      <c r="BGP210" s="394"/>
      <c r="BGQ210" s="394"/>
      <c r="BGR210" s="394"/>
      <c r="BGS210" s="394"/>
      <c r="BGT210" s="394"/>
      <c r="BGU210" s="394"/>
      <c r="BGV210" s="394"/>
      <c r="BGW210" s="394"/>
      <c r="BGX210" s="394"/>
      <c r="BGY210" s="394"/>
      <c r="BGZ210" s="394"/>
      <c r="BHA210" s="394"/>
      <c r="BHB210" s="394"/>
      <c r="BHC210" s="394"/>
      <c r="BHD210" s="394"/>
      <c r="BHE210" s="394"/>
      <c r="BHF210" s="394"/>
      <c r="BHG210" s="394"/>
      <c r="BHH210" s="394"/>
      <c r="BHI210" s="394"/>
      <c r="BHJ210" s="394"/>
      <c r="BHK210" s="394"/>
      <c r="BHL210" s="394"/>
      <c r="BHM210" s="394"/>
      <c r="BHN210" s="394"/>
      <c r="BHO210" s="394"/>
      <c r="BHP210" s="394"/>
      <c r="BHQ210" s="394"/>
      <c r="BHR210" s="394"/>
      <c r="BHS210" s="394"/>
      <c r="BHT210" s="394"/>
      <c r="BHU210" s="394"/>
      <c r="BHV210" s="394"/>
      <c r="BHW210" s="394"/>
      <c r="BHX210" s="394"/>
      <c r="BHY210" s="394"/>
      <c r="BHZ210" s="394"/>
      <c r="BIA210" s="394"/>
      <c r="BIB210" s="394"/>
      <c r="BIC210" s="394"/>
      <c r="BID210" s="394"/>
      <c r="BIE210" s="394"/>
      <c r="BIF210" s="394"/>
      <c r="BIG210" s="394"/>
      <c r="BIH210" s="394"/>
      <c r="BII210" s="394"/>
      <c r="BIJ210" s="394"/>
      <c r="BIK210" s="394"/>
      <c r="BIL210" s="394"/>
      <c r="BIM210" s="394"/>
      <c r="BIN210" s="394"/>
      <c r="BIO210" s="394"/>
      <c r="BIP210" s="394"/>
      <c r="BIQ210" s="394"/>
      <c r="BIR210" s="394"/>
      <c r="BIS210" s="394"/>
      <c r="BIT210" s="394"/>
      <c r="BIU210" s="394"/>
      <c r="BIV210" s="394"/>
      <c r="BIW210" s="394"/>
      <c r="BIX210" s="394"/>
      <c r="BIY210" s="394"/>
      <c r="BIZ210" s="394"/>
      <c r="BJA210" s="394"/>
      <c r="BJB210" s="394"/>
      <c r="BJC210" s="394"/>
      <c r="BJD210" s="394"/>
      <c r="BJE210" s="394"/>
      <c r="BJF210" s="394"/>
      <c r="BJG210" s="394"/>
      <c r="BJH210" s="394"/>
      <c r="BJI210" s="394"/>
      <c r="BJJ210" s="394"/>
      <c r="BJK210" s="394"/>
      <c r="BJL210" s="394"/>
      <c r="BJM210" s="394"/>
      <c r="BJN210" s="394"/>
      <c r="BJO210" s="394"/>
      <c r="BJP210" s="394"/>
      <c r="BJQ210" s="394"/>
      <c r="BJR210" s="394"/>
      <c r="BJS210" s="394"/>
      <c r="BJT210" s="394"/>
      <c r="BJU210" s="394"/>
      <c r="BJV210" s="394"/>
      <c r="BJW210" s="394"/>
      <c r="BJX210" s="394"/>
      <c r="BJY210" s="394"/>
      <c r="BJZ210" s="394"/>
      <c r="BKA210" s="394"/>
      <c r="BKB210" s="394"/>
      <c r="BKC210" s="394"/>
      <c r="BKD210" s="394"/>
      <c r="BKE210" s="394"/>
      <c r="BKF210" s="394"/>
      <c r="BKG210" s="394"/>
      <c r="BKH210" s="394"/>
      <c r="BKI210" s="394"/>
      <c r="BKJ210" s="394"/>
      <c r="BKK210" s="394"/>
      <c r="BKL210" s="394"/>
      <c r="BKM210" s="394"/>
      <c r="BKN210" s="394"/>
      <c r="BKO210" s="394"/>
      <c r="BKP210" s="394"/>
      <c r="BKQ210" s="394"/>
      <c r="BKR210" s="394"/>
      <c r="BKS210" s="394"/>
      <c r="BKT210" s="394"/>
      <c r="BKU210" s="394"/>
      <c r="BKV210" s="394"/>
      <c r="BKW210" s="394"/>
      <c r="BKX210" s="394"/>
      <c r="BKY210" s="394"/>
      <c r="BKZ210" s="394"/>
      <c r="BLA210" s="394"/>
      <c r="BLB210" s="394"/>
      <c r="BLC210" s="394"/>
      <c r="BLD210" s="394"/>
      <c r="BLE210" s="394"/>
      <c r="BLF210" s="394"/>
      <c r="BLG210" s="394"/>
      <c r="BLH210" s="394"/>
      <c r="BLI210" s="394"/>
      <c r="BLJ210" s="394"/>
      <c r="BLK210" s="394"/>
      <c r="BLL210" s="394"/>
      <c r="BLM210" s="394"/>
      <c r="BLN210" s="394"/>
      <c r="BLO210" s="394"/>
      <c r="BLP210" s="394"/>
      <c r="BLQ210" s="394"/>
      <c r="BLR210" s="394"/>
      <c r="BLS210" s="394"/>
      <c r="BLT210" s="394"/>
      <c r="BLU210" s="394"/>
      <c r="BLV210" s="394"/>
      <c r="BLW210" s="394"/>
      <c r="BLX210" s="394"/>
      <c r="BLY210" s="394"/>
      <c r="BLZ210" s="394"/>
      <c r="BMA210" s="394"/>
      <c r="BMB210" s="394"/>
      <c r="BMC210" s="394"/>
      <c r="BMD210" s="394"/>
      <c r="BME210" s="394"/>
      <c r="BMF210" s="394"/>
      <c r="BMG210" s="394"/>
      <c r="BMH210" s="394"/>
      <c r="BMI210" s="394"/>
      <c r="BMJ210" s="394"/>
      <c r="BMK210" s="394"/>
      <c r="BML210" s="394"/>
      <c r="BMM210" s="394"/>
      <c r="BMN210" s="394"/>
      <c r="BMO210" s="394"/>
      <c r="BMP210" s="394"/>
      <c r="BMQ210" s="394"/>
      <c r="BMR210" s="394"/>
      <c r="BMS210" s="394"/>
      <c r="BMT210" s="394"/>
      <c r="BMU210" s="394"/>
      <c r="BMV210" s="394"/>
      <c r="BMW210" s="394"/>
      <c r="BMX210" s="394"/>
      <c r="BMY210" s="394"/>
      <c r="BMZ210" s="394"/>
      <c r="BNA210" s="394"/>
      <c r="BNB210" s="394"/>
      <c r="BNC210" s="394"/>
      <c r="BND210" s="394"/>
      <c r="BNE210" s="394"/>
      <c r="BNF210" s="394"/>
      <c r="BNG210" s="394"/>
      <c r="BNH210" s="394"/>
      <c r="BNI210" s="394"/>
      <c r="BNJ210" s="394"/>
      <c r="BNK210" s="394"/>
      <c r="BNL210" s="394"/>
      <c r="BNM210" s="394"/>
      <c r="BNN210" s="394"/>
      <c r="BNO210" s="394"/>
      <c r="BNP210" s="394"/>
      <c r="BNQ210" s="394"/>
      <c r="BNR210" s="394"/>
      <c r="BNS210" s="394"/>
      <c r="BNT210" s="394"/>
      <c r="BNU210" s="394"/>
      <c r="BNV210" s="394"/>
      <c r="BNW210" s="394"/>
      <c r="BNX210" s="394"/>
      <c r="BNY210" s="394"/>
      <c r="BNZ210" s="394"/>
      <c r="BOA210" s="394"/>
      <c r="BOB210" s="394"/>
      <c r="BOC210" s="394"/>
      <c r="BOD210" s="394"/>
      <c r="BOE210" s="394"/>
      <c r="BOF210" s="394"/>
      <c r="BOG210" s="394"/>
      <c r="BOH210" s="394"/>
      <c r="BOI210" s="394"/>
      <c r="BOJ210" s="394"/>
      <c r="BOK210" s="394"/>
      <c r="BOL210" s="394"/>
      <c r="BOM210" s="394"/>
      <c r="BON210" s="394"/>
      <c r="BOO210" s="394"/>
      <c r="BOP210" s="394"/>
      <c r="BOQ210" s="394"/>
      <c r="BOR210" s="394"/>
      <c r="BOS210" s="394"/>
      <c r="BOT210" s="394"/>
      <c r="BOU210" s="394"/>
      <c r="BOV210" s="394"/>
      <c r="BOW210" s="394"/>
      <c r="BOX210" s="394"/>
      <c r="BOY210" s="394"/>
      <c r="BOZ210" s="394"/>
      <c r="BPA210" s="394"/>
      <c r="BPB210" s="394"/>
      <c r="BPC210" s="394"/>
      <c r="BPD210" s="394"/>
      <c r="BPE210" s="394"/>
      <c r="BPF210" s="394"/>
      <c r="BPG210" s="394"/>
      <c r="BPH210" s="394"/>
      <c r="BPI210" s="394"/>
      <c r="BPJ210" s="394"/>
      <c r="BPK210" s="394"/>
      <c r="BPL210" s="394"/>
      <c r="BPM210" s="394"/>
      <c r="BPN210" s="394"/>
      <c r="BPO210" s="394"/>
      <c r="BPP210" s="394"/>
      <c r="BPQ210" s="394"/>
      <c r="BPR210" s="394"/>
      <c r="BPS210" s="394"/>
      <c r="BPT210" s="394"/>
      <c r="BPU210" s="394"/>
      <c r="BPV210" s="394"/>
      <c r="BPW210" s="394"/>
      <c r="BPX210" s="394"/>
      <c r="BPY210" s="394"/>
      <c r="BPZ210" s="394"/>
      <c r="BQA210" s="394"/>
      <c r="BQB210" s="394"/>
      <c r="BQC210" s="394"/>
      <c r="BQD210" s="394"/>
      <c r="BQE210" s="394"/>
      <c r="BQF210" s="394"/>
      <c r="BQG210" s="394"/>
      <c r="BQH210" s="394"/>
      <c r="BQI210" s="394"/>
      <c r="BQJ210" s="394"/>
      <c r="BQK210" s="394"/>
      <c r="BQL210" s="394"/>
      <c r="BQM210" s="394"/>
      <c r="BQN210" s="394"/>
      <c r="BQO210" s="394"/>
      <c r="BQP210" s="394"/>
      <c r="BQQ210" s="394"/>
      <c r="BQR210" s="394"/>
      <c r="BQS210" s="394"/>
      <c r="BQT210" s="394"/>
      <c r="BQU210" s="394"/>
      <c r="BQV210" s="394"/>
      <c r="BQW210" s="394"/>
      <c r="BQX210" s="394"/>
      <c r="BQY210" s="394"/>
      <c r="BQZ210" s="394"/>
      <c r="BRA210" s="394"/>
      <c r="BRB210" s="394"/>
      <c r="BRC210" s="394"/>
      <c r="BRD210" s="394"/>
      <c r="BRE210" s="394"/>
      <c r="BRF210" s="394"/>
      <c r="BRG210" s="394"/>
      <c r="BRH210" s="394"/>
      <c r="BRI210" s="394"/>
      <c r="BRJ210" s="394"/>
      <c r="BRK210" s="394"/>
      <c r="BRL210" s="394"/>
      <c r="BRM210" s="394"/>
      <c r="BRN210" s="394"/>
      <c r="BRO210" s="394"/>
      <c r="BRP210" s="394"/>
      <c r="BRQ210" s="394"/>
      <c r="BRR210" s="394"/>
      <c r="BRS210" s="394"/>
      <c r="BRT210" s="394"/>
      <c r="BRU210" s="394"/>
      <c r="BRV210" s="394"/>
      <c r="BRW210" s="394"/>
      <c r="BRX210" s="394"/>
      <c r="BRY210" s="394"/>
      <c r="BRZ210" s="394"/>
      <c r="BSA210" s="394"/>
      <c r="BSB210" s="394"/>
      <c r="BSC210" s="394"/>
      <c r="BSD210" s="394"/>
      <c r="BSE210" s="394"/>
      <c r="BSF210" s="394"/>
      <c r="BSG210" s="394"/>
      <c r="BSH210" s="394"/>
      <c r="BSI210" s="394"/>
      <c r="BSJ210" s="394"/>
      <c r="BSK210" s="394"/>
      <c r="BSL210" s="394"/>
      <c r="BSM210" s="394"/>
      <c r="BSN210" s="394"/>
      <c r="BSO210" s="394"/>
      <c r="BSP210" s="394"/>
      <c r="BSQ210" s="394"/>
      <c r="BSR210" s="394"/>
      <c r="BSS210" s="394"/>
      <c r="BST210" s="394"/>
      <c r="BSU210" s="394"/>
      <c r="BSV210" s="394"/>
      <c r="BSW210" s="394"/>
      <c r="BSX210" s="394"/>
      <c r="BSY210" s="394"/>
      <c r="BSZ210" s="394"/>
      <c r="BTA210" s="394"/>
      <c r="BTB210" s="394"/>
      <c r="BTC210" s="394"/>
      <c r="BTD210" s="394"/>
      <c r="BTE210" s="394"/>
      <c r="BTF210" s="394"/>
      <c r="BTG210" s="394"/>
      <c r="BTH210" s="394"/>
      <c r="BTI210" s="394"/>
    </row>
    <row r="211" spans="1:1881" s="391" customFormat="1" ht="79.5" customHeight="1" x14ac:dyDescent="0.25">
      <c r="A211" s="188">
        <v>602</v>
      </c>
      <c r="B211" s="150" t="s">
        <v>66</v>
      </c>
      <c r="C211" s="150" t="s">
        <v>601</v>
      </c>
      <c r="D211" s="249" t="s">
        <v>789</v>
      </c>
      <c r="E211" s="32" t="e">
        <f>HLOOKUP($D$2,'2019 Data(H)'!$C$1:$CP$300,262,FALSE)</f>
        <v>#N/A</v>
      </c>
      <c r="F211" s="589"/>
      <c r="G211" s="561" t="str">
        <f>IF(ISBLANK(F211),"Please do not leave blank","")</f>
        <v>Please do not leave blank</v>
      </c>
      <c r="H211" s="363">
        <f>IF(F211&lt;0,"Note: Number is normally positive.",)</f>
        <v>0</v>
      </c>
      <c r="I211" s="31"/>
      <c r="J211" s="365"/>
      <c r="K211" s="394"/>
      <c r="L211" s="394"/>
      <c r="M211" s="394"/>
      <c r="N211"/>
      <c r="O211" s="394"/>
      <c r="P211" s="394"/>
      <c r="Q211" s="394"/>
      <c r="R211" s="394"/>
      <c r="S211" s="394"/>
      <c r="T211" s="394"/>
      <c r="U211" s="394"/>
      <c r="V211" s="394"/>
      <c r="W211" s="394"/>
      <c r="X211" s="394"/>
      <c r="Y211" s="394"/>
      <c r="Z211" s="394"/>
      <c r="AA211" s="394"/>
      <c r="AB211" s="394"/>
      <c r="AC211" s="394"/>
      <c r="AD211" s="394"/>
      <c r="AE211" s="394"/>
      <c r="AF211" s="394"/>
      <c r="AG211" s="394"/>
      <c r="AH211" s="394"/>
      <c r="AI211" s="394"/>
      <c r="AJ211" s="394"/>
      <c r="AK211" s="394"/>
      <c r="AL211" s="394"/>
      <c r="AM211" s="394"/>
      <c r="AN211" s="394"/>
      <c r="AO211" s="394"/>
      <c r="AP211" s="394"/>
      <c r="AQ211" s="394"/>
      <c r="AR211" s="394"/>
      <c r="AS211" s="394"/>
      <c r="AT211" s="394"/>
      <c r="AU211" s="394"/>
      <c r="AV211" s="394"/>
      <c r="AW211" s="394"/>
      <c r="AX211" s="394"/>
      <c r="AY211" s="394"/>
      <c r="AZ211" s="394"/>
      <c r="BA211" s="394"/>
      <c r="BB211" s="394"/>
      <c r="BC211" s="394"/>
      <c r="BD211" s="394"/>
      <c r="BE211" s="394"/>
      <c r="BF211" s="394"/>
      <c r="BG211" s="394"/>
      <c r="BH211" s="394"/>
      <c r="BI211" s="394"/>
      <c r="BJ211" s="394"/>
      <c r="BK211" s="394"/>
      <c r="BL211" s="394"/>
      <c r="BM211" s="394"/>
      <c r="BN211" s="394"/>
      <c r="BO211" s="394"/>
      <c r="BP211" s="394"/>
      <c r="BQ211" s="394"/>
      <c r="BR211" s="394"/>
      <c r="BS211" s="394"/>
      <c r="BT211" s="394"/>
      <c r="BU211" s="394"/>
      <c r="BV211" s="394"/>
      <c r="BW211" s="394"/>
      <c r="BX211" s="394"/>
      <c r="BY211" s="394"/>
      <c r="BZ211" s="394"/>
      <c r="CA211" s="394"/>
      <c r="CB211" s="394"/>
      <c r="CC211" s="394"/>
      <c r="CD211" s="394"/>
      <c r="CE211" s="394"/>
      <c r="CF211" s="394"/>
      <c r="CG211" s="394"/>
      <c r="CH211" s="394"/>
      <c r="CI211" s="394"/>
      <c r="CJ211" s="394"/>
      <c r="CK211" s="394"/>
      <c r="CL211" s="394"/>
      <c r="CM211" s="394"/>
      <c r="CN211" s="394"/>
      <c r="CO211" s="394"/>
      <c r="CP211" s="394"/>
      <c r="CQ211" s="394"/>
      <c r="CR211" s="394"/>
      <c r="CS211" s="394"/>
      <c r="CT211" s="394"/>
      <c r="CU211" s="394"/>
      <c r="CV211" s="394"/>
      <c r="CW211" s="394"/>
      <c r="CX211" s="394"/>
      <c r="CY211" s="394"/>
      <c r="CZ211" s="394"/>
      <c r="DA211" s="394"/>
      <c r="DB211" s="394"/>
      <c r="DC211" s="394"/>
      <c r="DD211" s="394"/>
      <c r="DE211" s="394"/>
      <c r="DF211" s="394"/>
      <c r="DG211" s="394"/>
      <c r="DH211" s="394"/>
      <c r="DI211" s="394"/>
      <c r="DJ211" s="394"/>
      <c r="DK211" s="394"/>
      <c r="DL211" s="394"/>
      <c r="DM211" s="394"/>
      <c r="DN211" s="394"/>
      <c r="DO211" s="394"/>
      <c r="DP211" s="394"/>
      <c r="DQ211" s="394"/>
      <c r="DR211" s="394"/>
      <c r="DS211" s="394"/>
      <c r="DT211" s="394"/>
      <c r="DU211" s="394"/>
      <c r="DV211" s="394"/>
      <c r="DW211" s="394"/>
      <c r="DX211" s="394"/>
      <c r="DY211" s="394"/>
      <c r="DZ211" s="394"/>
      <c r="EA211" s="394"/>
      <c r="EB211" s="394"/>
      <c r="EC211" s="394"/>
      <c r="ED211" s="394"/>
      <c r="EE211" s="394"/>
      <c r="EF211" s="394"/>
      <c r="EG211" s="394"/>
      <c r="EH211" s="394"/>
      <c r="EI211" s="394"/>
      <c r="EJ211" s="394"/>
      <c r="EK211" s="394"/>
      <c r="EL211" s="394"/>
      <c r="EM211" s="394"/>
      <c r="EN211" s="394"/>
      <c r="EO211" s="394"/>
      <c r="EP211" s="394"/>
      <c r="EQ211" s="394"/>
      <c r="ER211" s="394"/>
      <c r="ES211" s="394"/>
      <c r="ET211" s="394"/>
      <c r="EU211" s="394"/>
      <c r="EV211" s="394"/>
      <c r="EW211" s="394"/>
      <c r="EX211" s="394"/>
      <c r="EY211" s="394"/>
      <c r="EZ211" s="394"/>
      <c r="FA211" s="394"/>
      <c r="FB211" s="394"/>
      <c r="FC211" s="394"/>
      <c r="FD211" s="394"/>
      <c r="FE211" s="394"/>
      <c r="FF211" s="394"/>
      <c r="FG211" s="394"/>
      <c r="FH211" s="394"/>
      <c r="FI211" s="394"/>
      <c r="FJ211" s="394"/>
      <c r="FK211" s="394"/>
      <c r="FL211" s="394"/>
      <c r="FM211" s="394"/>
      <c r="FN211" s="394"/>
      <c r="FO211" s="394"/>
      <c r="FP211" s="394"/>
      <c r="FQ211" s="394"/>
      <c r="FR211" s="394"/>
      <c r="FS211" s="394"/>
      <c r="FT211" s="394"/>
      <c r="FU211" s="394"/>
      <c r="FV211" s="394"/>
      <c r="FW211" s="394"/>
      <c r="FX211" s="394"/>
      <c r="FY211" s="394"/>
      <c r="FZ211" s="394"/>
      <c r="GA211" s="394"/>
      <c r="GB211" s="394"/>
      <c r="GC211" s="394"/>
      <c r="GD211" s="394"/>
      <c r="GE211" s="394"/>
      <c r="GF211" s="394"/>
      <c r="GG211" s="394"/>
      <c r="GH211" s="394"/>
      <c r="GI211" s="394"/>
      <c r="GJ211" s="394"/>
      <c r="GK211" s="394"/>
      <c r="GL211" s="394"/>
      <c r="GM211" s="394"/>
      <c r="GN211" s="394"/>
      <c r="GO211" s="394"/>
      <c r="GP211" s="394"/>
      <c r="GQ211" s="394"/>
      <c r="GR211" s="394"/>
      <c r="GS211" s="394"/>
      <c r="GT211" s="394"/>
      <c r="GU211" s="394"/>
      <c r="GV211" s="394"/>
      <c r="GW211" s="394"/>
      <c r="GX211" s="394"/>
      <c r="GY211" s="394"/>
      <c r="GZ211" s="394"/>
      <c r="HA211" s="394"/>
      <c r="HB211" s="394"/>
      <c r="HC211" s="394"/>
      <c r="HD211" s="394"/>
      <c r="HE211" s="394"/>
      <c r="HF211" s="394"/>
      <c r="HG211" s="394"/>
      <c r="HH211" s="394"/>
      <c r="HI211" s="394"/>
      <c r="HJ211" s="394"/>
      <c r="HK211" s="394"/>
      <c r="HL211" s="394"/>
      <c r="HM211" s="394"/>
      <c r="HN211" s="394"/>
      <c r="HO211" s="394"/>
      <c r="HP211" s="394"/>
      <c r="HQ211" s="394"/>
      <c r="HR211" s="394"/>
      <c r="HS211" s="394"/>
      <c r="HT211" s="394"/>
      <c r="HU211" s="394"/>
      <c r="HV211" s="394"/>
      <c r="HW211" s="394"/>
      <c r="HX211" s="394"/>
      <c r="HY211" s="394"/>
      <c r="HZ211" s="394"/>
      <c r="IA211" s="394"/>
      <c r="IB211" s="394"/>
      <c r="IC211" s="394"/>
      <c r="ID211" s="394"/>
      <c r="IE211" s="394"/>
      <c r="IF211" s="394"/>
      <c r="IG211" s="394"/>
      <c r="IH211" s="394"/>
      <c r="II211" s="394"/>
      <c r="IJ211" s="394"/>
      <c r="IK211" s="394"/>
      <c r="IL211" s="394"/>
      <c r="IM211" s="394"/>
      <c r="IN211" s="394"/>
      <c r="IO211" s="394"/>
      <c r="IP211" s="394"/>
      <c r="IQ211" s="394"/>
      <c r="IR211" s="394"/>
      <c r="IS211" s="394"/>
      <c r="IT211" s="394"/>
      <c r="IU211" s="394"/>
      <c r="IV211" s="394"/>
      <c r="IW211" s="394"/>
      <c r="IX211" s="394"/>
      <c r="IY211" s="394"/>
      <c r="IZ211" s="394"/>
      <c r="JA211" s="394"/>
      <c r="JB211" s="394"/>
      <c r="JC211" s="394"/>
      <c r="JD211" s="394"/>
      <c r="JE211" s="394"/>
      <c r="JF211" s="394"/>
      <c r="JG211" s="394"/>
      <c r="JH211" s="394"/>
      <c r="JI211" s="394"/>
      <c r="JJ211" s="394"/>
      <c r="JK211" s="394"/>
      <c r="JL211" s="394"/>
      <c r="JM211" s="394"/>
      <c r="JN211" s="394"/>
      <c r="JO211" s="394"/>
      <c r="JP211" s="394"/>
      <c r="JQ211" s="394"/>
      <c r="JR211" s="394"/>
      <c r="JS211" s="394"/>
      <c r="JT211" s="394"/>
      <c r="JU211" s="394"/>
      <c r="JV211" s="394"/>
      <c r="JW211" s="394"/>
      <c r="JX211" s="394"/>
      <c r="JY211" s="394"/>
      <c r="JZ211" s="394"/>
      <c r="KA211" s="394"/>
      <c r="KB211" s="394"/>
      <c r="KC211" s="394"/>
      <c r="KD211" s="394"/>
      <c r="KE211" s="394"/>
      <c r="KF211" s="394"/>
      <c r="KG211" s="394"/>
      <c r="KH211" s="394"/>
      <c r="KI211" s="394"/>
      <c r="KJ211" s="394"/>
      <c r="KK211" s="394"/>
      <c r="KL211" s="394"/>
      <c r="KM211" s="394"/>
      <c r="KN211" s="394"/>
      <c r="KO211" s="394"/>
      <c r="KP211" s="394"/>
      <c r="KQ211" s="394"/>
      <c r="KR211" s="394"/>
      <c r="KS211" s="394"/>
      <c r="KT211" s="394"/>
      <c r="KU211" s="394"/>
      <c r="KV211" s="394"/>
      <c r="KW211" s="394"/>
      <c r="KX211" s="394"/>
      <c r="KY211" s="394"/>
      <c r="KZ211" s="394"/>
      <c r="LA211" s="394"/>
      <c r="LB211" s="394"/>
      <c r="LC211" s="394"/>
      <c r="LD211" s="394"/>
      <c r="LE211" s="394"/>
      <c r="LF211" s="394"/>
      <c r="LG211" s="394"/>
      <c r="LH211" s="394"/>
      <c r="LI211" s="394"/>
      <c r="LJ211" s="394"/>
      <c r="LK211" s="394"/>
      <c r="LL211" s="394"/>
      <c r="LM211" s="394"/>
      <c r="LN211" s="394"/>
      <c r="LO211" s="394"/>
      <c r="LP211" s="394"/>
      <c r="LQ211" s="394"/>
      <c r="LR211" s="394"/>
      <c r="LS211" s="394"/>
      <c r="LT211" s="394"/>
      <c r="LU211" s="394"/>
      <c r="LV211" s="394"/>
      <c r="LW211" s="394"/>
      <c r="LX211" s="394"/>
      <c r="LY211" s="394"/>
      <c r="LZ211" s="394"/>
      <c r="MA211" s="394"/>
      <c r="MB211" s="394"/>
      <c r="MC211" s="394"/>
      <c r="MD211" s="394"/>
      <c r="ME211" s="394"/>
      <c r="MF211" s="394"/>
      <c r="MG211" s="394"/>
      <c r="MH211" s="394"/>
      <c r="MI211" s="394"/>
      <c r="MJ211" s="394"/>
      <c r="MK211" s="394"/>
      <c r="ML211" s="394"/>
      <c r="MM211" s="394"/>
      <c r="MN211" s="394"/>
      <c r="MO211" s="394"/>
      <c r="MP211" s="394"/>
      <c r="MQ211" s="394"/>
      <c r="MR211" s="394"/>
      <c r="MS211" s="394"/>
      <c r="MT211" s="394"/>
      <c r="MU211" s="394"/>
      <c r="MV211" s="394"/>
      <c r="MW211" s="394"/>
      <c r="MX211" s="394"/>
      <c r="MY211" s="394"/>
      <c r="MZ211" s="394"/>
      <c r="NA211" s="394"/>
      <c r="NB211" s="394"/>
      <c r="NC211" s="394"/>
      <c r="ND211" s="394"/>
      <c r="NE211" s="394"/>
      <c r="NF211" s="394"/>
      <c r="NG211" s="394"/>
      <c r="NH211" s="394"/>
      <c r="NI211" s="394"/>
      <c r="NJ211" s="394"/>
      <c r="NK211" s="394"/>
      <c r="NL211" s="394"/>
      <c r="NM211" s="394"/>
      <c r="NN211" s="394"/>
      <c r="NO211" s="394"/>
      <c r="NP211" s="394"/>
      <c r="NQ211" s="394"/>
      <c r="NR211" s="394"/>
      <c r="NS211" s="394"/>
      <c r="NT211" s="394"/>
      <c r="NU211" s="394"/>
      <c r="NV211" s="394"/>
      <c r="NW211" s="394"/>
      <c r="NX211" s="394"/>
      <c r="NY211" s="394"/>
      <c r="NZ211" s="394"/>
      <c r="OA211" s="394"/>
      <c r="OB211" s="394"/>
      <c r="OC211" s="394"/>
      <c r="OD211" s="394"/>
      <c r="OE211" s="394"/>
      <c r="OF211" s="394"/>
      <c r="OG211" s="394"/>
      <c r="OH211" s="394"/>
      <c r="OI211" s="394"/>
      <c r="OJ211" s="394"/>
      <c r="OK211" s="394"/>
      <c r="OL211" s="394"/>
      <c r="OM211" s="394"/>
      <c r="ON211" s="394"/>
      <c r="OO211" s="394"/>
      <c r="OP211" s="394"/>
      <c r="OQ211" s="394"/>
      <c r="OR211" s="394"/>
      <c r="OS211" s="394"/>
      <c r="OT211" s="394"/>
      <c r="OU211" s="394"/>
      <c r="OV211" s="394"/>
      <c r="OW211" s="394"/>
      <c r="OX211" s="394"/>
      <c r="OY211" s="394"/>
      <c r="OZ211" s="394"/>
      <c r="PA211" s="394"/>
      <c r="PB211" s="394"/>
      <c r="PC211" s="394"/>
      <c r="PD211" s="394"/>
      <c r="PE211" s="394"/>
      <c r="PF211" s="394"/>
      <c r="PG211" s="394"/>
      <c r="PH211" s="394"/>
      <c r="PI211" s="394"/>
      <c r="PJ211" s="394"/>
      <c r="PK211" s="394"/>
      <c r="PL211" s="394"/>
      <c r="PM211" s="394"/>
      <c r="PN211" s="394"/>
      <c r="PO211" s="394"/>
      <c r="PP211" s="394"/>
      <c r="PQ211" s="394"/>
      <c r="PR211" s="394"/>
      <c r="PS211" s="394"/>
      <c r="PT211" s="394"/>
      <c r="PU211" s="394"/>
      <c r="PV211" s="394"/>
      <c r="PW211" s="394"/>
      <c r="PX211" s="394"/>
      <c r="PY211" s="394"/>
      <c r="PZ211" s="394"/>
      <c r="QA211" s="394"/>
      <c r="QB211" s="394"/>
      <c r="QC211" s="394"/>
      <c r="QD211" s="394"/>
      <c r="QE211" s="394"/>
      <c r="QF211" s="394"/>
      <c r="QG211" s="394"/>
      <c r="QH211" s="394"/>
      <c r="QI211" s="394"/>
      <c r="QJ211" s="394"/>
      <c r="QK211" s="394"/>
      <c r="QL211" s="394"/>
      <c r="QM211" s="394"/>
      <c r="QN211" s="394"/>
      <c r="QO211" s="394"/>
      <c r="QP211" s="394"/>
      <c r="QQ211" s="394"/>
      <c r="QR211" s="394"/>
      <c r="QS211" s="394"/>
      <c r="QT211" s="394"/>
      <c r="QU211" s="394"/>
      <c r="QV211" s="394"/>
      <c r="QW211" s="394"/>
      <c r="QX211" s="394"/>
      <c r="QY211" s="394"/>
      <c r="QZ211" s="394"/>
      <c r="RA211" s="394"/>
      <c r="RB211" s="394"/>
      <c r="RC211" s="394"/>
      <c r="RD211" s="394"/>
      <c r="RE211" s="394"/>
      <c r="RF211" s="394"/>
      <c r="RG211" s="394"/>
      <c r="RH211" s="394"/>
      <c r="RI211" s="394"/>
      <c r="RJ211" s="394"/>
      <c r="RK211" s="394"/>
      <c r="RL211" s="394"/>
      <c r="RM211" s="394"/>
      <c r="RN211" s="394"/>
      <c r="RO211" s="394"/>
      <c r="RP211" s="394"/>
      <c r="RQ211" s="394"/>
      <c r="RR211" s="394"/>
      <c r="RS211" s="394"/>
      <c r="RT211" s="394"/>
      <c r="RU211" s="394"/>
      <c r="RV211" s="394"/>
      <c r="RW211" s="394"/>
      <c r="RX211" s="394"/>
      <c r="RY211" s="394"/>
      <c r="RZ211" s="394"/>
      <c r="SA211" s="394"/>
      <c r="SB211" s="394"/>
      <c r="SC211" s="394"/>
      <c r="SD211" s="394"/>
      <c r="SE211" s="394"/>
      <c r="SF211" s="394"/>
      <c r="SG211" s="394"/>
      <c r="SH211" s="394"/>
      <c r="SI211" s="394"/>
      <c r="SJ211" s="394"/>
      <c r="SK211" s="394"/>
      <c r="SL211" s="394"/>
      <c r="SM211" s="394"/>
      <c r="SN211" s="394"/>
      <c r="SO211" s="394"/>
      <c r="SP211" s="394"/>
      <c r="SQ211" s="394"/>
      <c r="SR211" s="394"/>
      <c r="SS211" s="394"/>
      <c r="ST211" s="394"/>
      <c r="SU211" s="394"/>
      <c r="SV211" s="394"/>
      <c r="SW211" s="394"/>
      <c r="SX211" s="394"/>
      <c r="SY211" s="394"/>
      <c r="SZ211" s="394"/>
      <c r="TA211" s="394"/>
      <c r="TB211" s="394"/>
      <c r="TC211" s="394"/>
      <c r="TD211" s="394"/>
      <c r="TE211" s="394"/>
      <c r="TF211" s="394"/>
      <c r="TG211" s="394"/>
      <c r="TH211" s="394"/>
      <c r="TI211" s="394"/>
      <c r="TJ211" s="394"/>
      <c r="TK211" s="394"/>
      <c r="TL211" s="394"/>
      <c r="TM211" s="394"/>
      <c r="TN211" s="394"/>
      <c r="TO211" s="394"/>
      <c r="TP211" s="394"/>
      <c r="TQ211" s="394"/>
      <c r="TR211" s="394"/>
      <c r="TS211" s="394"/>
      <c r="TT211" s="394"/>
      <c r="TU211" s="394"/>
      <c r="TV211" s="394"/>
      <c r="TW211" s="394"/>
      <c r="TX211" s="394"/>
      <c r="TY211" s="394"/>
      <c r="TZ211" s="394"/>
      <c r="UA211" s="394"/>
      <c r="UB211" s="394"/>
      <c r="UC211" s="394"/>
      <c r="UD211" s="394"/>
      <c r="UE211" s="394"/>
      <c r="UF211" s="394"/>
      <c r="UG211" s="394"/>
      <c r="UH211" s="394"/>
      <c r="UI211" s="394"/>
      <c r="UJ211" s="394"/>
      <c r="UK211" s="394"/>
      <c r="UL211" s="394"/>
      <c r="UM211" s="394"/>
      <c r="UN211" s="394"/>
      <c r="UO211" s="394"/>
      <c r="UP211" s="394"/>
      <c r="UQ211" s="394"/>
      <c r="UR211" s="394"/>
      <c r="US211" s="394"/>
      <c r="UT211" s="394"/>
      <c r="UU211" s="394"/>
      <c r="UV211" s="394"/>
      <c r="UW211" s="394"/>
      <c r="UX211" s="394"/>
      <c r="UY211" s="394"/>
      <c r="UZ211" s="394"/>
      <c r="VA211" s="394"/>
      <c r="VB211" s="394"/>
      <c r="VC211" s="394"/>
      <c r="VD211" s="394"/>
      <c r="VE211" s="394"/>
      <c r="VF211" s="394"/>
      <c r="VG211" s="394"/>
      <c r="VH211" s="394"/>
      <c r="VI211" s="394"/>
      <c r="VJ211" s="394"/>
      <c r="VK211" s="394"/>
      <c r="VL211" s="394"/>
      <c r="VM211" s="394"/>
      <c r="VN211" s="394"/>
      <c r="VO211" s="394"/>
      <c r="VP211" s="394"/>
      <c r="VQ211" s="394"/>
      <c r="VR211" s="394"/>
      <c r="VS211" s="394"/>
      <c r="VT211" s="394"/>
      <c r="VU211" s="394"/>
      <c r="VV211" s="394"/>
      <c r="VW211" s="394"/>
      <c r="VX211" s="394"/>
      <c r="VY211" s="394"/>
      <c r="VZ211" s="394"/>
      <c r="WA211" s="394"/>
      <c r="WB211" s="394"/>
      <c r="WC211" s="394"/>
      <c r="WD211" s="394"/>
      <c r="WE211" s="394"/>
      <c r="WF211" s="394"/>
      <c r="WG211" s="394"/>
      <c r="WH211" s="394"/>
      <c r="WI211" s="394"/>
      <c r="WJ211" s="394"/>
      <c r="WK211" s="394"/>
      <c r="WL211" s="394"/>
      <c r="WM211" s="394"/>
      <c r="WN211" s="394"/>
      <c r="WO211" s="394"/>
      <c r="WP211" s="394"/>
      <c r="WQ211" s="394"/>
      <c r="WR211" s="394"/>
      <c r="WS211" s="394"/>
      <c r="WT211" s="394"/>
      <c r="WU211" s="394"/>
      <c r="WV211" s="394"/>
      <c r="WW211" s="394"/>
      <c r="WX211" s="394"/>
      <c r="WY211" s="394"/>
      <c r="WZ211" s="394"/>
      <c r="XA211" s="394"/>
      <c r="XB211" s="394"/>
      <c r="XC211" s="394"/>
      <c r="XD211" s="394"/>
      <c r="XE211" s="394"/>
      <c r="XF211" s="394"/>
      <c r="XG211" s="394"/>
      <c r="XH211" s="394"/>
      <c r="XI211" s="394"/>
      <c r="XJ211" s="394"/>
      <c r="XK211" s="394"/>
      <c r="XL211" s="394"/>
      <c r="XM211" s="394"/>
      <c r="XN211" s="394"/>
      <c r="XO211" s="394"/>
      <c r="XP211" s="394"/>
      <c r="XQ211" s="394"/>
      <c r="XR211" s="394"/>
      <c r="XS211" s="394"/>
      <c r="XT211" s="394"/>
      <c r="XU211" s="394"/>
      <c r="XV211" s="394"/>
      <c r="XW211" s="394"/>
      <c r="XX211" s="394"/>
      <c r="XY211" s="394"/>
      <c r="XZ211" s="394"/>
      <c r="YA211" s="394"/>
      <c r="YB211" s="394"/>
      <c r="YC211" s="394"/>
      <c r="YD211" s="394"/>
      <c r="YE211" s="394"/>
      <c r="YF211" s="394"/>
      <c r="YG211" s="394"/>
      <c r="YH211" s="394"/>
      <c r="YI211" s="394"/>
      <c r="YJ211" s="394"/>
      <c r="YK211" s="394"/>
      <c r="YL211" s="394"/>
      <c r="YM211" s="394"/>
      <c r="YN211" s="394"/>
      <c r="YO211" s="394"/>
      <c r="YP211" s="394"/>
      <c r="YQ211" s="394"/>
      <c r="YR211" s="394"/>
      <c r="YS211" s="394"/>
      <c r="YT211" s="394"/>
      <c r="YU211" s="394"/>
      <c r="YV211" s="394"/>
      <c r="YW211" s="394"/>
      <c r="YX211" s="394"/>
      <c r="YY211" s="394"/>
      <c r="YZ211" s="394"/>
      <c r="ZA211" s="394"/>
      <c r="ZB211" s="394"/>
      <c r="ZC211" s="394"/>
      <c r="ZD211" s="394"/>
      <c r="ZE211" s="394"/>
      <c r="ZF211" s="394"/>
      <c r="ZG211" s="394"/>
      <c r="ZH211" s="394"/>
      <c r="ZI211" s="394"/>
      <c r="ZJ211" s="394"/>
      <c r="ZK211" s="394"/>
      <c r="ZL211" s="394"/>
      <c r="ZM211" s="394"/>
      <c r="ZN211" s="394"/>
      <c r="ZO211" s="394"/>
      <c r="ZP211" s="394"/>
      <c r="ZQ211" s="394"/>
      <c r="ZR211" s="394"/>
      <c r="ZS211" s="394"/>
      <c r="ZT211" s="394"/>
      <c r="ZU211" s="394"/>
      <c r="ZV211" s="394"/>
      <c r="ZW211" s="394"/>
      <c r="ZX211" s="394"/>
      <c r="ZY211" s="394"/>
      <c r="ZZ211" s="394"/>
      <c r="AAA211" s="394"/>
      <c r="AAB211" s="394"/>
      <c r="AAC211" s="394"/>
      <c r="AAD211" s="394"/>
      <c r="AAE211" s="394"/>
      <c r="AAF211" s="394"/>
      <c r="AAG211" s="394"/>
      <c r="AAH211" s="394"/>
      <c r="AAI211" s="394"/>
      <c r="AAJ211" s="394"/>
      <c r="AAK211" s="394"/>
      <c r="AAL211" s="394"/>
      <c r="AAM211" s="394"/>
      <c r="AAN211" s="394"/>
      <c r="AAO211" s="394"/>
      <c r="AAP211" s="394"/>
      <c r="AAQ211" s="394"/>
      <c r="AAR211" s="394"/>
      <c r="AAS211" s="394"/>
      <c r="AAT211" s="394"/>
      <c r="AAU211" s="394"/>
      <c r="AAV211" s="394"/>
      <c r="AAW211" s="394"/>
      <c r="AAX211" s="394"/>
      <c r="AAY211" s="394"/>
      <c r="AAZ211" s="394"/>
      <c r="ABA211" s="394"/>
      <c r="ABB211" s="394"/>
      <c r="ABC211" s="394"/>
      <c r="ABD211" s="394"/>
      <c r="ABE211" s="394"/>
      <c r="ABF211" s="394"/>
      <c r="ABG211" s="394"/>
      <c r="ABH211" s="394"/>
      <c r="ABI211" s="394"/>
      <c r="ABJ211" s="394"/>
      <c r="ABK211" s="394"/>
      <c r="ABL211" s="394"/>
      <c r="ABM211" s="394"/>
      <c r="ABN211" s="394"/>
      <c r="ABO211" s="394"/>
      <c r="ABP211" s="394"/>
      <c r="ABQ211" s="394"/>
      <c r="ABR211" s="394"/>
      <c r="ABS211" s="394"/>
      <c r="ABT211" s="394"/>
      <c r="ABU211" s="394"/>
      <c r="ABV211" s="394"/>
      <c r="ABW211" s="394"/>
      <c r="ABX211" s="394"/>
      <c r="ABY211" s="394"/>
      <c r="ABZ211" s="394"/>
      <c r="ACA211" s="394"/>
      <c r="ACB211" s="394"/>
      <c r="ACC211" s="394"/>
      <c r="ACD211" s="394"/>
      <c r="ACE211" s="394"/>
      <c r="ACF211" s="394"/>
      <c r="ACG211" s="394"/>
      <c r="ACH211" s="394"/>
      <c r="ACI211" s="394"/>
      <c r="ACJ211" s="394"/>
      <c r="ACK211" s="394"/>
      <c r="ACL211" s="394"/>
      <c r="ACM211" s="394"/>
      <c r="ACN211" s="394"/>
      <c r="ACO211" s="394"/>
      <c r="ACP211" s="394"/>
      <c r="ACQ211" s="394"/>
      <c r="ACR211" s="394"/>
      <c r="ACS211" s="394"/>
      <c r="ACT211" s="394"/>
      <c r="ACU211" s="394"/>
      <c r="ACV211" s="394"/>
      <c r="ACW211" s="394"/>
      <c r="ACX211" s="394"/>
      <c r="ACY211" s="394"/>
      <c r="ACZ211" s="394"/>
      <c r="ADA211" s="394"/>
      <c r="ADB211" s="394"/>
      <c r="ADC211" s="394"/>
      <c r="ADD211" s="394"/>
      <c r="ADE211" s="394"/>
      <c r="ADF211" s="394"/>
      <c r="ADG211" s="394"/>
      <c r="ADH211" s="394"/>
      <c r="ADI211" s="394"/>
      <c r="ADJ211" s="394"/>
      <c r="ADK211" s="394"/>
      <c r="ADL211" s="394"/>
      <c r="ADM211" s="394"/>
      <c r="ADN211" s="394"/>
      <c r="ADO211" s="394"/>
      <c r="ADP211" s="394"/>
      <c r="ADQ211" s="394"/>
      <c r="ADR211" s="394"/>
      <c r="ADS211" s="394"/>
      <c r="ADT211" s="394"/>
      <c r="ADU211" s="394"/>
      <c r="ADV211" s="394"/>
      <c r="ADW211" s="394"/>
      <c r="ADX211" s="394"/>
      <c r="ADY211" s="394"/>
      <c r="ADZ211" s="394"/>
      <c r="AEA211" s="394"/>
      <c r="AEB211" s="394"/>
      <c r="AEC211" s="394"/>
      <c r="AED211" s="394"/>
      <c r="AEE211" s="394"/>
      <c r="AEF211" s="394"/>
      <c r="AEG211" s="394"/>
      <c r="AEH211" s="394"/>
      <c r="AEI211" s="394"/>
      <c r="AEJ211" s="394"/>
      <c r="AEK211" s="394"/>
      <c r="AEL211" s="394"/>
      <c r="AEM211" s="394"/>
      <c r="AEN211" s="394"/>
      <c r="AEO211" s="394"/>
      <c r="AEP211" s="394"/>
      <c r="AEQ211" s="394"/>
      <c r="AER211" s="394"/>
      <c r="AES211" s="394"/>
      <c r="AET211" s="394"/>
      <c r="AEU211" s="394"/>
      <c r="AEV211" s="394"/>
      <c r="AEW211" s="394"/>
      <c r="AEX211" s="394"/>
      <c r="AEY211" s="394"/>
      <c r="AEZ211" s="394"/>
      <c r="AFA211" s="394"/>
      <c r="AFB211" s="394"/>
      <c r="AFC211" s="394"/>
      <c r="AFD211" s="394"/>
      <c r="AFE211" s="394"/>
      <c r="AFF211" s="394"/>
      <c r="AFG211" s="394"/>
      <c r="AFH211" s="394"/>
      <c r="AFI211" s="394"/>
      <c r="AFJ211" s="394"/>
      <c r="AFK211" s="394"/>
      <c r="AFL211" s="394"/>
      <c r="AFM211" s="394"/>
      <c r="AFN211" s="394"/>
      <c r="AFO211" s="394"/>
      <c r="AFP211" s="394"/>
      <c r="AFQ211" s="394"/>
      <c r="AFR211" s="394"/>
      <c r="AFS211" s="394"/>
      <c r="AFT211" s="394"/>
      <c r="AFU211" s="394"/>
      <c r="AFV211" s="394"/>
      <c r="AFW211" s="394"/>
      <c r="AFX211" s="394"/>
      <c r="AFY211" s="394"/>
      <c r="AFZ211" s="394"/>
      <c r="AGA211" s="394"/>
      <c r="AGB211" s="394"/>
      <c r="AGC211" s="394"/>
      <c r="AGD211" s="394"/>
      <c r="AGE211" s="394"/>
      <c r="AGF211" s="394"/>
      <c r="AGG211" s="394"/>
      <c r="AGH211" s="394"/>
      <c r="AGI211" s="394"/>
      <c r="AGJ211" s="394"/>
      <c r="AGK211" s="394"/>
      <c r="AGL211" s="394"/>
      <c r="AGM211" s="394"/>
      <c r="AGN211" s="394"/>
      <c r="AGO211" s="394"/>
      <c r="AGP211" s="394"/>
      <c r="AGQ211" s="394"/>
      <c r="AGR211" s="394"/>
      <c r="AGS211" s="394"/>
      <c r="AGT211" s="394"/>
      <c r="AGU211" s="394"/>
      <c r="AGV211" s="394"/>
      <c r="AGW211" s="394"/>
      <c r="AGX211" s="394"/>
      <c r="AGY211" s="394"/>
      <c r="AGZ211" s="394"/>
      <c r="AHA211" s="394"/>
      <c r="AHB211" s="394"/>
      <c r="AHC211" s="394"/>
      <c r="AHD211" s="394"/>
      <c r="AHE211" s="394"/>
      <c r="AHF211" s="394"/>
      <c r="AHG211" s="394"/>
      <c r="AHH211" s="394"/>
      <c r="AHI211" s="394"/>
      <c r="AHJ211" s="394"/>
      <c r="AHK211" s="394"/>
      <c r="AHL211" s="394"/>
      <c r="AHM211" s="394"/>
      <c r="AHN211" s="394"/>
      <c r="AHO211" s="394"/>
      <c r="AHP211" s="394"/>
      <c r="AHQ211" s="394"/>
      <c r="AHR211" s="394"/>
      <c r="AHS211" s="394"/>
      <c r="AHT211" s="394"/>
      <c r="AHU211" s="394"/>
      <c r="AHV211" s="394"/>
      <c r="AHW211" s="394"/>
      <c r="AHX211" s="394"/>
      <c r="AHY211" s="394"/>
      <c r="AHZ211" s="394"/>
      <c r="AIA211" s="394"/>
      <c r="AIB211" s="394"/>
      <c r="AIC211" s="394"/>
      <c r="AID211" s="394"/>
      <c r="AIE211" s="394"/>
      <c r="AIF211" s="394"/>
      <c r="AIG211" s="394"/>
      <c r="AIH211" s="394"/>
      <c r="AII211" s="394"/>
      <c r="AIJ211" s="394"/>
      <c r="AIK211" s="394"/>
      <c r="AIL211" s="394"/>
      <c r="AIM211" s="394"/>
      <c r="AIN211" s="394"/>
      <c r="AIO211" s="394"/>
      <c r="AIP211" s="394"/>
      <c r="AIQ211" s="394"/>
      <c r="AIR211" s="394"/>
      <c r="AIS211" s="394"/>
      <c r="AIT211" s="394"/>
      <c r="AIU211" s="394"/>
      <c r="AIV211" s="394"/>
      <c r="AIW211" s="394"/>
      <c r="AIX211" s="394"/>
      <c r="AIY211" s="394"/>
      <c r="AIZ211" s="394"/>
      <c r="AJA211" s="394"/>
      <c r="AJB211" s="394"/>
      <c r="AJC211" s="394"/>
      <c r="AJD211" s="394"/>
      <c r="AJE211" s="394"/>
      <c r="AJF211" s="394"/>
      <c r="AJG211" s="394"/>
      <c r="AJH211" s="394"/>
      <c r="AJI211" s="394"/>
      <c r="AJJ211" s="394"/>
      <c r="AJK211" s="394"/>
      <c r="AJL211" s="394"/>
      <c r="AJM211" s="394"/>
      <c r="AJN211" s="394"/>
      <c r="AJO211" s="394"/>
      <c r="AJP211" s="394"/>
      <c r="AJQ211" s="394"/>
      <c r="AJR211" s="394"/>
      <c r="AJS211" s="394"/>
      <c r="AJT211" s="394"/>
      <c r="AJU211" s="394"/>
      <c r="AJV211" s="394"/>
      <c r="AJW211" s="394"/>
      <c r="AJX211" s="394"/>
      <c r="AJY211" s="394"/>
      <c r="AJZ211" s="394"/>
      <c r="AKA211" s="394"/>
      <c r="AKB211" s="394"/>
      <c r="AKC211" s="394"/>
      <c r="AKD211" s="394"/>
      <c r="AKE211" s="394"/>
      <c r="AKF211" s="394"/>
      <c r="AKG211" s="394"/>
      <c r="AKH211" s="394"/>
      <c r="AKI211" s="394"/>
      <c r="AKJ211" s="394"/>
      <c r="AKK211" s="394"/>
      <c r="AKL211" s="394"/>
      <c r="AKM211" s="394"/>
      <c r="AKN211" s="394"/>
      <c r="AKO211" s="394"/>
      <c r="AKP211" s="394"/>
      <c r="AKQ211" s="394"/>
      <c r="AKR211" s="394"/>
      <c r="AKS211" s="394"/>
      <c r="AKT211" s="394"/>
      <c r="AKU211" s="394"/>
      <c r="AKV211" s="394"/>
      <c r="AKW211" s="394"/>
      <c r="AKX211" s="394"/>
      <c r="AKY211" s="394"/>
      <c r="AKZ211" s="394"/>
      <c r="ALA211" s="394"/>
      <c r="ALB211" s="394"/>
      <c r="ALC211" s="394"/>
      <c r="ALD211" s="394"/>
      <c r="ALE211" s="394"/>
      <c r="ALF211" s="394"/>
      <c r="ALG211" s="394"/>
      <c r="ALH211" s="394"/>
      <c r="ALI211" s="394"/>
      <c r="ALJ211" s="394"/>
      <c r="ALK211" s="394"/>
      <c r="ALL211" s="394"/>
      <c r="ALM211" s="394"/>
      <c r="ALN211" s="394"/>
      <c r="ALO211" s="394"/>
      <c r="ALP211" s="394"/>
      <c r="ALQ211" s="394"/>
      <c r="ALR211" s="394"/>
      <c r="ALS211" s="394"/>
      <c r="ALT211" s="394"/>
      <c r="ALU211" s="394"/>
      <c r="ALV211" s="394"/>
      <c r="ALW211" s="394"/>
      <c r="ALX211" s="394"/>
      <c r="ALY211" s="394"/>
      <c r="ALZ211" s="394"/>
      <c r="AMA211" s="394"/>
      <c r="AMB211" s="394"/>
      <c r="AMC211" s="394"/>
      <c r="AMD211" s="394"/>
      <c r="AME211" s="394"/>
      <c r="AMF211" s="394"/>
      <c r="AMG211" s="394"/>
      <c r="AMH211" s="394"/>
      <c r="AMI211" s="394"/>
      <c r="AMJ211" s="394"/>
      <c r="AMK211" s="394"/>
      <c r="AML211" s="394"/>
      <c r="AMM211" s="394"/>
      <c r="AMN211" s="394"/>
      <c r="AMO211" s="394"/>
      <c r="AMP211" s="394"/>
      <c r="AMQ211" s="394"/>
      <c r="AMR211" s="394"/>
      <c r="AMS211" s="394"/>
      <c r="AMT211" s="394"/>
      <c r="AMU211" s="394"/>
      <c r="AMV211" s="394"/>
      <c r="AMW211" s="394"/>
      <c r="AMX211" s="394"/>
      <c r="AMY211" s="394"/>
      <c r="AMZ211" s="394"/>
      <c r="ANA211" s="394"/>
      <c r="ANB211" s="394"/>
      <c r="ANC211" s="394"/>
      <c r="AND211" s="394"/>
      <c r="ANE211" s="394"/>
      <c r="ANF211" s="394"/>
      <c r="ANG211" s="394"/>
      <c r="ANH211" s="394"/>
      <c r="ANI211" s="394"/>
      <c r="ANJ211" s="394"/>
      <c r="ANK211" s="394"/>
      <c r="ANL211" s="394"/>
      <c r="ANM211" s="394"/>
      <c r="ANN211" s="394"/>
      <c r="ANO211" s="394"/>
      <c r="ANP211" s="394"/>
      <c r="ANQ211" s="394"/>
      <c r="ANR211" s="394"/>
      <c r="ANS211" s="394"/>
      <c r="ANT211" s="394"/>
      <c r="ANU211" s="394"/>
      <c r="ANV211" s="394"/>
      <c r="ANW211" s="394"/>
      <c r="ANX211" s="394"/>
      <c r="ANY211" s="394"/>
      <c r="ANZ211" s="394"/>
      <c r="AOA211" s="394"/>
      <c r="AOB211" s="394"/>
      <c r="AOC211" s="394"/>
      <c r="AOD211" s="394"/>
      <c r="AOE211" s="394"/>
      <c r="AOF211" s="394"/>
      <c r="AOG211" s="394"/>
      <c r="AOH211" s="394"/>
      <c r="AOI211" s="394"/>
      <c r="AOJ211" s="394"/>
      <c r="AOK211" s="394"/>
      <c r="AOL211" s="394"/>
      <c r="AOM211" s="394"/>
      <c r="AON211" s="394"/>
      <c r="AOO211" s="394"/>
      <c r="AOP211" s="394"/>
      <c r="AOQ211" s="394"/>
      <c r="AOR211" s="394"/>
      <c r="AOS211" s="394"/>
      <c r="AOT211" s="394"/>
      <c r="AOU211" s="394"/>
      <c r="AOV211" s="394"/>
      <c r="AOW211" s="394"/>
      <c r="AOX211" s="394"/>
      <c r="AOY211" s="394"/>
      <c r="AOZ211" s="394"/>
      <c r="APA211" s="394"/>
      <c r="APB211" s="394"/>
      <c r="APC211" s="394"/>
      <c r="APD211" s="394"/>
      <c r="APE211" s="394"/>
      <c r="APF211" s="394"/>
      <c r="APG211" s="394"/>
      <c r="APH211" s="394"/>
      <c r="API211" s="394"/>
      <c r="APJ211" s="394"/>
      <c r="APK211" s="394"/>
      <c r="APL211" s="394"/>
      <c r="APM211" s="394"/>
      <c r="APN211" s="394"/>
      <c r="APO211" s="394"/>
      <c r="APP211" s="394"/>
      <c r="APQ211" s="394"/>
      <c r="APR211" s="394"/>
      <c r="APS211" s="394"/>
      <c r="APT211" s="394"/>
      <c r="APU211" s="394"/>
      <c r="APV211" s="394"/>
      <c r="APW211" s="394"/>
      <c r="APX211" s="394"/>
      <c r="APY211" s="394"/>
      <c r="APZ211" s="394"/>
      <c r="AQA211" s="394"/>
      <c r="AQB211" s="394"/>
      <c r="AQC211" s="394"/>
      <c r="AQD211" s="394"/>
      <c r="AQE211" s="394"/>
      <c r="AQF211" s="394"/>
      <c r="AQG211" s="394"/>
      <c r="AQH211" s="394"/>
      <c r="AQI211" s="394"/>
      <c r="AQJ211" s="394"/>
      <c r="AQK211" s="394"/>
      <c r="AQL211" s="394"/>
      <c r="AQM211" s="394"/>
      <c r="AQN211" s="394"/>
      <c r="AQO211" s="394"/>
      <c r="AQP211" s="394"/>
      <c r="AQQ211" s="394"/>
      <c r="AQR211" s="394"/>
      <c r="AQS211" s="394"/>
      <c r="AQT211" s="394"/>
      <c r="AQU211" s="394"/>
      <c r="AQV211" s="394"/>
      <c r="AQW211" s="394"/>
      <c r="AQX211" s="394"/>
      <c r="AQY211" s="394"/>
      <c r="AQZ211" s="394"/>
      <c r="ARA211" s="394"/>
      <c r="ARB211" s="394"/>
      <c r="ARC211" s="394"/>
      <c r="ARD211" s="394"/>
      <c r="ARE211" s="394"/>
      <c r="ARF211" s="394"/>
      <c r="ARG211" s="394"/>
      <c r="ARH211" s="394"/>
      <c r="ARI211" s="394"/>
      <c r="ARJ211" s="394"/>
      <c r="ARK211" s="394"/>
      <c r="ARL211" s="394"/>
      <c r="ARM211" s="394"/>
      <c r="ARN211" s="394"/>
      <c r="ARO211" s="394"/>
      <c r="ARP211" s="394"/>
      <c r="ARQ211" s="394"/>
      <c r="ARR211" s="394"/>
      <c r="ARS211" s="394"/>
      <c r="ART211" s="394"/>
      <c r="ARU211" s="394"/>
      <c r="ARV211" s="394"/>
      <c r="ARW211" s="394"/>
      <c r="ARX211" s="394"/>
      <c r="ARY211" s="394"/>
      <c r="ARZ211" s="394"/>
      <c r="ASA211" s="394"/>
      <c r="ASB211" s="394"/>
      <c r="ASC211" s="394"/>
      <c r="ASD211" s="394"/>
      <c r="ASE211" s="394"/>
      <c r="ASF211" s="394"/>
      <c r="ASG211" s="394"/>
      <c r="ASH211" s="394"/>
      <c r="ASI211" s="394"/>
      <c r="ASJ211" s="394"/>
      <c r="ASK211" s="394"/>
      <c r="ASL211" s="394"/>
      <c r="ASM211" s="394"/>
      <c r="ASN211" s="394"/>
      <c r="ASO211" s="394"/>
      <c r="ASP211" s="394"/>
      <c r="ASQ211" s="394"/>
      <c r="ASR211" s="394"/>
      <c r="ASS211" s="394"/>
      <c r="AST211" s="394"/>
      <c r="ASU211" s="394"/>
      <c r="ASV211" s="394"/>
      <c r="ASW211" s="394"/>
      <c r="ASX211" s="394"/>
      <c r="ASY211" s="394"/>
      <c r="ASZ211" s="394"/>
      <c r="ATA211" s="394"/>
      <c r="ATB211" s="394"/>
      <c r="ATC211" s="394"/>
      <c r="ATD211" s="394"/>
      <c r="ATE211" s="394"/>
      <c r="ATF211" s="394"/>
      <c r="ATG211" s="394"/>
      <c r="ATH211" s="394"/>
      <c r="ATI211" s="394"/>
      <c r="ATJ211" s="394"/>
      <c r="ATK211" s="394"/>
      <c r="ATL211" s="394"/>
      <c r="ATM211" s="394"/>
      <c r="ATN211" s="394"/>
      <c r="ATO211" s="394"/>
      <c r="ATP211" s="394"/>
      <c r="ATQ211" s="394"/>
      <c r="ATR211" s="394"/>
      <c r="ATS211" s="394"/>
      <c r="ATT211" s="394"/>
      <c r="ATU211" s="394"/>
      <c r="ATV211" s="394"/>
      <c r="ATW211" s="394"/>
      <c r="ATX211" s="394"/>
      <c r="ATY211" s="394"/>
      <c r="ATZ211" s="394"/>
      <c r="AUA211" s="394"/>
      <c r="AUB211" s="394"/>
      <c r="AUC211" s="394"/>
      <c r="AUD211" s="394"/>
      <c r="AUE211" s="394"/>
      <c r="AUF211" s="394"/>
      <c r="AUG211" s="394"/>
      <c r="AUH211" s="394"/>
      <c r="AUI211" s="394"/>
      <c r="AUJ211" s="394"/>
      <c r="AUK211" s="394"/>
      <c r="AUL211" s="394"/>
      <c r="AUM211" s="394"/>
      <c r="AUN211" s="394"/>
      <c r="AUO211" s="394"/>
      <c r="AUP211" s="394"/>
      <c r="AUQ211" s="394"/>
      <c r="AUR211" s="394"/>
      <c r="AUS211" s="394"/>
      <c r="AUT211" s="394"/>
      <c r="AUU211" s="394"/>
      <c r="AUV211" s="394"/>
      <c r="AUW211" s="394"/>
      <c r="AUX211" s="394"/>
      <c r="AUY211" s="394"/>
      <c r="AUZ211" s="394"/>
      <c r="AVA211" s="394"/>
      <c r="AVB211" s="394"/>
      <c r="AVC211" s="394"/>
      <c r="AVD211" s="394"/>
      <c r="AVE211" s="394"/>
      <c r="AVF211" s="394"/>
      <c r="AVG211" s="394"/>
      <c r="AVH211" s="394"/>
      <c r="AVI211" s="394"/>
      <c r="AVJ211" s="394"/>
      <c r="AVK211" s="394"/>
      <c r="AVL211" s="394"/>
      <c r="AVM211" s="394"/>
      <c r="AVN211" s="394"/>
      <c r="AVO211" s="394"/>
      <c r="AVP211" s="394"/>
      <c r="AVQ211" s="394"/>
      <c r="AVR211" s="394"/>
      <c r="AVS211" s="394"/>
      <c r="AVT211" s="394"/>
      <c r="AVU211" s="394"/>
      <c r="AVV211" s="394"/>
      <c r="AVW211" s="394"/>
      <c r="AVX211" s="394"/>
      <c r="AVY211" s="394"/>
      <c r="AVZ211" s="394"/>
      <c r="AWA211" s="394"/>
      <c r="AWB211" s="394"/>
      <c r="AWC211" s="394"/>
      <c r="AWD211" s="394"/>
      <c r="AWE211" s="394"/>
      <c r="AWF211" s="394"/>
      <c r="AWG211" s="394"/>
      <c r="AWH211" s="394"/>
      <c r="AWI211" s="394"/>
      <c r="AWJ211" s="394"/>
      <c r="AWK211" s="394"/>
      <c r="AWL211" s="394"/>
      <c r="AWM211" s="394"/>
      <c r="AWN211" s="394"/>
      <c r="AWO211" s="394"/>
      <c r="AWP211" s="394"/>
      <c r="AWQ211" s="394"/>
      <c r="AWR211" s="394"/>
      <c r="AWS211" s="394"/>
      <c r="AWT211" s="394"/>
      <c r="AWU211" s="394"/>
      <c r="AWV211" s="394"/>
      <c r="AWW211" s="394"/>
      <c r="AWX211" s="394"/>
      <c r="AWY211" s="394"/>
      <c r="AWZ211" s="394"/>
      <c r="AXA211" s="394"/>
      <c r="AXB211" s="394"/>
      <c r="AXC211" s="394"/>
      <c r="AXD211" s="394"/>
      <c r="AXE211" s="394"/>
      <c r="AXF211" s="394"/>
      <c r="AXG211" s="394"/>
      <c r="AXH211" s="394"/>
      <c r="AXI211" s="394"/>
      <c r="AXJ211" s="394"/>
      <c r="AXK211" s="394"/>
      <c r="AXL211" s="394"/>
      <c r="AXM211" s="394"/>
      <c r="AXN211" s="394"/>
      <c r="AXO211" s="394"/>
      <c r="AXP211" s="394"/>
      <c r="AXQ211" s="394"/>
      <c r="AXR211" s="394"/>
      <c r="AXS211" s="394"/>
      <c r="AXT211" s="394"/>
      <c r="AXU211" s="394"/>
      <c r="AXV211" s="394"/>
      <c r="AXW211" s="394"/>
      <c r="AXX211" s="394"/>
      <c r="AXY211" s="394"/>
      <c r="AXZ211" s="394"/>
      <c r="AYA211" s="394"/>
      <c r="AYB211" s="394"/>
      <c r="AYC211" s="394"/>
      <c r="AYD211" s="394"/>
      <c r="AYE211" s="394"/>
      <c r="AYF211" s="394"/>
      <c r="AYG211" s="394"/>
      <c r="AYH211" s="394"/>
      <c r="AYI211" s="394"/>
      <c r="AYJ211" s="394"/>
      <c r="AYK211" s="394"/>
      <c r="AYL211" s="394"/>
      <c r="AYM211" s="394"/>
      <c r="AYN211" s="394"/>
      <c r="AYO211" s="394"/>
      <c r="AYP211" s="394"/>
      <c r="AYQ211" s="394"/>
      <c r="AYR211" s="394"/>
      <c r="AYS211" s="394"/>
      <c r="AYT211" s="394"/>
      <c r="AYU211" s="394"/>
      <c r="AYV211" s="394"/>
      <c r="AYW211" s="394"/>
      <c r="AYX211" s="394"/>
      <c r="AYY211" s="394"/>
      <c r="AYZ211" s="394"/>
      <c r="AZA211" s="394"/>
      <c r="AZB211" s="394"/>
      <c r="AZC211" s="394"/>
      <c r="AZD211" s="394"/>
      <c r="AZE211" s="394"/>
      <c r="AZF211" s="394"/>
      <c r="AZG211" s="394"/>
      <c r="AZH211" s="394"/>
      <c r="AZI211" s="394"/>
      <c r="AZJ211" s="394"/>
      <c r="AZK211" s="394"/>
      <c r="AZL211" s="394"/>
      <c r="AZM211" s="394"/>
      <c r="AZN211" s="394"/>
      <c r="AZO211" s="394"/>
      <c r="AZP211" s="394"/>
      <c r="AZQ211" s="394"/>
      <c r="AZR211" s="394"/>
      <c r="AZS211" s="394"/>
      <c r="AZT211" s="394"/>
      <c r="AZU211" s="394"/>
      <c r="AZV211" s="394"/>
      <c r="AZW211" s="394"/>
      <c r="AZX211" s="394"/>
      <c r="AZY211" s="394"/>
      <c r="AZZ211" s="394"/>
      <c r="BAA211" s="394"/>
      <c r="BAB211" s="394"/>
      <c r="BAC211" s="394"/>
      <c r="BAD211" s="394"/>
      <c r="BAE211" s="394"/>
      <c r="BAF211" s="394"/>
      <c r="BAG211" s="394"/>
      <c r="BAH211" s="394"/>
      <c r="BAI211" s="394"/>
      <c r="BAJ211" s="394"/>
      <c r="BAK211" s="394"/>
      <c r="BAL211" s="394"/>
      <c r="BAM211" s="394"/>
      <c r="BAN211" s="394"/>
      <c r="BAO211" s="394"/>
      <c r="BAP211" s="394"/>
      <c r="BAQ211" s="394"/>
      <c r="BAR211" s="394"/>
      <c r="BAS211" s="394"/>
      <c r="BAT211" s="394"/>
      <c r="BAU211" s="394"/>
      <c r="BAV211" s="394"/>
      <c r="BAW211" s="394"/>
      <c r="BAX211" s="394"/>
      <c r="BAY211" s="394"/>
      <c r="BAZ211" s="394"/>
      <c r="BBA211" s="394"/>
      <c r="BBB211" s="394"/>
      <c r="BBC211" s="394"/>
      <c r="BBD211" s="394"/>
      <c r="BBE211" s="394"/>
      <c r="BBF211" s="394"/>
      <c r="BBG211" s="394"/>
      <c r="BBH211" s="394"/>
      <c r="BBI211" s="394"/>
      <c r="BBJ211" s="394"/>
      <c r="BBK211" s="394"/>
      <c r="BBL211" s="394"/>
      <c r="BBM211" s="394"/>
      <c r="BBN211" s="394"/>
      <c r="BBO211" s="394"/>
      <c r="BBP211" s="394"/>
      <c r="BBQ211" s="394"/>
      <c r="BBR211" s="394"/>
      <c r="BBS211" s="394"/>
      <c r="BBT211" s="394"/>
      <c r="BBU211" s="394"/>
      <c r="BBV211" s="394"/>
      <c r="BBW211" s="394"/>
      <c r="BBX211" s="394"/>
      <c r="BBY211" s="394"/>
      <c r="BBZ211" s="394"/>
      <c r="BCA211" s="394"/>
      <c r="BCB211" s="394"/>
      <c r="BCC211" s="394"/>
      <c r="BCD211" s="394"/>
      <c r="BCE211" s="394"/>
      <c r="BCF211" s="394"/>
      <c r="BCG211" s="394"/>
      <c r="BCH211" s="394"/>
      <c r="BCI211" s="394"/>
      <c r="BCJ211" s="394"/>
      <c r="BCK211" s="394"/>
      <c r="BCL211" s="394"/>
      <c r="BCM211" s="394"/>
      <c r="BCN211" s="394"/>
      <c r="BCO211" s="394"/>
      <c r="BCP211" s="394"/>
      <c r="BCQ211" s="394"/>
      <c r="BCR211" s="394"/>
      <c r="BCS211" s="394"/>
      <c r="BCT211" s="394"/>
      <c r="BCU211" s="394"/>
      <c r="BCV211" s="394"/>
      <c r="BCW211" s="394"/>
      <c r="BCX211" s="394"/>
      <c r="BCY211" s="394"/>
      <c r="BCZ211" s="394"/>
      <c r="BDA211" s="394"/>
      <c r="BDB211" s="394"/>
      <c r="BDC211" s="394"/>
      <c r="BDD211" s="394"/>
      <c r="BDE211" s="394"/>
      <c r="BDF211" s="394"/>
      <c r="BDG211" s="394"/>
      <c r="BDH211" s="394"/>
      <c r="BDI211" s="394"/>
      <c r="BDJ211" s="394"/>
      <c r="BDK211" s="394"/>
      <c r="BDL211" s="394"/>
      <c r="BDM211" s="394"/>
      <c r="BDN211" s="394"/>
      <c r="BDO211" s="394"/>
      <c r="BDP211" s="394"/>
      <c r="BDQ211" s="394"/>
      <c r="BDR211" s="394"/>
      <c r="BDS211" s="394"/>
      <c r="BDT211" s="394"/>
      <c r="BDU211" s="394"/>
      <c r="BDV211" s="394"/>
      <c r="BDW211" s="394"/>
      <c r="BDX211" s="394"/>
      <c r="BDY211" s="394"/>
      <c r="BDZ211" s="394"/>
      <c r="BEA211" s="394"/>
      <c r="BEB211" s="394"/>
      <c r="BEC211" s="394"/>
      <c r="BED211" s="394"/>
      <c r="BEE211" s="394"/>
      <c r="BEF211" s="394"/>
      <c r="BEG211" s="394"/>
      <c r="BEH211" s="394"/>
      <c r="BEI211" s="394"/>
      <c r="BEJ211" s="394"/>
      <c r="BEK211" s="394"/>
      <c r="BEL211" s="394"/>
      <c r="BEM211" s="394"/>
      <c r="BEN211" s="394"/>
      <c r="BEO211" s="394"/>
      <c r="BEP211" s="394"/>
      <c r="BEQ211" s="394"/>
      <c r="BER211" s="394"/>
      <c r="BES211" s="394"/>
      <c r="BET211" s="394"/>
      <c r="BEU211" s="394"/>
      <c r="BEV211" s="394"/>
      <c r="BEW211" s="394"/>
      <c r="BEX211" s="394"/>
      <c r="BEY211" s="394"/>
      <c r="BEZ211" s="394"/>
      <c r="BFA211" s="394"/>
      <c r="BFB211" s="394"/>
      <c r="BFC211" s="394"/>
      <c r="BFD211" s="394"/>
      <c r="BFE211" s="394"/>
      <c r="BFF211" s="394"/>
      <c r="BFG211" s="394"/>
      <c r="BFH211" s="394"/>
      <c r="BFI211" s="394"/>
      <c r="BFJ211" s="394"/>
      <c r="BFK211" s="394"/>
      <c r="BFL211" s="394"/>
      <c r="BFM211" s="394"/>
      <c r="BFN211" s="394"/>
      <c r="BFO211" s="394"/>
      <c r="BFP211" s="394"/>
      <c r="BFQ211" s="394"/>
      <c r="BFR211" s="394"/>
      <c r="BFS211" s="394"/>
      <c r="BFT211" s="394"/>
      <c r="BFU211" s="394"/>
      <c r="BFV211" s="394"/>
      <c r="BFW211" s="394"/>
      <c r="BFX211" s="394"/>
      <c r="BFY211" s="394"/>
      <c r="BFZ211" s="394"/>
      <c r="BGA211" s="394"/>
      <c r="BGB211" s="394"/>
      <c r="BGC211" s="394"/>
      <c r="BGD211" s="394"/>
      <c r="BGE211" s="394"/>
      <c r="BGF211" s="394"/>
      <c r="BGG211" s="394"/>
      <c r="BGH211" s="394"/>
      <c r="BGI211" s="394"/>
      <c r="BGJ211" s="394"/>
      <c r="BGK211" s="394"/>
      <c r="BGL211" s="394"/>
      <c r="BGM211" s="394"/>
      <c r="BGN211" s="394"/>
      <c r="BGO211" s="394"/>
      <c r="BGP211" s="394"/>
      <c r="BGQ211" s="394"/>
      <c r="BGR211" s="394"/>
      <c r="BGS211" s="394"/>
      <c r="BGT211" s="394"/>
      <c r="BGU211" s="394"/>
      <c r="BGV211" s="394"/>
      <c r="BGW211" s="394"/>
      <c r="BGX211" s="394"/>
      <c r="BGY211" s="394"/>
      <c r="BGZ211" s="394"/>
      <c r="BHA211" s="394"/>
      <c r="BHB211" s="394"/>
      <c r="BHC211" s="394"/>
      <c r="BHD211" s="394"/>
      <c r="BHE211" s="394"/>
      <c r="BHF211" s="394"/>
      <c r="BHG211" s="394"/>
      <c r="BHH211" s="394"/>
      <c r="BHI211" s="394"/>
      <c r="BHJ211" s="394"/>
      <c r="BHK211" s="394"/>
      <c r="BHL211" s="394"/>
      <c r="BHM211" s="394"/>
      <c r="BHN211" s="394"/>
      <c r="BHO211" s="394"/>
      <c r="BHP211" s="394"/>
      <c r="BHQ211" s="394"/>
      <c r="BHR211" s="394"/>
      <c r="BHS211" s="394"/>
      <c r="BHT211" s="394"/>
      <c r="BHU211" s="394"/>
      <c r="BHV211" s="394"/>
      <c r="BHW211" s="394"/>
      <c r="BHX211" s="394"/>
      <c r="BHY211" s="394"/>
      <c r="BHZ211" s="394"/>
      <c r="BIA211" s="394"/>
      <c r="BIB211" s="394"/>
      <c r="BIC211" s="394"/>
      <c r="BID211" s="394"/>
      <c r="BIE211" s="394"/>
      <c r="BIF211" s="394"/>
      <c r="BIG211" s="394"/>
      <c r="BIH211" s="394"/>
      <c r="BII211" s="394"/>
      <c r="BIJ211" s="394"/>
      <c r="BIK211" s="394"/>
      <c r="BIL211" s="394"/>
      <c r="BIM211" s="394"/>
      <c r="BIN211" s="394"/>
      <c r="BIO211" s="394"/>
      <c r="BIP211" s="394"/>
      <c r="BIQ211" s="394"/>
      <c r="BIR211" s="394"/>
      <c r="BIS211" s="394"/>
      <c r="BIT211" s="394"/>
      <c r="BIU211" s="394"/>
      <c r="BIV211" s="394"/>
      <c r="BIW211" s="394"/>
      <c r="BIX211" s="394"/>
      <c r="BIY211" s="394"/>
      <c r="BIZ211" s="394"/>
      <c r="BJA211" s="394"/>
      <c r="BJB211" s="394"/>
      <c r="BJC211" s="394"/>
      <c r="BJD211" s="394"/>
      <c r="BJE211" s="394"/>
      <c r="BJF211" s="394"/>
      <c r="BJG211" s="394"/>
      <c r="BJH211" s="394"/>
      <c r="BJI211" s="394"/>
      <c r="BJJ211" s="394"/>
      <c r="BJK211" s="394"/>
      <c r="BJL211" s="394"/>
      <c r="BJM211" s="394"/>
      <c r="BJN211" s="394"/>
      <c r="BJO211" s="394"/>
      <c r="BJP211" s="394"/>
      <c r="BJQ211" s="394"/>
      <c r="BJR211" s="394"/>
      <c r="BJS211" s="394"/>
      <c r="BJT211" s="394"/>
      <c r="BJU211" s="394"/>
      <c r="BJV211" s="394"/>
      <c r="BJW211" s="394"/>
      <c r="BJX211" s="394"/>
      <c r="BJY211" s="394"/>
      <c r="BJZ211" s="394"/>
      <c r="BKA211" s="394"/>
      <c r="BKB211" s="394"/>
      <c r="BKC211" s="394"/>
      <c r="BKD211" s="394"/>
      <c r="BKE211" s="394"/>
      <c r="BKF211" s="394"/>
      <c r="BKG211" s="394"/>
      <c r="BKH211" s="394"/>
      <c r="BKI211" s="394"/>
      <c r="BKJ211" s="394"/>
      <c r="BKK211" s="394"/>
      <c r="BKL211" s="394"/>
      <c r="BKM211" s="394"/>
      <c r="BKN211" s="394"/>
      <c r="BKO211" s="394"/>
      <c r="BKP211" s="394"/>
      <c r="BKQ211" s="394"/>
      <c r="BKR211" s="394"/>
      <c r="BKS211" s="394"/>
      <c r="BKT211" s="394"/>
      <c r="BKU211" s="394"/>
      <c r="BKV211" s="394"/>
      <c r="BKW211" s="394"/>
      <c r="BKX211" s="394"/>
      <c r="BKY211" s="394"/>
      <c r="BKZ211" s="394"/>
      <c r="BLA211" s="394"/>
      <c r="BLB211" s="394"/>
      <c r="BLC211" s="394"/>
      <c r="BLD211" s="394"/>
      <c r="BLE211" s="394"/>
      <c r="BLF211" s="394"/>
      <c r="BLG211" s="394"/>
      <c r="BLH211" s="394"/>
      <c r="BLI211" s="394"/>
      <c r="BLJ211" s="394"/>
      <c r="BLK211" s="394"/>
      <c r="BLL211" s="394"/>
      <c r="BLM211" s="394"/>
      <c r="BLN211" s="394"/>
      <c r="BLO211" s="394"/>
      <c r="BLP211" s="394"/>
      <c r="BLQ211" s="394"/>
      <c r="BLR211" s="394"/>
      <c r="BLS211" s="394"/>
      <c r="BLT211" s="394"/>
      <c r="BLU211" s="394"/>
      <c r="BLV211" s="394"/>
      <c r="BLW211" s="394"/>
      <c r="BLX211" s="394"/>
      <c r="BLY211" s="394"/>
      <c r="BLZ211" s="394"/>
      <c r="BMA211" s="394"/>
      <c r="BMB211" s="394"/>
      <c r="BMC211" s="394"/>
      <c r="BMD211" s="394"/>
      <c r="BME211" s="394"/>
      <c r="BMF211" s="394"/>
      <c r="BMG211" s="394"/>
      <c r="BMH211" s="394"/>
      <c r="BMI211" s="394"/>
      <c r="BMJ211" s="394"/>
      <c r="BMK211" s="394"/>
      <c r="BML211" s="394"/>
      <c r="BMM211" s="394"/>
      <c r="BMN211" s="394"/>
      <c r="BMO211" s="394"/>
      <c r="BMP211" s="394"/>
      <c r="BMQ211" s="394"/>
      <c r="BMR211" s="394"/>
      <c r="BMS211" s="394"/>
      <c r="BMT211" s="394"/>
      <c r="BMU211" s="394"/>
      <c r="BMV211" s="394"/>
      <c r="BMW211" s="394"/>
      <c r="BMX211" s="394"/>
      <c r="BMY211" s="394"/>
      <c r="BMZ211" s="394"/>
      <c r="BNA211" s="394"/>
      <c r="BNB211" s="394"/>
      <c r="BNC211" s="394"/>
      <c r="BND211" s="394"/>
      <c r="BNE211" s="394"/>
      <c r="BNF211" s="394"/>
      <c r="BNG211" s="394"/>
      <c r="BNH211" s="394"/>
      <c r="BNI211" s="394"/>
      <c r="BNJ211" s="394"/>
      <c r="BNK211" s="394"/>
      <c r="BNL211" s="394"/>
      <c r="BNM211" s="394"/>
      <c r="BNN211" s="394"/>
      <c r="BNO211" s="394"/>
      <c r="BNP211" s="394"/>
      <c r="BNQ211" s="394"/>
      <c r="BNR211" s="394"/>
      <c r="BNS211" s="394"/>
      <c r="BNT211" s="394"/>
      <c r="BNU211" s="394"/>
      <c r="BNV211" s="394"/>
      <c r="BNW211" s="394"/>
      <c r="BNX211" s="394"/>
      <c r="BNY211" s="394"/>
      <c r="BNZ211" s="394"/>
      <c r="BOA211" s="394"/>
      <c r="BOB211" s="394"/>
      <c r="BOC211" s="394"/>
      <c r="BOD211" s="394"/>
      <c r="BOE211" s="394"/>
      <c r="BOF211" s="394"/>
      <c r="BOG211" s="394"/>
      <c r="BOH211" s="394"/>
      <c r="BOI211" s="394"/>
      <c r="BOJ211" s="394"/>
      <c r="BOK211" s="394"/>
      <c r="BOL211" s="394"/>
      <c r="BOM211" s="394"/>
      <c r="BON211" s="394"/>
      <c r="BOO211" s="394"/>
      <c r="BOP211" s="394"/>
      <c r="BOQ211" s="394"/>
      <c r="BOR211" s="394"/>
      <c r="BOS211" s="394"/>
      <c r="BOT211" s="394"/>
      <c r="BOU211" s="394"/>
      <c r="BOV211" s="394"/>
      <c r="BOW211" s="394"/>
      <c r="BOX211" s="394"/>
      <c r="BOY211" s="394"/>
      <c r="BOZ211" s="394"/>
      <c r="BPA211" s="394"/>
      <c r="BPB211" s="394"/>
      <c r="BPC211" s="394"/>
      <c r="BPD211" s="394"/>
      <c r="BPE211" s="394"/>
      <c r="BPF211" s="394"/>
      <c r="BPG211" s="394"/>
      <c r="BPH211" s="394"/>
      <c r="BPI211" s="394"/>
      <c r="BPJ211" s="394"/>
      <c r="BPK211" s="394"/>
      <c r="BPL211" s="394"/>
      <c r="BPM211" s="394"/>
      <c r="BPN211" s="394"/>
      <c r="BPO211" s="394"/>
      <c r="BPP211" s="394"/>
      <c r="BPQ211" s="394"/>
      <c r="BPR211" s="394"/>
      <c r="BPS211" s="394"/>
      <c r="BPT211" s="394"/>
      <c r="BPU211" s="394"/>
      <c r="BPV211" s="394"/>
      <c r="BPW211" s="394"/>
      <c r="BPX211" s="394"/>
      <c r="BPY211" s="394"/>
      <c r="BPZ211" s="394"/>
      <c r="BQA211" s="394"/>
      <c r="BQB211" s="394"/>
      <c r="BQC211" s="394"/>
      <c r="BQD211" s="394"/>
      <c r="BQE211" s="394"/>
      <c r="BQF211" s="394"/>
      <c r="BQG211" s="394"/>
      <c r="BQH211" s="394"/>
      <c r="BQI211" s="394"/>
      <c r="BQJ211" s="394"/>
      <c r="BQK211" s="394"/>
      <c r="BQL211" s="394"/>
      <c r="BQM211" s="394"/>
      <c r="BQN211" s="394"/>
      <c r="BQO211" s="394"/>
      <c r="BQP211" s="394"/>
      <c r="BQQ211" s="394"/>
      <c r="BQR211" s="394"/>
      <c r="BQS211" s="394"/>
      <c r="BQT211" s="394"/>
      <c r="BQU211" s="394"/>
      <c r="BQV211" s="394"/>
      <c r="BQW211" s="394"/>
      <c r="BQX211" s="394"/>
      <c r="BQY211" s="394"/>
      <c r="BQZ211" s="394"/>
      <c r="BRA211" s="394"/>
      <c r="BRB211" s="394"/>
      <c r="BRC211" s="394"/>
      <c r="BRD211" s="394"/>
      <c r="BRE211" s="394"/>
      <c r="BRF211" s="394"/>
      <c r="BRG211" s="394"/>
      <c r="BRH211" s="394"/>
      <c r="BRI211" s="394"/>
      <c r="BRJ211" s="394"/>
      <c r="BRK211" s="394"/>
      <c r="BRL211" s="394"/>
      <c r="BRM211" s="394"/>
      <c r="BRN211" s="394"/>
      <c r="BRO211" s="394"/>
      <c r="BRP211" s="394"/>
      <c r="BRQ211" s="394"/>
      <c r="BRR211" s="394"/>
      <c r="BRS211" s="394"/>
      <c r="BRT211" s="394"/>
      <c r="BRU211" s="394"/>
      <c r="BRV211" s="394"/>
      <c r="BRW211" s="394"/>
      <c r="BRX211" s="394"/>
      <c r="BRY211" s="394"/>
      <c r="BRZ211" s="394"/>
      <c r="BSA211" s="394"/>
      <c r="BSB211" s="394"/>
      <c r="BSC211" s="394"/>
      <c r="BSD211" s="394"/>
      <c r="BSE211" s="394"/>
      <c r="BSF211" s="394"/>
      <c r="BSG211" s="394"/>
      <c r="BSH211" s="394"/>
      <c r="BSI211" s="394"/>
      <c r="BSJ211" s="394"/>
      <c r="BSK211" s="394"/>
      <c r="BSL211" s="394"/>
      <c r="BSM211" s="394"/>
      <c r="BSN211" s="394"/>
      <c r="BSO211" s="394"/>
      <c r="BSP211" s="394"/>
      <c r="BSQ211" s="394"/>
      <c r="BSR211" s="394"/>
      <c r="BSS211" s="394"/>
      <c r="BST211" s="394"/>
      <c r="BSU211" s="394"/>
      <c r="BSV211" s="394"/>
      <c r="BSW211" s="394"/>
      <c r="BSX211" s="394"/>
      <c r="BSY211" s="394"/>
      <c r="BSZ211" s="394"/>
      <c r="BTA211" s="394"/>
      <c r="BTB211" s="394"/>
      <c r="BTC211" s="394"/>
      <c r="BTD211" s="394"/>
      <c r="BTE211" s="394"/>
      <c r="BTF211" s="394"/>
      <c r="BTG211" s="394"/>
      <c r="BTH211" s="394"/>
      <c r="BTI211" s="394"/>
    </row>
    <row r="212" spans="1:1881" s="391" customFormat="1" ht="95.25" customHeight="1" x14ac:dyDescent="0.25">
      <c r="A212" s="188">
        <v>619</v>
      </c>
      <c r="B212" s="150" t="s">
        <v>66</v>
      </c>
      <c r="C212" s="150" t="s">
        <v>804</v>
      </c>
      <c r="D212" s="366" t="s">
        <v>816</v>
      </c>
      <c r="E212" s="32" t="e">
        <f>HLOOKUP($D$2,'2019 Data(H)'!$C$1:$CP$300,279,FALSE)</f>
        <v>#N/A</v>
      </c>
      <c r="F212" s="675"/>
      <c r="G212" s="561" t="str">
        <f>IF(ISBLANK(F212),"Please do not leave blank ",IF(F212=H212,"","Please review percentage"))</f>
        <v xml:space="preserve">Please do not leave blank </v>
      </c>
      <c r="H212" s="358">
        <f>ROUND(IFERROR((F211/F210)*100,0),1)</f>
        <v>0</v>
      </c>
      <c r="I212"/>
      <c r="J212" s="394"/>
      <c r="K212" s="394"/>
      <c r="L212" s="394"/>
      <c r="M212" s="394"/>
      <c r="N212"/>
      <c r="O212" s="394"/>
      <c r="P212" s="394"/>
      <c r="Q212" s="394"/>
      <c r="R212" s="394"/>
      <c r="S212" s="394"/>
      <c r="T212" s="394"/>
      <c r="U212" s="394"/>
      <c r="V212" s="394"/>
      <c r="W212" s="394"/>
      <c r="X212" s="394"/>
      <c r="Y212" s="394"/>
      <c r="Z212" s="394"/>
      <c r="AA212" s="394"/>
      <c r="AB212" s="394"/>
      <c r="AC212" s="394"/>
      <c r="AD212" s="394"/>
      <c r="AE212" s="394"/>
      <c r="AF212" s="394"/>
      <c r="AG212" s="394"/>
      <c r="AH212" s="394"/>
      <c r="AI212" s="394"/>
      <c r="AJ212" s="394"/>
      <c r="AK212" s="394"/>
      <c r="AL212" s="394"/>
      <c r="AM212" s="394"/>
      <c r="AN212" s="394"/>
      <c r="AO212" s="394"/>
      <c r="AP212" s="394"/>
      <c r="AQ212" s="394"/>
      <c r="AR212" s="394"/>
      <c r="AS212" s="394"/>
      <c r="AT212" s="394"/>
      <c r="AU212" s="394"/>
      <c r="AV212" s="394"/>
      <c r="AW212" s="394"/>
      <c r="AX212" s="394"/>
      <c r="AY212" s="394"/>
      <c r="AZ212" s="394"/>
      <c r="BA212" s="394"/>
      <c r="BB212" s="394"/>
      <c r="BC212" s="394"/>
      <c r="BD212" s="394"/>
      <c r="BE212" s="394"/>
      <c r="BF212" s="394"/>
      <c r="BG212" s="394"/>
      <c r="BH212" s="394"/>
      <c r="BI212" s="394"/>
      <c r="BJ212" s="394"/>
      <c r="BK212" s="394"/>
      <c r="BL212" s="394"/>
      <c r="BM212" s="394"/>
      <c r="BN212" s="394"/>
      <c r="BO212" s="394"/>
      <c r="BP212" s="394"/>
      <c r="BQ212" s="394"/>
      <c r="BR212" s="394"/>
      <c r="BS212" s="394"/>
      <c r="BT212" s="394"/>
      <c r="BU212" s="394"/>
      <c r="BV212" s="394"/>
      <c r="BW212" s="394"/>
      <c r="BX212" s="394"/>
      <c r="BY212" s="394"/>
      <c r="BZ212" s="394"/>
      <c r="CA212" s="394"/>
      <c r="CB212" s="394"/>
      <c r="CC212" s="394"/>
      <c r="CD212" s="394"/>
      <c r="CE212" s="394"/>
      <c r="CF212" s="394"/>
      <c r="CG212" s="394"/>
      <c r="CH212" s="394"/>
      <c r="CI212" s="394"/>
      <c r="CJ212" s="394"/>
      <c r="CK212" s="394"/>
      <c r="CL212" s="394"/>
      <c r="CM212" s="394"/>
      <c r="CN212" s="394"/>
      <c r="CO212" s="394"/>
      <c r="CP212" s="394"/>
      <c r="CQ212" s="394"/>
      <c r="CR212" s="394"/>
      <c r="CS212" s="394"/>
      <c r="CT212" s="394"/>
      <c r="CU212" s="394"/>
      <c r="CV212" s="394"/>
      <c r="CW212" s="394"/>
      <c r="CX212" s="394"/>
      <c r="CY212" s="394"/>
      <c r="CZ212" s="394"/>
      <c r="DA212" s="394"/>
      <c r="DB212" s="394"/>
      <c r="DC212" s="394"/>
      <c r="DD212" s="394"/>
      <c r="DE212" s="394"/>
      <c r="DF212" s="394"/>
      <c r="DG212" s="394"/>
      <c r="DH212" s="394"/>
      <c r="DI212" s="394"/>
      <c r="DJ212" s="394"/>
      <c r="DK212" s="394"/>
      <c r="DL212" s="394"/>
      <c r="DM212" s="394"/>
      <c r="DN212" s="394"/>
      <c r="DO212" s="394"/>
      <c r="DP212" s="394"/>
      <c r="DQ212" s="394"/>
      <c r="DR212" s="394"/>
      <c r="DS212" s="394"/>
      <c r="DT212" s="394"/>
      <c r="DU212" s="394"/>
      <c r="DV212" s="394"/>
      <c r="DW212" s="394"/>
      <c r="DX212" s="394"/>
      <c r="DY212" s="394"/>
      <c r="DZ212" s="394"/>
      <c r="EA212" s="394"/>
      <c r="EB212" s="394"/>
      <c r="EC212" s="394"/>
      <c r="ED212" s="394"/>
      <c r="EE212" s="394"/>
      <c r="EF212" s="394"/>
      <c r="EG212" s="394"/>
      <c r="EH212" s="394"/>
      <c r="EI212" s="394"/>
      <c r="EJ212" s="394"/>
      <c r="EK212" s="394"/>
      <c r="EL212" s="394"/>
      <c r="EM212" s="394"/>
      <c r="EN212" s="394"/>
      <c r="EO212" s="394"/>
      <c r="EP212" s="394"/>
      <c r="EQ212" s="394"/>
      <c r="ER212" s="394"/>
      <c r="ES212" s="394"/>
      <c r="ET212" s="394"/>
      <c r="EU212" s="394"/>
      <c r="EV212" s="394"/>
      <c r="EW212" s="394"/>
      <c r="EX212" s="394"/>
      <c r="EY212" s="394"/>
      <c r="EZ212" s="394"/>
      <c r="FA212" s="394"/>
      <c r="FB212" s="394"/>
      <c r="FC212" s="394"/>
      <c r="FD212" s="394"/>
      <c r="FE212" s="394"/>
      <c r="FF212" s="394"/>
      <c r="FG212" s="394"/>
      <c r="FH212" s="394"/>
      <c r="FI212" s="394"/>
      <c r="FJ212" s="394"/>
      <c r="FK212" s="394"/>
      <c r="FL212" s="394"/>
      <c r="FM212" s="394"/>
      <c r="FN212" s="394"/>
      <c r="FO212" s="394"/>
      <c r="FP212" s="394"/>
      <c r="FQ212" s="394"/>
      <c r="FR212" s="394"/>
      <c r="FS212" s="394"/>
      <c r="FT212" s="394"/>
      <c r="FU212" s="394"/>
      <c r="FV212" s="394"/>
      <c r="FW212" s="394"/>
      <c r="FX212" s="394"/>
      <c r="FY212" s="394"/>
      <c r="FZ212" s="394"/>
      <c r="GA212" s="394"/>
      <c r="GB212" s="394"/>
      <c r="GC212" s="394"/>
      <c r="GD212" s="394"/>
      <c r="GE212" s="394"/>
      <c r="GF212" s="394"/>
      <c r="GG212" s="394"/>
      <c r="GH212" s="394"/>
      <c r="GI212" s="394"/>
      <c r="GJ212" s="394"/>
      <c r="GK212" s="394"/>
      <c r="GL212" s="394"/>
      <c r="GM212" s="394"/>
      <c r="GN212" s="394"/>
      <c r="GO212" s="394"/>
      <c r="GP212" s="394"/>
      <c r="GQ212" s="394"/>
      <c r="GR212" s="394"/>
      <c r="GS212" s="394"/>
      <c r="GT212" s="394"/>
      <c r="GU212" s="394"/>
      <c r="GV212" s="394"/>
      <c r="GW212" s="394"/>
      <c r="GX212" s="394"/>
      <c r="GY212" s="394"/>
      <c r="GZ212" s="394"/>
      <c r="HA212" s="394"/>
      <c r="HB212" s="394"/>
      <c r="HC212" s="394"/>
      <c r="HD212" s="394"/>
      <c r="HE212" s="394"/>
      <c r="HF212" s="394"/>
      <c r="HG212" s="394"/>
      <c r="HH212" s="394"/>
      <c r="HI212" s="394"/>
      <c r="HJ212" s="394"/>
      <c r="HK212" s="394"/>
      <c r="HL212" s="394"/>
      <c r="HM212" s="394"/>
      <c r="HN212" s="394"/>
      <c r="HO212" s="394"/>
      <c r="HP212" s="394"/>
      <c r="HQ212" s="394"/>
      <c r="HR212" s="394"/>
      <c r="HS212" s="394"/>
      <c r="HT212" s="394"/>
      <c r="HU212" s="394"/>
      <c r="HV212" s="394"/>
      <c r="HW212" s="394"/>
      <c r="HX212" s="394"/>
      <c r="HY212" s="394"/>
      <c r="HZ212" s="394"/>
      <c r="IA212" s="394"/>
      <c r="IB212" s="394"/>
      <c r="IC212" s="394"/>
      <c r="ID212" s="394"/>
      <c r="IE212" s="394"/>
      <c r="IF212" s="394"/>
      <c r="IG212" s="394"/>
      <c r="IH212" s="394"/>
      <c r="II212" s="394"/>
      <c r="IJ212" s="394"/>
      <c r="IK212" s="394"/>
      <c r="IL212" s="394"/>
      <c r="IM212" s="394"/>
      <c r="IN212" s="394"/>
      <c r="IO212" s="394"/>
      <c r="IP212" s="394"/>
      <c r="IQ212" s="394"/>
      <c r="IR212" s="394"/>
      <c r="IS212" s="394"/>
      <c r="IT212" s="394"/>
      <c r="IU212" s="394"/>
      <c r="IV212" s="394"/>
      <c r="IW212" s="394"/>
      <c r="IX212" s="394"/>
      <c r="IY212" s="394"/>
      <c r="IZ212" s="394"/>
      <c r="JA212" s="394"/>
      <c r="JB212" s="394"/>
      <c r="JC212" s="394"/>
      <c r="JD212" s="394"/>
      <c r="JE212" s="394"/>
      <c r="JF212" s="394"/>
      <c r="JG212" s="394"/>
      <c r="JH212" s="394"/>
      <c r="JI212" s="394"/>
      <c r="JJ212" s="394"/>
      <c r="JK212" s="394"/>
      <c r="JL212" s="394"/>
      <c r="JM212" s="394"/>
      <c r="JN212" s="394"/>
      <c r="JO212" s="394"/>
      <c r="JP212" s="394"/>
      <c r="JQ212" s="394"/>
      <c r="JR212" s="394"/>
      <c r="JS212" s="394"/>
      <c r="JT212" s="394"/>
      <c r="JU212" s="394"/>
      <c r="JV212" s="394"/>
      <c r="JW212" s="394"/>
      <c r="JX212" s="394"/>
      <c r="JY212" s="394"/>
      <c r="JZ212" s="394"/>
      <c r="KA212" s="394"/>
      <c r="KB212" s="394"/>
      <c r="KC212" s="394"/>
      <c r="KD212" s="394"/>
      <c r="KE212" s="394"/>
      <c r="KF212" s="394"/>
      <c r="KG212" s="394"/>
      <c r="KH212" s="394"/>
      <c r="KI212" s="394"/>
      <c r="KJ212" s="394"/>
      <c r="KK212" s="394"/>
      <c r="KL212" s="394"/>
      <c r="KM212" s="394"/>
      <c r="KN212" s="394"/>
      <c r="KO212" s="394"/>
      <c r="KP212" s="394"/>
      <c r="KQ212" s="394"/>
      <c r="KR212" s="394"/>
      <c r="KS212" s="394"/>
      <c r="KT212" s="394"/>
      <c r="KU212" s="394"/>
      <c r="KV212" s="394"/>
      <c r="KW212" s="394"/>
      <c r="KX212" s="394"/>
      <c r="KY212" s="394"/>
      <c r="KZ212" s="394"/>
      <c r="LA212" s="394"/>
      <c r="LB212" s="394"/>
      <c r="LC212" s="394"/>
      <c r="LD212" s="394"/>
      <c r="LE212" s="394"/>
      <c r="LF212" s="394"/>
      <c r="LG212" s="394"/>
      <c r="LH212" s="394"/>
      <c r="LI212" s="394"/>
      <c r="LJ212" s="394"/>
      <c r="LK212" s="394"/>
      <c r="LL212" s="394"/>
      <c r="LM212" s="394"/>
      <c r="LN212" s="394"/>
      <c r="LO212" s="394"/>
      <c r="LP212" s="394"/>
      <c r="LQ212" s="394"/>
      <c r="LR212" s="394"/>
      <c r="LS212" s="394"/>
      <c r="LT212" s="394"/>
      <c r="LU212" s="394"/>
      <c r="LV212" s="394"/>
      <c r="LW212" s="394"/>
      <c r="LX212" s="394"/>
      <c r="LY212" s="394"/>
      <c r="LZ212" s="394"/>
      <c r="MA212" s="394"/>
      <c r="MB212" s="394"/>
      <c r="MC212" s="394"/>
      <c r="MD212" s="394"/>
      <c r="ME212" s="394"/>
      <c r="MF212" s="394"/>
      <c r="MG212" s="394"/>
      <c r="MH212" s="394"/>
      <c r="MI212" s="394"/>
      <c r="MJ212" s="394"/>
      <c r="MK212" s="394"/>
      <c r="ML212" s="394"/>
      <c r="MM212" s="394"/>
      <c r="MN212" s="394"/>
      <c r="MO212" s="394"/>
      <c r="MP212" s="394"/>
      <c r="MQ212" s="394"/>
      <c r="MR212" s="394"/>
      <c r="MS212" s="394"/>
      <c r="MT212" s="394"/>
      <c r="MU212" s="394"/>
      <c r="MV212" s="394"/>
      <c r="MW212" s="394"/>
      <c r="MX212" s="394"/>
      <c r="MY212" s="394"/>
      <c r="MZ212" s="394"/>
      <c r="NA212" s="394"/>
      <c r="NB212" s="394"/>
      <c r="NC212" s="394"/>
      <c r="ND212" s="394"/>
      <c r="NE212" s="394"/>
      <c r="NF212" s="394"/>
      <c r="NG212" s="394"/>
      <c r="NH212" s="394"/>
      <c r="NI212" s="394"/>
      <c r="NJ212" s="394"/>
      <c r="NK212" s="394"/>
      <c r="NL212" s="394"/>
      <c r="NM212" s="394"/>
      <c r="NN212" s="394"/>
      <c r="NO212" s="394"/>
      <c r="NP212" s="394"/>
      <c r="NQ212" s="394"/>
      <c r="NR212" s="394"/>
      <c r="NS212" s="394"/>
      <c r="NT212" s="394"/>
      <c r="NU212" s="394"/>
      <c r="NV212" s="394"/>
      <c r="NW212" s="394"/>
      <c r="NX212" s="394"/>
      <c r="NY212" s="394"/>
      <c r="NZ212" s="394"/>
      <c r="OA212" s="394"/>
      <c r="OB212" s="394"/>
      <c r="OC212" s="394"/>
      <c r="OD212" s="394"/>
      <c r="OE212" s="394"/>
      <c r="OF212" s="394"/>
      <c r="OG212" s="394"/>
      <c r="OH212" s="394"/>
      <c r="OI212" s="394"/>
      <c r="OJ212" s="394"/>
      <c r="OK212" s="394"/>
      <c r="OL212" s="394"/>
      <c r="OM212" s="394"/>
      <c r="ON212" s="394"/>
      <c r="OO212" s="394"/>
      <c r="OP212" s="394"/>
      <c r="OQ212" s="394"/>
      <c r="OR212" s="394"/>
      <c r="OS212" s="394"/>
      <c r="OT212" s="394"/>
      <c r="OU212" s="394"/>
      <c r="OV212" s="394"/>
      <c r="OW212" s="394"/>
      <c r="OX212" s="394"/>
      <c r="OY212" s="394"/>
      <c r="OZ212" s="394"/>
      <c r="PA212" s="394"/>
      <c r="PB212" s="394"/>
      <c r="PC212" s="394"/>
      <c r="PD212" s="394"/>
      <c r="PE212" s="394"/>
      <c r="PF212" s="394"/>
      <c r="PG212" s="394"/>
      <c r="PH212" s="394"/>
      <c r="PI212" s="394"/>
      <c r="PJ212" s="394"/>
      <c r="PK212" s="394"/>
      <c r="PL212" s="394"/>
      <c r="PM212" s="394"/>
      <c r="PN212" s="394"/>
      <c r="PO212" s="394"/>
      <c r="PP212" s="394"/>
      <c r="PQ212" s="394"/>
      <c r="PR212" s="394"/>
      <c r="PS212" s="394"/>
      <c r="PT212" s="394"/>
      <c r="PU212" s="394"/>
      <c r="PV212" s="394"/>
      <c r="PW212" s="394"/>
      <c r="PX212" s="394"/>
      <c r="PY212" s="394"/>
      <c r="PZ212" s="394"/>
      <c r="QA212" s="394"/>
      <c r="QB212" s="394"/>
      <c r="QC212" s="394"/>
      <c r="QD212" s="394"/>
      <c r="QE212" s="394"/>
      <c r="QF212" s="394"/>
      <c r="QG212" s="394"/>
      <c r="QH212" s="394"/>
      <c r="QI212" s="394"/>
      <c r="QJ212" s="394"/>
      <c r="QK212" s="394"/>
      <c r="QL212" s="394"/>
      <c r="QM212" s="394"/>
      <c r="QN212" s="394"/>
      <c r="QO212" s="394"/>
      <c r="QP212" s="394"/>
      <c r="QQ212" s="394"/>
      <c r="QR212" s="394"/>
      <c r="QS212" s="394"/>
      <c r="QT212" s="394"/>
      <c r="QU212" s="394"/>
      <c r="QV212" s="394"/>
      <c r="QW212" s="394"/>
      <c r="QX212" s="394"/>
      <c r="QY212" s="394"/>
      <c r="QZ212" s="394"/>
      <c r="RA212" s="394"/>
      <c r="RB212" s="394"/>
      <c r="RC212" s="394"/>
      <c r="RD212" s="394"/>
      <c r="RE212" s="394"/>
      <c r="RF212" s="394"/>
      <c r="RG212" s="394"/>
      <c r="RH212" s="394"/>
      <c r="RI212" s="394"/>
      <c r="RJ212" s="394"/>
      <c r="RK212" s="394"/>
      <c r="RL212" s="394"/>
      <c r="RM212" s="394"/>
      <c r="RN212" s="394"/>
      <c r="RO212" s="394"/>
      <c r="RP212" s="394"/>
      <c r="RQ212" s="394"/>
      <c r="RR212" s="394"/>
      <c r="RS212" s="394"/>
      <c r="RT212" s="394"/>
      <c r="RU212" s="394"/>
      <c r="RV212" s="394"/>
      <c r="RW212" s="394"/>
      <c r="RX212" s="394"/>
      <c r="RY212" s="394"/>
      <c r="RZ212" s="394"/>
      <c r="SA212" s="394"/>
      <c r="SB212" s="394"/>
      <c r="SC212" s="394"/>
      <c r="SD212" s="394"/>
      <c r="SE212" s="394"/>
      <c r="SF212" s="394"/>
      <c r="SG212" s="394"/>
      <c r="SH212" s="394"/>
      <c r="SI212" s="394"/>
      <c r="SJ212" s="394"/>
      <c r="SK212" s="394"/>
      <c r="SL212" s="394"/>
      <c r="SM212" s="394"/>
      <c r="SN212" s="394"/>
      <c r="SO212" s="394"/>
      <c r="SP212" s="394"/>
      <c r="SQ212" s="394"/>
      <c r="SR212" s="394"/>
      <c r="SS212" s="394"/>
      <c r="ST212" s="394"/>
      <c r="SU212" s="394"/>
      <c r="SV212" s="394"/>
      <c r="SW212" s="394"/>
      <c r="SX212" s="394"/>
      <c r="SY212" s="394"/>
      <c r="SZ212" s="394"/>
      <c r="TA212" s="394"/>
      <c r="TB212" s="394"/>
      <c r="TC212" s="394"/>
      <c r="TD212" s="394"/>
      <c r="TE212" s="394"/>
      <c r="TF212" s="394"/>
      <c r="TG212" s="394"/>
      <c r="TH212" s="394"/>
      <c r="TI212" s="394"/>
      <c r="TJ212" s="394"/>
      <c r="TK212" s="394"/>
      <c r="TL212" s="394"/>
      <c r="TM212" s="394"/>
      <c r="TN212" s="394"/>
      <c r="TO212" s="394"/>
      <c r="TP212" s="394"/>
      <c r="TQ212" s="394"/>
      <c r="TR212" s="394"/>
      <c r="TS212" s="394"/>
      <c r="TT212" s="394"/>
      <c r="TU212" s="394"/>
      <c r="TV212" s="394"/>
      <c r="TW212" s="394"/>
      <c r="TX212" s="394"/>
      <c r="TY212" s="394"/>
      <c r="TZ212" s="394"/>
      <c r="UA212" s="394"/>
      <c r="UB212" s="394"/>
      <c r="UC212" s="394"/>
      <c r="UD212" s="394"/>
      <c r="UE212" s="394"/>
      <c r="UF212" s="394"/>
      <c r="UG212" s="394"/>
      <c r="UH212" s="394"/>
      <c r="UI212" s="394"/>
      <c r="UJ212" s="394"/>
      <c r="UK212" s="394"/>
      <c r="UL212" s="394"/>
      <c r="UM212" s="394"/>
      <c r="UN212" s="394"/>
      <c r="UO212" s="394"/>
      <c r="UP212" s="394"/>
      <c r="UQ212" s="394"/>
      <c r="UR212" s="394"/>
      <c r="US212" s="394"/>
      <c r="UT212" s="394"/>
      <c r="UU212" s="394"/>
      <c r="UV212" s="394"/>
      <c r="UW212" s="394"/>
      <c r="UX212" s="394"/>
      <c r="UY212" s="394"/>
      <c r="UZ212" s="394"/>
      <c r="VA212" s="394"/>
      <c r="VB212" s="394"/>
      <c r="VC212" s="394"/>
      <c r="VD212" s="394"/>
      <c r="VE212" s="394"/>
      <c r="VF212" s="394"/>
      <c r="VG212" s="394"/>
      <c r="VH212" s="394"/>
      <c r="VI212" s="394"/>
      <c r="VJ212" s="394"/>
      <c r="VK212" s="394"/>
      <c r="VL212" s="394"/>
      <c r="VM212" s="394"/>
      <c r="VN212" s="394"/>
      <c r="VO212" s="394"/>
      <c r="VP212" s="394"/>
      <c r="VQ212" s="394"/>
      <c r="VR212" s="394"/>
      <c r="VS212" s="394"/>
      <c r="VT212" s="394"/>
      <c r="VU212" s="394"/>
      <c r="VV212" s="394"/>
      <c r="VW212" s="394"/>
      <c r="VX212" s="394"/>
      <c r="VY212" s="394"/>
      <c r="VZ212" s="394"/>
      <c r="WA212" s="394"/>
      <c r="WB212" s="394"/>
      <c r="WC212" s="394"/>
      <c r="WD212" s="394"/>
      <c r="WE212" s="394"/>
      <c r="WF212" s="394"/>
      <c r="WG212" s="394"/>
      <c r="WH212" s="394"/>
      <c r="WI212" s="394"/>
      <c r="WJ212" s="394"/>
      <c r="WK212" s="394"/>
      <c r="WL212" s="394"/>
      <c r="WM212" s="394"/>
      <c r="WN212" s="394"/>
      <c r="WO212" s="394"/>
      <c r="WP212" s="394"/>
      <c r="WQ212" s="394"/>
      <c r="WR212" s="394"/>
      <c r="WS212" s="394"/>
      <c r="WT212" s="394"/>
      <c r="WU212" s="394"/>
      <c r="WV212" s="394"/>
      <c r="WW212" s="394"/>
      <c r="WX212" s="394"/>
      <c r="WY212" s="394"/>
      <c r="WZ212" s="394"/>
      <c r="XA212" s="394"/>
      <c r="XB212" s="394"/>
      <c r="XC212" s="394"/>
      <c r="XD212" s="394"/>
      <c r="XE212" s="394"/>
      <c r="XF212" s="394"/>
      <c r="XG212" s="394"/>
      <c r="XH212" s="394"/>
      <c r="XI212" s="394"/>
      <c r="XJ212" s="394"/>
      <c r="XK212" s="394"/>
      <c r="XL212" s="394"/>
      <c r="XM212" s="394"/>
      <c r="XN212" s="394"/>
      <c r="XO212" s="394"/>
      <c r="XP212" s="394"/>
      <c r="XQ212" s="394"/>
      <c r="XR212" s="394"/>
      <c r="XS212" s="394"/>
      <c r="XT212" s="394"/>
      <c r="XU212" s="394"/>
      <c r="XV212" s="394"/>
      <c r="XW212" s="394"/>
      <c r="XX212" s="394"/>
      <c r="XY212" s="394"/>
      <c r="XZ212" s="394"/>
      <c r="YA212" s="394"/>
      <c r="YB212" s="394"/>
      <c r="YC212" s="394"/>
      <c r="YD212" s="394"/>
      <c r="YE212" s="394"/>
      <c r="YF212" s="394"/>
      <c r="YG212" s="394"/>
      <c r="YH212" s="394"/>
      <c r="YI212" s="394"/>
      <c r="YJ212" s="394"/>
      <c r="YK212" s="394"/>
      <c r="YL212" s="394"/>
      <c r="YM212" s="394"/>
      <c r="YN212" s="394"/>
      <c r="YO212" s="394"/>
      <c r="YP212" s="394"/>
      <c r="YQ212" s="394"/>
      <c r="YR212" s="394"/>
      <c r="YS212" s="394"/>
      <c r="YT212" s="394"/>
      <c r="YU212" s="394"/>
      <c r="YV212" s="394"/>
      <c r="YW212" s="394"/>
      <c r="YX212" s="394"/>
      <c r="YY212" s="394"/>
      <c r="YZ212" s="394"/>
      <c r="ZA212" s="394"/>
      <c r="ZB212" s="394"/>
      <c r="ZC212" s="394"/>
      <c r="ZD212" s="394"/>
      <c r="ZE212" s="394"/>
      <c r="ZF212" s="394"/>
      <c r="ZG212" s="394"/>
      <c r="ZH212" s="394"/>
      <c r="ZI212" s="394"/>
      <c r="ZJ212" s="394"/>
      <c r="ZK212" s="394"/>
      <c r="ZL212" s="394"/>
      <c r="ZM212" s="394"/>
      <c r="ZN212" s="394"/>
      <c r="ZO212" s="394"/>
      <c r="ZP212" s="394"/>
      <c r="ZQ212" s="394"/>
      <c r="ZR212" s="394"/>
      <c r="ZS212" s="394"/>
      <c r="ZT212" s="394"/>
      <c r="ZU212" s="394"/>
      <c r="ZV212" s="394"/>
      <c r="ZW212" s="394"/>
      <c r="ZX212" s="394"/>
      <c r="ZY212" s="394"/>
      <c r="ZZ212" s="394"/>
      <c r="AAA212" s="394"/>
      <c r="AAB212" s="394"/>
      <c r="AAC212" s="394"/>
      <c r="AAD212" s="394"/>
      <c r="AAE212" s="394"/>
      <c r="AAF212" s="394"/>
      <c r="AAG212" s="394"/>
      <c r="AAH212" s="394"/>
      <c r="AAI212" s="394"/>
      <c r="AAJ212" s="394"/>
      <c r="AAK212" s="394"/>
      <c r="AAL212" s="394"/>
      <c r="AAM212" s="394"/>
      <c r="AAN212" s="394"/>
      <c r="AAO212" s="394"/>
      <c r="AAP212" s="394"/>
      <c r="AAQ212" s="394"/>
      <c r="AAR212" s="394"/>
      <c r="AAS212" s="394"/>
      <c r="AAT212" s="394"/>
      <c r="AAU212" s="394"/>
      <c r="AAV212" s="394"/>
      <c r="AAW212" s="394"/>
      <c r="AAX212" s="394"/>
      <c r="AAY212" s="394"/>
      <c r="AAZ212" s="394"/>
      <c r="ABA212" s="394"/>
      <c r="ABB212" s="394"/>
      <c r="ABC212" s="394"/>
      <c r="ABD212" s="394"/>
      <c r="ABE212" s="394"/>
      <c r="ABF212" s="394"/>
      <c r="ABG212" s="394"/>
      <c r="ABH212" s="394"/>
      <c r="ABI212" s="394"/>
      <c r="ABJ212" s="394"/>
      <c r="ABK212" s="394"/>
      <c r="ABL212" s="394"/>
      <c r="ABM212" s="394"/>
      <c r="ABN212" s="394"/>
      <c r="ABO212" s="394"/>
      <c r="ABP212" s="394"/>
      <c r="ABQ212" s="394"/>
      <c r="ABR212" s="394"/>
      <c r="ABS212" s="394"/>
      <c r="ABT212" s="394"/>
      <c r="ABU212" s="394"/>
      <c r="ABV212" s="394"/>
      <c r="ABW212" s="394"/>
      <c r="ABX212" s="394"/>
      <c r="ABY212" s="394"/>
      <c r="ABZ212" s="394"/>
      <c r="ACA212" s="394"/>
      <c r="ACB212" s="394"/>
      <c r="ACC212" s="394"/>
      <c r="ACD212" s="394"/>
      <c r="ACE212" s="394"/>
      <c r="ACF212" s="394"/>
      <c r="ACG212" s="394"/>
      <c r="ACH212" s="394"/>
      <c r="ACI212" s="394"/>
      <c r="ACJ212" s="394"/>
      <c r="ACK212" s="394"/>
      <c r="ACL212" s="394"/>
      <c r="ACM212" s="394"/>
      <c r="ACN212" s="394"/>
      <c r="ACO212" s="394"/>
      <c r="ACP212" s="394"/>
      <c r="ACQ212" s="394"/>
      <c r="ACR212" s="394"/>
      <c r="ACS212" s="394"/>
      <c r="ACT212" s="394"/>
      <c r="ACU212" s="394"/>
      <c r="ACV212" s="394"/>
      <c r="ACW212" s="394"/>
      <c r="ACX212" s="394"/>
      <c r="ACY212" s="394"/>
      <c r="ACZ212" s="394"/>
      <c r="ADA212" s="394"/>
      <c r="ADB212" s="394"/>
      <c r="ADC212" s="394"/>
      <c r="ADD212" s="394"/>
      <c r="ADE212" s="394"/>
      <c r="ADF212" s="394"/>
      <c r="ADG212" s="394"/>
      <c r="ADH212" s="394"/>
      <c r="ADI212" s="394"/>
      <c r="ADJ212" s="394"/>
      <c r="ADK212" s="394"/>
      <c r="ADL212" s="394"/>
      <c r="ADM212" s="394"/>
      <c r="ADN212" s="394"/>
      <c r="ADO212" s="394"/>
      <c r="ADP212" s="394"/>
      <c r="ADQ212" s="394"/>
      <c r="ADR212" s="394"/>
      <c r="ADS212" s="394"/>
      <c r="ADT212" s="394"/>
      <c r="ADU212" s="394"/>
      <c r="ADV212" s="394"/>
      <c r="ADW212" s="394"/>
      <c r="ADX212" s="394"/>
      <c r="ADY212" s="394"/>
      <c r="ADZ212" s="394"/>
      <c r="AEA212" s="394"/>
      <c r="AEB212" s="394"/>
      <c r="AEC212" s="394"/>
      <c r="AED212" s="394"/>
      <c r="AEE212" s="394"/>
      <c r="AEF212" s="394"/>
      <c r="AEG212" s="394"/>
      <c r="AEH212" s="394"/>
      <c r="AEI212" s="394"/>
      <c r="AEJ212" s="394"/>
      <c r="AEK212" s="394"/>
      <c r="AEL212" s="394"/>
      <c r="AEM212" s="394"/>
      <c r="AEN212" s="394"/>
      <c r="AEO212" s="394"/>
      <c r="AEP212" s="394"/>
      <c r="AEQ212" s="394"/>
      <c r="AER212" s="394"/>
      <c r="AES212" s="394"/>
      <c r="AET212" s="394"/>
      <c r="AEU212" s="394"/>
      <c r="AEV212" s="394"/>
      <c r="AEW212" s="394"/>
      <c r="AEX212" s="394"/>
      <c r="AEY212" s="394"/>
      <c r="AEZ212" s="394"/>
      <c r="AFA212" s="394"/>
      <c r="AFB212" s="394"/>
      <c r="AFC212" s="394"/>
      <c r="AFD212" s="394"/>
      <c r="AFE212" s="394"/>
      <c r="AFF212" s="394"/>
      <c r="AFG212" s="394"/>
      <c r="AFH212" s="394"/>
      <c r="AFI212" s="394"/>
      <c r="AFJ212" s="394"/>
      <c r="AFK212" s="394"/>
      <c r="AFL212" s="394"/>
      <c r="AFM212" s="394"/>
      <c r="AFN212" s="394"/>
      <c r="AFO212" s="394"/>
      <c r="AFP212" s="394"/>
      <c r="AFQ212" s="394"/>
      <c r="AFR212" s="394"/>
      <c r="AFS212" s="394"/>
      <c r="AFT212" s="394"/>
      <c r="AFU212" s="394"/>
      <c r="AFV212" s="394"/>
      <c r="AFW212" s="394"/>
      <c r="AFX212" s="394"/>
      <c r="AFY212" s="394"/>
      <c r="AFZ212" s="394"/>
      <c r="AGA212" s="394"/>
      <c r="AGB212" s="394"/>
      <c r="AGC212" s="394"/>
      <c r="AGD212" s="394"/>
      <c r="AGE212" s="394"/>
      <c r="AGF212" s="394"/>
      <c r="AGG212" s="394"/>
      <c r="AGH212" s="394"/>
      <c r="AGI212" s="394"/>
      <c r="AGJ212" s="394"/>
      <c r="AGK212" s="394"/>
      <c r="AGL212" s="394"/>
      <c r="AGM212" s="394"/>
      <c r="AGN212" s="394"/>
      <c r="AGO212" s="394"/>
      <c r="AGP212" s="394"/>
      <c r="AGQ212" s="394"/>
      <c r="AGR212" s="394"/>
      <c r="AGS212" s="394"/>
      <c r="AGT212" s="394"/>
      <c r="AGU212" s="394"/>
      <c r="AGV212" s="394"/>
      <c r="AGW212" s="394"/>
      <c r="AGX212" s="394"/>
      <c r="AGY212" s="394"/>
      <c r="AGZ212" s="394"/>
      <c r="AHA212" s="394"/>
      <c r="AHB212" s="394"/>
      <c r="AHC212" s="394"/>
      <c r="AHD212" s="394"/>
      <c r="AHE212" s="394"/>
      <c r="AHF212" s="394"/>
      <c r="AHG212" s="394"/>
      <c r="AHH212" s="394"/>
      <c r="AHI212" s="394"/>
      <c r="AHJ212" s="394"/>
      <c r="AHK212" s="394"/>
      <c r="AHL212" s="394"/>
      <c r="AHM212" s="394"/>
      <c r="AHN212" s="394"/>
      <c r="AHO212" s="394"/>
      <c r="AHP212" s="394"/>
      <c r="AHQ212" s="394"/>
      <c r="AHR212" s="394"/>
      <c r="AHS212" s="394"/>
      <c r="AHT212" s="394"/>
      <c r="AHU212" s="394"/>
      <c r="AHV212" s="394"/>
      <c r="AHW212" s="394"/>
      <c r="AHX212" s="394"/>
      <c r="AHY212" s="394"/>
      <c r="AHZ212" s="394"/>
      <c r="AIA212" s="394"/>
      <c r="AIB212" s="394"/>
      <c r="AIC212" s="394"/>
      <c r="AID212" s="394"/>
      <c r="AIE212" s="394"/>
      <c r="AIF212" s="394"/>
      <c r="AIG212" s="394"/>
      <c r="AIH212" s="394"/>
      <c r="AII212" s="394"/>
      <c r="AIJ212" s="394"/>
      <c r="AIK212" s="394"/>
      <c r="AIL212" s="394"/>
      <c r="AIM212" s="394"/>
      <c r="AIN212" s="394"/>
      <c r="AIO212" s="394"/>
      <c r="AIP212" s="394"/>
      <c r="AIQ212" s="394"/>
      <c r="AIR212" s="394"/>
      <c r="AIS212" s="394"/>
      <c r="AIT212" s="394"/>
      <c r="AIU212" s="394"/>
      <c r="AIV212" s="394"/>
      <c r="AIW212" s="394"/>
      <c r="AIX212" s="394"/>
      <c r="AIY212" s="394"/>
      <c r="AIZ212" s="394"/>
      <c r="AJA212" s="394"/>
      <c r="AJB212" s="394"/>
      <c r="AJC212" s="394"/>
      <c r="AJD212" s="394"/>
      <c r="AJE212" s="394"/>
      <c r="AJF212" s="394"/>
      <c r="AJG212" s="394"/>
      <c r="AJH212" s="394"/>
      <c r="AJI212" s="394"/>
      <c r="AJJ212" s="394"/>
      <c r="AJK212" s="394"/>
      <c r="AJL212" s="394"/>
      <c r="AJM212" s="394"/>
      <c r="AJN212" s="394"/>
      <c r="AJO212" s="394"/>
      <c r="AJP212" s="394"/>
      <c r="AJQ212" s="394"/>
      <c r="AJR212" s="394"/>
      <c r="AJS212" s="394"/>
      <c r="AJT212" s="394"/>
      <c r="AJU212" s="394"/>
      <c r="AJV212" s="394"/>
      <c r="AJW212" s="394"/>
      <c r="AJX212" s="394"/>
      <c r="AJY212" s="394"/>
      <c r="AJZ212" s="394"/>
      <c r="AKA212" s="394"/>
      <c r="AKB212" s="394"/>
      <c r="AKC212" s="394"/>
      <c r="AKD212" s="394"/>
      <c r="AKE212" s="394"/>
      <c r="AKF212" s="394"/>
      <c r="AKG212" s="394"/>
      <c r="AKH212" s="394"/>
      <c r="AKI212" s="394"/>
      <c r="AKJ212" s="394"/>
      <c r="AKK212" s="394"/>
      <c r="AKL212" s="394"/>
      <c r="AKM212" s="394"/>
      <c r="AKN212" s="394"/>
      <c r="AKO212" s="394"/>
      <c r="AKP212" s="394"/>
      <c r="AKQ212" s="394"/>
      <c r="AKR212" s="394"/>
      <c r="AKS212" s="394"/>
      <c r="AKT212" s="394"/>
      <c r="AKU212" s="394"/>
      <c r="AKV212" s="394"/>
      <c r="AKW212" s="394"/>
      <c r="AKX212" s="394"/>
      <c r="AKY212" s="394"/>
      <c r="AKZ212" s="394"/>
      <c r="ALA212" s="394"/>
      <c r="ALB212" s="394"/>
      <c r="ALC212" s="394"/>
      <c r="ALD212" s="394"/>
      <c r="ALE212" s="394"/>
      <c r="ALF212" s="394"/>
      <c r="ALG212" s="394"/>
      <c r="ALH212" s="394"/>
      <c r="ALI212" s="394"/>
      <c r="ALJ212" s="394"/>
      <c r="ALK212" s="394"/>
      <c r="ALL212" s="394"/>
      <c r="ALM212" s="394"/>
      <c r="ALN212" s="394"/>
      <c r="ALO212" s="394"/>
      <c r="ALP212" s="394"/>
      <c r="ALQ212" s="394"/>
      <c r="ALR212" s="394"/>
      <c r="ALS212" s="394"/>
      <c r="ALT212" s="394"/>
      <c r="ALU212" s="394"/>
      <c r="ALV212" s="394"/>
      <c r="ALW212" s="394"/>
      <c r="ALX212" s="394"/>
      <c r="ALY212" s="394"/>
      <c r="ALZ212" s="394"/>
      <c r="AMA212" s="394"/>
      <c r="AMB212" s="394"/>
      <c r="AMC212" s="394"/>
      <c r="AMD212" s="394"/>
      <c r="AME212" s="394"/>
      <c r="AMF212" s="394"/>
      <c r="AMG212" s="394"/>
      <c r="AMH212" s="394"/>
      <c r="AMI212" s="394"/>
      <c r="AMJ212" s="394"/>
      <c r="AMK212" s="394"/>
      <c r="AML212" s="394"/>
      <c r="AMM212" s="394"/>
      <c r="AMN212" s="394"/>
      <c r="AMO212" s="394"/>
      <c r="AMP212" s="394"/>
      <c r="AMQ212" s="394"/>
      <c r="AMR212" s="394"/>
      <c r="AMS212" s="394"/>
      <c r="AMT212" s="394"/>
      <c r="AMU212" s="394"/>
      <c r="AMV212" s="394"/>
      <c r="AMW212" s="394"/>
      <c r="AMX212" s="394"/>
      <c r="AMY212" s="394"/>
      <c r="AMZ212" s="394"/>
      <c r="ANA212" s="394"/>
      <c r="ANB212" s="394"/>
      <c r="ANC212" s="394"/>
      <c r="AND212" s="394"/>
      <c r="ANE212" s="394"/>
      <c r="ANF212" s="394"/>
      <c r="ANG212" s="394"/>
      <c r="ANH212" s="394"/>
      <c r="ANI212" s="394"/>
      <c r="ANJ212" s="394"/>
      <c r="ANK212" s="394"/>
      <c r="ANL212" s="394"/>
      <c r="ANM212" s="394"/>
      <c r="ANN212" s="394"/>
      <c r="ANO212" s="394"/>
      <c r="ANP212" s="394"/>
      <c r="ANQ212" s="394"/>
      <c r="ANR212" s="394"/>
      <c r="ANS212" s="394"/>
      <c r="ANT212" s="394"/>
      <c r="ANU212" s="394"/>
      <c r="ANV212" s="394"/>
      <c r="ANW212" s="394"/>
      <c r="ANX212" s="394"/>
      <c r="ANY212" s="394"/>
      <c r="ANZ212" s="394"/>
      <c r="AOA212" s="394"/>
      <c r="AOB212" s="394"/>
      <c r="AOC212" s="394"/>
      <c r="AOD212" s="394"/>
      <c r="AOE212" s="394"/>
      <c r="AOF212" s="394"/>
      <c r="AOG212" s="394"/>
      <c r="AOH212" s="394"/>
      <c r="AOI212" s="394"/>
      <c r="AOJ212" s="394"/>
      <c r="AOK212" s="394"/>
      <c r="AOL212" s="394"/>
      <c r="AOM212" s="394"/>
      <c r="AON212" s="394"/>
      <c r="AOO212" s="394"/>
      <c r="AOP212" s="394"/>
      <c r="AOQ212" s="394"/>
      <c r="AOR212" s="394"/>
      <c r="AOS212" s="394"/>
      <c r="AOT212" s="394"/>
      <c r="AOU212" s="394"/>
      <c r="AOV212" s="394"/>
      <c r="AOW212" s="394"/>
      <c r="AOX212" s="394"/>
      <c r="AOY212" s="394"/>
      <c r="AOZ212" s="394"/>
      <c r="APA212" s="394"/>
      <c r="APB212" s="394"/>
      <c r="APC212" s="394"/>
      <c r="APD212" s="394"/>
      <c r="APE212" s="394"/>
      <c r="APF212" s="394"/>
      <c r="APG212" s="394"/>
      <c r="APH212" s="394"/>
      <c r="API212" s="394"/>
      <c r="APJ212" s="394"/>
      <c r="APK212" s="394"/>
      <c r="APL212" s="394"/>
      <c r="APM212" s="394"/>
      <c r="APN212" s="394"/>
      <c r="APO212" s="394"/>
      <c r="APP212" s="394"/>
      <c r="APQ212" s="394"/>
      <c r="APR212" s="394"/>
      <c r="APS212" s="394"/>
      <c r="APT212" s="394"/>
      <c r="APU212" s="394"/>
      <c r="APV212" s="394"/>
      <c r="APW212" s="394"/>
      <c r="APX212" s="394"/>
      <c r="APY212" s="394"/>
      <c r="APZ212" s="394"/>
      <c r="AQA212" s="394"/>
      <c r="AQB212" s="394"/>
      <c r="AQC212" s="394"/>
      <c r="AQD212" s="394"/>
      <c r="AQE212" s="394"/>
      <c r="AQF212" s="394"/>
      <c r="AQG212" s="394"/>
      <c r="AQH212" s="394"/>
      <c r="AQI212" s="394"/>
      <c r="AQJ212" s="394"/>
      <c r="AQK212" s="394"/>
      <c r="AQL212" s="394"/>
      <c r="AQM212" s="394"/>
      <c r="AQN212" s="394"/>
      <c r="AQO212" s="394"/>
      <c r="AQP212" s="394"/>
      <c r="AQQ212" s="394"/>
      <c r="AQR212" s="394"/>
      <c r="AQS212" s="394"/>
      <c r="AQT212" s="394"/>
      <c r="AQU212" s="394"/>
      <c r="AQV212" s="394"/>
      <c r="AQW212" s="394"/>
      <c r="AQX212" s="394"/>
      <c r="AQY212" s="394"/>
      <c r="AQZ212" s="394"/>
      <c r="ARA212" s="394"/>
      <c r="ARB212" s="394"/>
      <c r="ARC212" s="394"/>
      <c r="ARD212" s="394"/>
      <c r="ARE212" s="394"/>
      <c r="ARF212" s="394"/>
      <c r="ARG212" s="394"/>
      <c r="ARH212" s="394"/>
      <c r="ARI212" s="394"/>
      <c r="ARJ212" s="394"/>
      <c r="ARK212" s="394"/>
      <c r="ARL212" s="394"/>
      <c r="ARM212" s="394"/>
      <c r="ARN212" s="394"/>
      <c r="ARO212" s="394"/>
      <c r="ARP212" s="394"/>
      <c r="ARQ212" s="394"/>
      <c r="ARR212" s="394"/>
      <c r="ARS212" s="394"/>
      <c r="ART212" s="394"/>
      <c r="ARU212" s="394"/>
      <c r="ARV212" s="394"/>
      <c r="ARW212" s="394"/>
      <c r="ARX212" s="394"/>
      <c r="ARY212" s="394"/>
      <c r="ARZ212" s="394"/>
      <c r="ASA212" s="394"/>
      <c r="ASB212" s="394"/>
      <c r="ASC212" s="394"/>
      <c r="ASD212" s="394"/>
      <c r="ASE212" s="394"/>
      <c r="ASF212" s="394"/>
      <c r="ASG212" s="394"/>
      <c r="ASH212" s="394"/>
      <c r="ASI212" s="394"/>
      <c r="ASJ212" s="394"/>
      <c r="ASK212" s="394"/>
      <c r="ASL212" s="394"/>
      <c r="ASM212" s="394"/>
      <c r="ASN212" s="394"/>
      <c r="ASO212" s="394"/>
      <c r="ASP212" s="394"/>
      <c r="ASQ212" s="394"/>
      <c r="ASR212" s="394"/>
      <c r="ASS212" s="394"/>
      <c r="AST212" s="394"/>
      <c r="ASU212" s="394"/>
      <c r="ASV212" s="394"/>
      <c r="ASW212" s="394"/>
      <c r="ASX212" s="394"/>
      <c r="ASY212" s="394"/>
      <c r="ASZ212" s="394"/>
      <c r="ATA212" s="394"/>
      <c r="ATB212" s="394"/>
      <c r="ATC212" s="394"/>
      <c r="ATD212" s="394"/>
      <c r="ATE212" s="394"/>
      <c r="ATF212" s="394"/>
      <c r="ATG212" s="394"/>
      <c r="ATH212" s="394"/>
      <c r="ATI212" s="394"/>
      <c r="ATJ212" s="394"/>
      <c r="ATK212" s="394"/>
      <c r="ATL212" s="394"/>
      <c r="ATM212" s="394"/>
      <c r="ATN212" s="394"/>
      <c r="ATO212" s="394"/>
      <c r="ATP212" s="394"/>
      <c r="ATQ212" s="394"/>
      <c r="ATR212" s="394"/>
      <c r="ATS212" s="394"/>
      <c r="ATT212" s="394"/>
      <c r="ATU212" s="394"/>
      <c r="ATV212" s="394"/>
      <c r="ATW212" s="394"/>
      <c r="ATX212" s="394"/>
      <c r="ATY212" s="394"/>
      <c r="ATZ212" s="394"/>
      <c r="AUA212" s="394"/>
      <c r="AUB212" s="394"/>
      <c r="AUC212" s="394"/>
      <c r="AUD212" s="394"/>
      <c r="AUE212" s="394"/>
      <c r="AUF212" s="394"/>
      <c r="AUG212" s="394"/>
      <c r="AUH212" s="394"/>
      <c r="AUI212" s="394"/>
      <c r="AUJ212" s="394"/>
      <c r="AUK212" s="394"/>
      <c r="AUL212" s="394"/>
      <c r="AUM212" s="394"/>
      <c r="AUN212" s="394"/>
      <c r="AUO212" s="394"/>
      <c r="AUP212" s="394"/>
      <c r="AUQ212" s="394"/>
      <c r="AUR212" s="394"/>
      <c r="AUS212" s="394"/>
      <c r="AUT212" s="394"/>
      <c r="AUU212" s="394"/>
      <c r="AUV212" s="394"/>
      <c r="AUW212" s="394"/>
      <c r="AUX212" s="394"/>
      <c r="AUY212" s="394"/>
      <c r="AUZ212" s="394"/>
      <c r="AVA212" s="394"/>
      <c r="AVB212" s="394"/>
      <c r="AVC212" s="394"/>
      <c r="AVD212" s="394"/>
      <c r="AVE212" s="394"/>
      <c r="AVF212" s="394"/>
      <c r="AVG212" s="394"/>
      <c r="AVH212" s="394"/>
      <c r="AVI212" s="394"/>
      <c r="AVJ212" s="394"/>
      <c r="AVK212" s="394"/>
      <c r="AVL212" s="394"/>
      <c r="AVM212" s="394"/>
      <c r="AVN212" s="394"/>
      <c r="AVO212" s="394"/>
      <c r="AVP212" s="394"/>
      <c r="AVQ212" s="394"/>
      <c r="AVR212" s="394"/>
      <c r="AVS212" s="394"/>
      <c r="AVT212" s="394"/>
      <c r="AVU212" s="394"/>
      <c r="AVV212" s="394"/>
      <c r="AVW212" s="394"/>
      <c r="AVX212" s="394"/>
      <c r="AVY212" s="394"/>
      <c r="AVZ212" s="394"/>
      <c r="AWA212" s="394"/>
      <c r="AWB212" s="394"/>
      <c r="AWC212" s="394"/>
      <c r="AWD212" s="394"/>
      <c r="AWE212" s="394"/>
      <c r="AWF212" s="394"/>
      <c r="AWG212" s="394"/>
      <c r="AWH212" s="394"/>
      <c r="AWI212" s="394"/>
      <c r="AWJ212" s="394"/>
      <c r="AWK212" s="394"/>
      <c r="AWL212" s="394"/>
      <c r="AWM212" s="394"/>
      <c r="AWN212" s="394"/>
      <c r="AWO212" s="394"/>
      <c r="AWP212" s="394"/>
      <c r="AWQ212" s="394"/>
      <c r="AWR212" s="394"/>
      <c r="AWS212" s="394"/>
      <c r="AWT212" s="394"/>
      <c r="AWU212" s="394"/>
      <c r="AWV212" s="394"/>
      <c r="AWW212" s="394"/>
      <c r="AWX212" s="394"/>
      <c r="AWY212" s="394"/>
      <c r="AWZ212" s="394"/>
      <c r="AXA212" s="394"/>
      <c r="AXB212" s="394"/>
      <c r="AXC212" s="394"/>
      <c r="AXD212" s="394"/>
      <c r="AXE212" s="394"/>
      <c r="AXF212" s="394"/>
      <c r="AXG212" s="394"/>
      <c r="AXH212" s="394"/>
      <c r="AXI212" s="394"/>
      <c r="AXJ212" s="394"/>
      <c r="AXK212" s="394"/>
      <c r="AXL212" s="394"/>
      <c r="AXM212" s="394"/>
      <c r="AXN212" s="394"/>
      <c r="AXO212" s="394"/>
      <c r="AXP212" s="394"/>
      <c r="AXQ212" s="394"/>
      <c r="AXR212" s="394"/>
      <c r="AXS212" s="394"/>
      <c r="AXT212" s="394"/>
      <c r="AXU212" s="394"/>
      <c r="AXV212" s="394"/>
      <c r="AXW212" s="394"/>
      <c r="AXX212" s="394"/>
      <c r="AXY212" s="394"/>
      <c r="AXZ212" s="394"/>
      <c r="AYA212" s="394"/>
      <c r="AYB212" s="394"/>
      <c r="AYC212" s="394"/>
      <c r="AYD212" s="394"/>
      <c r="AYE212" s="394"/>
      <c r="AYF212" s="394"/>
      <c r="AYG212" s="394"/>
      <c r="AYH212" s="394"/>
      <c r="AYI212" s="394"/>
      <c r="AYJ212" s="394"/>
      <c r="AYK212" s="394"/>
      <c r="AYL212" s="394"/>
      <c r="AYM212" s="394"/>
      <c r="AYN212" s="394"/>
      <c r="AYO212" s="394"/>
      <c r="AYP212" s="394"/>
      <c r="AYQ212" s="394"/>
      <c r="AYR212" s="394"/>
      <c r="AYS212" s="394"/>
      <c r="AYT212" s="394"/>
      <c r="AYU212" s="394"/>
      <c r="AYV212" s="394"/>
      <c r="AYW212" s="394"/>
      <c r="AYX212" s="394"/>
      <c r="AYY212" s="394"/>
      <c r="AYZ212" s="394"/>
      <c r="AZA212" s="394"/>
      <c r="AZB212" s="394"/>
      <c r="AZC212" s="394"/>
      <c r="AZD212" s="394"/>
      <c r="AZE212" s="394"/>
      <c r="AZF212" s="394"/>
      <c r="AZG212" s="394"/>
      <c r="AZH212" s="394"/>
      <c r="AZI212" s="394"/>
      <c r="AZJ212" s="394"/>
      <c r="AZK212" s="394"/>
      <c r="AZL212" s="394"/>
      <c r="AZM212" s="394"/>
      <c r="AZN212" s="394"/>
      <c r="AZO212" s="394"/>
      <c r="AZP212" s="394"/>
      <c r="AZQ212" s="394"/>
      <c r="AZR212" s="394"/>
      <c r="AZS212" s="394"/>
      <c r="AZT212" s="394"/>
      <c r="AZU212" s="394"/>
      <c r="AZV212" s="394"/>
      <c r="AZW212" s="394"/>
      <c r="AZX212" s="394"/>
      <c r="AZY212" s="394"/>
      <c r="AZZ212" s="394"/>
      <c r="BAA212" s="394"/>
      <c r="BAB212" s="394"/>
      <c r="BAC212" s="394"/>
      <c r="BAD212" s="394"/>
      <c r="BAE212" s="394"/>
      <c r="BAF212" s="394"/>
      <c r="BAG212" s="394"/>
      <c r="BAH212" s="394"/>
      <c r="BAI212" s="394"/>
      <c r="BAJ212" s="394"/>
      <c r="BAK212" s="394"/>
      <c r="BAL212" s="394"/>
      <c r="BAM212" s="394"/>
      <c r="BAN212" s="394"/>
      <c r="BAO212" s="394"/>
      <c r="BAP212" s="394"/>
      <c r="BAQ212" s="394"/>
      <c r="BAR212" s="394"/>
      <c r="BAS212" s="394"/>
      <c r="BAT212" s="394"/>
      <c r="BAU212" s="394"/>
      <c r="BAV212" s="394"/>
      <c r="BAW212" s="394"/>
      <c r="BAX212" s="394"/>
      <c r="BAY212" s="394"/>
      <c r="BAZ212" s="394"/>
      <c r="BBA212" s="394"/>
      <c r="BBB212" s="394"/>
      <c r="BBC212" s="394"/>
      <c r="BBD212" s="394"/>
      <c r="BBE212" s="394"/>
      <c r="BBF212" s="394"/>
      <c r="BBG212" s="394"/>
      <c r="BBH212" s="394"/>
      <c r="BBI212" s="394"/>
      <c r="BBJ212" s="394"/>
      <c r="BBK212" s="394"/>
      <c r="BBL212" s="394"/>
      <c r="BBM212" s="394"/>
      <c r="BBN212" s="394"/>
      <c r="BBO212" s="394"/>
      <c r="BBP212" s="394"/>
      <c r="BBQ212" s="394"/>
      <c r="BBR212" s="394"/>
      <c r="BBS212" s="394"/>
      <c r="BBT212" s="394"/>
      <c r="BBU212" s="394"/>
      <c r="BBV212" s="394"/>
      <c r="BBW212" s="394"/>
      <c r="BBX212" s="394"/>
      <c r="BBY212" s="394"/>
      <c r="BBZ212" s="394"/>
      <c r="BCA212" s="394"/>
      <c r="BCB212" s="394"/>
      <c r="BCC212" s="394"/>
      <c r="BCD212" s="394"/>
      <c r="BCE212" s="394"/>
      <c r="BCF212" s="394"/>
      <c r="BCG212" s="394"/>
      <c r="BCH212" s="394"/>
      <c r="BCI212" s="394"/>
      <c r="BCJ212" s="394"/>
      <c r="BCK212" s="394"/>
      <c r="BCL212" s="394"/>
      <c r="BCM212" s="394"/>
      <c r="BCN212" s="394"/>
      <c r="BCO212" s="394"/>
      <c r="BCP212" s="394"/>
      <c r="BCQ212" s="394"/>
      <c r="BCR212" s="394"/>
      <c r="BCS212" s="394"/>
      <c r="BCT212" s="394"/>
      <c r="BCU212" s="394"/>
      <c r="BCV212" s="394"/>
      <c r="BCW212" s="394"/>
      <c r="BCX212" s="394"/>
      <c r="BCY212" s="394"/>
      <c r="BCZ212" s="394"/>
      <c r="BDA212" s="394"/>
      <c r="BDB212" s="394"/>
      <c r="BDC212" s="394"/>
      <c r="BDD212" s="394"/>
      <c r="BDE212" s="394"/>
      <c r="BDF212" s="394"/>
      <c r="BDG212" s="394"/>
      <c r="BDH212" s="394"/>
      <c r="BDI212" s="394"/>
      <c r="BDJ212" s="394"/>
      <c r="BDK212" s="394"/>
      <c r="BDL212" s="394"/>
      <c r="BDM212" s="394"/>
      <c r="BDN212" s="394"/>
      <c r="BDO212" s="394"/>
      <c r="BDP212" s="394"/>
      <c r="BDQ212" s="394"/>
      <c r="BDR212" s="394"/>
      <c r="BDS212" s="394"/>
      <c r="BDT212" s="394"/>
      <c r="BDU212" s="394"/>
      <c r="BDV212" s="394"/>
      <c r="BDW212" s="394"/>
      <c r="BDX212" s="394"/>
      <c r="BDY212" s="394"/>
      <c r="BDZ212" s="394"/>
      <c r="BEA212" s="394"/>
      <c r="BEB212" s="394"/>
      <c r="BEC212" s="394"/>
      <c r="BED212" s="394"/>
      <c r="BEE212" s="394"/>
      <c r="BEF212" s="394"/>
      <c r="BEG212" s="394"/>
      <c r="BEH212" s="394"/>
      <c r="BEI212" s="394"/>
      <c r="BEJ212" s="394"/>
      <c r="BEK212" s="394"/>
      <c r="BEL212" s="394"/>
      <c r="BEM212" s="394"/>
      <c r="BEN212" s="394"/>
      <c r="BEO212" s="394"/>
      <c r="BEP212" s="394"/>
      <c r="BEQ212" s="394"/>
      <c r="BER212" s="394"/>
      <c r="BES212" s="394"/>
      <c r="BET212" s="394"/>
      <c r="BEU212" s="394"/>
      <c r="BEV212" s="394"/>
      <c r="BEW212" s="394"/>
      <c r="BEX212" s="394"/>
      <c r="BEY212" s="394"/>
      <c r="BEZ212" s="394"/>
      <c r="BFA212" s="394"/>
      <c r="BFB212" s="394"/>
      <c r="BFC212" s="394"/>
      <c r="BFD212" s="394"/>
      <c r="BFE212" s="394"/>
      <c r="BFF212" s="394"/>
      <c r="BFG212" s="394"/>
      <c r="BFH212" s="394"/>
      <c r="BFI212" s="394"/>
      <c r="BFJ212" s="394"/>
      <c r="BFK212" s="394"/>
      <c r="BFL212" s="394"/>
      <c r="BFM212" s="394"/>
      <c r="BFN212" s="394"/>
      <c r="BFO212" s="394"/>
      <c r="BFP212" s="394"/>
      <c r="BFQ212" s="394"/>
      <c r="BFR212" s="394"/>
      <c r="BFS212" s="394"/>
      <c r="BFT212" s="394"/>
      <c r="BFU212" s="394"/>
      <c r="BFV212" s="394"/>
      <c r="BFW212" s="394"/>
      <c r="BFX212" s="394"/>
      <c r="BFY212" s="394"/>
      <c r="BFZ212" s="394"/>
      <c r="BGA212" s="394"/>
      <c r="BGB212" s="394"/>
      <c r="BGC212" s="394"/>
      <c r="BGD212" s="394"/>
      <c r="BGE212" s="394"/>
      <c r="BGF212" s="394"/>
      <c r="BGG212" s="394"/>
      <c r="BGH212" s="394"/>
      <c r="BGI212" s="394"/>
      <c r="BGJ212" s="394"/>
      <c r="BGK212" s="394"/>
      <c r="BGL212" s="394"/>
      <c r="BGM212" s="394"/>
      <c r="BGN212" s="394"/>
      <c r="BGO212" s="394"/>
      <c r="BGP212" s="394"/>
      <c r="BGQ212" s="394"/>
      <c r="BGR212" s="394"/>
      <c r="BGS212" s="394"/>
      <c r="BGT212" s="394"/>
      <c r="BGU212" s="394"/>
      <c r="BGV212" s="394"/>
      <c r="BGW212" s="394"/>
      <c r="BGX212" s="394"/>
      <c r="BGY212" s="394"/>
      <c r="BGZ212" s="394"/>
      <c r="BHA212" s="394"/>
      <c r="BHB212" s="394"/>
      <c r="BHC212" s="394"/>
      <c r="BHD212" s="394"/>
      <c r="BHE212" s="394"/>
      <c r="BHF212" s="394"/>
      <c r="BHG212" s="394"/>
      <c r="BHH212" s="394"/>
      <c r="BHI212" s="394"/>
      <c r="BHJ212" s="394"/>
      <c r="BHK212" s="394"/>
      <c r="BHL212" s="394"/>
      <c r="BHM212" s="394"/>
      <c r="BHN212" s="394"/>
      <c r="BHO212" s="394"/>
      <c r="BHP212" s="394"/>
      <c r="BHQ212" s="394"/>
      <c r="BHR212" s="394"/>
      <c r="BHS212" s="394"/>
      <c r="BHT212" s="394"/>
      <c r="BHU212" s="394"/>
      <c r="BHV212" s="394"/>
      <c r="BHW212" s="394"/>
      <c r="BHX212" s="394"/>
      <c r="BHY212" s="394"/>
      <c r="BHZ212" s="394"/>
      <c r="BIA212" s="394"/>
      <c r="BIB212" s="394"/>
      <c r="BIC212" s="394"/>
      <c r="BID212" s="394"/>
      <c r="BIE212" s="394"/>
      <c r="BIF212" s="394"/>
      <c r="BIG212" s="394"/>
      <c r="BIH212" s="394"/>
      <c r="BII212" s="394"/>
      <c r="BIJ212" s="394"/>
      <c r="BIK212" s="394"/>
      <c r="BIL212" s="394"/>
      <c r="BIM212" s="394"/>
      <c r="BIN212" s="394"/>
      <c r="BIO212" s="394"/>
      <c r="BIP212" s="394"/>
      <c r="BIQ212" s="394"/>
      <c r="BIR212" s="394"/>
      <c r="BIS212" s="394"/>
      <c r="BIT212" s="394"/>
      <c r="BIU212" s="394"/>
      <c r="BIV212" s="394"/>
      <c r="BIW212" s="394"/>
      <c r="BIX212" s="394"/>
      <c r="BIY212" s="394"/>
      <c r="BIZ212" s="394"/>
      <c r="BJA212" s="394"/>
      <c r="BJB212" s="394"/>
      <c r="BJC212" s="394"/>
      <c r="BJD212" s="394"/>
      <c r="BJE212" s="394"/>
      <c r="BJF212" s="394"/>
      <c r="BJG212" s="394"/>
      <c r="BJH212" s="394"/>
      <c r="BJI212" s="394"/>
      <c r="BJJ212" s="394"/>
      <c r="BJK212" s="394"/>
      <c r="BJL212" s="394"/>
      <c r="BJM212" s="394"/>
      <c r="BJN212" s="394"/>
      <c r="BJO212" s="394"/>
      <c r="BJP212" s="394"/>
      <c r="BJQ212" s="394"/>
      <c r="BJR212" s="394"/>
      <c r="BJS212" s="394"/>
      <c r="BJT212" s="394"/>
      <c r="BJU212" s="394"/>
      <c r="BJV212" s="394"/>
      <c r="BJW212" s="394"/>
      <c r="BJX212" s="394"/>
      <c r="BJY212" s="394"/>
      <c r="BJZ212" s="394"/>
      <c r="BKA212" s="394"/>
      <c r="BKB212" s="394"/>
      <c r="BKC212" s="394"/>
      <c r="BKD212" s="394"/>
      <c r="BKE212" s="394"/>
      <c r="BKF212" s="394"/>
      <c r="BKG212" s="394"/>
      <c r="BKH212" s="394"/>
      <c r="BKI212" s="394"/>
      <c r="BKJ212" s="394"/>
      <c r="BKK212" s="394"/>
      <c r="BKL212" s="394"/>
      <c r="BKM212" s="394"/>
      <c r="BKN212" s="394"/>
      <c r="BKO212" s="394"/>
      <c r="BKP212" s="394"/>
      <c r="BKQ212" s="394"/>
      <c r="BKR212" s="394"/>
      <c r="BKS212" s="394"/>
      <c r="BKT212" s="394"/>
      <c r="BKU212" s="394"/>
      <c r="BKV212" s="394"/>
      <c r="BKW212" s="394"/>
      <c r="BKX212" s="394"/>
      <c r="BKY212" s="394"/>
      <c r="BKZ212" s="394"/>
      <c r="BLA212" s="394"/>
      <c r="BLB212" s="394"/>
      <c r="BLC212" s="394"/>
      <c r="BLD212" s="394"/>
      <c r="BLE212" s="394"/>
      <c r="BLF212" s="394"/>
      <c r="BLG212" s="394"/>
      <c r="BLH212" s="394"/>
      <c r="BLI212" s="394"/>
      <c r="BLJ212" s="394"/>
      <c r="BLK212" s="394"/>
      <c r="BLL212" s="394"/>
      <c r="BLM212" s="394"/>
      <c r="BLN212" s="394"/>
      <c r="BLO212" s="394"/>
      <c r="BLP212" s="394"/>
      <c r="BLQ212" s="394"/>
      <c r="BLR212" s="394"/>
      <c r="BLS212" s="394"/>
      <c r="BLT212" s="394"/>
      <c r="BLU212" s="394"/>
      <c r="BLV212" s="394"/>
      <c r="BLW212" s="394"/>
      <c r="BLX212" s="394"/>
      <c r="BLY212" s="394"/>
      <c r="BLZ212" s="394"/>
      <c r="BMA212" s="394"/>
      <c r="BMB212" s="394"/>
      <c r="BMC212" s="394"/>
      <c r="BMD212" s="394"/>
      <c r="BME212" s="394"/>
      <c r="BMF212" s="394"/>
      <c r="BMG212" s="394"/>
      <c r="BMH212" s="394"/>
      <c r="BMI212" s="394"/>
      <c r="BMJ212" s="394"/>
      <c r="BMK212" s="394"/>
      <c r="BML212" s="394"/>
      <c r="BMM212" s="394"/>
      <c r="BMN212" s="394"/>
      <c r="BMO212" s="394"/>
      <c r="BMP212" s="394"/>
      <c r="BMQ212" s="394"/>
      <c r="BMR212" s="394"/>
      <c r="BMS212" s="394"/>
      <c r="BMT212" s="394"/>
      <c r="BMU212" s="394"/>
      <c r="BMV212" s="394"/>
      <c r="BMW212" s="394"/>
      <c r="BMX212" s="394"/>
      <c r="BMY212" s="394"/>
      <c r="BMZ212" s="394"/>
      <c r="BNA212" s="394"/>
      <c r="BNB212" s="394"/>
      <c r="BNC212" s="394"/>
      <c r="BND212" s="394"/>
      <c r="BNE212" s="394"/>
      <c r="BNF212" s="394"/>
      <c r="BNG212" s="394"/>
      <c r="BNH212" s="394"/>
      <c r="BNI212" s="394"/>
      <c r="BNJ212" s="394"/>
      <c r="BNK212" s="394"/>
      <c r="BNL212" s="394"/>
      <c r="BNM212" s="394"/>
      <c r="BNN212" s="394"/>
      <c r="BNO212" s="394"/>
      <c r="BNP212" s="394"/>
      <c r="BNQ212" s="394"/>
      <c r="BNR212" s="394"/>
      <c r="BNS212" s="394"/>
      <c r="BNT212" s="394"/>
      <c r="BNU212" s="394"/>
      <c r="BNV212" s="394"/>
      <c r="BNW212" s="394"/>
      <c r="BNX212" s="394"/>
      <c r="BNY212" s="394"/>
      <c r="BNZ212" s="394"/>
      <c r="BOA212" s="394"/>
      <c r="BOB212" s="394"/>
      <c r="BOC212" s="394"/>
      <c r="BOD212" s="394"/>
      <c r="BOE212" s="394"/>
      <c r="BOF212" s="394"/>
      <c r="BOG212" s="394"/>
      <c r="BOH212" s="394"/>
      <c r="BOI212" s="394"/>
      <c r="BOJ212" s="394"/>
      <c r="BOK212" s="394"/>
      <c r="BOL212" s="394"/>
      <c r="BOM212" s="394"/>
      <c r="BON212" s="394"/>
      <c r="BOO212" s="394"/>
      <c r="BOP212" s="394"/>
      <c r="BOQ212" s="394"/>
      <c r="BOR212" s="394"/>
      <c r="BOS212" s="394"/>
      <c r="BOT212" s="394"/>
      <c r="BOU212" s="394"/>
      <c r="BOV212" s="394"/>
      <c r="BOW212" s="394"/>
      <c r="BOX212" s="394"/>
      <c r="BOY212" s="394"/>
      <c r="BOZ212" s="394"/>
      <c r="BPA212" s="394"/>
      <c r="BPB212" s="394"/>
      <c r="BPC212" s="394"/>
      <c r="BPD212" s="394"/>
      <c r="BPE212" s="394"/>
      <c r="BPF212" s="394"/>
      <c r="BPG212" s="394"/>
      <c r="BPH212" s="394"/>
      <c r="BPI212" s="394"/>
      <c r="BPJ212" s="394"/>
      <c r="BPK212" s="394"/>
      <c r="BPL212" s="394"/>
      <c r="BPM212" s="394"/>
      <c r="BPN212" s="394"/>
      <c r="BPO212" s="394"/>
      <c r="BPP212" s="394"/>
      <c r="BPQ212" s="394"/>
      <c r="BPR212" s="394"/>
      <c r="BPS212" s="394"/>
      <c r="BPT212" s="394"/>
      <c r="BPU212" s="394"/>
      <c r="BPV212" s="394"/>
      <c r="BPW212" s="394"/>
      <c r="BPX212" s="394"/>
      <c r="BPY212" s="394"/>
      <c r="BPZ212" s="394"/>
      <c r="BQA212" s="394"/>
      <c r="BQB212" s="394"/>
      <c r="BQC212" s="394"/>
      <c r="BQD212" s="394"/>
      <c r="BQE212" s="394"/>
      <c r="BQF212" s="394"/>
      <c r="BQG212" s="394"/>
      <c r="BQH212" s="394"/>
      <c r="BQI212" s="394"/>
      <c r="BQJ212" s="394"/>
      <c r="BQK212" s="394"/>
      <c r="BQL212" s="394"/>
      <c r="BQM212" s="394"/>
      <c r="BQN212" s="394"/>
      <c r="BQO212" s="394"/>
      <c r="BQP212" s="394"/>
      <c r="BQQ212" s="394"/>
      <c r="BQR212" s="394"/>
      <c r="BQS212" s="394"/>
      <c r="BQT212" s="394"/>
      <c r="BQU212" s="394"/>
      <c r="BQV212" s="394"/>
      <c r="BQW212" s="394"/>
      <c r="BQX212" s="394"/>
      <c r="BQY212" s="394"/>
      <c r="BQZ212" s="394"/>
      <c r="BRA212" s="394"/>
      <c r="BRB212" s="394"/>
      <c r="BRC212" s="394"/>
      <c r="BRD212" s="394"/>
      <c r="BRE212" s="394"/>
      <c r="BRF212" s="394"/>
      <c r="BRG212" s="394"/>
      <c r="BRH212" s="394"/>
      <c r="BRI212" s="394"/>
      <c r="BRJ212" s="394"/>
      <c r="BRK212" s="394"/>
      <c r="BRL212" s="394"/>
      <c r="BRM212" s="394"/>
      <c r="BRN212" s="394"/>
      <c r="BRO212" s="394"/>
      <c r="BRP212" s="394"/>
      <c r="BRQ212" s="394"/>
      <c r="BRR212" s="394"/>
      <c r="BRS212" s="394"/>
      <c r="BRT212" s="394"/>
      <c r="BRU212" s="394"/>
      <c r="BRV212" s="394"/>
      <c r="BRW212" s="394"/>
      <c r="BRX212" s="394"/>
      <c r="BRY212" s="394"/>
      <c r="BRZ212" s="394"/>
      <c r="BSA212" s="394"/>
      <c r="BSB212" s="394"/>
      <c r="BSC212" s="394"/>
      <c r="BSD212" s="394"/>
      <c r="BSE212" s="394"/>
      <c r="BSF212" s="394"/>
      <c r="BSG212" s="394"/>
      <c r="BSH212" s="394"/>
      <c r="BSI212" s="394"/>
      <c r="BSJ212" s="394"/>
      <c r="BSK212" s="394"/>
      <c r="BSL212" s="394"/>
      <c r="BSM212" s="394"/>
      <c r="BSN212" s="394"/>
      <c r="BSO212" s="394"/>
      <c r="BSP212" s="394"/>
      <c r="BSQ212" s="394"/>
      <c r="BSR212" s="394"/>
      <c r="BSS212" s="394"/>
      <c r="BST212" s="394"/>
      <c r="BSU212" s="394"/>
      <c r="BSV212" s="394"/>
      <c r="BSW212" s="394"/>
      <c r="BSX212" s="394"/>
      <c r="BSY212" s="394"/>
      <c r="BSZ212" s="394"/>
      <c r="BTA212" s="394"/>
      <c r="BTB212" s="394"/>
      <c r="BTC212" s="394"/>
      <c r="BTD212" s="394"/>
      <c r="BTE212" s="394"/>
      <c r="BTF212" s="394"/>
      <c r="BTG212" s="394"/>
      <c r="BTH212" s="394"/>
      <c r="BTI212" s="394"/>
    </row>
    <row r="213" spans="1:1881" s="317" customFormat="1" ht="35.25" customHeight="1" x14ac:dyDescent="0.25">
      <c r="A213" s="189"/>
      <c r="B213" s="161" t="s">
        <v>27</v>
      </c>
      <c r="C213" s="160"/>
      <c r="D213" s="154"/>
      <c r="E213" s="148"/>
      <c r="F213" s="725"/>
      <c r="G213" s="551"/>
      <c r="H213" s="13"/>
      <c r="I213" s="31"/>
      <c r="J213" s="365"/>
      <c r="K213" s="394"/>
      <c r="L213" s="394"/>
      <c r="M213" s="394"/>
      <c r="N213"/>
      <c r="O213" s="394"/>
      <c r="P213" s="394"/>
      <c r="Q213" s="394"/>
      <c r="R213" s="394"/>
      <c r="S213" s="394"/>
      <c r="T213" s="394"/>
      <c r="U213" s="394"/>
      <c r="V213" s="394"/>
      <c r="W213" s="394"/>
      <c r="X213" s="394"/>
      <c r="Y213" s="394"/>
      <c r="Z213" s="394"/>
      <c r="AA213" s="394"/>
      <c r="AB213" s="394"/>
      <c r="AC213" s="394"/>
      <c r="AD213" s="394"/>
      <c r="AE213" s="394"/>
      <c r="AF213" s="394"/>
      <c r="AG213" s="394"/>
      <c r="AH213" s="394"/>
      <c r="AI213" s="394"/>
      <c r="AJ213" s="394"/>
      <c r="AK213" s="394"/>
      <c r="AL213" s="394"/>
      <c r="AM213" s="394"/>
      <c r="AN213" s="394"/>
      <c r="AO213" s="394"/>
      <c r="AP213" s="394"/>
      <c r="AQ213" s="394"/>
      <c r="AR213" s="394"/>
      <c r="AS213" s="394"/>
      <c r="AT213" s="394"/>
      <c r="AU213" s="394"/>
      <c r="AV213" s="394"/>
      <c r="AW213" s="394"/>
      <c r="AX213" s="394"/>
      <c r="AY213" s="394"/>
      <c r="AZ213" s="394"/>
      <c r="BA213" s="394"/>
      <c r="BB213" s="394"/>
      <c r="BC213" s="394"/>
      <c r="BD213" s="394"/>
      <c r="BE213" s="394"/>
      <c r="BF213" s="394"/>
      <c r="BG213" s="394"/>
      <c r="BH213" s="394"/>
      <c r="BI213" s="394"/>
      <c r="BJ213" s="394"/>
      <c r="BK213" s="394"/>
      <c r="BL213" s="394"/>
      <c r="BM213" s="394"/>
      <c r="BN213" s="394"/>
      <c r="BO213" s="394"/>
      <c r="BP213" s="394"/>
      <c r="BQ213" s="394"/>
      <c r="BR213" s="394"/>
      <c r="BS213" s="394"/>
      <c r="BT213" s="394"/>
      <c r="BU213" s="394"/>
      <c r="BV213" s="394"/>
      <c r="BW213" s="394"/>
      <c r="BX213" s="394"/>
      <c r="BY213" s="394"/>
      <c r="BZ213" s="394"/>
      <c r="CA213" s="394"/>
      <c r="CB213" s="394"/>
      <c r="CC213" s="394"/>
      <c r="CD213" s="394"/>
      <c r="CE213" s="394"/>
      <c r="CF213" s="394"/>
      <c r="CG213" s="394"/>
      <c r="CH213" s="394"/>
      <c r="CI213" s="394"/>
      <c r="CJ213" s="394"/>
      <c r="CK213" s="394"/>
      <c r="CL213" s="394"/>
      <c r="CM213" s="394"/>
      <c r="CN213" s="394"/>
      <c r="CO213" s="394"/>
      <c r="CP213" s="394"/>
      <c r="CQ213" s="394"/>
      <c r="CR213" s="394"/>
      <c r="CS213" s="394"/>
      <c r="CT213" s="394"/>
      <c r="CU213" s="394"/>
      <c r="CV213" s="394"/>
      <c r="CW213" s="394"/>
      <c r="CX213" s="394"/>
      <c r="CY213" s="394"/>
      <c r="CZ213" s="394"/>
      <c r="DA213" s="394"/>
      <c r="DB213" s="394"/>
      <c r="DC213" s="394"/>
      <c r="DD213" s="394"/>
      <c r="DE213" s="394"/>
      <c r="DF213" s="394"/>
      <c r="DG213" s="394"/>
      <c r="DH213" s="394"/>
      <c r="DI213" s="394"/>
      <c r="DJ213" s="394"/>
      <c r="DK213" s="394"/>
      <c r="DL213" s="394"/>
      <c r="DM213" s="394"/>
      <c r="DN213" s="394"/>
      <c r="DO213" s="394"/>
      <c r="DP213" s="394"/>
      <c r="DQ213" s="394"/>
      <c r="DR213" s="394"/>
      <c r="DS213" s="394"/>
      <c r="DT213" s="394"/>
      <c r="DU213" s="394"/>
      <c r="DV213" s="394"/>
      <c r="DW213" s="394"/>
      <c r="DX213" s="394"/>
      <c r="DY213" s="394"/>
      <c r="DZ213" s="394"/>
      <c r="EA213" s="394"/>
      <c r="EB213" s="394"/>
      <c r="EC213" s="394"/>
      <c r="ED213" s="394"/>
      <c r="EE213" s="394"/>
      <c r="EF213" s="394"/>
      <c r="EG213" s="394"/>
      <c r="EH213" s="394"/>
      <c r="EI213" s="394"/>
      <c r="EJ213" s="394"/>
      <c r="EK213" s="394"/>
      <c r="EL213" s="394"/>
      <c r="EM213" s="394"/>
      <c r="EN213" s="394"/>
      <c r="EO213" s="394"/>
      <c r="EP213" s="394"/>
      <c r="EQ213" s="394"/>
      <c r="ER213" s="394"/>
      <c r="ES213" s="394"/>
      <c r="ET213" s="394"/>
      <c r="EU213" s="394"/>
      <c r="EV213" s="394"/>
      <c r="EW213" s="394"/>
      <c r="EX213" s="394"/>
      <c r="EY213" s="394"/>
      <c r="EZ213" s="394"/>
      <c r="FA213" s="394"/>
      <c r="FB213" s="394"/>
      <c r="FC213" s="394"/>
      <c r="FD213" s="394"/>
      <c r="FE213" s="394"/>
      <c r="FF213" s="394"/>
      <c r="FG213" s="394"/>
      <c r="FH213" s="394"/>
      <c r="FI213" s="394"/>
      <c r="FJ213" s="394"/>
      <c r="FK213" s="394"/>
      <c r="FL213" s="394"/>
      <c r="FM213" s="394"/>
      <c r="FN213" s="394"/>
      <c r="FO213" s="394"/>
      <c r="FP213" s="394"/>
      <c r="FQ213" s="394"/>
      <c r="FR213" s="394"/>
      <c r="FS213" s="394"/>
      <c r="FT213" s="394"/>
      <c r="FU213" s="394"/>
      <c r="FV213" s="394"/>
      <c r="FW213" s="394"/>
      <c r="FX213" s="394"/>
      <c r="FY213" s="394"/>
      <c r="FZ213" s="394"/>
      <c r="GA213" s="394"/>
      <c r="GB213" s="394"/>
      <c r="GC213" s="394"/>
      <c r="GD213" s="394"/>
      <c r="GE213" s="394"/>
      <c r="GF213" s="394"/>
      <c r="GG213" s="394"/>
      <c r="GH213" s="394"/>
      <c r="GI213" s="394"/>
      <c r="GJ213" s="394"/>
      <c r="GK213" s="394"/>
      <c r="GL213" s="394"/>
      <c r="GM213" s="394"/>
      <c r="GN213" s="394"/>
      <c r="GO213" s="394"/>
      <c r="GP213" s="394"/>
      <c r="GQ213" s="394"/>
      <c r="GR213" s="394"/>
      <c r="GS213" s="394"/>
      <c r="GT213" s="394"/>
      <c r="GU213" s="394"/>
      <c r="GV213" s="394"/>
      <c r="GW213" s="394"/>
      <c r="GX213" s="394"/>
      <c r="GY213" s="394"/>
      <c r="GZ213" s="394"/>
      <c r="HA213" s="394"/>
      <c r="HB213" s="394"/>
      <c r="HC213" s="394"/>
      <c r="HD213" s="394"/>
      <c r="HE213" s="394"/>
      <c r="HF213" s="394"/>
      <c r="HG213" s="394"/>
      <c r="HH213" s="394"/>
      <c r="HI213" s="394"/>
      <c r="HJ213" s="394"/>
      <c r="HK213" s="394"/>
      <c r="HL213" s="394"/>
      <c r="HM213" s="394"/>
      <c r="HN213" s="394"/>
      <c r="HO213" s="394"/>
      <c r="HP213" s="394"/>
      <c r="HQ213" s="394"/>
      <c r="HR213" s="394"/>
      <c r="HS213" s="394"/>
      <c r="HT213" s="394"/>
      <c r="HU213" s="394"/>
      <c r="HV213" s="394"/>
      <c r="HW213" s="394"/>
      <c r="HX213" s="394"/>
      <c r="HY213" s="394"/>
      <c r="HZ213" s="394"/>
      <c r="IA213" s="394"/>
      <c r="IB213" s="394"/>
      <c r="IC213" s="394"/>
      <c r="ID213" s="394"/>
      <c r="IE213" s="394"/>
      <c r="IF213" s="394"/>
      <c r="IG213" s="394"/>
      <c r="IH213" s="394"/>
      <c r="II213" s="394"/>
      <c r="IJ213" s="394"/>
      <c r="IK213" s="394"/>
      <c r="IL213" s="394"/>
      <c r="IM213" s="394"/>
      <c r="IN213" s="394"/>
      <c r="IO213" s="394"/>
      <c r="IP213" s="394"/>
      <c r="IQ213" s="394"/>
      <c r="IR213" s="394"/>
      <c r="IS213" s="394"/>
      <c r="IT213" s="394"/>
      <c r="IU213" s="394"/>
      <c r="IV213" s="394"/>
      <c r="IW213" s="394"/>
      <c r="IX213" s="394"/>
      <c r="IY213" s="394"/>
      <c r="IZ213" s="394"/>
      <c r="JA213" s="394"/>
      <c r="JB213" s="394"/>
      <c r="JC213" s="394"/>
      <c r="JD213" s="394"/>
      <c r="JE213" s="394"/>
      <c r="JF213" s="394"/>
      <c r="JG213" s="394"/>
      <c r="JH213" s="394"/>
      <c r="JI213" s="394"/>
      <c r="JJ213" s="394"/>
      <c r="JK213" s="394"/>
      <c r="JL213" s="394"/>
      <c r="JM213" s="394"/>
      <c r="JN213" s="394"/>
      <c r="JO213" s="394"/>
      <c r="JP213" s="394"/>
      <c r="JQ213" s="394"/>
      <c r="JR213" s="394"/>
      <c r="JS213" s="394"/>
      <c r="JT213" s="394"/>
      <c r="JU213" s="394"/>
      <c r="JV213" s="394"/>
      <c r="JW213" s="394"/>
      <c r="JX213" s="394"/>
      <c r="JY213" s="394"/>
      <c r="JZ213" s="394"/>
      <c r="KA213" s="394"/>
      <c r="KB213" s="394"/>
      <c r="KC213" s="394"/>
      <c r="KD213" s="394"/>
      <c r="KE213" s="394"/>
      <c r="KF213" s="394"/>
      <c r="KG213" s="394"/>
      <c r="KH213" s="394"/>
      <c r="KI213" s="394"/>
      <c r="KJ213" s="394"/>
      <c r="KK213" s="394"/>
      <c r="KL213" s="394"/>
      <c r="KM213" s="394"/>
      <c r="KN213" s="394"/>
      <c r="KO213" s="394"/>
      <c r="KP213" s="394"/>
      <c r="KQ213" s="394"/>
      <c r="KR213" s="394"/>
      <c r="KS213" s="394"/>
      <c r="KT213" s="394"/>
      <c r="KU213" s="394"/>
      <c r="KV213" s="394"/>
      <c r="KW213" s="394"/>
      <c r="KX213" s="394"/>
      <c r="KY213" s="394"/>
      <c r="KZ213" s="394"/>
      <c r="LA213" s="394"/>
      <c r="LB213" s="394"/>
      <c r="LC213" s="394"/>
      <c r="LD213" s="394"/>
      <c r="LE213" s="394"/>
      <c r="LF213" s="394"/>
      <c r="LG213" s="394"/>
      <c r="LH213" s="394"/>
      <c r="LI213" s="394"/>
      <c r="LJ213" s="394"/>
      <c r="LK213" s="394"/>
      <c r="LL213" s="394"/>
      <c r="LM213" s="394"/>
      <c r="LN213" s="394"/>
      <c r="LO213" s="394"/>
      <c r="LP213" s="394"/>
      <c r="LQ213" s="394"/>
      <c r="LR213" s="394"/>
      <c r="LS213" s="394"/>
      <c r="LT213" s="394"/>
      <c r="LU213" s="394"/>
      <c r="LV213" s="394"/>
      <c r="LW213" s="394"/>
      <c r="LX213" s="394"/>
      <c r="LY213" s="394"/>
      <c r="LZ213" s="394"/>
      <c r="MA213" s="394"/>
      <c r="MB213" s="394"/>
      <c r="MC213" s="394"/>
      <c r="MD213" s="394"/>
      <c r="ME213" s="394"/>
      <c r="MF213" s="394"/>
      <c r="MG213" s="394"/>
      <c r="MH213" s="394"/>
      <c r="MI213" s="394"/>
      <c r="MJ213" s="394"/>
      <c r="MK213" s="394"/>
      <c r="ML213" s="394"/>
      <c r="MM213" s="394"/>
      <c r="MN213" s="394"/>
      <c r="MO213" s="394"/>
      <c r="MP213" s="394"/>
      <c r="MQ213" s="394"/>
      <c r="MR213" s="394"/>
      <c r="MS213" s="394"/>
      <c r="MT213" s="394"/>
      <c r="MU213" s="394"/>
      <c r="MV213" s="394"/>
      <c r="MW213" s="394"/>
      <c r="MX213" s="394"/>
      <c r="MY213" s="394"/>
      <c r="MZ213" s="394"/>
      <c r="NA213" s="394"/>
      <c r="NB213" s="394"/>
      <c r="NC213" s="394"/>
      <c r="ND213" s="394"/>
      <c r="NE213" s="394"/>
      <c r="NF213" s="394"/>
      <c r="NG213" s="394"/>
      <c r="NH213" s="394"/>
      <c r="NI213" s="394"/>
      <c r="NJ213" s="394"/>
      <c r="NK213" s="394"/>
      <c r="NL213" s="394"/>
      <c r="NM213" s="394"/>
      <c r="NN213" s="394"/>
      <c r="NO213" s="394"/>
      <c r="NP213" s="394"/>
      <c r="NQ213" s="394"/>
      <c r="NR213" s="394"/>
      <c r="NS213" s="394"/>
      <c r="NT213" s="394"/>
      <c r="NU213" s="394"/>
      <c r="NV213" s="394"/>
      <c r="NW213" s="394"/>
      <c r="NX213" s="394"/>
      <c r="NY213" s="394"/>
      <c r="NZ213" s="394"/>
      <c r="OA213" s="394"/>
      <c r="OB213" s="394"/>
      <c r="OC213" s="394"/>
      <c r="OD213" s="394"/>
      <c r="OE213" s="394"/>
      <c r="OF213" s="394"/>
      <c r="OG213" s="394"/>
      <c r="OH213" s="394"/>
      <c r="OI213" s="394"/>
      <c r="OJ213" s="394"/>
      <c r="OK213" s="394"/>
      <c r="OL213" s="394"/>
      <c r="OM213" s="394"/>
      <c r="ON213" s="394"/>
      <c r="OO213" s="394"/>
      <c r="OP213" s="394"/>
      <c r="OQ213" s="394"/>
      <c r="OR213" s="394"/>
      <c r="OS213" s="394"/>
      <c r="OT213" s="394"/>
      <c r="OU213" s="394"/>
      <c r="OV213" s="394"/>
      <c r="OW213" s="394"/>
      <c r="OX213" s="394"/>
      <c r="OY213" s="394"/>
      <c r="OZ213" s="394"/>
      <c r="PA213" s="394"/>
      <c r="PB213" s="394"/>
      <c r="PC213" s="394"/>
      <c r="PD213" s="394"/>
      <c r="PE213" s="394"/>
      <c r="PF213" s="394"/>
      <c r="PG213" s="394"/>
      <c r="PH213" s="394"/>
      <c r="PI213" s="394"/>
      <c r="PJ213" s="394"/>
      <c r="PK213" s="394"/>
      <c r="PL213" s="394"/>
      <c r="PM213" s="394"/>
      <c r="PN213" s="394"/>
      <c r="PO213" s="394"/>
      <c r="PP213" s="394"/>
      <c r="PQ213" s="394"/>
      <c r="PR213" s="394"/>
      <c r="PS213" s="394"/>
      <c r="PT213" s="394"/>
      <c r="PU213" s="394"/>
      <c r="PV213" s="394"/>
      <c r="PW213" s="394"/>
      <c r="PX213" s="394"/>
      <c r="PY213" s="394"/>
      <c r="PZ213" s="394"/>
      <c r="QA213" s="394"/>
      <c r="QB213" s="394"/>
      <c r="QC213" s="394"/>
      <c r="QD213" s="394"/>
      <c r="QE213" s="394"/>
      <c r="QF213" s="394"/>
      <c r="QG213" s="394"/>
      <c r="QH213" s="394"/>
      <c r="QI213" s="394"/>
      <c r="QJ213" s="394"/>
      <c r="QK213" s="394"/>
      <c r="QL213" s="394"/>
      <c r="QM213" s="394"/>
      <c r="QN213" s="394"/>
      <c r="QO213" s="394"/>
      <c r="QP213" s="394"/>
      <c r="QQ213" s="394"/>
      <c r="QR213" s="394"/>
      <c r="QS213" s="394"/>
      <c r="QT213" s="394"/>
      <c r="QU213" s="394"/>
      <c r="QV213" s="394"/>
      <c r="QW213" s="394"/>
      <c r="QX213" s="394"/>
      <c r="QY213" s="394"/>
      <c r="QZ213" s="394"/>
      <c r="RA213" s="394"/>
      <c r="RB213" s="394"/>
      <c r="RC213" s="394"/>
      <c r="RD213" s="394"/>
      <c r="RE213" s="394"/>
      <c r="RF213" s="394"/>
      <c r="RG213" s="394"/>
      <c r="RH213" s="394"/>
      <c r="RI213" s="394"/>
      <c r="RJ213" s="394"/>
      <c r="RK213" s="394"/>
      <c r="RL213" s="394"/>
      <c r="RM213" s="394"/>
      <c r="RN213" s="394"/>
      <c r="RO213" s="394"/>
      <c r="RP213" s="394"/>
      <c r="RQ213" s="394"/>
      <c r="RR213" s="394"/>
      <c r="RS213" s="394"/>
      <c r="RT213" s="394"/>
      <c r="RU213" s="394"/>
      <c r="RV213" s="394"/>
      <c r="RW213" s="394"/>
      <c r="RX213" s="394"/>
      <c r="RY213" s="394"/>
      <c r="RZ213" s="394"/>
      <c r="SA213" s="394"/>
      <c r="SB213" s="394"/>
      <c r="SC213" s="394"/>
      <c r="SD213" s="394"/>
      <c r="SE213" s="394"/>
      <c r="SF213" s="394"/>
      <c r="SG213" s="394"/>
      <c r="SH213" s="394"/>
      <c r="SI213" s="394"/>
      <c r="SJ213" s="394"/>
      <c r="SK213" s="394"/>
      <c r="SL213" s="394"/>
      <c r="SM213" s="394"/>
      <c r="SN213" s="394"/>
      <c r="SO213" s="394"/>
      <c r="SP213" s="394"/>
      <c r="SQ213" s="394"/>
      <c r="SR213" s="394"/>
      <c r="SS213" s="394"/>
      <c r="ST213" s="394"/>
      <c r="SU213" s="394"/>
      <c r="SV213" s="394"/>
      <c r="SW213" s="394"/>
      <c r="SX213" s="394"/>
      <c r="SY213" s="394"/>
      <c r="SZ213" s="394"/>
      <c r="TA213" s="394"/>
      <c r="TB213" s="394"/>
      <c r="TC213" s="394"/>
      <c r="TD213" s="394"/>
      <c r="TE213" s="394"/>
      <c r="TF213" s="394"/>
      <c r="TG213" s="394"/>
      <c r="TH213" s="394"/>
      <c r="TI213" s="394"/>
      <c r="TJ213" s="394"/>
      <c r="TK213" s="394"/>
      <c r="TL213" s="394"/>
      <c r="TM213" s="394"/>
      <c r="TN213" s="394"/>
      <c r="TO213" s="394"/>
      <c r="TP213" s="394"/>
      <c r="TQ213" s="394"/>
      <c r="TR213" s="394"/>
      <c r="TS213" s="394"/>
      <c r="TT213" s="394"/>
      <c r="TU213" s="394"/>
      <c r="TV213" s="394"/>
      <c r="TW213" s="394"/>
      <c r="TX213" s="394"/>
      <c r="TY213" s="394"/>
      <c r="TZ213" s="394"/>
      <c r="UA213" s="394"/>
      <c r="UB213" s="394"/>
      <c r="UC213" s="394"/>
      <c r="UD213" s="394"/>
      <c r="UE213" s="394"/>
      <c r="UF213" s="394"/>
      <c r="UG213" s="394"/>
      <c r="UH213" s="394"/>
      <c r="UI213" s="394"/>
      <c r="UJ213" s="394"/>
      <c r="UK213" s="394"/>
      <c r="UL213" s="394"/>
      <c r="UM213" s="394"/>
      <c r="UN213" s="394"/>
      <c r="UO213" s="394"/>
      <c r="UP213" s="394"/>
      <c r="UQ213" s="394"/>
      <c r="UR213" s="394"/>
      <c r="US213" s="394"/>
      <c r="UT213" s="394"/>
      <c r="UU213" s="394"/>
      <c r="UV213" s="394"/>
      <c r="UW213" s="394"/>
      <c r="UX213" s="394"/>
      <c r="UY213" s="394"/>
      <c r="UZ213" s="394"/>
      <c r="VA213" s="394"/>
      <c r="VB213" s="394"/>
      <c r="VC213" s="394"/>
      <c r="VD213" s="394"/>
      <c r="VE213" s="394"/>
      <c r="VF213" s="394"/>
      <c r="VG213" s="394"/>
      <c r="VH213" s="394"/>
      <c r="VI213" s="394"/>
      <c r="VJ213" s="394"/>
      <c r="VK213" s="394"/>
      <c r="VL213" s="394"/>
      <c r="VM213" s="394"/>
      <c r="VN213" s="394"/>
      <c r="VO213" s="394"/>
      <c r="VP213" s="394"/>
      <c r="VQ213" s="394"/>
      <c r="VR213" s="394"/>
      <c r="VS213" s="394"/>
      <c r="VT213" s="394"/>
      <c r="VU213" s="394"/>
      <c r="VV213" s="394"/>
      <c r="VW213" s="394"/>
      <c r="VX213" s="394"/>
      <c r="VY213" s="394"/>
      <c r="VZ213" s="394"/>
      <c r="WA213" s="394"/>
      <c r="WB213" s="394"/>
      <c r="WC213" s="394"/>
      <c r="WD213" s="394"/>
      <c r="WE213" s="394"/>
      <c r="WF213" s="394"/>
      <c r="WG213" s="394"/>
      <c r="WH213" s="394"/>
      <c r="WI213" s="394"/>
      <c r="WJ213" s="394"/>
      <c r="WK213" s="394"/>
      <c r="WL213" s="394"/>
      <c r="WM213" s="394"/>
      <c r="WN213" s="394"/>
      <c r="WO213" s="394"/>
      <c r="WP213" s="394"/>
      <c r="WQ213" s="394"/>
      <c r="WR213" s="394"/>
      <c r="WS213" s="394"/>
      <c r="WT213" s="394"/>
      <c r="WU213" s="394"/>
      <c r="WV213" s="394"/>
      <c r="WW213" s="394"/>
      <c r="WX213" s="394"/>
      <c r="WY213" s="394"/>
      <c r="WZ213" s="394"/>
      <c r="XA213" s="394"/>
      <c r="XB213" s="394"/>
      <c r="XC213" s="394"/>
      <c r="XD213" s="394"/>
      <c r="XE213" s="394"/>
      <c r="XF213" s="394"/>
      <c r="XG213" s="394"/>
      <c r="XH213" s="394"/>
      <c r="XI213" s="394"/>
      <c r="XJ213" s="394"/>
      <c r="XK213" s="394"/>
      <c r="XL213" s="394"/>
      <c r="XM213" s="394"/>
      <c r="XN213" s="394"/>
      <c r="XO213" s="394"/>
      <c r="XP213" s="394"/>
      <c r="XQ213" s="394"/>
      <c r="XR213" s="394"/>
      <c r="XS213" s="394"/>
      <c r="XT213" s="394"/>
      <c r="XU213" s="394"/>
      <c r="XV213" s="394"/>
      <c r="XW213" s="394"/>
      <c r="XX213" s="394"/>
      <c r="XY213" s="394"/>
      <c r="XZ213" s="394"/>
      <c r="YA213" s="394"/>
      <c r="YB213" s="394"/>
      <c r="YC213" s="394"/>
      <c r="YD213" s="394"/>
      <c r="YE213" s="394"/>
      <c r="YF213" s="394"/>
      <c r="YG213" s="394"/>
      <c r="YH213" s="394"/>
      <c r="YI213" s="394"/>
      <c r="YJ213" s="394"/>
      <c r="YK213" s="394"/>
      <c r="YL213" s="394"/>
      <c r="YM213" s="394"/>
      <c r="YN213" s="394"/>
      <c r="YO213" s="394"/>
      <c r="YP213" s="394"/>
      <c r="YQ213" s="394"/>
      <c r="YR213" s="394"/>
      <c r="YS213" s="394"/>
      <c r="YT213" s="394"/>
      <c r="YU213" s="394"/>
      <c r="YV213" s="394"/>
      <c r="YW213" s="394"/>
      <c r="YX213" s="394"/>
      <c r="YY213" s="394"/>
      <c r="YZ213" s="394"/>
      <c r="ZA213" s="394"/>
      <c r="ZB213" s="394"/>
      <c r="ZC213" s="394"/>
      <c r="ZD213" s="394"/>
      <c r="ZE213" s="394"/>
      <c r="ZF213" s="394"/>
      <c r="ZG213" s="394"/>
      <c r="ZH213" s="394"/>
      <c r="ZI213" s="394"/>
      <c r="ZJ213" s="394"/>
      <c r="ZK213" s="394"/>
      <c r="ZL213" s="394"/>
      <c r="ZM213" s="394"/>
      <c r="ZN213" s="394"/>
      <c r="ZO213" s="394"/>
      <c r="ZP213" s="394"/>
      <c r="ZQ213" s="394"/>
      <c r="ZR213" s="394"/>
      <c r="ZS213" s="394"/>
      <c r="ZT213" s="394"/>
      <c r="ZU213" s="394"/>
      <c r="ZV213" s="394"/>
      <c r="ZW213" s="394"/>
      <c r="ZX213" s="394"/>
      <c r="ZY213" s="394"/>
      <c r="ZZ213" s="394"/>
      <c r="AAA213" s="394"/>
      <c r="AAB213" s="394"/>
      <c r="AAC213" s="394"/>
      <c r="AAD213" s="394"/>
      <c r="AAE213" s="394"/>
      <c r="AAF213" s="394"/>
      <c r="AAG213" s="394"/>
      <c r="AAH213" s="394"/>
      <c r="AAI213" s="394"/>
      <c r="AAJ213" s="394"/>
      <c r="AAK213" s="394"/>
      <c r="AAL213" s="394"/>
      <c r="AAM213" s="394"/>
      <c r="AAN213" s="394"/>
      <c r="AAO213" s="394"/>
      <c r="AAP213" s="394"/>
      <c r="AAQ213" s="394"/>
      <c r="AAR213" s="394"/>
      <c r="AAS213" s="394"/>
      <c r="AAT213" s="394"/>
      <c r="AAU213" s="394"/>
      <c r="AAV213" s="394"/>
      <c r="AAW213" s="394"/>
      <c r="AAX213" s="394"/>
      <c r="AAY213" s="394"/>
      <c r="AAZ213" s="394"/>
      <c r="ABA213" s="394"/>
      <c r="ABB213" s="394"/>
      <c r="ABC213" s="394"/>
      <c r="ABD213" s="394"/>
      <c r="ABE213" s="394"/>
      <c r="ABF213" s="394"/>
      <c r="ABG213" s="394"/>
      <c r="ABH213" s="394"/>
      <c r="ABI213" s="394"/>
      <c r="ABJ213" s="394"/>
      <c r="ABK213" s="394"/>
      <c r="ABL213" s="394"/>
      <c r="ABM213" s="394"/>
      <c r="ABN213" s="394"/>
      <c r="ABO213" s="394"/>
      <c r="ABP213" s="394"/>
      <c r="ABQ213" s="394"/>
      <c r="ABR213" s="394"/>
      <c r="ABS213" s="394"/>
      <c r="ABT213" s="394"/>
      <c r="ABU213" s="394"/>
      <c r="ABV213" s="394"/>
      <c r="ABW213" s="394"/>
      <c r="ABX213" s="394"/>
      <c r="ABY213" s="394"/>
      <c r="ABZ213" s="394"/>
      <c r="ACA213" s="394"/>
      <c r="ACB213" s="394"/>
      <c r="ACC213" s="394"/>
      <c r="ACD213" s="394"/>
      <c r="ACE213" s="394"/>
      <c r="ACF213" s="394"/>
      <c r="ACG213" s="394"/>
      <c r="ACH213" s="394"/>
      <c r="ACI213" s="394"/>
      <c r="ACJ213" s="394"/>
      <c r="ACK213" s="394"/>
      <c r="ACL213" s="394"/>
      <c r="ACM213" s="394"/>
      <c r="ACN213" s="394"/>
      <c r="ACO213" s="394"/>
      <c r="ACP213" s="394"/>
      <c r="ACQ213" s="394"/>
      <c r="ACR213" s="394"/>
      <c r="ACS213" s="394"/>
      <c r="ACT213" s="394"/>
      <c r="ACU213" s="394"/>
      <c r="ACV213" s="394"/>
      <c r="ACW213" s="394"/>
      <c r="ACX213" s="394"/>
      <c r="ACY213" s="394"/>
      <c r="ACZ213" s="394"/>
      <c r="ADA213" s="394"/>
      <c r="ADB213" s="394"/>
      <c r="ADC213" s="394"/>
      <c r="ADD213" s="394"/>
      <c r="ADE213" s="394"/>
      <c r="ADF213" s="394"/>
      <c r="ADG213" s="394"/>
      <c r="ADH213" s="394"/>
      <c r="ADI213" s="394"/>
      <c r="ADJ213" s="394"/>
      <c r="ADK213" s="394"/>
      <c r="ADL213" s="394"/>
      <c r="ADM213" s="394"/>
      <c r="ADN213" s="394"/>
      <c r="ADO213" s="394"/>
      <c r="ADP213" s="394"/>
      <c r="ADQ213" s="394"/>
      <c r="ADR213" s="394"/>
      <c r="ADS213" s="394"/>
      <c r="ADT213" s="394"/>
      <c r="ADU213" s="394"/>
      <c r="ADV213" s="394"/>
      <c r="ADW213" s="394"/>
      <c r="ADX213" s="394"/>
      <c r="ADY213" s="394"/>
      <c r="ADZ213" s="394"/>
      <c r="AEA213" s="394"/>
      <c r="AEB213" s="394"/>
      <c r="AEC213" s="394"/>
      <c r="AED213" s="394"/>
      <c r="AEE213" s="394"/>
      <c r="AEF213" s="394"/>
      <c r="AEG213" s="394"/>
      <c r="AEH213" s="394"/>
      <c r="AEI213" s="394"/>
      <c r="AEJ213" s="394"/>
      <c r="AEK213" s="394"/>
      <c r="AEL213" s="394"/>
      <c r="AEM213" s="394"/>
      <c r="AEN213" s="394"/>
      <c r="AEO213" s="394"/>
      <c r="AEP213" s="394"/>
      <c r="AEQ213" s="394"/>
      <c r="AER213" s="394"/>
      <c r="AES213" s="394"/>
      <c r="AET213" s="394"/>
      <c r="AEU213" s="394"/>
      <c r="AEV213" s="394"/>
      <c r="AEW213" s="394"/>
      <c r="AEX213" s="394"/>
      <c r="AEY213" s="394"/>
      <c r="AEZ213" s="394"/>
      <c r="AFA213" s="394"/>
      <c r="AFB213" s="394"/>
      <c r="AFC213" s="394"/>
      <c r="AFD213" s="394"/>
      <c r="AFE213" s="394"/>
      <c r="AFF213" s="394"/>
      <c r="AFG213" s="394"/>
      <c r="AFH213" s="394"/>
      <c r="AFI213" s="394"/>
      <c r="AFJ213" s="394"/>
      <c r="AFK213" s="394"/>
      <c r="AFL213" s="394"/>
      <c r="AFM213" s="394"/>
      <c r="AFN213" s="394"/>
      <c r="AFO213" s="394"/>
      <c r="AFP213" s="394"/>
      <c r="AFQ213" s="394"/>
      <c r="AFR213" s="394"/>
      <c r="AFS213" s="394"/>
      <c r="AFT213" s="394"/>
      <c r="AFU213" s="394"/>
      <c r="AFV213" s="394"/>
      <c r="AFW213" s="394"/>
      <c r="AFX213" s="394"/>
      <c r="AFY213" s="394"/>
      <c r="AFZ213" s="394"/>
      <c r="AGA213" s="394"/>
      <c r="AGB213" s="394"/>
      <c r="AGC213" s="394"/>
      <c r="AGD213" s="394"/>
      <c r="AGE213" s="394"/>
      <c r="AGF213" s="394"/>
      <c r="AGG213" s="394"/>
      <c r="AGH213" s="394"/>
      <c r="AGI213" s="394"/>
      <c r="AGJ213" s="394"/>
      <c r="AGK213" s="394"/>
      <c r="AGL213" s="394"/>
      <c r="AGM213" s="394"/>
      <c r="AGN213" s="394"/>
      <c r="AGO213" s="394"/>
      <c r="AGP213" s="394"/>
      <c r="AGQ213" s="394"/>
      <c r="AGR213" s="394"/>
      <c r="AGS213" s="394"/>
      <c r="AGT213" s="394"/>
      <c r="AGU213" s="394"/>
      <c r="AGV213" s="394"/>
      <c r="AGW213" s="394"/>
      <c r="AGX213" s="394"/>
      <c r="AGY213" s="394"/>
      <c r="AGZ213" s="394"/>
      <c r="AHA213" s="394"/>
      <c r="AHB213" s="394"/>
      <c r="AHC213" s="394"/>
      <c r="AHD213" s="394"/>
      <c r="AHE213" s="394"/>
      <c r="AHF213" s="394"/>
      <c r="AHG213" s="394"/>
      <c r="AHH213" s="394"/>
      <c r="AHI213" s="394"/>
      <c r="AHJ213" s="394"/>
      <c r="AHK213" s="394"/>
      <c r="AHL213" s="394"/>
      <c r="AHM213" s="394"/>
      <c r="AHN213" s="394"/>
      <c r="AHO213" s="394"/>
      <c r="AHP213" s="394"/>
      <c r="AHQ213" s="394"/>
      <c r="AHR213" s="394"/>
      <c r="AHS213" s="394"/>
      <c r="AHT213" s="394"/>
      <c r="AHU213" s="394"/>
      <c r="AHV213" s="394"/>
      <c r="AHW213" s="394"/>
      <c r="AHX213" s="394"/>
      <c r="AHY213" s="394"/>
      <c r="AHZ213" s="394"/>
      <c r="AIA213" s="394"/>
      <c r="AIB213" s="394"/>
      <c r="AIC213" s="394"/>
      <c r="AID213" s="394"/>
      <c r="AIE213" s="394"/>
      <c r="AIF213" s="394"/>
      <c r="AIG213" s="394"/>
      <c r="AIH213" s="394"/>
      <c r="AII213" s="394"/>
      <c r="AIJ213" s="394"/>
      <c r="AIK213" s="394"/>
      <c r="AIL213" s="394"/>
      <c r="AIM213" s="394"/>
      <c r="AIN213" s="394"/>
      <c r="AIO213" s="394"/>
      <c r="AIP213" s="394"/>
      <c r="AIQ213" s="394"/>
      <c r="AIR213" s="394"/>
      <c r="AIS213" s="394"/>
      <c r="AIT213" s="394"/>
      <c r="AIU213" s="394"/>
      <c r="AIV213" s="394"/>
      <c r="AIW213" s="394"/>
      <c r="AIX213" s="394"/>
      <c r="AIY213" s="394"/>
      <c r="AIZ213" s="394"/>
      <c r="AJA213" s="394"/>
      <c r="AJB213" s="394"/>
      <c r="AJC213" s="394"/>
      <c r="AJD213" s="394"/>
      <c r="AJE213" s="394"/>
      <c r="AJF213" s="394"/>
      <c r="AJG213" s="394"/>
      <c r="AJH213" s="394"/>
      <c r="AJI213" s="394"/>
      <c r="AJJ213" s="394"/>
      <c r="AJK213" s="394"/>
      <c r="AJL213" s="394"/>
      <c r="AJM213" s="394"/>
      <c r="AJN213" s="394"/>
      <c r="AJO213" s="394"/>
      <c r="AJP213" s="394"/>
      <c r="AJQ213" s="394"/>
      <c r="AJR213" s="394"/>
      <c r="AJS213" s="394"/>
      <c r="AJT213" s="394"/>
      <c r="AJU213" s="394"/>
      <c r="AJV213" s="394"/>
      <c r="AJW213" s="394"/>
      <c r="AJX213" s="394"/>
      <c r="AJY213" s="394"/>
      <c r="AJZ213" s="394"/>
      <c r="AKA213" s="394"/>
      <c r="AKB213" s="394"/>
      <c r="AKC213" s="394"/>
      <c r="AKD213" s="394"/>
      <c r="AKE213" s="394"/>
      <c r="AKF213" s="394"/>
      <c r="AKG213" s="394"/>
      <c r="AKH213" s="394"/>
      <c r="AKI213" s="394"/>
      <c r="AKJ213" s="394"/>
      <c r="AKK213" s="394"/>
      <c r="AKL213" s="394"/>
      <c r="AKM213" s="394"/>
      <c r="AKN213" s="394"/>
      <c r="AKO213" s="394"/>
      <c r="AKP213" s="394"/>
      <c r="AKQ213" s="394"/>
      <c r="AKR213" s="394"/>
      <c r="AKS213" s="394"/>
      <c r="AKT213" s="394"/>
      <c r="AKU213" s="394"/>
      <c r="AKV213" s="394"/>
      <c r="AKW213" s="394"/>
      <c r="AKX213" s="394"/>
      <c r="AKY213" s="394"/>
      <c r="AKZ213" s="394"/>
      <c r="ALA213" s="394"/>
      <c r="ALB213" s="394"/>
      <c r="ALC213" s="394"/>
      <c r="ALD213" s="394"/>
      <c r="ALE213" s="394"/>
      <c r="ALF213" s="394"/>
      <c r="ALG213" s="394"/>
      <c r="ALH213" s="394"/>
      <c r="ALI213" s="394"/>
      <c r="ALJ213" s="394"/>
      <c r="ALK213" s="394"/>
      <c r="ALL213" s="394"/>
      <c r="ALM213" s="394"/>
      <c r="ALN213" s="394"/>
      <c r="ALO213" s="394"/>
      <c r="ALP213" s="394"/>
      <c r="ALQ213" s="394"/>
      <c r="ALR213" s="394"/>
      <c r="ALS213" s="394"/>
      <c r="ALT213" s="394"/>
      <c r="ALU213" s="394"/>
      <c r="ALV213" s="394"/>
      <c r="ALW213" s="394"/>
      <c r="ALX213" s="394"/>
      <c r="ALY213" s="394"/>
      <c r="ALZ213" s="394"/>
      <c r="AMA213" s="394"/>
      <c r="AMB213" s="394"/>
      <c r="AMC213" s="394"/>
      <c r="AMD213" s="394"/>
      <c r="AME213" s="394"/>
      <c r="AMF213" s="394"/>
      <c r="AMG213" s="394"/>
      <c r="AMH213" s="394"/>
      <c r="AMI213" s="394"/>
      <c r="AMJ213" s="394"/>
      <c r="AMK213" s="394"/>
      <c r="AML213" s="394"/>
      <c r="AMM213" s="394"/>
      <c r="AMN213" s="394"/>
      <c r="AMO213" s="394"/>
      <c r="AMP213" s="394"/>
      <c r="AMQ213" s="394"/>
      <c r="AMR213" s="394"/>
      <c r="AMS213" s="394"/>
      <c r="AMT213" s="394"/>
      <c r="AMU213" s="394"/>
      <c r="AMV213" s="394"/>
      <c r="AMW213" s="394"/>
      <c r="AMX213" s="394"/>
      <c r="AMY213" s="394"/>
      <c r="AMZ213" s="394"/>
      <c r="ANA213" s="394"/>
      <c r="ANB213" s="394"/>
      <c r="ANC213" s="394"/>
      <c r="AND213" s="394"/>
      <c r="ANE213" s="394"/>
      <c r="ANF213" s="394"/>
      <c r="ANG213" s="394"/>
      <c r="ANH213" s="394"/>
      <c r="ANI213" s="394"/>
      <c r="ANJ213" s="394"/>
      <c r="ANK213" s="394"/>
      <c r="ANL213" s="394"/>
      <c r="ANM213" s="394"/>
      <c r="ANN213" s="394"/>
      <c r="ANO213" s="394"/>
      <c r="ANP213" s="394"/>
      <c r="ANQ213" s="394"/>
      <c r="ANR213" s="394"/>
      <c r="ANS213" s="394"/>
      <c r="ANT213" s="394"/>
      <c r="ANU213" s="394"/>
      <c r="ANV213" s="394"/>
      <c r="ANW213" s="394"/>
      <c r="ANX213" s="394"/>
      <c r="ANY213" s="394"/>
      <c r="ANZ213" s="394"/>
      <c r="AOA213" s="394"/>
      <c r="AOB213" s="394"/>
      <c r="AOC213" s="394"/>
      <c r="AOD213" s="394"/>
      <c r="AOE213" s="394"/>
      <c r="AOF213" s="394"/>
      <c r="AOG213" s="394"/>
      <c r="AOH213" s="394"/>
      <c r="AOI213" s="394"/>
      <c r="AOJ213" s="394"/>
      <c r="AOK213" s="394"/>
      <c r="AOL213" s="394"/>
      <c r="AOM213" s="394"/>
      <c r="AON213" s="394"/>
      <c r="AOO213" s="394"/>
      <c r="AOP213" s="394"/>
      <c r="AOQ213" s="394"/>
      <c r="AOR213" s="394"/>
      <c r="AOS213" s="394"/>
      <c r="AOT213" s="394"/>
      <c r="AOU213" s="394"/>
      <c r="AOV213" s="394"/>
      <c r="AOW213" s="394"/>
      <c r="AOX213" s="394"/>
      <c r="AOY213" s="394"/>
      <c r="AOZ213" s="394"/>
      <c r="APA213" s="394"/>
      <c r="APB213" s="394"/>
      <c r="APC213" s="394"/>
      <c r="APD213" s="394"/>
      <c r="APE213" s="394"/>
      <c r="APF213" s="394"/>
      <c r="APG213" s="394"/>
      <c r="APH213" s="394"/>
      <c r="API213" s="394"/>
      <c r="APJ213" s="394"/>
      <c r="APK213" s="394"/>
      <c r="APL213" s="394"/>
      <c r="APM213" s="394"/>
      <c r="APN213" s="394"/>
      <c r="APO213" s="394"/>
      <c r="APP213" s="394"/>
      <c r="APQ213" s="394"/>
      <c r="APR213" s="394"/>
      <c r="APS213" s="394"/>
      <c r="APT213" s="394"/>
      <c r="APU213" s="394"/>
      <c r="APV213" s="394"/>
      <c r="APW213" s="394"/>
      <c r="APX213" s="394"/>
      <c r="APY213" s="394"/>
      <c r="APZ213" s="394"/>
      <c r="AQA213" s="394"/>
      <c r="AQB213" s="394"/>
      <c r="AQC213" s="394"/>
      <c r="AQD213" s="394"/>
      <c r="AQE213" s="394"/>
      <c r="AQF213" s="394"/>
      <c r="AQG213" s="394"/>
      <c r="AQH213" s="394"/>
      <c r="AQI213" s="394"/>
      <c r="AQJ213" s="394"/>
      <c r="AQK213" s="394"/>
      <c r="AQL213" s="394"/>
      <c r="AQM213" s="394"/>
      <c r="AQN213" s="394"/>
      <c r="AQO213" s="394"/>
      <c r="AQP213" s="394"/>
      <c r="AQQ213" s="394"/>
      <c r="AQR213" s="394"/>
      <c r="AQS213" s="394"/>
      <c r="AQT213" s="394"/>
      <c r="AQU213" s="394"/>
      <c r="AQV213" s="394"/>
      <c r="AQW213" s="394"/>
      <c r="AQX213" s="394"/>
      <c r="AQY213" s="394"/>
      <c r="AQZ213" s="394"/>
      <c r="ARA213" s="394"/>
      <c r="ARB213" s="394"/>
      <c r="ARC213" s="394"/>
      <c r="ARD213" s="394"/>
      <c r="ARE213" s="394"/>
      <c r="ARF213" s="394"/>
      <c r="ARG213" s="394"/>
      <c r="ARH213" s="394"/>
      <c r="ARI213" s="394"/>
      <c r="ARJ213" s="394"/>
      <c r="ARK213" s="394"/>
      <c r="ARL213" s="394"/>
      <c r="ARM213" s="394"/>
      <c r="ARN213" s="394"/>
      <c r="ARO213" s="394"/>
      <c r="ARP213" s="394"/>
      <c r="ARQ213" s="394"/>
      <c r="ARR213" s="394"/>
      <c r="ARS213" s="394"/>
      <c r="ART213" s="394"/>
      <c r="ARU213" s="394"/>
      <c r="ARV213" s="394"/>
      <c r="ARW213" s="394"/>
      <c r="ARX213" s="394"/>
      <c r="ARY213" s="394"/>
      <c r="ARZ213" s="394"/>
      <c r="ASA213" s="394"/>
      <c r="ASB213" s="394"/>
      <c r="ASC213" s="394"/>
      <c r="ASD213" s="394"/>
      <c r="ASE213" s="394"/>
      <c r="ASF213" s="394"/>
      <c r="ASG213" s="394"/>
      <c r="ASH213" s="394"/>
      <c r="ASI213" s="394"/>
      <c r="ASJ213" s="394"/>
      <c r="ASK213" s="394"/>
      <c r="ASL213" s="394"/>
      <c r="ASM213" s="394"/>
      <c r="ASN213" s="394"/>
      <c r="ASO213" s="394"/>
      <c r="ASP213" s="394"/>
      <c r="ASQ213" s="394"/>
      <c r="ASR213" s="394"/>
      <c r="ASS213" s="394"/>
      <c r="AST213" s="394"/>
      <c r="ASU213" s="394"/>
      <c r="ASV213" s="394"/>
      <c r="ASW213" s="394"/>
      <c r="ASX213" s="394"/>
      <c r="ASY213" s="394"/>
      <c r="ASZ213" s="394"/>
      <c r="ATA213" s="394"/>
      <c r="ATB213" s="394"/>
      <c r="ATC213" s="394"/>
      <c r="ATD213" s="394"/>
      <c r="ATE213" s="394"/>
      <c r="ATF213" s="394"/>
      <c r="ATG213" s="394"/>
      <c r="ATH213" s="394"/>
      <c r="ATI213" s="394"/>
      <c r="ATJ213" s="394"/>
      <c r="ATK213" s="394"/>
      <c r="ATL213" s="394"/>
      <c r="ATM213" s="394"/>
      <c r="ATN213" s="394"/>
      <c r="ATO213" s="394"/>
      <c r="ATP213" s="394"/>
      <c r="ATQ213" s="394"/>
      <c r="ATR213" s="394"/>
      <c r="ATS213" s="394"/>
      <c r="ATT213" s="394"/>
      <c r="ATU213" s="394"/>
      <c r="ATV213" s="394"/>
      <c r="ATW213" s="394"/>
      <c r="ATX213" s="394"/>
      <c r="ATY213" s="394"/>
      <c r="ATZ213" s="394"/>
      <c r="AUA213" s="394"/>
      <c r="AUB213" s="394"/>
      <c r="AUC213" s="394"/>
      <c r="AUD213" s="394"/>
      <c r="AUE213" s="394"/>
      <c r="AUF213" s="394"/>
      <c r="AUG213" s="394"/>
      <c r="AUH213" s="394"/>
      <c r="AUI213" s="394"/>
      <c r="AUJ213" s="394"/>
      <c r="AUK213" s="394"/>
      <c r="AUL213" s="394"/>
      <c r="AUM213" s="394"/>
      <c r="AUN213" s="394"/>
      <c r="AUO213" s="394"/>
      <c r="AUP213" s="394"/>
      <c r="AUQ213" s="394"/>
      <c r="AUR213" s="394"/>
      <c r="AUS213" s="394"/>
      <c r="AUT213" s="394"/>
      <c r="AUU213" s="394"/>
      <c r="AUV213" s="394"/>
      <c r="AUW213" s="394"/>
      <c r="AUX213" s="394"/>
      <c r="AUY213" s="394"/>
      <c r="AUZ213" s="394"/>
      <c r="AVA213" s="394"/>
      <c r="AVB213" s="394"/>
      <c r="AVC213" s="394"/>
      <c r="AVD213" s="394"/>
      <c r="AVE213" s="394"/>
      <c r="AVF213" s="394"/>
      <c r="AVG213" s="394"/>
      <c r="AVH213" s="394"/>
      <c r="AVI213" s="394"/>
      <c r="AVJ213" s="394"/>
      <c r="AVK213" s="394"/>
      <c r="AVL213" s="394"/>
      <c r="AVM213" s="394"/>
      <c r="AVN213" s="394"/>
      <c r="AVO213" s="394"/>
      <c r="AVP213" s="394"/>
      <c r="AVQ213" s="394"/>
      <c r="AVR213" s="394"/>
      <c r="AVS213" s="394"/>
      <c r="AVT213" s="394"/>
      <c r="AVU213" s="394"/>
      <c r="AVV213" s="394"/>
      <c r="AVW213" s="394"/>
      <c r="AVX213" s="394"/>
      <c r="AVY213" s="394"/>
      <c r="AVZ213" s="394"/>
      <c r="AWA213" s="394"/>
      <c r="AWB213" s="394"/>
      <c r="AWC213" s="394"/>
      <c r="AWD213" s="394"/>
      <c r="AWE213" s="394"/>
      <c r="AWF213" s="394"/>
      <c r="AWG213" s="394"/>
      <c r="AWH213" s="394"/>
      <c r="AWI213" s="394"/>
      <c r="AWJ213" s="394"/>
      <c r="AWK213" s="394"/>
      <c r="AWL213" s="394"/>
      <c r="AWM213" s="394"/>
      <c r="AWN213" s="394"/>
      <c r="AWO213" s="394"/>
      <c r="AWP213" s="394"/>
      <c r="AWQ213" s="394"/>
      <c r="AWR213" s="394"/>
      <c r="AWS213" s="394"/>
      <c r="AWT213" s="394"/>
      <c r="AWU213" s="394"/>
      <c r="AWV213" s="394"/>
      <c r="AWW213" s="394"/>
      <c r="AWX213" s="394"/>
      <c r="AWY213" s="394"/>
      <c r="AWZ213" s="394"/>
      <c r="AXA213" s="394"/>
      <c r="AXB213" s="394"/>
      <c r="AXC213" s="394"/>
      <c r="AXD213" s="394"/>
      <c r="AXE213" s="394"/>
      <c r="AXF213" s="394"/>
      <c r="AXG213" s="394"/>
      <c r="AXH213" s="394"/>
      <c r="AXI213" s="394"/>
      <c r="AXJ213" s="394"/>
      <c r="AXK213" s="394"/>
      <c r="AXL213" s="394"/>
      <c r="AXM213" s="394"/>
      <c r="AXN213" s="394"/>
      <c r="AXO213" s="394"/>
      <c r="AXP213" s="394"/>
      <c r="AXQ213" s="394"/>
      <c r="AXR213" s="394"/>
      <c r="AXS213" s="394"/>
      <c r="AXT213" s="394"/>
      <c r="AXU213" s="394"/>
      <c r="AXV213" s="394"/>
      <c r="AXW213" s="394"/>
      <c r="AXX213" s="394"/>
      <c r="AXY213" s="394"/>
      <c r="AXZ213" s="394"/>
      <c r="AYA213" s="394"/>
      <c r="AYB213" s="394"/>
      <c r="AYC213" s="394"/>
      <c r="AYD213" s="394"/>
      <c r="AYE213" s="394"/>
      <c r="AYF213" s="394"/>
      <c r="AYG213" s="394"/>
      <c r="AYH213" s="394"/>
      <c r="AYI213" s="394"/>
      <c r="AYJ213" s="394"/>
      <c r="AYK213" s="394"/>
      <c r="AYL213" s="394"/>
      <c r="AYM213" s="394"/>
      <c r="AYN213" s="394"/>
      <c r="AYO213" s="394"/>
      <c r="AYP213" s="394"/>
      <c r="AYQ213" s="394"/>
      <c r="AYR213" s="394"/>
      <c r="AYS213" s="394"/>
      <c r="AYT213" s="394"/>
      <c r="AYU213" s="394"/>
      <c r="AYV213" s="394"/>
      <c r="AYW213" s="394"/>
      <c r="AYX213" s="394"/>
      <c r="AYY213" s="394"/>
      <c r="AYZ213" s="394"/>
      <c r="AZA213" s="394"/>
      <c r="AZB213" s="394"/>
      <c r="AZC213" s="394"/>
      <c r="AZD213" s="394"/>
      <c r="AZE213" s="394"/>
      <c r="AZF213" s="394"/>
      <c r="AZG213" s="394"/>
      <c r="AZH213" s="394"/>
      <c r="AZI213" s="394"/>
      <c r="AZJ213" s="394"/>
      <c r="AZK213" s="394"/>
      <c r="AZL213" s="394"/>
      <c r="AZM213" s="394"/>
      <c r="AZN213" s="394"/>
      <c r="AZO213" s="394"/>
      <c r="AZP213" s="394"/>
      <c r="AZQ213" s="394"/>
      <c r="AZR213" s="394"/>
      <c r="AZS213" s="394"/>
      <c r="AZT213" s="394"/>
      <c r="AZU213" s="394"/>
      <c r="AZV213" s="394"/>
      <c r="AZW213" s="394"/>
      <c r="AZX213" s="394"/>
      <c r="AZY213" s="394"/>
      <c r="AZZ213" s="394"/>
      <c r="BAA213" s="394"/>
      <c r="BAB213" s="394"/>
      <c r="BAC213" s="394"/>
      <c r="BAD213" s="394"/>
      <c r="BAE213" s="394"/>
      <c r="BAF213" s="394"/>
      <c r="BAG213" s="394"/>
      <c r="BAH213" s="394"/>
      <c r="BAI213" s="394"/>
      <c r="BAJ213" s="394"/>
      <c r="BAK213" s="394"/>
      <c r="BAL213" s="394"/>
      <c r="BAM213" s="394"/>
      <c r="BAN213" s="394"/>
      <c r="BAO213" s="394"/>
      <c r="BAP213" s="394"/>
      <c r="BAQ213" s="394"/>
      <c r="BAR213" s="394"/>
      <c r="BAS213" s="394"/>
      <c r="BAT213" s="394"/>
      <c r="BAU213" s="394"/>
      <c r="BAV213" s="394"/>
      <c r="BAW213" s="394"/>
      <c r="BAX213" s="394"/>
      <c r="BAY213" s="394"/>
      <c r="BAZ213" s="394"/>
      <c r="BBA213" s="394"/>
      <c r="BBB213" s="394"/>
      <c r="BBC213" s="394"/>
      <c r="BBD213" s="394"/>
      <c r="BBE213" s="394"/>
      <c r="BBF213" s="394"/>
      <c r="BBG213" s="394"/>
      <c r="BBH213" s="394"/>
      <c r="BBI213" s="394"/>
      <c r="BBJ213" s="394"/>
      <c r="BBK213" s="394"/>
      <c r="BBL213" s="394"/>
      <c r="BBM213" s="394"/>
      <c r="BBN213" s="394"/>
      <c r="BBO213" s="394"/>
      <c r="BBP213" s="394"/>
      <c r="BBQ213" s="394"/>
      <c r="BBR213" s="394"/>
      <c r="BBS213" s="394"/>
      <c r="BBT213" s="394"/>
      <c r="BBU213" s="394"/>
      <c r="BBV213" s="394"/>
      <c r="BBW213" s="394"/>
      <c r="BBX213" s="394"/>
      <c r="BBY213" s="394"/>
      <c r="BBZ213" s="394"/>
      <c r="BCA213" s="394"/>
      <c r="BCB213" s="394"/>
      <c r="BCC213" s="394"/>
      <c r="BCD213" s="394"/>
      <c r="BCE213" s="394"/>
      <c r="BCF213" s="394"/>
      <c r="BCG213" s="394"/>
      <c r="BCH213" s="394"/>
      <c r="BCI213" s="394"/>
      <c r="BCJ213" s="394"/>
      <c r="BCK213" s="394"/>
      <c r="BCL213" s="394"/>
      <c r="BCM213" s="394"/>
      <c r="BCN213" s="394"/>
      <c r="BCO213" s="394"/>
      <c r="BCP213" s="394"/>
      <c r="BCQ213" s="394"/>
      <c r="BCR213" s="394"/>
      <c r="BCS213" s="394"/>
      <c r="BCT213" s="394"/>
      <c r="BCU213" s="394"/>
      <c r="BCV213" s="394"/>
      <c r="BCW213" s="394"/>
      <c r="BCX213" s="394"/>
      <c r="BCY213" s="394"/>
      <c r="BCZ213" s="394"/>
      <c r="BDA213" s="394"/>
      <c r="BDB213" s="394"/>
      <c r="BDC213" s="394"/>
      <c r="BDD213" s="394"/>
      <c r="BDE213" s="394"/>
      <c r="BDF213" s="394"/>
      <c r="BDG213" s="394"/>
      <c r="BDH213" s="394"/>
      <c r="BDI213" s="394"/>
      <c r="BDJ213" s="394"/>
      <c r="BDK213" s="394"/>
      <c r="BDL213" s="394"/>
      <c r="BDM213" s="394"/>
      <c r="BDN213" s="394"/>
      <c r="BDO213" s="394"/>
      <c r="BDP213" s="394"/>
      <c r="BDQ213" s="394"/>
      <c r="BDR213" s="394"/>
      <c r="BDS213" s="394"/>
      <c r="BDT213" s="394"/>
      <c r="BDU213" s="394"/>
      <c r="BDV213" s="394"/>
      <c r="BDW213" s="394"/>
      <c r="BDX213" s="394"/>
      <c r="BDY213" s="394"/>
      <c r="BDZ213" s="394"/>
      <c r="BEA213" s="394"/>
      <c r="BEB213" s="394"/>
      <c r="BEC213" s="394"/>
      <c r="BED213" s="394"/>
      <c r="BEE213" s="394"/>
      <c r="BEF213" s="394"/>
      <c r="BEG213" s="394"/>
      <c r="BEH213" s="394"/>
      <c r="BEI213" s="394"/>
      <c r="BEJ213" s="394"/>
      <c r="BEK213" s="394"/>
      <c r="BEL213" s="394"/>
      <c r="BEM213" s="394"/>
      <c r="BEN213" s="394"/>
      <c r="BEO213" s="394"/>
      <c r="BEP213" s="394"/>
      <c r="BEQ213" s="394"/>
      <c r="BER213" s="394"/>
      <c r="BES213" s="394"/>
      <c r="BET213" s="394"/>
      <c r="BEU213" s="394"/>
      <c r="BEV213" s="394"/>
      <c r="BEW213" s="394"/>
      <c r="BEX213" s="394"/>
      <c r="BEY213" s="394"/>
      <c r="BEZ213" s="394"/>
      <c r="BFA213" s="394"/>
      <c r="BFB213" s="394"/>
      <c r="BFC213" s="394"/>
      <c r="BFD213" s="394"/>
      <c r="BFE213" s="394"/>
      <c r="BFF213" s="394"/>
      <c r="BFG213" s="394"/>
      <c r="BFH213" s="394"/>
      <c r="BFI213" s="394"/>
      <c r="BFJ213" s="394"/>
      <c r="BFK213" s="394"/>
      <c r="BFL213" s="394"/>
      <c r="BFM213" s="394"/>
      <c r="BFN213" s="394"/>
      <c r="BFO213" s="394"/>
      <c r="BFP213" s="394"/>
      <c r="BFQ213" s="394"/>
      <c r="BFR213" s="394"/>
      <c r="BFS213" s="394"/>
      <c r="BFT213" s="394"/>
      <c r="BFU213" s="394"/>
      <c r="BFV213" s="394"/>
      <c r="BFW213" s="394"/>
      <c r="BFX213" s="394"/>
      <c r="BFY213" s="394"/>
      <c r="BFZ213" s="394"/>
      <c r="BGA213" s="394"/>
      <c r="BGB213" s="394"/>
      <c r="BGC213" s="394"/>
      <c r="BGD213" s="394"/>
      <c r="BGE213" s="394"/>
      <c r="BGF213" s="394"/>
      <c r="BGG213" s="394"/>
      <c r="BGH213" s="394"/>
      <c r="BGI213" s="394"/>
      <c r="BGJ213" s="394"/>
      <c r="BGK213" s="394"/>
      <c r="BGL213" s="394"/>
      <c r="BGM213" s="394"/>
      <c r="BGN213" s="394"/>
      <c r="BGO213" s="394"/>
      <c r="BGP213" s="394"/>
      <c r="BGQ213" s="394"/>
      <c r="BGR213" s="394"/>
      <c r="BGS213" s="394"/>
      <c r="BGT213" s="394"/>
      <c r="BGU213" s="394"/>
      <c r="BGV213" s="394"/>
      <c r="BGW213" s="394"/>
      <c r="BGX213" s="394"/>
      <c r="BGY213" s="394"/>
      <c r="BGZ213" s="394"/>
      <c r="BHA213" s="394"/>
      <c r="BHB213" s="394"/>
      <c r="BHC213" s="394"/>
      <c r="BHD213" s="394"/>
      <c r="BHE213" s="394"/>
      <c r="BHF213" s="394"/>
      <c r="BHG213" s="394"/>
      <c r="BHH213" s="394"/>
      <c r="BHI213" s="394"/>
      <c r="BHJ213" s="394"/>
      <c r="BHK213" s="394"/>
      <c r="BHL213" s="394"/>
      <c r="BHM213" s="394"/>
      <c r="BHN213" s="394"/>
      <c r="BHO213" s="394"/>
      <c r="BHP213" s="394"/>
      <c r="BHQ213" s="394"/>
      <c r="BHR213" s="394"/>
      <c r="BHS213" s="394"/>
      <c r="BHT213" s="394"/>
      <c r="BHU213" s="394"/>
      <c r="BHV213" s="394"/>
      <c r="BHW213" s="394"/>
      <c r="BHX213" s="394"/>
      <c r="BHY213" s="394"/>
      <c r="BHZ213" s="394"/>
      <c r="BIA213" s="394"/>
      <c r="BIB213" s="394"/>
      <c r="BIC213" s="394"/>
      <c r="BID213" s="394"/>
      <c r="BIE213" s="394"/>
      <c r="BIF213" s="394"/>
      <c r="BIG213" s="394"/>
      <c r="BIH213" s="394"/>
      <c r="BII213" s="394"/>
      <c r="BIJ213" s="394"/>
      <c r="BIK213" s="394"/>
      <c r="BIL213" s="394"/>
      <c r="BIM213" s="394"/>
      <c r="BIN213" s="394"/>
      <c r="BIO213" s="394"/>
      <c r="BIP213" s="394"/>
      <c r="BIQ213" s="394"/>
      <c r="BIR213" s="394"/>
      <c r="BIS213" s="394"/>
      <c r="BIT213" s="394"/>
      <c r="BIU213" s="394"/>
      <c r="BIV213" s="394"/>
      <c r="BIW213" s="394"/>
      <c r="BIX213" s="394"/>
      <c r="BIY213" s="394"/>
      <c r="BIZ213" s="394"/>
      <c r="BJA213" s="394"/>
      <c r="BJB213" s="394"/>
      <c r="BJC213" s="394"/>
      <c r="BJD213" s="394"/>
      <c r="BJE213" s="394"/>
      <c r="BJF213" s="394"/>
      <c r="BJG213" s="394"/>
      <c r="BJH213" s="394"/>
      <c r="BJI213" s="394"/>
      <c r="BJJ213" s="394"/>
      <c r="BJK213" s="394"/>
      <c r="BJL213" s="394"/>
      <c r="BJM213" s="394"/>
      <c r="BJN213" s="394"/>
      <c r="BJO213" s="394"/>
      <c r="BJP213" s="394"/>
      <c r="BJQ213" s="394"/>
      <c r="BJR213" s="394"/>
      <c r="BJS213" s="394"/>
      <c r="BJT213" s="394"/>
      <c r="BJU213" s="394"/>
      <c r="BJV213" s="394"/>
      <c r="BJW213" s="394"/>
      <c r="BJX213" s="394"/>
      <c r="BJY213" s="394"/>
      <c r="BJZ213" s="394"/>
      <c r="BKA213" s="394"/>
      <c r="BKB213" s="394"/>
      <c r="BKC213" s="394"/>
      <c r="BKD213" s="394"/>
      <c r="BKE213" s="394"/>
      <c r="BKF213" s="394"/>
      <c r="BKG213" s="394"/>
      <c r="BKH213" s="394"/>
      <c r="BKI213" s="394"/>
      <c r="BKJ213" s="394"/>
      <c r="BKK213" s="394"/>
      <c r="BKL213" s="394"/>
      <c r="BKM213" s="394"/>
      <c r="BKN213" s="394"/>
      <c r="BKO213" s="394"/>
      <c r="BKP213" s="394"/>
      <c r="BKQ213" s="394"/>
      <c r="BKR213" s="394"/>
      <c r="BKS213" s="394"/>
      <c r="BKT213" s="394"/>
      <c r="BKU213" s="394"/>
      <c r="BKV213" s="394"/>
      <c r="BKW213" s="394"/>
      <c r="BKX213" s="394"/>
      <c r="BKY213" s="394"/>
      <c r="BKZ213" s="394"/>
      <c r="BLA213" s="394"/>
      <c r="BLB213" s="394"/>
      <c r="BLC213" s="394"/>
      <c r="BLD213" s="394"/>
      <c r="BLE213" s="394"/>
      <c r="BLF213" s="394"/>
      <c r="BLG213" s="394"/>
      <c r="BLH213" s="394"/>
      <c r="BLI213" s="394"/>
      <c r="BLJ213" s="394"/>
      <c r="BLK213" s="394"/>
      <c r="BLL213" s="394"/>
      <c r="BLM213" s="394"/>
      <c r="BLN213" s="394"/>
      <c r="BLO213" s="394"/>
      <c r="BLP213" s="394"/>
      <c r="BLQ213" s="394"/>
      <c r="BLR213" s="394"/>
      <c r="BLS213" s="394"/>
      <c r="BLT213" s="394"/>
      <c r="BLU213" s="394"/>
      <c r="BLV213" s="394"/>
      <c r="BLW213" s="394"/>
      <c r="BLX213" s="394"/>
      <c r="BLY213" s="394"/>
      <c r="BLZ213" s="394"/>
      <c r="BMA213" s="394"/>
      <c r="BMB213" s="394"/>
      <c r="BMC213" s="394"/>
      <c r="BMD213" s="394"/>
      <c r="BME213" s="394"/>
      <c r="BMF213" s="394"/>
      <c r="BMG213" s="394"/>
      <c r="BMH213" s="394"/>
      <c r="BMI213" s="394"/>
      <c r="BMJ213" s="394"/>
      <c r="BMK213" s="394"/>
      <c r="BML213" s="394"/>
      <c r="BMM213" s="394"/>
      <c r="BMN213" s="394"/>
      <c r="BMO213" s="394"/>
      <c r="BMP213" s="394"/>
      <c r="BMQ213" s="394"/>
      <c r="BMR213" s="394"/>
      <c r="BMS213" s="394"/>
      <c r="BMT213" s="394"/>
      <c r="BMU213" s="394"/>
      <c r="BMV213" s="394"/>
      <c r="BMW213" s="394"/>
      <c r="BMX213" s="394"/>
      <c r="BMY213" s="394"/>
      <c r="BMZ213" s="394"/>
      <c r="BNA213" s="394"/>
      <c r="BNB213" s="394"/>
      <c r="BNC213" s="394"/>
      <c r="BND213" s="394"/>
      <c r="BNE213" s="394"/>
      <c r="BNF213" s="394"/>
      <c r="BNG213" s="394"/>
      <c r="BNH213" s="394"/>
      <c r="BNI213" s="394"/>
      <c r="BNJ213" s="394"/>
      <c r="BNK213" s="394"/>
      <c r="BNL213" s="394"/>
      <c r="BNM213" s="394"/>
      <c r="BNN213" s="394"/>
      <c r="BNO213" s="394"/>
      <c r="BNP213" s="394"/>
      <c r="BNQ213" s="394"/>
      <c r="BNR213" s="394"/>
      <c r="BNS213" s="394"/>
      <c r="BNT213" s="394"/>
      <c r="BNU213" s="394"/>
      <c r="BNV213" s="394"/>
      <c r="BNW213" s="394"/>
      <c r="BNX213" s="394"/>
      <c r="BNY213" s="394"/>
      <c r="BNZ213" s="394"/>
      <c r="BOA213" s="394"/>
      <c r="BOB213" s="394"/>
      <c r="BOC213" s="394"/>
      <c r="BOD213" s="394"/>
      <c r="BOE213" s="394"/>
      <c r="BOF213" s="394"/>
      <c r="BOG213" s="394"/>
      <c r="BOH213" s="394"/>
      <c r="BOI213" s="394"/>
      <c r="BOJ213" s="394"/>
      <c r="BOK213" s="394"/>
      <c r="BOL213" s="394"/>
      <c r="BOM213" s="394"/>
      <c r="BON213" s="394"/>
      <c r="BOO213" s="394"/>
      <c r="BOP213" s="394"/>
      <c r="BOQ213" s="394"/>
      <c r="BOR213" s="394"/>
      <c r="BOS213" s="394"/>
      <c r="BOT213" s="394"/>
      <c r="BOU213" s="394"/>
      <c r="BOV213" s="394"/>
      <c r="BOW213" s="394"/>
      <c r="BOX213" s="394"/>
      <c r="BOY213" s="394"/>
      <c r="BOZ213" s="394"/>
      <c r="BPA213" s="394"/>
      <c r="BPB213" s="394"/>
      <c r="BPC213" s="394"/>
      <c r="BPD213" s="394"/>
      <c r="BPE213" s="394"/>
      <c r="BPF213" s="394"/>
      <c r="BPG213" s="394"/>
      <c r="BPH213" s="394"/>
      <c r="BPI213" s="394"/>
      <c r="BPJ213" s="394"/>
      <c r="BPK213" s="394"/>
      <c r="BPL213" s="394"/>
      <c r="BPM213" s="394"/>
      <c r="BPN213" s="394"/>
      <c r="BPO213" s="394"/>
      <c r="BPP213" s="394"/>
      <c r="BPQ213" s="394"/>
      <c r="BPR213" s="394"/>
      <c r="BPS213" s="394"/>
      <c r="BPT213" s="394"/>
      <c r="BPU213" s="394"/>
      <c r="BPV213" s="394"/>
      <c r="BPW213" s="394"/>
      <c r="BPX213" s="394"/>
      <c r="BPY213" s="394"/>
      <c r="BPZ213" s="394"/>
      <c r="BQA213" s="394"/>
      <c r="BQB213" s="394"/>
      <c r="BQC213" s="394"/>
      <c r="BQD213" s="394"/>
      <c r="BQE213" s="394"/>
      <c r="BQF213" s="394"/>
      <c r="BQG213" s="394"/>
      <c r="BQH213" s="394"/>
      <c r="BQI213" s="394"/>
      <c r="BQJ213" s="394"/>
      <c r="BQK213" s="394"/>
      <c r="BQL213" s="394"/>
      <c r="BQM213" s="394"/>
      <c r="BQN213" s="394"/>
      <c r="BQO213" s="394"/>
      <c r="BQP213" s="394"/>
      <c r="BQQ213" s="394"/>
      <c r="BQR213" s="394"/>
      <c r="BQS213" s="394"/>
      <c r="BQT213" s="394"/>
      <c r="BQU213" s="394"/>
      <c r="BQV213" s="394"/>
      <c r="BQW213" s="394"/>
      <c r="BQX213" s="394"/>
      <c r="BQY213" s="394"/>
      <c r="BQZ213" s="394"/>
      <c r="BRA213" s="394"/>
      <c r="BRB213" s="394"/>
      <c r="BRC213" s="394"/>
      <c r="BRD213" s="394"/>
      <c r="BRE213" s="394"/>
      <c r="BRF213" s="394"/>
      <c r="BRG213" s="394"/>
      <c r="BRH213" s="394"/>
      <c r="BRI213" s="394"/>
      <c r="BRJ213" s="394"/>
      <c r="BRK213" s="394"/>
      <c r="BRL213" s="394"/>
      <c r="BRM213" s="394"/>
      <c r="BRN213" s="394"/>
      <c r="BRO213" s="394"/>
      <c r="BRP213" s="394"/>
      <c r="BRQ213" s="394"/>
      <c r="BRR213" s="394"/>
      <c r="BRS213" s="394"/>
      <c r="BRT213" s="394"/>
      <c r="BRU213" s="394"/>
      <c r="BRV213" s="394"/>
      <c r="BRW213" s="394"/>
      <c r="BRX213" s="394"/>
      <c r="BRY213" s="394"/>
      <c r="BRZ213" s="394"/>
      <c r="BSA213" s="394"/>
      <c r="BSB213" s="394"/>
      <c r="BSC213" s="394"/>
      <c r="BSD213" s="394"/>
      <c r="BSE213" s="394"/>
      <c r="BSF213" s="394"/>
      <c r="BSG213" s="394"/>
      <c r="BSH213" s="394"/>
      <c r="BSI213" s="394"/>
      <c r="BSJ213" s="394"/>
      <c r="BSK213" s="394"/>
      <c r="BSL213" s="394"/>
      <c r="BSM213" s="394"/>
      <c r="BSN213" s="394"/>
      <c r="BSO213" s="394"/>
      <c r="BSP213" s="394"/>
      <c r="BSQ213" s="394"/>
      <c r="BSR213" s="394"/>
      <c r="BSS213" s="394"/>
      <c r="BST213" s="394"/>
      <c r="BSU213" s="394"/>
      <c r="BSV213" s="394"/>
      <c r="BSW213" s="394"/>
      <c r="BSX213" s="394"/>
      <c r="BSY213" s="394"/>
      <c r="BSZ213" s="394"/>
      <c r="BTA213" s="394"/>
      <c r="BTB213" s="394"/>
      <c r="BTC213" s="394"/>
      <c r="BTD213" s="394"/>
      <c r="BTE213" s="394"/>
      <c r="BTF213" s="394"/>
      <c r="BTG213" s="394"/>
      <c r="BTH213" s="394"/>
      <c r="BTI213" s="394"/>
    </row>
    <row r="214" spans="1:1881" ht="70.5" customHeight="1" x14ac:dyDescent="0.25">
      <c r="A214" s="462">
        <v>621</v>
      </c>
      <c r="B214" s="462" t="s">
        <v>702</v>
      </c>
      <c r="C214" s="461" t="s">
        <v>825</v>
      </c>
      <c r="D214" s="461" t="s">
        <v>1211</v>
      </c>
      <c r="E214" s="398" t="e">
        <f>HLOOKUP($D$2,'2019 Data(H)'!$C$1:$CP$300,281,FALSE)</f>
        <v>#N/A</v>
      </c>
      <c r="F214" s="624"/>
      <c r="G214" s="562"/>
      <c r="H214" s="149"/>
      <c r="I214" s="297"/>
    </row>
    <row r="215" spans="1:1881" ht="159.75" customHeight="1" x14ac:dyDescent="0.25">
      <c r="A215" s="188">
        <v>547</v>
      </c>
      <c r="B215" s="150"/>
      <c r="C215" s="150" t="s">
        <v>214</v>
      </c>
      <c r="D215" s="243" t="s">
        <v>619</v>
      </c>
      <c r="E215" s="32" t="e">
        <f>HLOOKUP($D$2,'2019 Data(H)'!$C$1:$CP$300,197,FALSE)</f>
        <v>#N/A</v>
      </c>
      <c r="F215" s="586"/>
      <c r="G215" s="563" t="str">
        <f>IF(F215&lt;1,"Please answer this question","")</f>
        <v>Please answer this question</v>
      </c>
      <c r="H215" s="149"/>
      <c r="I215" s="297"/>
    </row>
    <row r="216" spans="1:1881" s="4" customFormat="1" ht="54.75" customHeight="1" x14ac:dyDescent="0.25">
      <c r="A216" s="455">
        <v>659</v>
      </c>
      <c r="B216" s="451" t="s">
        <v>66</v>
      </c>
      <c r="C216" s="451" t="s">
        <v>799</v>
      </c>
      <c r="D216" s="853" t="s">
        <v>990</v>
      </c>
      <c r="E216" s="454" t="s">
        <v>832</v>
      </c>
      <c r="F216" s="624"/>
      <c r="G216" s="562" t="str">
        <f>IF(ISBLANK(F216),"Please do not leave blank","")</f>
        <v>Please do not leave blank</v>
      </c>
      <c r="H216" s="363">
        <f>IF(F213&lt;0,"Error: Enter as positive.",)</f>
        <v>0</v>
      </c>
      <c r="I216" s="67"/>
      <c r="J216" s="394"/>
      <c r="K216" s="394"/>
      <c r="L216" s="394"/>
      <c r="M216" s="394"/>
      <c r="N216"/>
      <c r="O216" s="394"/>
      <c r="P216" s="394"/>
      <c r="Q216" s="394"/>
      <c r="R216" s="394"/>
      <c r="S216" s="394"/>
      <c r="T216" s="394"/>
      <c r="U216" s="394"/>
      <c r="V216" s="394"/>
      <c r="W216" s="394"/>
      <c r="X216" s="394"/>
      <c r="Y216" s="394"/>
      <c r="Z216" s="394"/>
      <c r="AA216" s="394"/>
      <c r="AB216" s="394"/>
      <c r="AC216" s="394"/>
      <c r="AD216" s="394"/>
      <c r="AE216" s="394"/>
      <c r="AF216" s="394"/>
      <c r="AG216" s="394"/>
      <c r="AH216" s="394"/>
      <c r="AI216" s="394"/>
      <c r="AJ216" s="394"/>
      <c r="AK216" s="394"/>
      <c r="AL216" s="394"/>
      <c r="AM216" s="394"/>
      <c r="AN216" s="394"/>
      <c r="AO216" s="394"/>
      <c r="AP216" s="394"/>
      <c r="AQ216" s="394"/>
      <c r="AR216" s="394"/>
      <c r="AS216" s="394"/>
      <c r="AT216" s="394"/>
      <c r="AU216" s="394"/>
      <c r="AV216" s="394"/>
      <c r="AW216" s="394"/>
      <c r="AX216" s="394"/>
      <c r="AY216" s="394"/>
      <c r="AZ216" s="394"/>
      <c r="BA216" s="394"/>
      <c r="BB216" s="394"/>
      <c r="BC216" s="394"/>
      <c r="BD216" s="394"/>
      <c r="BE216" s="394"/>
      <c r="BF216" s="394"/>
      <c r="BG216" s="394"/>
      <c r="BH216" s="394"/>
      <c r="BI216" s="394"/>
      <c r="BJ216" s="394"/>
      <c r="BK216" s="394"/>
      <c r="BL216" s="394"/>
      <c r="BM216" s="394"/>
      <c r="BN216" s="394"/>
      <c r="BO216" s="394"/>
      <c r="BP216" s="394"/>
      <c r="BQ216" s="394"/>
      <c r="BR216" s="394"/>
      <c r="BS216" s="394"/>
      <c r="BT216" s="394"/>
      <c r="BU216" s="394"/>
      <c r="BV216" s="394"/>
      <c r="BW216" s="394"/>
      <c r="BX216" s="394"/>
      <c r="BY216" s="394"/>
      <c r="BZ216" s="394"/>
      <c r="CA216" s="394"/>
      <c r="CB216" s="394"/>
      <c r="CC216" s="394"/>
      <c r="CD216" s="394"/>
      <c r="CE216" s="394"/>
      <c r="CF216" s="394"/>
      <c r="CG216" s="394"/>
      <c r="CH216" s="394"/>
      <c r="CI216" s="394"/>
      <c r="CJ216" s="394"/>
      <c r="CK216" s="394"/>
      <c r="CL216" s="394"/>
      <c r="CM216" s="394"/>
      <c r="CN216" s="394"/>
      <c r="CO216" s="394"/>
      <c r="CP216" s="394"/>
      <c r="CQ216" s="394"/>
      <c r="CR216" s="394"/>
      <c r="CS216" s="394"/>
      <c r="CT216" s="394"/>
      <c r="CU216" s="394"/>
      <c r="CV216" s="394"/>
      <c r="CW216" s="394"/>
      <c r="CX216" s="394"/>
      <c r="CY216" s="394"/>
      <c r="CZ216" s="394"/>
      <c r="DA216" s="394"/>
      <c r="DB216" s="394"/>
      <c r="DC216" s="394"/>
      <c r="DD216" s="394"/>
      <c r="DE216" s="394"/>
      <c r="DF216" s="394"/>
      <c r="DG216" s="394"/>
      <c r="DH216" s="394"/>
      <c r="DI216" s="394"/>
      <c r="DJ216" s="394"/>
      <c r="DK216" s="394"/>
      <c r="DL216" s="394"/>
      <c r="DM216" s="394"/>
      <c r="DN216" s="394"/>
      <c r="DO216" s="394"/>
      <c r="DP216" s="394"/>
      <c r="DQ216" s="394"/>
      <c r="DR216" s="394"/>
      <c r="DS216" s="394"/>
      <c r="DT216" s="394"/>
      <c r="DU216" s="394"/>
      <c r="DV216" s="394"/>
      <c r="DW216" s="394"/>
      <c r="DX216" s="394"/>
      <c r="DY216" s="394"/>
      <c r="DZ216" s="394"/>
      <c r="EA216" s="394"/>
      <c r="EB216" s="394"/>
      <c r="EC216" s="394"/>
      <c r="ED216" s="394"/>
      <c r="EE216" s="394"/>
      <c r="EF216" s="394"/>
      <c r="EG216" s="394"/>
      <c r="EH216" s="394"/>
      <c r="EI216" s="394"/>
      <c r="EJ216" s="394"/>
      <c r="EK216" s="394"/>
      <c r="EL216" s="394"/>
      <c r="EM216" s="394"/>
      <c r="EN216" s="394"/>
      <c r="EO216" s="394"/>
      <c r="EP216" s="394"/>
      <c r="EQ216" s="394"/>
      <c r="ER216" s="394"/>
      <c r="ES216" s="394"/>
      <c r="ET216" s="394"/>
      <c r="EU216" s="394"/>
      <c r="EV216" s="394"/>
      <c r="EW216" s="394"/>
      <c r="EX216" s="394"/>
      <c r="EY216" s="394"/>
      <c r="EZ216" s="394"/>
      <c r="FA216" s="394"/>
      <c r="FB216" s="394"/>
      <c r="FC216" s="394"/>
      <c r="FD216" s="394"/>
      <c r="FE216" s="394"/>
      <c r="FF216" s="394"/>
      <c r="FG216" s="394"/>
      <c r="FH216" s="394"/>
      <c r="FI216" s="394"/>
      <c r="FJ216" s="394"/>
      <c r="FK216" s="394"/>
      <c r="FL216" s="394"/>
      <c r="FM216" s="394"/>
      <c r="FN216" s="394"/>
      <c r="FO216" s="394"/>
      <c r="FP216" s="394"/>
      <c r="FQ216" s="394"/>
      <c r="FR216" s="394"/>
      <c r="FS216" s="394"/>
      <c r="FT216" s="394"/>
      <c r="FU216" s="394"/>
      <c r="FV216" s="394"/>
      <c r="FW216" s="394"/>
      <c r="FX216" s="394"/>
      <c r="FY216" s="394"/>
      <c r="FZ216" s="394"/>
      <c r="GA216" s="394"/>
      <c r="GB216" s="394"/>
      <c r="GC216" s="394"/>
      <c r="GD216" s="394"/>
      <c r="GE216" s="394"/>
      <c r="GF216" s="394"/>
      <c r="GG216" s="394"/>
      <c r="GH216" s="394"/>
      <c r="GI216" s="394"/>
      <c r="GJ216" s="394"/>
      <c r="GK216" s="394"/>
      <c r="GL216" s="394"/>
      <c r="GM216" s="394"/>
      <c r="GN216" s="394"/>
      <c r="GO216" s="394"/>
      <c r="GP216" s="394"/>
      <c r="GQ216" s="394"/>
      <c r="GR216" s="394"/>
      <c r="GS216" s="394"/>
      <c r="GT216" s="394"/>
      <c r="GU216" s="394"/>
      <c r="GV216" s="394"/>
      <c r="GW216" s="394"/>
      <c r="GX216" s="394"/>
      <c r="GY216" s="394"/>
      <c r="GZ216" s="394"/>
      <c r="HA216" s="394"/>
      <c r="HB216" s="394"/>
      <c r="HC216" s="394"/>
      <c r="HD216" s="394"/>
      <c r="HE216" s="394"/>
      <c r="HF216" s="394"/>
      <c r="HG216" s="394"/>
      <c r="HH216" s="394"/>
      <c r="HI216" s="394"/>
      <c r="HJ216" s="394"/>
      <c r="HK216" s="394"/>
      <c r="HL216" s="394"/>
      <c r="HM216" s="394"/>
      <c r="HN216" s="394"/>
      <c r="HO216" s="394"/>
      <c r="HP216" s="394"/>
      <c r="HQ216" s="394"/>
      <c r="HR216" s="394"/>
      <c r="HS216" s="394"/>
      <c r="HT216" s="394"/>
      <c r="HU216" s="394"/>
      <c r="HV216" s="394"/>
      <c r="HW216" s="394"/>
      <c r="HX216" s="394"/>
      <c r="HY216" s="394"/>
      <c r="HZ216" s="394"/>
      <c r="IA216" s="394"/>
      <c r="IB216" s="394"/>
      <c r="IC216" s="394"/>
      <c r="ID216" s="394"/>
      <c r="IE216" s="394"/>
      <c r="IF216" s="394"/>
      <c r="IG216" s="394"/>
      <c r="IH216" s="394"/>
      <c r="II216" s="394"/>
      <c r="IJ216" s="394"/>
      <c r="IK216" s="394"/>
      <c r="IL216" s="394"/>
      <c r="IM216" s="394"/>
      <c r="IN216" s="394"/>
      <c r="IO216" s="394"/>
      <c r="IP216" s="394"/>
      <c r="IQ216" s="394"/>
      <c r="IR216" s="394"/>
      <c r="IS216" s="394"/>
      <c r="IT216" s="394"/>
      <c r="IU216" s="394"/>
      <c r="IV216" s="394"/>
      <c r="IW216" s="394"/>
      <c r="IX216" s="394"/>
      <c r="IY216" s="394"/>
      <c r="IZ216" s="394"/>
      <c r="JA216" s="394"/>
      <c r="JB216" s="394"/>
      <c r="JC216" s="394"/>
      <c r="JD216" s="394"/>
      <c r="JE216" s="394"/>
      <c r="JF216" s="394"/>
      <c r="JG216" s="394"/>
      <c r="JH216" s="394"/>
      <c r="JI216" s="394"/>
      <c r="JJ216" s="394"/>
      <c r="JK216" s="394"/>
      <c r="JL216" s="394"/>
      <c r="JM216" s="394"/>
      <c r="JN216" s="394"/>
      <c r="JO216" s="394"/>
      <c r="JP216" s="394"/>
      <c r="JQ216" s="394"/>
      <c r="JR216" s="394"/>
      <c r="JS216" s="394"/>
      <c r="JT216" s="394"/>
      <c r="JU216" s="394"/>
      <c r="JV216" s="394"/>
      <c r="JW216" s="394"/>
      <c r="JX216" s="394"/>
      <c r="JY216" s="394"/>
      <c r="JZ216" s="394"/>
      <c r="KA216" s="394"/>
      <c r="KB216" s="394"/>
      <c r="KC216" s="394"/>
      <c r="KD216" s="394"/>
      <c r="KE216" s="394"/>
      <c r="KF216" s="394"/>
      <c r="KG216" s="394"/>
      <c r="KH216" s="394"/>
      <c r="KI216" s="394"/>
      <c r="KJ216" s="394"/>
      <c r="KK216" s="394"/>
      <c r="KL216" s="394"/>
      <c r="KM216" s="394"/>
      <c r="KN216" s="394"/>
      <c r="KO216" s="394"/>
      <c r="KP216" s="394"/>
      <c r="KQ216" s="394"/>
      <c r="KR216" s="394"/>
      <c r="KS216" s="394"/>
      <c r="KT216" s="394"/>
      <c r="KU216" s="394"/>
      <c r="KV216" s="394"/>
      <c r="KW216" s="394"/>
      <c r="KX216" s="394"/>
      <c r="KY216" s="394"/>
      <c r="KZ216" s="394"/>
      <c r="LA216" s="394"/>
      <c r="LB216" s="394"/>
      <c r="LC216" s="394"/>
      <c r="LD216" s="394"/>
      <c r="LE216" s="394"/>
      <c r="LF216" s="394"/>
      <c r="LG216" s="394"/>
      <c r="LH216" s="394"/>
      <c r="LI216" s="394"/>
      <c r="LJ216" s="394"/>
      <c r="LK216" s="394"/>
      <c r="LL216" s="394"/>
      <c r="LM216" s="394"/>
      <c r="LN216" s="394"/>
      <c r="LO216" s="394"/>
      <c r="LP216" s="394"/>
      <c r="LQ216" s="394"/>
      <c r="LR216" s="394"/>
      <c r="LS216" s="394"/>
      <c r="LT216" s="394"/>
      <c r="LU216" s="394"/>
      <c r="LV216" s="394"/>
      <c r="LW216" s="394"/>
      <c r="LX216" s="394"/>
      <c r="LY216" s="394"/>
      <c r="LZ216" s="394"/>
      <c r="MA216" s="394"/>
      <c r="MB216" s="394"/>
      <c r="MC216" s="394"/>
      <c r="MD216" s="394"/>
      <c r="ME216" s="394"/>
      <c r="MF216" s="394"/>
      <c r="MG216" s="394"/>
      <c r="MH216" s="394"/>
      <c r="MI216" s="394"/>
      <c r="MJ216" s="394"/>
      <c r="MK216" s="394"/>
      <c r="ML216" s="394"/>
      <c r="MM216" s="394"/>
      <c r="MN216" s="394"/>
      <c r="MO216" s="394"/>
      <c r="MP216" s="394"/>
      <c r="MQ216" s="394"/>
      <c r="MR216" s="394"/>
      <c r="MS216" s="394"/>
      <c r="MT216" s="394"/>
      <c r="MU216" s="394"/>
      <c r="MV216" s="394"/>
      <c r="MW216" s="394"/>
      <c r="MX216" s="394"/>
      <c r="MY216" s="394"/>
      <c r="MZ216" s="394"/>
      <c r="NA216" s="394"/>
      <c r="NB216" s="394"/>
      <c r="NC216" s="394"/>
      <c r="ND216" s="394"/>
      <c r="NE216" s="394"/>
      <c r="NF216" s="394"/>
      <c r="NG216" s="394"/>
      <c r="NH216" s="394"/>
      <c r="NI216" s="394"/>
      <c r="NJ216" s="394"/>
      <c r="NK216" s="394"/>
      <c r="NL216" s="394"/>
      <c r="NM216" s="394"/>
      <c r="NN216" s="394"/>
      <c r="NO216" s="394"/>
      <c r="NP216" s="394"/>
      <c r="NQ216" s="394"/>
      <c r="NR216" s="394"/>
      <c r="NS216" s="394"/>
      <c r="NT216" s="394"/>
      <c r="NU216" s="394"/>
      <c r="NV216" s="394"/>
      <c r="NW216" s="394"/>
      <c r="NX216" s="394"/>
      <c r="NY216" s="394"/>
      <c r="NZ216" s="394"/>
      <c r="OA216" s="394"/>
      <c r="OB216" s="394"/>
      <c r="OC216" s="394"/>
      <c r="OD216" s="394"/>
      <c r="OE216" s="394"/>
      <c r="OF216" s="394"/>
      <c r="OG216" s="394"/>
      <c r="OH216" s="394"/>
      <c r="OI216" s="394"/>
      <c r="OJ216" s="394"/>
      <c r="OK216" s="394"/>
      <c r="OL216" s="394"/>
      <c r="OM216" s="394"/>
      <c r="ON216" s="394"/>
      <c r="OO216" s="394"/>
      <c r="OP216" s="394"/>
      <c r="OQ216" s="394"/>
      <c r="OR216" s="394"/>
      <c r="OS216" s="394"/>
      <c r="OT216" s="394"/>
      <c r="OU216" s="394"/>
      <c r="OV216" s="394"/>
      <c r="OW216" s="394"/>
      <c r="OX216" s="394"/>
      <c r="OY216" s="394"/>
      <c r="OZ216" s="394"/>
      <c r="PA216" s="394"/>
      <c r="PB216" s="394"/>
      <c r="PC216" s="394"/>
      <c r="PD216" s="394"/>
      <c r="PE216" s="394"/>
      <c r="PF216" s="394"/>
      <c r="PG216" s="394"/>
      <c r="PH216" s="394"/>
      <c r="PI216" s="394"/>
      <c r="PJ216" s="394"/>
      <c r="PK216" s="394"/>
      <c r="PL216" s="394"/>
      <c r="PM216" s="394"/>
      <c r="PN216" s="394"/>
      <c r="PO216" s="394"/>
      <c r="PP216" s="394"/>
      <c r="PQ216" s="394"/>
      <c r="PR216" s="394"/>
      <c r="PS216" s="394"/>
      <c r="PT216" s="394"/>
      <c r="PU216" s="394"/>
      <c r="PV216" s="394"/>
      <c r="PW216" s="394"/>
      <c r="PX216" s="394"/>
      <c r="PY216" s="394"/>
      <c r="PZ216" s="394"/>
      <c r="QA216" s="394"/>
      <c r="QB216" s="394"/>
      <c r="QC216" s="394"/>
      <c r="QD216" s="394"/>
      <c r="QE216" s="394"/>
      <c r="QF216" s="394"/>
      <c r="QG216" s="394"/>
      <c r="QH216" s="394"/>
      <c r="QI216" s="394"/>
      <c r="QJ216" s="394"/>
      <c r="QK216" s="394"/>
      <c r="QL216" s="394"/>
      <c r="QM216" s="394"/>
      <c r="QN216" s="394"/>
      <c r="QO216" s="394"/>
      <c r="QP216" s="394"/>
      <c r="QQ216" s="394"/>
      <c r="QR216" s="394"/>
      <c r="QS216" s="394"/>
      <c r="QT216" s="394"/>
      <c r="QU216" s="394"/>
      <c r="QV216" s="394"/>
      <c r="QW216" s="394"/>
      <c r="QX216" s="394"/>
      <c r="QY216" s="394"/>
      <c r="QZ216" s="394"/>
      <c r="RA216" s="394"/>
      <c r="RB216" s="394"/>
      <c r="RC216" s="394"/>
      <c r="RD216" s="394"/>
      <c r="RE216" s="394"/>
      <c r="RF216" s="394"/>
      <c r="RG216" s="394"/>
      <c r="RH216" s="394"/>
      <c r="RI216" s="394"/>
      <c r="RJ216" s="394"/>
      <c r="RK216" s="394"/>
      <c r="RL216" s="394"/>
      <c r="RM216" s="394"/>
      <c r="RN216" s="394"/>
      <c r="RO216" s="394"/>
      <c r="RP216" s="394"/>
      <c r="RQ216" s="394"/>
      <c r="RR216" s="394"/>
      <c r="RS216" s="394"/>
      <c r="RT216" s="394"/>
      <c r="RU216" s="394"/>
      <c r="RV216" s="394"/>
      <c r="RW216" s="394"/>
      <c r="RX216" s="394"/>
      <c r="RY216" s="394"/>
      <c r="RZ216" s="394"/>
      <c r="SA216" s="394"/>
      <c r="SB216" s="394"/>
      <c r="SC216" s="394"/>
      <c r="SD216" s="394"/>
      <c r="SE216" s="394"/>
      <c r="SF216" s="394"/>
      <c r="SG216" s="394"/>
      <c r="SH216" s="394"/>
      <c r="SI216" s="394"/>
      <c r="SJ216" s="394"/>
      <c r="SK216" s="394"/>
      <c r="SL216" s="394"/>
      <c r="SM216" s="394"/>
      <c r="SN216" s="394"/>
      <c r="SO216" s="394"/>
      <c r="SP216" s="394"/>
      <c r="SQ216" s="394"/>
      <c r="SR216" s="394"/>
      <c r="SS216" s="394"/>
      <c r="ST216" s="394"/>
      <c r="SU216" s="394"/>
      <c r="SV216" s="394"/>
      <c r="SW216" s="394"/>
      <c r="SX216" s="394"/>
      <c r="SY216" s="394"/>
      <c r="SZ216" s="394"/>
      <c r="TA216" s="394"/>
      <c r="TB216" s="394"/>
      <c r="TC216" s="394"/>
      <c r="TD216" s="394"/>
      <c r="TE216" s="394"/>
      <c r="TF216" s="394"/>
      <c r="TG216" s="394"/>
      <c r="TH216" s="394"/>
      <c r="TI216" s="394"/>
      <c r="TJ216" s="394"/>
      <c r="TK216" s="394"/>
      <c r="TL216" s="394"/>
      <c r="TM216" s="394"/>
      <c r="TN216" s="394"/>
      <c r="TO216" s="394"/>
      <c r="TP216" s="394"/>
      <c r="TQ216" s="394"/>
      <c r="TR216" s="394"/>
      <c r="TS216" s="394"/>
      <c r="TT216" s="394"/>
      <c r="TU216" s="394"/>
      <c r="TV216" s="394"/>
      <c r="TW216" s="394"/>
      <c r="TX216" s="394"/>
      <c r="TY216" s="394"/>
      <c r="TZ216" s="394"/>
      <c r="UA216" s="394"/>
      <c r="UB216" s="394"/>
      <c r="UC216" s="394"/>
      <c r="UD216" s="394"/>
      <c r="UE216" s="394"/>
      <c r="UF216" s="394"/>
      <c r="UG216" s="394"/>
      <c r="UH216" s="394"/>
      <c r="UI216" s="394"/>
      <c r="UJ216" s="394"/>
      <c r="UK216" s="394"/>
      <c r="UL216" s="394"/>
      <c r="UM216" s="394"/>
      <c r="UN216" s="394"/>
      <c r="UO216" s="394"/>
      <c r="UP216" s="394"/>
      <c r="UQ216" s="394"/>
      <c r="UR216" s="394"/>
      <c r="US216" s="394"/>
      <c r="UT216" s="394"/>
      <c r="UU216" s="394"/>
      <c r="UV216" s="394"/>
      <c r="UW216" s="394"/>
      <c r="UX216" s="394"/>
      <c r="UY216" s="394"/>
      <c r="UZ216" s="394"/>
      <c r="VA216" s="394"/>
      <c r="VB216" s="394"/>
      <c r="VC216" s="394"/>
      <c r="VD216" s="394"/>
      <c r="VE216" s="394"/>
      <c r="VF216" s="394"/>
      <c r="VG216" s="394"/>
      <c r="VH216" s="394"/>
      <c r="VI216" s="394"/>
      <c r="VJ216" s="394"/>
      <c r="VK216" s="394"/>
      <c r="VL216" s="394"/>
      <c r="VM216" s="394"/>
      <c r="VN216" s="394"/>
      <c r="VO216" s="394"/>
      <c r="VP216" s="394"/>
      <c r="VQ216" s="394"/>
      <c r="VR216" s="394"/>
      <c r="VS216" s="394"/>
      <c r="VT216" s="394"/>
      <c r="VU216" s="394"/>
      <c r="VV216" s="394"/>
      <c r="VW216" s="394"/>
      <c r="VX216" s="394"/>
      <c r="VY216" s="394"/>
      <c r="VZ216" s="394"/>
      <c r="WA216" s="394"/>
      <c r="WB216" s="394"/>
      <c r="WC216" s="394"/>
      <c r="WD216" s="394"/>
      <c r="WE216" s="394"/>
      <c r="WF216" s="394"/>
      <c r="WG216" s="394"/>
      <c r="WH216" s="394"/>
      <c r="WI216" s="394"/>
      <c r="WJ216" s="394"/>
      <c r="WK216" s="394"/>
      <c r="WL216" s="394"/>
      <c r="WM216" s="394"/>
      <c r="WN216" s="394"/>
      <c r="WO216" s="394"/>
      <c r="WP216" s="394"/>
      <c r="WQ216" s="394"/>
      <c r="WR216" s="394"/>
      <c r="WS216" s="394"/>
      <c r="WT216" s="394"/>
      <c r="WU216" s="394"/>
      <c r="WV216" s="394"/>
      <c r="WW216" s="394"/>
      <c r="WX216" s="394"/>
      <c r="WY216" s="394"/>
      <c r="WZ216" s="394"/>
      <c r="XA216" s="394"/>
      <c r="XB216" s="394"/>
      <c r="XC216" s="394"/>
      <c r="XD216" s="394"/>
      <c r="XE216" s="394"/>
      <c r="XF216" s="394"/>
      <c r="XG216" s="394"/>
      <c r="XH216" s="394"/>
      <c r="XI216" s="394"/>
      <c r="XJ216" s="394"/>
      <c r="XK216" s="394"/>
      <c r="XL216" s="394"/>
      <c r="XM216" s="394"/>
      <c r="XN216" s="394"/>
      <c r="XO216" s="394"/>
      <c r="XP216" s="394"/>
      <c r="XQ216" s="394"/>
      <c r="XR216" s="394"/>
      <c r="XS216" s="394"/>
      <c r="XT216" s="394"/>
      <c r="XU216" s="394"/>
      <c r="XV216" s="394"/>
      <c r="XW216" s="394"/>
      <c r="XX216" s="394"/>
      <c r="XY216" s="394"/>
      <c r="XZ216" s="394"/>
      <c r="YA216" s="394"/>
      <c r="YB216" s="394"/>
      <c r="YC216" s="394"/>
      <c r="YD216" s="394"/>
      <c r="YE216" s="394"/>
      <c r="YF216" s="394"/>
      <c r="YG216" s="394"/>
      <c r="YH216" s="394"/>
      <c r="YI216" s="394"/>
      <c r="YJ216" s="394"/>
      <c r="YK216" s="394"/>
      <c r="YL216" s="394"/>
      <c r="YM216" s="394"/>
      <c r="YN216" s="394"/>
      <c r="YO216" s="394"/>
      <c r="YP216" s="394"/>
      <c r="YQ216" s="394"/>
      <c r="YR216" s="394"/>
      <c r="YS216" s="394"/>
      <c r="YT216" s="394"/>
      <c r="YU216" s="394"/>
      <c r="YV216" s="394"/>
      <c r="YW216" s="394"/>
      <c r="YX216" s="394"/>
      <c r="YY216" s="394"/>
      <c r="YZ216" s="394"/>
      <c r="ZA216" s="394"/>
      <c r="ZB216" s="394"/>
      <c r="ZC216" s="394"/>
      <c r="ZD216" s="394"/>
      <c r="ZE216" s="394"/>
      <c r="ZF216" s="394"/>
      <c r="ZG216" s="394"/>
      <c r="ZH216" s="394"/>
      <c r="ZI216" s="394"/>
      <c r="ZJ216" s="394"/>
      <c r="ZK216" s="394"/>
      <c r="ZL216" s="394"/>
      <c r="ZM216" s="394"/>
      <c r="ZN216" s="394"/>
      <c r="ZO216" s="394"/>
      <c r="ZP216" s="394"/>
      <c r="ZQ216" s="394"/>
      <c r="ZR216" s="394"/>
      <c r="ZS216" s="394"/>
      <c r="ZT216" s="394"/>
      <c r="ZU216" s="394"/>
      <c r="ZV216" s="394"/>
      <c r="ZW216" s="394"/>
      <c r="ZX216" s="394"/>
      <c r="ZY216" s="394"/>
      <c r="ZZ216" s="394"/>
      <c r="AAA216" s="394"/>
      <c r="AAB216" s="394"/>
      <c r="AAC216" s="394"/>
      <c r="AAD216" s="394"/>
      <c r="AAE216" s="394"/>
      <c r="AAF216" s="394"/>
      <c r="AAG216" s="394"/>
      <c r="AAH216" s="394"/>
      <c r="AAI216" s="394"/>
      <c r="AAJ216" s="394"/>
      <c r="AAK216" s="394"/>
      <c r="AAL216" s="394"/>
      <c r="AAM216" s="394"/>
      <c r="AAN216" s="394"/>
      <c r="AAO216" s="394"/>
      <c r="AAP216" s="394"/>
      <c r="AAQ216" s="394"/>
      <c r="AAR216" s="394"/>
      <c r="AAS216" s="394"/>
      <c r="AAT216" s="394"/>
      <c r="AAU216" s="394"/>
      <c r="AAV216" s="394"/>
      <c r="AAW216" s="394"/>
      <c r="AAX216" s="394"/>
      <c r="AAY216" s="394"/>
      <c r="AAZ216" s="394"/>
      <c r="ABA216" s="394"/>
      <c r="ABB216" s="394"/>
      <c r="ABC216" s="394"/>
      <c r="ABD216" s="394"/>
      <c r="ABE216" s="394"/>
      <c r="ABF216" s="394"/>
      <c r="ABG216" s="394"/>
      <c r="ABH216" s="394"/>
      <c r="ABI216" s="394"/>
      <c r="ABJ216" s="394"/>
      <c r="ABK216" s="394"/>
      <c r="ABL216" s="394"/>
      <c r="ABM216" s="394"/>
      <c r="ABN216" s="394"/>
      <c r="ABO216" s="394"/>
      <c r="ABP216" s="394"/>
      <c r="ABQ216" s="394"/>
      <c r="ABR216" s="394"/>
      <c r="ABS216" s="394"/>
      <c r="ABT216" s="394"/>
      <c r="ABU216" s="394"/>
      <c r="ABV216" s="394"/>
      <c r="ABW216" s="394"/>
      <c r="ABX216" s="394"/>
      <c r="ABY216" s="394"/>
      <c r="ABZ216" s="394"/>
      <c r="ACA216" s="394"/>
      <c r="ACB216" s="394"/>
      <c r="ACC216" s="394"/>
      <c r="ACD216" s="394"/>
      <c r="ACE216" s="394"/>
      <c r="ACF216" s="394"/>
      <c r="ACG216" s="394"/>
      <c r="ACH216" s="394"/>
      <c r="ACI216" s="394"/>
      <c r="ACJ216" s="394"/>
      <c r="ACK216" s="394"/>
      <c r="ACL216" s="394"/>
      <c r="ACM216" s="394"/>
      <c r="ACN216" s="394"/>
      <c r="ACO216" s="394"/>
      <c r="ACP216" s="394"/>
      <c r="ACQ216" s="394"/>
      <c r="ACR216" s="394"/>
      <c r="ACS216" s="394"/>
      <c r="ACT216" s="394"/>
      <c r="ACU216" s="394"/>
      <c r="ACV216" s="394"/>
      <c r="ACW216" s="394"/>
      <c r="ACX216" s="394"/>
      <c r="ACY216" s="394"/>
      <c r="ACZ216" s="394"/>
      <c r="ADA216" s="394"/>
      <c r="ADB216" s="394"/>
      <c r="ADC216" s="394"/>
      <c r="ADD216" s="394"/>
      <c r="ADE216" s="394"/>
      <c r="ADF216" s="394"/>
      <c r="ADG216" s="394"/>
      <c r="ADH216" s="394"/>
      <c r="ADI216" s="394"/>
      <c r="ADJ216" s="394"/>
      <c r="ADK216" s="394"/>
      <c r="ADL216" s="394"/>
      <c r="ADM216" s="394"/>
      <c r="ADN216" s="394"/>
      <c r="ADO216" s="394"/>
      <c r="ADP216" s="394"/>
      <c r="ADQ216" s="394"/>
      <c r="ADR216" s="394"/>
      <c r="ADS216" s="394"/>
      <c r="ADT216" s="394"/>
      <c r="ADU216" s="394"/>
      <c r="ADV216" s="394"/>
      <c r="ADW216" s="394"/>
      <c r="ADX216" s="394"/>
      <c r="ADY216" s="394"/>
      <c r="ADZ216" s="394"/>
      <c r="AEA216" s="394"/>
      <c r="AEB216" s="394"/>
      <c r="AEC216" s="394"/>
      <c r="AED216" s="394"/>
      <c r="AEE216" s="394"/>
      <c r="AEF216" s="394"/>
      <c r="AEG216" s="394"/>
      <c r="AEH216" s="394"/>
      <c r="AEI216" s="394"/>
      <c r="AEJ216" s="394"/>
      <c r="AEK216" s="394"/>
      <c r="AEL216" s="394"/>
      <c r="AEM216" s="394"/>
      <c r="AEN216" s="394"/>
      <c r="AEO216" s="394"/>
      <c r="AEP216" s="394"/>
      <c r="AEQ216" s="394"/>
      <c r="AER216" s="394"/>
      <c r="AES216" s="394"/>
      <c r="AET216" s="394"/>
      <c r="AEU216" s="394"/>
      <c r="AEV216" s="394"/>
      <c r="AEW216" s="394"/>
      <c r="AEX216" s="394"/>
      <c r="AEY216" s="394"/>
      <c r="AEZ216" s="394"/>
      <c r="AFA216" s="394"/>
      <c r="AFB216" s="394"/>
      <c r="AFC216" s="394"/>
      <c r="AFD216" s="394"/>
      <c r="AFE216" s="394"/>
      <c r="AFF216" s="394"/>
      <c r="AFG216" s="394"/>
      <c r="AFH216" s="394"/>
      <c r="AFI216" s="394"/>
      <c r="AFJ216" s="394"/>
      <c r="AFK216" s="394"/>
      <c r="AFL216" s="394"/>
      <c r="AFM216" s="394"/>
      <c r="AFN216" s="394"/>
      <c r="AFO216" s="394"/>
      <c r="AFP216" s="394"/>
      <c r="AFQ216" s="394"/>
      <c r="AFR216" s="394"/>
      <c r="AFS216" s="394"/>
      <c r="AFT216" s="394"/>
      <c r="AFU216" s="394"/>
      <c r="AFV216" s="394"/>
      <c r="AFW216" s="394"/>
      <c r="AFX216" s="394"/>
      <c r="AFY216" s="394"/>
      <c r="AFZ216" s="394"/>
      <c r="AGA216" s="394"/>
      <c r="AGB216" s="394"/>
      <c r="AGC216" s="394"/>
      <c r="AGD216" s="394"/>
      <c r="AGE216" s="394"/>
      <c r="AGF216" s="394"/>
      <c r="AGG216" s="394"/>
      <c r="AGH216" s="394"/>
      <c r="AGI216" s="394"/>
      <c r="AGJ216" s="394"/>
      <c r="AGK216" s="394"/>
      <c r="AGL216" s="394"/>
      <c r="AGM216" s="394"/>
      <c r="AGN216" s="394"/>
      <c r="AGO216" s="394"/>
      <c r="AGP216" s="394"/>
      <c r="AGQ216" s="394"/>
      <c r="AGR216" s="394"/>
      <c r="AGS216" s="394"/>
      <c r="AGT216" s="394"/>
      <c r="AGU216" s="394"/>
      <c r="AGV216" s="394"/>
      <c r="AGW216" s="394"/>
      <c r="AGX216" s="394"/>
      <c r="AGY216" s="394"/>
      <c r="AGZ216" s="394"/>
      <c r="AHA216" s="394"/>
      <c r="AHB216" s="394"/>
      <c r="AHC216" s="394"/>
      <c r="AHD216" s="394"/>
      <c r="AHE216" s="394"/>
      <c r="AHF216" s="394"/>
      <c r="AHG216" s="394"/>
      <c r="AHH216" s="394"/>
      <c r="AHI216" s="394"/>
      <c r="AHJ216" s="394"/>
      <c r="AHK216" s="394"/>
      <c r="AHL216" s="394"/>
      <c r="AHM216" s="394"/>
      <c r="AHN216" s="394"/>
      <c r="AHO216" s="394"/>
      <c r="AHP216" s="394"/>
      <c r="AHQ216" s="394"/>
      <c r="AHR216" s="394"/>
      <c r="AHS216" s="394"/>
      <c r="AHT216" s="394"/>
      <c r="AHU216" s="394"/>
      <c r="AHV216" s="394"/>
      <c r="AHW216" s="394"/>
      <c r="AHX216" s="394"/>
      <c r="AHY216" s="394"/>
      <c r="AHZ216" s="394"/>
      <c r="AIA216" s="394"/>
      <c r="AIB216" s="394"/>
      <c r="AIC216" s="394"/>
      <c r="AID216" s="394"/>
      <c r="AIE216" s="394"/>
      <c r="AIF216" s="394"/>
      <c r="AIG216" s="394"/>
      <c r="AIH216" s="394"/>
      <c r="AII216" s="394"/>
      <c r="AIJ216" s="394"/>
      <c r="AIK216" s="394"/>
      <c r="AIL216" s="394"/>
      <c r="AIM216" s="394"/>
      <c r="AIN216" s="394"/>
      <c r="AIO216" s="394"/>
      <c r="AIP216" s="394"/>
      <c r="AIQ216" s="394"/>
      <c r="AIR216" s="394"/>
      <c r="AIS216" s="394"/>
      <c r="AIT216" s="394"/>
      <c r="AIU216" s="394"/>
      <c r="AIV216" s="394"/>
      <c r="AIW216" s="394"/>
      <c r="AIX216" s="394"/>
      <c r="AIY216" s="394"/>
      <c r="AIZ216" s="394"/>
      <c r="AJA216" s="394"/>
      <c r="AJB216" s="394"/>
      <c r="AJC216" s="394"/>
      <c r="AJD216" s="394"/>
      <c r="AJE216" s="394"/>
      <c r="AJF216" s="394"/>
      <c r="AJG216" s="394"/>
      <c r="AJH216" s="394"/>
      <c r="AJI216" s="394"/>
      <c r="AJJ216" s="394"/>
      <c r="AJK216" s="394"/>
      <c r="AJL216" s="394"/>
      <c r="AJM216" s="394"/>
      <c r="AJN216" s="394"/>
      <c r="AJO216" s="394"/>
      <c r="AJP216" s="394"/>
      <c r="AJQ216" s="394"/>
      <c r="AJR216" s="394"/>
      <c r="AJS216" s="394"/>
      <c r="AJT216" s="394"/>
      <c r="AJU216" s="394"/>
      <c r="AJV216" s="394"/>
      <c r="AJW216" s="394"/>
      <c r="AJX216" s="394"/>
      <c r="AJY216" s="394"/>
      <c r="AJZ216" s="394"/>
      <c r="AKA216" s="394"/>
      <c r="AKB216" s="394"/>
      <c r="AKC216" s="394"/>
      <c r="AKD216" s="394"/>
      <c r="AKE216" s="394"/>
      <c r="AKF216" s="394"/>
      <c r="AKG216" s="394"/>
      <c r="AKH216" s="394"/>
      <c r="AKI216" s="394"/>
      <c r="AKJ216" s="394"/>
      <c r="AKK216" s="394"/>
      <c r="AKL216" s="394"/>
      <c r="AKM216" s="394"/>
      <c r="AKN216" s="394"/>
      <c r="AKO216" s="394"/>
      <c r="AKP216" s="394"/>
      <c r="AKQ216" s="394"/>
      <c r="AKR216" s="394"/>
      <c r="AKS216" s="394"/>
      <c r="AKT216" s="394"/>
      <c r="AKU216" s="394"/>
      <c r="AKV216" s="394"/>
      <c r="AKW216" s="394"/>
      <c r="AKX216" s="394"/>
      <c r="AKY216" s="394"/>
      <c r="AKZ216" s="394"/>
      <c r="ALA216" s="394"/>
      <c r="ALB216" s="394"/>
      <c r="ALC216" s="394"/>
      <c r="ALD216" s="394"/>
      <c r="ALE216" s="394"/>
      <c r="ALF216" s="394"/>
      <c r="ALG216" s="394"/>
      <c r="ALH216" s="394"/>
      <c r="ALI216" s="394"/>
      <c r="ALJ216" s="394"/>
      <c r="ALK216" s="394"/>
      <c r="ALL216" s="394"/>
      <c r="ALM216" s="394"/>
      <c r="ALN216" s="394"/>
      <c r="ALO216" s="394"/>
      <c r="ALP216" s="394"/>
      <c r="ALQ216" s="394"/>
      <c r="ALR216" s="394"/>
      <c r="ALS216" s="394"/>
      <c r="ALT216" s="394"/>
      <c r="ALU216" s="394"/>
      <c r="ALV216" s="394"/>
      <c r="ALW216" s="394"/>
      <c r="ALX216" s="394"/>
      <c r="ALY216" s="394"/>
      <c r="ALZ216" s="394"/>
      <c r="AMA216" s="394"/>
      <c r="AMB216" s="394"/>
      <c r="AMC216" s="394"/>
      <c r="AMD216" s="394"/>
      <c r="AME216" s="394"/>
      <c r="AMF216" s="394"/>
      <c r="AMG216" s="394"/>
      <c r="AMH216" s="394"/>
      <c r="AMI216" s="394"/>
      <c r="AMJ216" s="394"/>
      <c r="AMK216" s="394"/>
      <c r="AML216" s="394"/>
      <c r="AMM216" s="394"/>
      <c r="AMN216" s="394"/>
      <c r="AMO216" s="394"/>
      <c r="AMP216" s="394"/>
      <c r="AMQ216" s="394"/>
      <c r="AMR216" s="394"/>
      <c r="AMS216" s="394"/>
      <c r="AMT216" s="394"/>
      <c r="AMU216" s="394"/>
      <c r="AMV216" s="394"/>
      <c r="AMW216" s="394"/>
      <c r="AMX216" s="394"/>
      <c r="AMY216" s="394"/>
      <c r="AMZ216" s="394"/>
      <c r="ANA216" s="394"/>
      <c r="ANB216" s="394"/>
      <c r="ANC216" s="394"/>
      <c r="AND216" s="394"/>
      <c r="ANE216" s="394"/>
      <c r="ANF216" s="394"/>
      <c r="ANG216" s="394"/>
      <c r="ANH216" s="394"/>
      <c r="ANI216" s="394"/>
      <c r="ANJ216" s="394"/>
      <c r="ANK216" s="394"/>
      <c r="ANL216" s="394"/>
      <c r="ANM216" s="394"/>
      <c r="ANN216" s="394"/>
      <c r="ANO216" s="394"/>
      <c r="ANP216" s="394"/>
      <c r="ANQ216" s="394"/>
      <c r="ANR216" s="394"/>
      <c r="ANS216" s="394"/>
      <c r="ANT216" s="394"/>
      <c r="ANU216" s="394"/>
      <c r="ANV216" s="394"/>
      <c r="ANW216" s="394"/>
      <c r="ANX216" s="394"/>
      <c r="ANY216" s="394"/>
      <c r="ANZ216" s="394"/>
      <c r="AOA216" s="394"/>
      <c r="AOB216" s="394"/>
      <c r="AOC216" s="394"/>
      <c r="AOD216" s="394"/>
      <c r="AOE216" s="394"/>
      <c r="AOF216" s="394"/>
      <c r="AOG216" s="394"/>
      <c r="AOH216" s="394"/>
      <c r="AOI216" s="394"/>
      <c r="AOJ216" s="394"/>
      <c r="AOK216" s="394"/>
      <c r="AOL216" s="394"/>
      <c r="AOM216" s="394"/>
      <c r="AON216" s="394"/>
      <c r="AOO216" s="394"/>
      <c r="AOP216" s="394"/>
      <c r="AOQ216" s="394"/>
      <c r="AOR216" s="394"/>
      <c r="AOS216" s="394"/>
      <c r="AOT216" s="394"/>
      <c r="AOU216" s="394"/>
      <c r="AOV216" s="394"/>
      <c r="AOW216" s="394"/>
      <c r="AOX216" s="394"/>
      <c r="AOY216" s="394"/>
      <c r="AOZ216" s="394"/>
      <c r="APA216" s="394"/>
      <c r="APB216" s="394"/>
      <c r="APC216" s="394"/>
      <c r="APD216" s="394"/>
      <c r="APE216" s="394"/>
      <c r="APF216" s="394"/>
      <c r="APG216" s="394"/>
      <c r="APH216" s="394"/>
      <c r="API216" s="394"/>
      <c r="APJ216" s="394"/>
      <c r="APK216" s="394"/>
      <c r="APL216" s="394"/>
      <c r="APM216" s="394"/>
      <c r="APN216" s="394"/>
      <c r="APO216" s="394"/>
      <c r="APP216" s="394"/>
      <c r="APQ216" s="394"/>
      <c r="APR216" s="394"/>
      <c r="APS216" s="394"/>
      <c r="APT216" s="394"/>
      <c r="APU216" s="394"/>
      <c r="APV216" s="394"/>
      <c r="APW216" s="394"/>
      <c r="APX216" s="394"/>
      <c r="APY216" s="394"/>
      <c r="APZ216" s="394"/>
      <c r="AQA216" s="394"/>
      <c r="AQB216" s="394"/>
      <c r="AQC216" s="394"/>
      <c r="AQD216" s="394"/>
      <c r="AQE216" s="394"/>
      <c r="AQF216" s="394"/>
      <c r="AQG216" s="394"/>
      <c r="AQH216" s="394"/>
      <c r="AQI216" s="394"/>
      <c r="AQJ216" s="394"/>
      <c r="AQK216" s="394"/>
      <c r="AQL216" s="394"/>
      <c r="AQM216" s="394"/>
      <c r="AQN216" s="394"/>
      <c r="AQO216" s="394"/>
      <c r="AQP216" s="394"/>
      <c r="AQQ216" s="394"/>
      <c r="AQR216" s="394"/>
      <c r="AQS216" s="394"/>
      <c r="AQT216" s="394"/>
      <c r="AQU216" s="394"/>
      <c r="AQV216" s="394"/>
      <c r="AQW216" s="394"/>
      <c r="AQX216" s="394"/>
      <c r="AQY216" s="394"/>
      <c r="AQZ216" s="394"/>
      <c r="ARA216" s="394"/>
      <c r="ARB216" s="394"/>
      <c r="ARC216" s="394"/>
      <c r="ARD216" s="394"/>
      <c r="ARE216" s="394"/>
      <c r="ARF216" s="394"/>
      <c r="ARG216" s="394"/>
      <c r="ARH216" s="394"/>
      <c r="ARI216" s="394"/>
      <c r="ARJ216" s="394"/>
      <c r="ARK216" s="394"/>
      <c r="ARL216" s="394"/>
      <c r="ARM216" s="394"/>
      <c r="ARN216" s="394"/>
      <c r="ARO216" s="394"/>
      <c r="ARP216" s="394"/>
      <c r="ARQ216" s="394"/>
      <c r="ARR216" s="394"/>
      <c r="ARS216" s="394"/>
      <c r="ART216" s="394"/>
      <c r="ARU216" s="394"/>
      <c r="ARV216" s="394"/>
      <c r="ARW216" s="394"/>
      <c r="ARX216" s="394"/>
      <c r="ARY216" s="394"/>
      <c r="ARZ216" s="394"/>
      <c r="ASA216" s="394"/>
      <c r="ASB216" s="394"/>
      <c r="ASC216" s="394"/>
      <c r="ASD216" s="394"/>
      <c r="ASE216" s="394"/>
      <c r="ASF216" s="394"/>
      <c r="ASG216" s="394"/>
      <c r="ASH216" s="394"/>
      <c r="ASI216" s="394"/>
      <c r="ASJ216" s="394"/>
      <c r="ASK216" s="394"/>
      <c r="ASL216" s="394"/>
      <c r="ASM216" s="394"/>
      <c r="ASN216" s="394"/>
      <c r="ASO216" s="394"/>
      <c r="ASP216" s="394"/>
      <c r="ASQ216" s="394"/>
      <c r="ASR216" s="394"/>
      <c r="ASS216" s="394"/>
      <c r="AST216" s="394"/>
      <c r="ASU216" s="394"/>
      <c r="ASV216" s="394"/>
      <c r="ASW216" s="394"/>
      <c r="ASX216" s="394"/>
      <c r="ASY216" s="394"/>
      <c r="ASZ216" s="394"/>
      <c r="ATA216" s="394"/>
      <c r="ATB216" s="394"/>
      <c r="ATC216" s="394"/>
      <c r="ATD216" s="394"/>
      <c r="ATE216" s="394"/>
      <c r="ATF216" s="394"/>
      <c r="ATG216" s="394"/>
      <c r="ATH216" s="394"/>
      <c r="ATI216" s="394"/>
      <c r="ATJ216" s="394"/>
      <c r="ATK216" s="394"/>
      <c r="ATL216" s="394"/>
      <c r="ATM216" s="394"/>
      <c r="ATN216" s="394"/>
      <c r="ATO216" s="394"/>
      <c r="ATP216" s="394"/>
      <c r="ATQ216" s="394"/>
      <c r="ATR216" s="394"/>
      <c r="ATS216" s="394"/>
      <c r="ATT216" s="394"/>
      <c r="ATU216" s="394"/>
      <c r="ATV216" s="394"/>
      <c r="ATW216" s="394"/>
      <c r="ATX216" s="394"/>
      <c r="ATY216" s="394"/>
      <c r="ATZ216" s="394"/>
      <c r="AUA216" s="394"/>
      <c r="AUB216" s="394"/>
      <c r="AUC216" s="394"/>
      <c r="AUD216" s="394"/>
      <c r="AUE216" s="394"/>
      <c r="AUF216" s="394"/>
      <c r="AUG216" s="394"/>
      <c r="AUH216" s="394"/>
      <c r="AUI216" s="394"/>
      <c r="AUJ216" s="394"/>
      <c r="AUK216" s="394"/>
      <c r="AUL216" s="394"/>
      <c r="AUM216" s="394"/>
      <c r="AUN216" s="394"/>
      <c r="AUO216" s="394"/>
      <c r="AUP216" s="394"/>
      <c r="AUQ216" s="394"/>
      <c r="AUR216" s="394"/>
      <c r="AUS216" s="394"/>
      <c r="AUT216" s="394"/>
      <c r="AUU216" s="394"/>
      <c r="AUV216" s="394"/>
      <c r="AUW216" s="394"/>
      <c r="AUX216" s="394"/>
      <c r="AUY216" s="394"/>
      <c r="AUZ216" s="394"/>
      <c r="AVA216" s="394"/>
      <c r="AVB216" s="394"/>
      <c r="AVC216" s="394"/>
      <c r="AVD216" s="394"/>
      <c r="AVE216" s="394"/>
      <c r="AVF216" s="394"/>
      <c r="AVG216" s="394"/>
      <c r="AVH216" s="394"/>
      <c r="AVI216" s="394"/>
      <c r="AVJ216" s="394"/>
      <c r="AVK216" s="394"/>
      <c r="AVL216" s="394"/>
      <c r="AVM216" s="394"/>
      <c r="AVN216" s="394"/>
      <c r="AVO216" s="394"/>
      <c r="AVP216" s="394"/>
      <c r="AVQ216" s="394"/>
      <c r="AVR216" s="394"/>
      <c r="AVS216" s="394"/>
      <c r="AVT216" s="394"/>
      <c r="AVU216" s="394"/>
      <c r="AVV216" s="394"/>
      <c r="AVW216" s="394"/>
      <c r="AVX216" s="394"/>
      <c r="AVY216" s="394"/>
      <c r="AVZ216" s="394"/>
      <c r="AWA216" s="394"/>
      <c r="AWB216" s="394"/>
      <c r="AWC216" s="394"/>
      <c r="AWD216" s="394"/>
      <c r="AWE216" s="394"/>
      <c r="AWF216" s="394"/>
      <c r="AWG216" s="394"/>
      <c r="AWH216" s="394"/>
      <c r="AWI216" s="394"/>
      <c r="AWJ216" s="394"/>
      <c r="AWK216" s="394"/>
      <c r="AWL216" s="394"/>
      <c r="AWM216" s="394"/>
      <c r="AWN216" s="394"/>
      <c r="AWO216" s="394"/>
      <c r="AWP216" s="394"/>
      <c r="AWQ216" s="394"/>
      <c r="AWR216" s="394"/>
      <c r="AWS216" s="394"/>
      <c r="AWT216" s="394"/>
      <c r="AWU216" s="394"/>
      <c r="AWV216" s="394"/>
      <c r="AWW216" s="394"/>
      <c r="AWX216" s="394"/>
      <c r="AWY216" s="394"/>
      <c r="AWZ216" s="394"/>
      <c r="AXA216" s="394"/>
      <c r="AXB216" s="394"/>
      <c r="AXC216" s="394"/>
      <c r="AXD216" s="394"/>
      <c r="AXE216" s="394"/>
      <c r="AXF216" s="394"/>
      <c r="AXG216" s="394"/>
      <c r="AXH216" s="394"/>
      <c r="AXI216" s="394"/>
      <c r="AXJ216" s="394"/>
      <c r="AXK216" s="394"/>
      <c r="AXL216" s="394"/>
      <c r="AXM216" s="394"/>
      <c r="AXN216" s="394"/>
      <c r="AXO216" s="394"/>
      <c r="AXP216" s="394"/>
      <c r="AXQ216" s="394"/>
      <c r="AXR216" s="394"/>
      <c r="AXS216" s="394"/>
      <c r="AXT216" s="394"/>
      <c r="AXU216" s="394"/>
      <c r="AXV216" s="394"/>
      <c r="AXW216" s="394"/>
      <c r="AXX216" s="394"/>
      <c r="AXY216" s="394"/>
      <c r="AXZ216" s="394"/>
      <c r="AYA216" s="394"/>
      <c r="AYB216" s="394"/>
      <c r="AYC216" s="394"/>
      <c r="AYD216" s="394"/>
      <c r="AYE216" s="394"/>
      <c r="AYF216" s="394"/>
      <c r="AYG216" s="394"/>
      <c r="AYH216" s="394"/>
      <c r="AYI216" s="394"/>
      <c r="AYJ216" s="394"/>
      <c r="AYK216" s="394"/>
      <c r="AYL216" s="394"/>
      <c r="AYM216" s="394"/>
      <c r="AYN216" s="394"/>
      <c r="AYO216" s="394"/>
      <c r="AYP216" s="394"/>
      <c r="AYQ216" s="394"/>
      <c r="AYR216" s="394"/>
      <c r="AYS216" s="394"/>
      <c r="AYT216" s="394"/>
      <c r="AYU216" s="394"/>
      <c r="AYV216" s="394"/>
      <c r="AYW216" s="394"/>
      <c r="AYX216" s="394"/>
      <c r="AYY216" s="394"/>
      <c r="AYZ216" s="394"/>
      <c r="AZA216" s="394"/>
      <c r="AZB216" s="394"/>
      <c r="AZC216" s="394"/>
      <c r="AZD216" s="394"/>
      <c r="AZE216" s="394"/>
      <c r="AZF216" s="394"/>
      <c r="AZG216" s="394"/>
      <c r="AZH216" s="394"/>
      <c r="AZI216" s="394"/>
      <c r="AZJ216" s="394"/>
      <c r="AZK216" s="394"/>
      <c r="AZL216" s="394"/>
      <c r="AZM216" s="394"/>
      <c r="AZN216" s="394"/>
      <c r="AZO216" s="394"/>
      <c r="AZP216" s="394"/>
      <c r="AZQ216" s="394"/>
      <c r="AZR216" s="394"/>
      <c r="AZS216" s="394"/>
      <c r="AZT216" s="394"/>
      <c r="AZU216" s="394"/>
      <c r="AZV216" s="394"/>
      <c r="AZW216" s="394"/>
      <c r="AZX216" s="394"/>
      <c r="AZY216" s="394"/>
      <c r="AZZ216" s="394"/>
      <c r="BAA216" s="394"/>
      <c r="BAB216" s="394"/>
      <c r="BAC216" s="394"/>
      <c r="BAD216" s="394"/>
      <c r="BAE216" s="394"/>
      <c r="BAF216" s="394"/>
      <c r="BAG216" s="394"/>
      <c r="BAH216" s="394"/>
      <c r="BAI216" s="394"/>
      <c r="BAJ216" s="394"/>
      <c r="BAK216" s="394"/>
      <c r="BAL216" s="394"/>
      <c r="BAM216" s="394"/>
      <c r="BAN216" s="394"/>
      <c r="BAO216" s="394"/>
      <c r="BAP216" s="394"/>
      <c r="BAQ216" s="394"/>
      <c r="BAR216" s="394"/>
      <c r="BAS216" s="394"/>
      <c r="BAT216" s="394"/>
      <c r="BAU216" s="394"/>
      <c r="BAV216" s="394"/>
      <c r="BAW216" s="394"/>
      <c r="BAX216" s="394"/>
      <c r="BAY216" s="394"/>
      <c r="BAZ216" s="394"/>
      <c r="BBA216" s="394"/>
      <c r="BBB216" s="394"/>
      <c r="BBC216" s="394"/>
      <c r="BBD216" s="394"/>
      <c r="BBE216" s="394"/>
      <c r="BBF216" s="394"/>
      <c r="BBG216" s="394"/>
      <c r="BBH216" s="394"/>
      <c r="BBI216" s="394"/>
      <c r="BBJ216" s="394"/>
      <c r="BBK216" s="394"/>
      <c r="BBL216" s="394"/>
      <c r="BBM216" s="394"/>
      <c r="BBN216" s="394"/>
      <c r="BBO216" s="394"/>
      <c r="BBP216" s="394"/>
      <c r="BBQ216" s="394"/>
      <c r="BBR216" s="394"/>
      <c r="BBS216" s="394"/>
      <c r="BBT216" s="394"/>
      <c r="BBU216" s="394"/>
      <c r="BBV216" s="394"/>
      <c r="BBW216" s="394"/>
      <c r="BBX216" s="394"/>
      <c r="BBY216" s="394"/>
      <c r="BBZ216" s="394"/>
      <c r="BCA216" s="394"/>
      <c r="BCB216" s="394"/>
      <c r="BCC216" s="394"/>
      <c r="BCD216" s="394"/>
      <c r="BCE216" s="394"/>
      <c r="BCF216" s="394"/>
      <c r="BCG216" s="394"/>
      <c r="BCH216" s="394"/>
      <c r="BCI216" s="394"/>
      <c r="BCJ216" s="394"/>
      <c r="BCK216" s="394"/>
      <c r="BCL216" s="394"/>
      <c r="BCM216" s="394"/>
      <c r="BCN216" s="394"/>
      <c r="BCO216" s="394"/>
      <c r="BCP216" s="394"/>
      <c r="BCQ216" s="394"/>
      <c r="BCR216" s="394"/>
      <c r="BCS216" s="394"/>
      <c r="BCT216" s="394"/>
      <c r="BCU216" s="394"/>
      <c r="BCV216" s="394"/>
      <c r="BCW216" s="394"/>
      <c r="BCX216" s="394"/>
      <c r="BCY216" s="394"/>
      <c r="BCZ216" s="394"/>
      <c r="BDA216" s="394"/>
      <c r="BDB216" s="394"/>
      <c r="BDC216" s="394"/>
      <c r="BDD216" s="394"/>
      <c r="BDE216" s="394"/>
      <c r="BDF216" s="394"/>
      <c r="BDG216" s="394"/>
      <c r="BDH216" s="394"/>
      <c r="BDI216" s="394"/>
      <c r="BDJ216" s="394"/>
      <c r="BDK216" s="394"/>
      <c r="BDL216" s="394"/>
      <c r="BDM216" s="394"/>
      <c r="BDN216" s="394"/>
      <c r="BDO216" s="394"/>
      <c r="BDP216" s="394"/>
      <c r="BDQ216" s="394"/>
      <c r="BDR216" s="394"/>
      <c r="BDS216" s="394"/>
      <c r="BDT216" s="394"/>
      <c r="BDU216" s="394"/>
      <c r="BDV216" s="394"/>
      <c r="BDW216" s="394"/>
      <c r="BDX216" s="394"/>
      <c r="BDY216" s="394"/>
      <c r="BDZ216" s="394"/>
      <c r="BEA216" s="394"/>
      <c r="BEB216" s="394"/>
      <c r="BEC216" s="394"/>
      <c r="BED216" s="394"/>
      <c r="BEE216" s="394"/>
      <c r="BEF216" s="394"/>
      <c r="BEG216" s="394"/>
      <c r="BEH216" s="394"/>
      <c r="BEI216" s="394"/>
      <c r="BEJ216" s="394"/>
      <c r="BEK216" s="394"/>
      <c r="BEL216" s="394"/>
      <c r="BEM216" s="394"/>
      <c r="BEN216" s="394"/>
      <c r="BEO216" s="394"/>
      <c r="BEP216" s="394"/>
      <c r="BEQ216" s="394"/>
      <c r="BER216" s="394"/>
      <c r="BES216" s="394"/>
      <c r="BET216" s="394"/>
      <c r="BEU216" s="394"/>
      <c r="BEV216" s="394"/>
      <c r="BEW216" s="394"/>
      <c r="BEX216" s="394"/>
      <c r="BEY216" s="394"/>
      <c r="BEZ216" s="394"/>
      <c r="BFA216" s="394"/>
      <c r="BFB216" s="394"/>
      <c r="BFC216" s="394"/>
      <c r="BFD216" s="394"/>
      <c r="BFE216" s="394"/>
      <c r="BFF216" s="394"/>
      <c r="BFG216" s="394"/>
      <c r="BFH216" s="394"/>
      <c r="BFI216" s="394"/>
      <c r="BFJ216" s="394"/>
      <c r="BFK216" s="394"/>
      <c r="BFL216" s="394"/>
      <c r="BFM216" s="394"/>
      <c r="BFN216" s="394"/>
      <c r="BFO216" s="394"/>
      <c r="BFP216" s="394"/>
      <c r="BFQ216" s="394"/>
      <c r="BFR216" s="394"/>
      <c r="BFS216" s="394"/>
      <c r="BFT216" s="394"/>
      <c r="BFU216" s="394"/>
      <c r="BFV216" s="394"/>
      <c r="BFW216" s="394"/>
      <c r="BFX216" s="394"/>
      <c r="BFY216" s="394"/>
      <c r="BFZ216" s="394"/>
      <c r="BGA216" s="394"/>
      <c r="BGB216" s="394"/>
      <c r="BGC216" s="394"/>
      <c r="BGD216" s="394"/>
      <c r="BGE216" s="394"/>
      <c r="BGF216" s="394"/>
      <c r="BGG216" s="394"/>
      <c r="BGH216" s="394"/>
      <c r="BGI216" s="394"/>
      <c r="BGJ216" s="394"/>
      <c r="BGK216" s="394"/>
      <c r="BGL216" s="394"/>
      <c r="BGM216" s="394"/>
      <c r="BGN216" s="394"/>
      <c r="BGO216" s="394"/>
      <c r="BGP216" s="394"/>
      <c r="BGQ216" s="394"/>
      <c r="BGR216" s="394"/>
      <c r="BGS216" s="394"/>
      <c r="BGT216" s="394"/>
      <c r="BGU216" s="394"/>
      <c r="BGV216" s="394"/>
      <c r="BGW216" s="394"/>
      <c r="BGX216" s="394"/>
      <c r="BGY216" s="394"/>
      <c r="BGZ216" s="394"/>
      <c r="BHA216" s="394"/>
      <c r="BHB216" s="394"/>
      <c r="BHC216" s="394"/>
      <c r="BHD216" s="394"/>
      <c r="BHE216" s="394"/>
      <c r="BHF216" s="394"/>
      <c r="BHG216" s="394"/>
      <c r="BHH216" s="394"/>
      <c r="BHI216" s="394"/>
      <c r="BHJ216" s="394"/>
      <c r="BHK216" s="394"/>
      <c r="BHL216" s="394"/>
      <c r="BHM216" s="394"/>
      <c r="BHN216" s="394"/>
      <c r="BHO216" s="394"/>
      <c r="BHP216" s="394"/>
      <c r="BHQ216" s="394"/>
      <c r="BHR216" s="394"/>
      <c r="BHS216" s="394"/>
      <c r="BHT216" s="394"/>
      <c r="BHU216" s="394"/>
      <c r="BHV216" s="394"/>
      <c r="BHW216" s="394"/>
      <c r="BHX216" s="394"/>
      <c r="BHY216" s="394"/>
      <c r="BHZ216" s="394"/>
      <c r="BIA216" s="394"/>
      <c r="BIB216" s="394"/>
      <c r="BIC216" s="394"/>
      <c r="BID216" s="394"/>
      <c r="BIE216" s="394"/>
      <c r="BIF216" s="394"/>
      <c r="BIG216" s="394"/>
      <c r="BIH216" s="394"/>
      <c r="BII216" s="394"/>
      <c r="BIJ216" s="394"/>
      <c r="BIK216" s="394"/>
      <c r="BIL216" s="394"/>
      <c r="BIM216" s="394"/>
      <c r="BIN216" s="394"/>
      <c r="BIO216" s="394"/>
      <c r="BIP216" s="394"/>
      <c r="BIQ216" s="394"/>
      <c r="BIR216" s="394"/>
      <c r="BIS216" s="394"/>
      <c r="BIT216" s="394"/>
      <c r="BIU216" s="394"/>
      <c r="BIV216" s="394"/>
      <c r="BIW216" s="394"/>
      <c r="BIX216" s="394"/>
      <c r="BIY216" s="394"/>
      <c r="BIZ216" s="394"/>
      <c r="BJA216" s="394"/>
      <c r="BJB216" s="394"/>
      <c r="BJC216" s="394"/>
      <c r="BJD216" s="394"/>
      <c r="BJE216" s="394"/>
      <c r="BJF216" s="394"/>
      <c r="BJG216" s="394"/>
      <c r="BJH216" s="394"/>
      <c r="BJI216" s="394"/>
      <c r="BJJ216" s="394"/>
      <c r="BJK216" s="394"/>
      <c r="BJL216" s="394"/>
      <c r="BJM216" s="394"/>
      <c r="BJN216" s="394"/>
      <c r="BJO216" s="394"/>
      <c r="BJP216" s="394"/>
      <c r="BJQ216" s="394"/>
      <c r="BJR216" s="394"/>
      <c r="BJS216" s="394"/>
      <c r="BJT216" s="394"/>
      <c r="BJU216" s="394"/>
      <c r="BJV216" s="394"/>
      <c r="BJW216" s="394"/>
      <c r="BJX216" s="394"/>
      <c r="BJY216" s="394"/>
      <c r="BJZ216" s="394"/>
      <c r="BKA216" s="394"/>
      <c r="BKB216" s="394"/>
      <c r="BKC216" s="394"/>
      <c r="BKD216" s="394"/>
      <c r="BKE216" s="394"/>
      <c r="BKF216" s="394"/>
      <c r="BKG216" s="394"/>
      <c r="BKH216" s="394"/>
      <c r="BKI216" s="394"/>
      <c r="BKJ216" s="394"/>
      <c r="BKK216" s="394"/>
      <c r="BKL216" s="394"/>
      <c r="BKM216" s="394"/>
      <c r="BKN216" s="394"/>
      <c r="BKO216" s="394"/>
      <c r="BKP216" s="394"/>
      <c r="BKQ216" s="394"/>
      <c r="BKR216" s="394"/>
      <c r="BKS216" s="394"/>
      <c r="BKT216" s="394"/>
      <c r="BKU216" s="394"/>
      <c r="BKV216" s="394"/>
      <c r="BKW216" s="394"/>
      <c r="BKX216" s="394"/>
      <c r="BKY216" s="394"/>
      <c r="BKZ216" s="394"/>
      <c r="BLA216" s="394"/>
      <c r="BLB216" s="394"/>
      <c r="BLC216" s="394"/>
      <c r="BLD216" s="394"/>
      <c r="BLE216" s="394"/>
      <c r="BLF216" s="394"/>
      <c r="BLG216" s="394"/>
      <c r="BLH216" s="394"/>
      <c r="BLI216" s="394"/>
      <c r="BLJ216" s="394"/>
      <c r="BLK216" s="394"/>
      <c r="BLL216" s="394"/>
      <c r="BLM216" s="394"/>
      <c r="BLN216" s="394"/>
      <c r="BLO216" s="394"/>
      <c r="BLP216" s="394"/>
      <c r="BLQ216" s="394"/>
      <c r="BLR216" s="394"/>
      <c r="BLS216" s="394"/>
      <c r="BLT216" s="394"/>
      <c r="BLU216" s="394"/>
      <c r="BLV216" s="394"/>
      <c r="BLW216" s="394"/>
      <c r="BLX216" s="394"/>
      <c r="BLY216" s="394"/>
      <c r="BLZ216" s="394"/>
      <c r="BMA216" s="394"/>
      <c r="BMB216" s="394"/>
      <c r="BMC216" s="394"/>
      <c r="BMD216" s="394"/>
      <c r="BME216" s="394"/>
      <c r="BMF216" s="394"/>
      <c r="BMG216" s="394"/>
      <c r="BMH216" s="394"/>
      <c r="BMI216" s="394"/>
      <c r="BMJ216" s="394"/>
      <c r="BMK216" s="394"/>
      <c r="BML216" s="394"/>
      <c r="BMM216" s="394"/>
      <c r="BMN216" s="394"/>
      <c r="BMO216" s="394"/>
      <c r="BMP216" s="394"/>
      <c r="BMQ216" s="394"/>
      <c r="BMR216" s="394"/>
      <c r="BMS216" s="394"/>
      <c r="BMT216" s="394"/>
      <c r="BMU216" s="394"/>
      <c r="BMV216" s="394"/>
      <c r="BMW216" s="394"/>
      <c r="BMX216" s="394"/>
      <c r="BMY216" s="394"/>
      <c r="BMZ216" s="394"/>
      <c r="BNA216" s="394"/>
      <c r="BNB216" s="394"/>
      <c r="BNC216" s="394"/>
      <c r="BND216" s="394"/>
      <c r="BNE216" s="394"/>
      <c r="BNF216" s="394"/>
      <c r="BNG216" s="394"/>
      <c r="BNH216" s="394"/>
      <c r="BNI216" s="394"/>
      <c r="BNJ216" s="394"/>
      <c r="BNK216" s="394"/>
      <c r="BNL216" s="394"/>
      <c r="BNM216" s="394"/>
      <c r="BNN216" s="394"/>
      <c r="BNO216" s="394"/>
      <c r="BNP216" s="394"/>
      <c r="BNQ216" s="394"/>
      <c r="BNR216" s="394"/>
      <c r="BNS216" s="394"/>
      <c r="BNT216" s="394"/>
      <c r="BNU216" s="394"/>
      <c r="BNV216" s="394"/>
      <c r="BNW216" s="394"/>
      <c r="BNX216" s="394"/>
      <c r="BNY216" s="394"/>
      <c r="BNZ216" s="394"/>
      <c r="BOA216" s="394"/>
      <c r="BOB216" s="394"/>
      <c r="BOC216" s="394"/>
      <c r="BOD216" s="394"/>
      <c r="BOE216" s="394"/>
      <c r="BOF216" s="394"/>
      <c r="BOG216" s="394"/>
      <c r="BOH216" s="394"/>
      <c r="BOI216" s="394"/>
      <c r="BOJ216" s="394"/>
      <c r="BOK216" s="394"/>
      <c r="BOL216" s="394"/>
      <c r="BOM216" s="394"/>
      <c r="BON216" s="394"/>
      <c r="BOO216" s="394"/>
      <c r="BOP216" s="394"/>
      <c r="BOQ216" s="394"/>
      <c r="BOR216" s="394"/>
      <c r="BOS216" s="394"/>
      <c r="BOT216" s="394"/>
      <c r="BOU216" s="394"/>
      <c r="BOV216" s="394"/>
      <c r="BOW216" s="394"/>
      <c r="BOX216" s="394"/>
      <c r="BOY216" s="394"/>
      <c r="BOZ216" s="394"/>
      <c r="BPA216" s="394"/>
      <c r="BPB216" s="394"/>
      <c r="BPC216" s="394"/>
      <c r="BPD216" s="394"/>
      <c r="BPE216" s="394"/>
      <c r="BPF216" s="394"/>
      <c r="BPG216" s="394"/>
      <c r="BPH216" s="394"/>
      <c r="BPI216" s="394"/>
      <c r="BPJ216" s="394"/>
      <c r="BPK216" s="394"/>
      <c r="BPL216" s="394"/>
      <c r="BPM216" s="394"/>
      <c r="BPN216" s="394"/>
      <c r="BPO216" s="394"/>
      <c r="BPP216" s="394"/>
      <c r="BPQ216" s="394"/>
      <c r="BPR216" s="394"/>
      <c r="BPS216" s="394"/>
      <c r="BPT216" s="394"/>
      <c r="BPU216" s="394"/>
      <c r="BPV216" s="394"/>
      <c r="BPW216" s="394"/>
      <c r="BPX216" s="394"/>
      <c r="BPY216" s="394"/>
      <c r="BPZ216" s="394"/>
      <c r="BQA216" s="394"/>
      <c r="BQB216" s="394"/>
      <c r="BQC216" s="394"/>
      <c r="BQD216" s="394"/>
      <c r="BQE216" s="394"/>
      <c r="BQF216" s="394"/>
      <c r="BQG216" s="394"/>
      <c r="BQH216" s="394"/>
      <c r="BQI216" s="394"/>
      <c r="BQJ216" s="394"/>
      <c r="BQK216" s="394"/>
      <c r="BQL216" s="394"/>
      <c r="BQM216" s="394"/>
      <c r="BQN216" s="394"/>
      <c r="BQO216" s="394"/>
      <c r="BQP216" s="394"/>
      <c r="BQQ216" s="394"/>
      <c r="BQR216" s="394"/>
      <c r="BQS216" s="394"/>
      <c r="BQT216" s="394"/>
      <c r="BQU216" s="394"/>
      <c r="BQV216" s="394"/>
      <c r="BQW216" s="394"/>
      <c r="BQX216" s="394"/>
      <c r="BQY216" s="394"/>
      <c r="BQZ216" s="394"/>
      <c r="BRA216" s="394"/>
      <c r="BRB216" s="394"/>
      <c r="BRC216" s="394"/>
      <c r="BRD216" s="394"/>
      <c r="BRE216" s="394"/>
      <c r="BRF216" s="394"/>
      <c r="BRG216" s="394"/>
      <c r="BRH216" s="394"/>
      <c r="BRI216" s="394"/>
      <c r="BRJ216" s="394"/>
      <c r="BRK216" s="394"/>
      <c r="BRL216" s="394"/>
      <c r="BRM216" s="394"/>
      <c r="BRN216" s="394"/>
      <c r="BRO216" s="394"/>
      <c r="BRP216" s="394"/>
      <c r="BRQ216" s="394"/>
      <c r="BRR216" s="394"/>
      <c r="BRS216" s="394"/>
      <c r="BRT216" s="394"/>
      <c r="BRU216" s="394"/>
      <c r="BRV216" s="394"/>
      <c r="BRW216" s="394"/>
      <c r="BRX216" s="394"/>
      <c r="BRY216" s="394"/>
      <c r="BRZ216" s="394"/>
      <c r="BSA216" s="394"/>
      <c r="BSB216" s="394"/>
      <c r="BSC216" s="394"/>
      <c r="BSD216" s="394"/>
      <c r="BSE216" s="394"/>
      <c r="BSF216" s="394"/>
      <c r="BSG216" s="394"/>
      <c r="BSH216" s="394"/>
      <c r="BSI216" s="394"/>
      <c r="BSJ216" s="394"/>
      <c r="BSK216" s="394"/>
      <c r="BSL216" s="394"/>
      <c r="BSM216" s="394"/>
      <c r="BSN216" s="394"/>
      <c r="BSO216" s="394"/>
      <c r="BSP216" s="394"/>
      <c r="BSQ216" s="394"/>
      <c r="BSR216" s="394"/>
      <c r="BSS216" s="394"/>
      <c r="BST216" s="394"/>
      <c r="BSU216" s="394"/>
      <c r="BSV216" s="394"/>
      <c r="BSW216" s="394"/>
      <c r="BSX216" s="394"/>
      <c r="BSY216" s="394"/>
      <c r="BSZ216" s="394"/>
      <c r="BTA216" s="394"/>
      <c r="BTB216" s="394"/>
      <c r="BTC216" s="394"/>
      <c r="BTD216" s="394"/>
      <c r="BTE216" s="394"/>
      <c r="BTF216" s="394"/>
      <c r="BTG216" s="394"/>
      <c r="BTH216" s="394"/>
      <c r="BTI216" s="394"/>
    </row>
    <row r="217" spans="1:1881" ht="65.25" customHeight="1" x14ac:dyDescent="0.25">
      <c r="A217" s="455">
        <v>660</v>
      </c>
      <c r="B217" s="451" t="s">
        <v>66</v>
      </c>
      <c r="C217" s="451" t="s">
        <v>799</v>
      </c>
      <c r="D217" s="853" t="s">
        <v>991</v>
      </c>
      <c r="E217" s="454" t="s">
        <v>832</v>
      </c>
      <c r="F217" s="624"/>
      <c r="G217" s="562" t="str">
        <f>IF(ISBLANK(F217),"Please do not leave blank","")</f>
        <v>Please do not leave blank</v>
      </c>
      <c r="H217" s="363">
        <f>IF(F214&lt;0,"Note: Number is normally positive.",)</f>
        <v>0</v>
      </c>
      <c r="I217" s="67"/>
    </row>
    <row r="218" spans="1:1881" ht="90" x14ac:dyDescent="0.25">
      <c r="A218" s="455">
        <v>661</v>
      </c>
      <c r="B218" s="451" t="s">
        <v>66</v>
      </c>
      <c r="C218" s="451" t="s">
        <v>803</v>
      </c>
      <c r="D218" s="854" t="s">
        <v>992</v>
      </c>
      <c r="E218" s="454" t="s">
        <v>832</v>
      </c>
      <c r="F218" s="675"/>
      <c r="G218" s="562" t="str">
        <f>IF(ISBLANK(F218),"Please do not leave blank ",IF(F218=H218,"","Please review percentage"))</f>
        <v xml:space="preserve">Please do not leave blank </v>
      </c>
      <c r="H218" s="360">
        <f>ROUND(IFERROR((F217/F216)*100,0),1)</f>
        <v>0</v>
      </c>
      <c r="I218" s="360"/>
    </row>
    <row r="219" spans="1:1881" ht="78.75" customHeight="1" x14ac:dyDescent="0.25">
      <c r="A219" s="189"/>
      <c r="B219" s="150"/>
      <c r="C219" s="150"/>
      <c r="D219" s="151" t="s">
        <v>28</v>
      </c>
      <c r="E219" s="48"/>
      <c r="F219" s="578"/>
      <c r="G219" s="562"/>
      <c r="H219" s="360"/>
      <c r="I219" s="350"/>
    </row>
    <row r="220" spans="1:1881" ht="32.25" customHeight="1" x14ac:dyDescent="0.25">
      <c r="A220" s="189"/>
      <c r="B220" s="161" t="s">
        <v>29</v>
      </c>
      <c r="C220" s="160"/>
      <c r="D220" s="154"/>
      <c r="E220" s="148"/>
      <c r="F220" s="739"/>
      <c r="G220" s="551"/>
      <c r="H220" s="13"/>
      <c r="I220" s="31"/>
    </row>
    <row r="221" spans="1:1881" ht="59.25" customHeight="1" x14ac:dyDescent="0.25">
      <c r="A221" s="190">
        <v>371</v>
      </c>
      <c r="B221" s="64" t="s">
        <v>63</v>
      </c>
      <c r="C221" s="159" t="s">
        <v>217</v>
      </c>
      <c r="D221" s="165" t="s">
        <v>215</v>
      </c>
      <c r="E221" s="32" t="e">
        <f>HLOOKUP($D$2,'2019 Data(H)'!$C$1:$CP$300,132,FALSE)</f>
        <v>#N/A</v>
      </c>
      <c r="F221" s="624"/>
      <c r="G221" s="581">
        <f>IF(F221&lt;0,"Error: Enter as positive.",)</f>
        <v>0</v>
      </c>
      <c r="H221" s="13"/>
      <c r="I221" s="31"/>
    </row>
    <row r="222" spans="1:1881" ht="60.75" customHeight="1" x14ac:dyDescent="0.25">
      <c r="A222" s="188">
        <v>513</v>
      </c>
      <c r="B222" s="65" t="s">
        <v>65</v>
      </c>
      <c r="C222" s="159" t="s">
        <v>217</v>
      </c>
      <c r="D222" s="165" t="s">
        <v>216</v>
      </c>
      <c r="E222" s="32" t="e">
        <f>HLOOKUP($D$2,'2019 Data(H)'!$C$1:$CP$300,163,FALSE)</f>
        <v>#N/A</v>
      </c>
      <c r="F222" s="675"/>
      <c r="G222" s="581">
        <f>IF(F222&lt;0,"Error: Enter as positive.",)</f>
        <v>0</v>
      </c>
      <c r="H222" s="17"/>
      <c r="I222" s="297"/>
    </row>
    <row r="223" spans="1:1881" ht="74.25" customHeight="1" x14ac:dyDescent="0.25">
      <c r="B223" s="65" t="s">
        <v>65</v>
      </c>
      <c r="C223" s="159" t="s">
        <v>217</v>
      </c>
      <c r="D223" s="165" t="s">
        <v>629</v>
      </c>
      <c r="E223" s="32" t="e">
        <f>HLOOKUP($D$2,'2019 Data(H)'!$C$1:$CP$300,164,FALSE)</f>
        <v>#N/A</v>
      </c>
      <c r="F223" s="624"/>
      <c r="G223" s="581">
        <f>IF(F223&lt;0,"Error: Enter as positive.",)</f>
        <v>0</v>
      </c>
      <c r="H223" s="13"/>
      <c r="I223" s="297"/>
    </row>
    <row r="224" spans="1:1881" ht="32.25" customHeight="1" x14ac:dyDescent="0.25">
      <c r="A224" s="188">
        <v>514</v>
      </c>
      <c r="B224" s="161" t="s">
        <v>30</v>
      </c>
      <c r="C224" s="160"/>
      <c r="D224" s="154"/>
      <c r="E224" s="148"/>
      <c r="F224" s="740"/>
      <c r="G224" s="551"/>
      <c r="H224" s="13"/>
      <c r="I224" s="31"/>
    </row>
    <row r="225" spans="1:1881" ht="68.25" customHeight="1" x14ac:dyDescent="0.25">
      <c r="A225" s="188">
        <v>6</v>
      </c>
      <c r="B225" s="64" t="s">
        <v>62</v>
      </c>
      <c r="C225" s="159" t="s">
        <v>219</v>
      </c>
      <c r="D225" s="165" t="s">
        <v>218</v>
      </c>
      <c r="E225" s="32" t="e">
        <f>HLOOKUP($D$2,'2019 Data(H)'!$C$1:$CP$300,5,FALSE)</f>
        <v>#N/A</v>
      </c>
      <c r="F225" s="675"/>
      <c r="G225" s="581">
        <f>IF(F225&lt;0,"Error: Enter as positive.",)</f>
        <v>0</v>
      </c>
      <c r="H225" s="13"/>
      <c r="I225" s="31"/>
      <c r="J225" s="365"/>
    </row>
    <row r="226" spans="1:1881" s="317" customFormat="1" ht="33" customHeight="1" x14ac:dyDescent="0.25">
      <c r="A226" s="188"/>
      <c r="B226" s="161" t="s">
        <v>237</v>
      </c>
      <c r="C226" s="160"/>
      <c r="D226" s="154"/>
      <c r="E226" s="152"/>
      <c r="F226" s="741"/>
      <c r="G226" s="153"/>
      <c r="H226" s="17"/>
      <c r="I226" s="297"/>
      <c r="J226" s="365"/>
      <c r="K226" s="394"/>
      <c r="L226" s="394"/>
      <c r="M226" s="394"/>
      <c r="N226"/>
      <c r="O226" s="394"/>
      <c r="P226" s="394"/>
      <c r="Q226" s="394"/>
      <c r="R226" s="394"/>
      <c r="S226" s="394"/>
      <c r="T226" s="394"/>
      <c r="U226" s="394"/>
      <c r="V226" s="394"/>
      <c r="W226" s="394"/>
      <c r="X226" s="394"/>
      <c r="Y226" s="394"/>
      <c r="Z226" s="394"/>
      <c r="AA226" s="394"/>
      <c r="AB226" s="394"/>
      <c r="AC226" s="394"/>
      <c r="AD226" s="394"/>
      <c r="AE226" s="394"/>
      <c r="AF226" s="394"/>
      <c r="AG226" s="394"/>
      <c r="AH226" s="394"/>
      <c r="AI226" s="394"/>
      <c r="AJ226" s="394"/>
      <c r="AK226" s="394"/>
      <c r="AL226" s="394"/>
      <c r="AM226" s="394"/>
      <c r="AN226" s="394"/>
      <c r="AO226" s="394"/>
      <c r="AP226" s="394"/>
      <c r="AQ226" s="394"/>
      <c r="AR226" s="394"/>
      <c r="AS226" s="394"/>
      <c r="AT226" s="394"/>
      <c r="AU226" s="394"/>
      <c r="AV226" s="394"/>
      <c r="AW226" s="394"/>
      <c r="AX226" s="394"/>
      <c r="AY226" s="394"/>
      <c r="AZ226" s="394"/>
      <c r="BA226" s="394"/>
      <c r="BB226" s="394"/>
      <c r="BC226" s="394"/>
      <c r="BD226" s="394"/>
      <c r="BE226" s="394"/>
      <c r="BF226" s="394"/>
      <c r="BG226" s="394"/>
      <c r="BH226" s="394"/>
      <c r="BI226" s="394"/>
      <c r="BJ226" s="394"/>
      <c r="BK226" s="394"/>
      <c r="BL226" s="394"/>
      <c r="BM226" s="394"/>
      <c r="BN226" s="394"/>
      <c r="BO226" s="394"/>
      <c r="BP226" s="394"/>
      <c r="BQ226" s="394"/>
      <c r="BR226" s="394"/>
      <c r="BS226" s="394"/>
      <c r="BT226" s="394"/>
      <c r="BU226" s="394"/>
      <c r="BV226" s="394"/>
      <c r="BW226" s="394"/>
      <c r="BX226" s="394"/>
      <c r="BY226" s="394"/>
      <c r="BZ226" s="394"/>
      <c r="CA226" s="394"/>
      <c r="CB226" s="394"/>
      <c r="CC226" s="394"/>
      <c r="CD226" s="394"/>
      <c r="CE226" s="394"/>
      <c r="CF226" s="394"/>
      <c r="CG226" s="394"/>
      <c r="CH226" s="394"/>
      <c r="CI226" s="394"/>
      <c r="CJ226" s="394"/>
      <c r="CK226" s="394"/>
      <c r="CL226" s="394"/>
      <c r="CM226" s="394"/>
      <c r="CN226" s="394"/>
      <c r="CO226" s="394"/>
      <c r="CP226" s="394"/>
      <c r="CQ226" s="394"/>
      <c r="CR226" s="394"/>
      <c r="CS226" s="394"/>
      <c r="CT226" s="394"/>
      <c r="CU226" s="394"/>
      <c r="CV226" s="394"/>
      <c r="CW226" s="394"/>
      <c r="CX226" s="394"/>
      <c r="CY226" s="394"/>
      <c r="CZ226" s="394"/>
      <c r="DA226" s="394"/>
      <c r="DB226" s="394"/>
      <c r="DC226" s="394"/>
      <c r="DD226" s="394"/>
      <c r="DE226" s="394"/>
      <c r="DF226" s="394"/>
      <c r="DG226" s="394"/>
      <c r="DH226" s="394"/>
      <c r="DI226" s="394"/>
      <c r="DJ226" s="394"/>
      <c r="DK226" s="394"/>
      <c r="DL226" s="394"/>
      <c r="DM226" s="394"/>
      <c r="DN226" s="394"/>
      <c r="DO226" s="394"/>
      <c r="DP226" s="394"/>
      <c r="DQ226" s="394"/>
      <c r="DR226" s="394"/>
      <c r="DS226" s="394"/>
      <c r="DT226" s="394"/>
      <c r="DU226" s="394"/>
      <c r="DV226" s="394"/>
      <c r="DW226" s="394"/>
      <c r="DX226" s="394"/>
      <c r="DY226" s="394"/>
      <c r="DZ226" s="394"/>
      <c r="EA226" s="394"/>
      <c r="EB226" s="394"/>
      <c r="EC226" s="394"/>
      <c r="ED226" s="394"/>
      <c r="EE226" s="394"/>
      <c r="EF226" s="394"/>
      <c r="EG226" s="394"/>
      <c r="EH226" s="394"/>
      <c r="EI226" s="394"/>
      <c r="EJ226" s="394"/>
      <c r="EK226" s="394"/>
      <c r="EL226" s="394"/>
      <c r="EM226" s="394"/>
      <c r="EN226" s="394"/>
      <c r="EO226" s="394"/>
      <c r="EP226" s="394"/>
      <c r="EQ226" s="394"/>
      <c r="ER226" s="394"/>
      <c r="ES226" s="394"/>
      <c r="ET226" s="394"/>
      <c r="EU226" s="394"/>
      <c r="EV226" s="394"/>
      <c r="EW226" s="394"/>
      <c r="EX226" s="394"/>
      <c r="EY226" s="394"/>
      <c r="EZ226" s="394"/>
      <c r="FA226" s="394"/>
      <c r="FB226" s="394"/>
      <c r="FC226" s="394"/>
      <c r="FD226" s="394"/>
      <c r="FE226" s="394"/>
      <c r="FF226" s="394"/>
      <c r="FG226" s="394"/>
      <c r="FH226" s="394"/>
      <c r="FI226" s="394"/>
      <c r="FJ226" s="394"/>
      <c r="FK226" s="394"/>
      <c r="FL226" s="394"/>
      <c r="FM226" s="394"/>
      <c r="FN226" s="394"/>
      <c r="FO226" s="394"/>
      <c r="FP226" s="394"/>
      <c r="FQ226" s="394"/>
      <c r="FR226" s="394"/>
      <c r="FS226" s="394"/>
      <c r="FT226" s="394"/>
      <c r="FU226" s="394"/>
      <c r="FV226" s="394"/>
      <c r="FW226" s="394"/>
      <c r="FX226" s="394"/>
      <c r="FY226" s="394"/>
      <c r="FZ226" s="394"/>
      <c r="GA226" s="394"/>
      <c r="GB226" s="394"/>
      <c r="GC226" s="394"/>
      <c r="GD226" s="394"/>
      <c r="GE226" s="394"/>
      <c r="GF226" s="394"/>
      <c r="GG226" s="394"/>
      <c r="GH226" s="394"/>
      <c r="GI226" s="394"/>
      <c r="GJ226" s="394"/>
      <c r="GK226" s="394"/>
      <c r="GL226" s="394"/>
      <c r="GM226" s="394"/>
      <c r="GN226" s="394"/>
      <c r="GO226" s="394"/>
      <c r="GP226" s="394"/>
      <c r="GQ226" s="394"/>
      <c r="GR226" s="394"/>
      <c r="GS226" s="394"/>
      <c r="GT226" s="394"/>
      <c r="GU226" s="394"/>
      <c r="GV226" s="394"/>
      <c r="GW226" s="394"/>
      <c r="GX226" s="394"/>
      <c r="GY226" s="394"/>
      <c r="GZ226" s="394"/>
      <c r="HA226" s="394"/>
      <c r="HB226" s="394"/>
      <c r="HC226" s="394"/>
      <c r="HD226" s="394"/>
      <c r="HE226" s="394"/>
      <c r="HF226" s="394"/>
      <c r="HG226" s="394"/>
      <c r="HH226" s="394"/>
      <c r="HI226" s="394"/>
      <c r="HJ226" s="394"/>
      <c r="HK226" s="394"/>
      <c r="HL226" s="394"/>
      <c r="HM226" s="394"/>
      <c r="HN226" s="394"/>
      <c r="HO226" s="394"/>
      <c r="HP226" s="394"/>
      <c r="HQ226" s="394"/>
      <c r="HR226" s="394"/>
      <c r="HS226" s="394"/>
      <c r="HT226" s="394"/>
      <c r="HU226" s="394"/>
      <c r="HV226" s="394"/>
      <c r="HW226" s="394"/>
      <c r="HX226" s="394"/>
      <c r="HY226" s="394"/>
      <c r="HZ226" s="394"/>
      <c r="IA226" s="394"/>
      <c r="IB226" s="394"/>
      <c r="IC226" s="394"/>
      <c r="ID226" s="394"/>
      <c r="IE226" s="394"/>
      <c r="IF226" s="394"/>
      <c r="IG226" s="394"/>
      <c r="IH226" s="394"/>
      <c r="II226" s="394"/>
      <c r="IJ226" s="394"/>
      <c r="IK226" s="394"/>
      <c r="IL226" s="394"/>
      <c r="IM226" s="394"/>
      <c r="IN226" s="394"/>
      <c r="IO226" s="394"/>
      <c r="IP226" s="394"/>
      <c r="IQ226" s="394"/>
      <c r="IR226" s="394"/>
      <c r="IS226" s="394"/>
      <c r="IT226" s="394"/>
      <c r="IU226" s="394"/>
      <c r="IV226" s="394"/>
      <c r="IW226" s="394"/>
      <c r="IX226" s="394"/>
      <c r="IY226" s="394"/>
      <c r="IZ226" s="394"/>
      <c r="JA226" s="394"/>
      <c r="JB226" s="394"/>
      <c r="JC226" s="394"/>
      <c r="JD226" s="394"/>
      <c r="JE226" s="394"/>
      <c r="JF226" s="394"/>
      <c r="JG226" s="394"/>
      <c r="JH226" s="394"/>
      <c r="JI226" s="394"/>
      <c r="JJ226" s="394"/>
      <c r="JK226" s="394"/>
      <c r="JL226" s="394"/>
      <c r="JM226" s="394"/>
      <c r="JN226" s="394"/>
      <c r="JO226" s="394"/>
      <c r="JP226" s="394"/>
      <c r="JQ226" s="394"/>
      <c r="JR226" s="394"/>
      <c r="JS226" s="394"/>
      <c r="JT226" s="394"/>
      <c r="JU226" s="394"/>
      <c r="JV226" s="394"/>
      <c r="JW226" s="394"/>
      <c r="JX226" s="394"/>
      <c r="JY226" s="394"/>
      <c r="JZ226" s="394"/>
      <c r="KA226" s="394"/>
      <c r="KB226" s="394"/>
      <c r="KC226" s="394"/>
      <c r="KD226" s="394"/>
      <c r="KE226" s="394"/>
      <c r="KF226" s="394"/>
      <c r="KG226" s="394"/>
      <c r="KH226" s="394"/>
      <c r="KI226" s="394"/>
      <c r="KJ226" s="394"/>
      <c r="KK226" s="394"/>
      <c r="KL226" s="394"/>
      <c r="KM226" s="394"/>
      <c r="KN226" s="394"/>
      <c r="KO226" s="394"/>
      <c r="KP226" s="394"/>
      <c r="KQ226" s="394"/>
      <c r="KR226" s="394"/>
      <c r="KS226" s="394"/>
      <c r="KT226" s="394"/>
      <c r="KU226" s="394"/>
      <c r="KV226" s="394"/>
      <c r="KW226" s="394"/>
      <c r="KX226" s="394"/>
      <c r="KY226" s="394"/>
      <c r="KZ226" s="394"/>
      <c r="LA226" s="394"/>
      <c r="LB226" s="394"/>
      <c r="LC226" s="394"/>
      <c r="LD226" s="394"/>
      <c r="LE226" s="394"/>
      <c r="LF226" s="394"/>
      <c r="LG226" s="394"/>
      <c r="LH226" s="394"/>
      <c r="LI226" s="394"/>
      <c r="LJ226" s="394"/>
      <c r="LK226" s="394"/>
      <c r="LL226" s="394"/>
      <c r="LM226" s="394"/>
      <c r="LN226" s="394"/>
      <c r="LO226" s="394"/>
      <c r="LP226" s="394"/>
      <c r="LQ226" s="394"/>
      <c r="LR226" s="394"/>
      <c r="LS226" s="394"/>
      <c r="LT226" s="394"/>
      <c r="LU226" s="394"/>
      <c r="LV226" s="394"/>
      <c r="LW226" s="394"/>
      <c r="LX226" s="394"/>
      <c r="LY226" s="394"/>
      <c r="LZ226" s="394"/>
      <c r="MA226" s="394"/>
      <c r="MB226" s="394"/>
      <c r="MC226" s="394"/>
      <c r="MD226" s="394"/>
      <c r="ME226" s="394"/>
      <c r="MF226" s="394"/>
      <c r="MG226" s="394"/>
      <c r="MH226" s="394"/>
      <c r="MI226" s="394"/>
      <c r="MJ226" s="394"/>
      <c r="MK226" s="394"/>
      <c r="ML226" s="394"/>
      <c r="MM226" s="394"/>
      <c r="MN226" s="394"/>
      <c r="MO226" s="394"/>
      <c r="MP226" s="394"/>
      <c r="MQ226" s="394"/>
      <c r="MR226" s="394"/>
      <c r="MS226" s="394"/>
      <c r="MT226" s="394"/>
      <c r="MU226" s="394"/>
      <c r="MV226" s="394"/>
      <c r="MW226" s="394"/>
      <c r="MX226" s="394"/>
      <c r="MY226" s="394"/>
      <c r="MZ226" s="394"/>
      <c r="NA226" s="394"/>
      <c r="NB226" s="394"/>
      <c r="NC226" s="394"/>
      <c r="ND226" s="394"/>
      <c r="NE226" s="394"/>
      <c r="NF226" s="394"/>
      <c r="NG226" s="394"/>
      <c r="NH226" s="394"/>
      <c r="NI226" s="394"/>
      <c r="NJ226" s="394"/>
      <c r="NK226" s="394"/>
      <c r="NL226" s="394"/>
      <c r="NM226" s="394"/>
      <c r="NN226" s="394"/>
      <c r="NO226" s="394"/>
      <c r="NP226" s="394"/>
      <c r="NQ226" s="394"/>
      <c r="NR226" s="394"/>
      <c r="NS226" s="394"/>
      <c r="NT226" s="394"/>
      <c r="NU226" s="394"/>
      <c r="NV226" s="394"/>
      <c r="NW226" s="394"/>
      <c r="NX226" s="394"/>
      <c r="NY226" s="394"/>
      <c r="NZ226" s="394"/>
      <c r="OA226" s="394"/>
      <c r="OB226" s="394"/>
      <c r="OC226" s="394"/>
      <c r="OD226" s="394"/>
      <c r="OE226" s="394"/>
      <c r="OF226" s="394"/>
      <c r="OG226" s="394"/>
      <c r="OH226" s="394"/>
      <c r="OI226" s="394"/>
      <c r="OJ226" s="394"/>
      <c r="OK226" s="394"/>
      <c r="OL226" s="394"/>
      <c r="OM226" s="394"/>
      <c r="ON226" s="394"/>
      <c r="OO226" s="394"/>
      <c r="OP226" s="394"/>
      <c r="OQ226" s="394"/>
      <c r="OR226" s="394"/>
      <c r="OS226" s="394"/>
      <c r="OT226" s="394"/>
      <c r="OU226" s="394"/>
      <c r="OV226" s="394"/>
      <c r="OW226" s="394"/>
      <c r="OX226" s="394"/>
      <c r="OY226" s="394"/>
      <c r="OZ226" s="394"/>
      <c r="PA226" s="394"/>
      <c r="PB226" s="394"/>
      <c r="PC226" s="394"/>
      <c r="PD226" s="394"/>
      <c r="PE226" s="394"/>
      <c r="PF226" s="394"/>
      <c r="PG226" s="394"/>
      <c r="PH226" s="394"/>
      <c r="PI226" s="394"/>
      <c r="PJ226" s="394"/>
      <c r="PK226" s="394"/>
      <c r="PL226" s="394"/>
      <c r="PM226" s="394"/>
      <c r="PN226" s="394"/>
      <c r="PO226" s="394"/>
      <c r="PP226" s="394"/>
      <c r="PQ226" s="394"/>
      <c r="PR226" s="394"/>
      <c r="PS226" s="394"/>
      <c r="PT226" s="394"/>
      <c r="PU226" s="394"/>
      <c r="PV226" s="394"/>
      <c r="PW226" s="394"/>
      <c r="PX226" s="394"/>
      <c r="PY226" s="394"/>
      <c r="PZ226" s="394"/>
      <c r="QA226" s="394"/>
      <c r="QB226" s="394"/>
      <c r="QC226" s="394"/>
      <c r="QD226" s="394"/>
      <c r="QE226" s="394"/>
      <c r="QF226" s="394"/>
      <c r="QG226" s="394"/>
      <c r="QH226" s="394"/>
      <c r="QI226" s="394"/>
      <c r="QJ226" s="394"/>
      <c r="QK226" s="394"/>
      <c r="QL226" s="394"/>
      <c r="QM226" s="394"/>
      <c r="QN226" s="394"/>
      <c r="QO226" s="394"/>
      <c r="QP226" s="394"/>
      <c r="QQ226" s="394"/>
      <c r="QR226" s="394"/>
      <c r="QS226" s="394"/>
      <c r="QT226" s="394"/>
      <c r="QU226" s="394"/>
      <c r="QV226" s="394"/>
      <c r="QW226" s="394"/>
      <c r="QX226" s="394"/>
      <c r="QY226" s="394"/>
      <c r="QZ226" s="394"/>
      <c r="RA226" s="394"/>
      <c r="RB226" s="394"/>
      <c r="RC226" s="394"/>
      <c r="RD226" s="394"/>
      <c r="RE226" s="394"/>
      <c r="RF226" s="394"/>
      <c r="RG226" s="394"/>
      <c r="RH226" s="394"/>
      <c r="RI226" s="394"/>
      <c r="RJ226" s="394"/>
      <c r="RK226" s="394"/>
      <c r="RL226" s="394"/>
      <c r="RM226" s="394"/>
      <c r="RN226" s="394"/>
      <c r="RO226" s="394"/>
      <c r="RP226" s="394"/>
      <c r="RQ226" s="394"/>
      <c r="RR226" s="394"/>
      <c r="RS226" s="394"/>
      <c r="RT226" s="394"/>
      <c r="RU226" s="394"/>
      <c r="RV226" s="394"/>
      <c r="RW226" s="394"/>
      <c r="RX226" s="394"/>
      <c r="RY226" s="394"/>
      <c r="RZ226" s="394"/>
      <c r="SA226" s="394"/>
      <c r="SB226" s="394"/>
      <c r="SC226" s="394"/>
      <c r="SD226" s="394"/>
      <c r="SE226" s="394"/>
      <c r="SF226" s="394"/>
      <c r="SG226" s="394"/>
      <c r="SH226" s="394"/>
      <c r="SI226" s="394"/>
      <c r="SJ226" s="394"/>
      <c r="SK226" s="394"/>
      <c r="SL226" s="394"/>
      <c r="SM226" s="394"/>
      <c r="SN226" s="394"/>
      <c r="SO226" s="394"/>
      <c r="SP226" s="394"/>
      <c r="SQ226" s="394"/>
      <c r="SR226" s="394"/>
      <c r="SS226" s="394"/>
      <c r="ST226" s="394"/>
      <c r="SU226" s="394"/>
      <c r="SV226" s="394"/>
      <c r="SW226" s="394"/>
      <c r="SX226" s="394"/>
      <c r="SY226" s="394"/>
      <c r="SZ226" s="394"/>
      <c r="TA226" s="394"/>
      <c r="TB226" s="394"/>
      <c r="TC226" s="394"/>
      <c r="TD226" s="394"/>
      <c r="TE226" s="394"/>
      <c r="TF226" s="394"/>
      <c r="TG226" s="394"/>
      <c r="TH226" s="394"/>
      <c r="TI226" s="394"/>
      <c r="TJ226" s="394"/>
      <c r="TK226" s="394"/>
      <c r="TL226" s="394"/>
      <c r="TM226" s="394"/>
      <c r="TN226" s="394"/>
      <c r="TO226" s="394"/>
      <c r="TP226" s="394"/>
      <c r="TQ226" s="394"/>
      <c r="TR226" s="394"/>
      <c r="TS226" s="394"/>
      <c r="TT226" s="394"/>
      <c r="TU226" s="394"/>
      <c r="TV226" s="394"/>
      <c r="TW226" s="394"/>
      <c r="TX226" s="394"/>
      <c r="TY226" s="394"/>
      <c r="TZ226" s="394"/>
      <c r="UA226" s="394"/>
      <c r="UB226" s="394"/>
      <c r="UC226" s="394"/>
      <c r="UD226" s="394"/>
      <c r="UE226" s="394"/>
      <c r="UF226" s="394"/>
      <c r="UG226" s="394"/>
      <c r="UH226" s="394"/>
      <c r="UI226" s="394"/>
      <c r="UJ226" s="394"/>
      <c r="UK226" s="394"/>
      <c r="UL226" s="394"/>
      <c r="UM226" s="394"/>
      <c r="UN226" s="394"/>
      <c r="UO226" s="394"/>
      <c r="UP226" s="394"/>
      <c r="UQ226" s="394"/>
      <c r="UR226" s="394"/>
      <c r="US226" s="394"/>
      <c r="UT226" s="394"/>
      <c r="UU226" s="394"/>
      <c r="UV226" s="394"/>
      <c r="UW226" s="394"/>
      <c r="UX226" s="394"/>
      <c r="UY226" s="394"/>
      <c r="UZ226" s="394"/>
      <c r="VA226" s="394"/>
      <c r="VB226" s="394"/>
      <c r="VC226" s="394"/>
      <c r="VD226" s="394"/>
      <c r="VE226" s="394"/>
      <c r="VF226" s="394"/>
      <c r="VG226" s="394"/>
      <c r="VH226" s="394"/>
      <c r="VI226" s="394"/>
      <c r="VJ226" s="394"/>
      <c r="VK226" s="394"/>
      <c r="VL226" s="394"/>
      <c r="VM226" s="394"/>
      <c r="VN226" s="394"/>
      <c r="VO226" s="394"/>
      <c r="VP226" s="394"/>
      <c r="VQ226" s="394"/>
      <c r="VR226" s="394"/>
      <c r="VS226" s="394"/>
      <c r="VT226" s="394"/>
      <c r="VU226" s="394"/>
      <c r="VV226" s="394"/>
      <c r="VW226" s="394"/>
      <c r="VX226" s="394"/>
      <c r="VY226" s="394"/>
      <c r="VZ226" s="394"/>
      <c r="WA226" s="394"/>
      <c r="WB226" s="394"/>
      <c r="WC226" s="394"/>
      <c r="WD226" s="394"/>
      <c r="WE226" s="394"/>
      <c r="WF226" s="394"/>
      <c r="WG226" s="394"/>
      <c r="WH226" s="394"/>
      <c r="WI226" s="394"/>
      <c r="WJ226" s="394"/>
      <c r="WK226" s="394"/>
      <c r="WL226" s="394"/>
      <c r="WM226" s="394"/>
      <c r="WN226" s="394"/>
      <c r="WO226" s="394"/>
      <c r="WP226" s="394"/>
      <c r="WQ226" s="394"/>
      <c r="WR226" s="394"/>
      <c r="WS226" s="394"/>
      <c r="WT226" s="394"/>
      <c r="WU226" s="394"/>
      <c r="WV226" s="394"/>
      <c r="WW226" s="394"/>
      <c r="WX226" s="394"/>
      <c r="WY226" s="394"/>
      <c r="WZ226" s="394"/>
      <c r="XA226" s="394"/>
      <c r="XB226" s="394"/>
      <c r="XC226" s="394"/>
      <c r="XD226" s="394"/>
      <c r="XE226" s="394"/>
      <c r="XF226" s="394"/>
      <c r="XG226" s="394"/>
      <c r="XH226" s="394"/>
      <c r="XI226" s="394"/>
      <c r="XJ226" s="394"/>
      <c r="XK226" s="394"/>
      <c r="XL226" s="394"/>
      <c r="XM226" s="394"/>
      <c r="XN226" s="394"/>
      <c r="XO226" s="394"/>
      <c r="XP226" s="394"/>
      <c r="XQ226" s="394"/>
      <c r="XR226" s="394"/>
      <c r="XS226" s="394"/>
      <c r="XT226" s="394"/>
      <c r="XU226" s="394"/>
      <c r="XV226" s="394"/>
      <c r="XW226" s="394"/>
      <c r="XX226" s="394"/>
      <c r="XY226" s="394"/>
      <c r="XZ226" s="394"/>
      <c r="YA226" s="394"/>
      <c r="YB226" s="394"/>
      <c r="YC226" s="394"/>
      <c r="YD226" s="394"/>
      <c r="YE226" s="394"/>
      <c r="YF226" s="394"/>
      <c r="YG226" s="394"/>
      <c r="YH226" s="394"/>
      <c r="YI226" s="394"/>
      <c r="YJ226" s="394"/>
      <c r="YK226" s="394"/>
      <c r="YL226" s="394"/>
      <c r="YM226" s="394"/>
      <c r="YN226" s="394"/>
      <c r="YO226" s="394"/>
      <c r="YP226" s="394"/>
      <c r="YQ226" s="394"/>
      <c r="YR226" s="394"/>
      <c r="YS226" s="394"/>
      <c r="YT226" s="394"/>
      <c r="YU226" s="394"/>
      <c r="YV226" s="394"/>
      <c r="YW226" s="394"/>
      <c r="YX226" s="394"/>
      <c r="YY226" s="394"/>
      <c r="YZ226" s="394"/>
      <c r="ZA226" s="394"/>
      <c r="ZB226" s="394"/>
      <c r="ZC226" s="394"/>
      <c r="ZD226" s="394"/>
      <c r="ZE226" s="394"/>
      <c r="ZF226" s="394"/>
      <c r="ZG226" s="394"/>
      <c r="ZH226" s="394"/>
      <c r="ZI226" s="394"/>
      <c r="ZJ226" s="394"/>
      <c r="ZK226" s="394"/>
      <c r="ZL226" s="394"/>
      <c r="ZM226" s="394"/>
      <c r="ZN226" s="394"/>
      <c r="ZO226" s="394"/>
      <c r="ZP226" s="394"/>
      <c r="ZQ226" s="394"/>
      <c r="ZR226" s="394"/>
      <c r="ZS226" s="394"/>
      <c r="ZT226" s="394"/>
      <c r="ZU226" s="394"/>
      <c r="ZV226" s="394"/>
      <c r="ZW226" s="394"/>
      <c r="ZX226" s="394"/>
      <c r="ZY226" s="394"/>
      <c r="ZZ226" s="394"/>
      <c r="AAA226" s="394"/>
      <c r="AAB226" s="394"/>
      <c r="AAC226" s="394"/>
      <c r="AAD226" s="394"/>
      <c r="AAE226" s="394"/>
      <c r="AAF226" s="394"/>
      <c r="AAG226" s="394"/>
      <c r="AAH226" s="394"/>
      <c r="AAI226" s="394"/>
      <c r="AAJ226" s="394"/>
      <c r="AAK226" s="394"/>
      <c r="AAL226" s="394"/>
      <c r="AAM226" s="394"/>
      <c r="AAN226" s="394"/>
      <c r="AAO226" s="394"/>
      <c r="AAP226" s="394"/>
      <c r="AAQ226" s="394"/>
      <c r="AAR226" s="394"/>
      <c r="AAS226" s="394"/>
      <c r="AAT226" s="394"/>
      <c r="AAU226" s="394"/>
      <c r="AAV226" s="394"/>
      <c r="AAW226" s="394"/>
      <c r="AAX226" s="394"/>
      <c r="AAY226" s="394"/>
      <c r="AAZ226" s="394"/>
      <c r="ABA226" s="394"/>
      <c r="ABB226" s="394"/>
      <c r="ABC226" s="394"/>
      <c r="ABD226" s="394"/>
      <c r="ABE226" s="394"/>
      <c r="ABF226" s="394"/>
      <c r="ABG226" s="394"/>
      <c r="ABH226" s="394"/>
      <c r="ABI226" s="394"/>
      <c r="ABJ226" s="394"/>
      <c r="ABK226" s="394"/>
      <c r="ABL226" s="394"/>
      <c r="ABM226" s="394"/>
      <c r="ABN226" s="394"/>
      <c r="ABO226" s="394"/>
      <c r="ABP226" s="394"/>
      <c r="ABQ226" s="394"/>
      <c r="ABR226" s="394"/>
      <c r="ABS226" s="394"/>
      <c r="ABT226" s="394"/>
      <c r="ABU226" s="394"/>
      <c r="ABV226" s="394"/>
      <c r="ABW226" s="394"/>
      <c r="ABX226" s="394"/>
      <c r="ABY226" s="394"/>
      <c r="ABZ226" s="394"/>
      <c r="ACA226" s="394"/>
      <c r="ACB226" s="394"/>
      <c r="ACC226" s="394"/>
      <c r="ACD226" s="394"/>
      <c r="ACE226" s="394"/>
      <c r="ACF226" s="394"/>
      <c r="ACG226" s="394"/>
      <c r="ACH226" s="394"/>
      <c r="ACI226" s="394"/>
      <c r="ACJ226" s="394"/>
      <c r="ACK226" s="394"/>
      <c r="ACL226" s="394"/>
      <c r="ACM226" s="394"/>
      <c r="ACN226" s="394"/>
      <c r="ACO226" s="394"/>
      <c r="ACP226" s="394"/>
      <c r="ACQ226" s="394"/>
      <c r="ACR226" s="394"/>
      <c r="ACS226" s="394"/>
      <c r="ACT226" s="394"/>
      <c r="ACU226" s="394"/>
      <c r="ACV226" s="394"/>
      <c r="ACW226" s="394"/>
      <c r="ACX226" s="394"/>
      <c r="ACY226" s="394"/>
      <c r="ACZ226" s="394"/>
      <c r="ADA226" s="394"/>
      <c r="ADB226" s="394"/>
      <c r="ADC226" s="394"/>
      <c r="ADD226" s="394"/>
      <c r="ADE226" s="394"/>
      <c r="ADF226" s="394"/>
      <c r="ADG226" s="394"/>
      <c r="ADH226" s="394"/>
      <c r="ADI226" s="394"/>
      <c r="ADJ226" s="394"/>
      <c r="ADK226" s="394"/>
      <c r="ADL226" s="394"/>
      <c r="ADM226" s="394"/>
      <c r="ADN226" s="394"/>
      <c r="ADO226" s="394"/>
      <c r="ADP226" s="394"/>
      <c r="ADQ226" s="394"/>
      <c r="ADR226" s="394"/>
      <c r="ADS226" s="394"/>
      <c r="ADT226" s="394"/>
      <c r="ADU226" s="394"/>
      <c r="ADV226" s="394"/>
      <c r="ADW226" s="394"/>
      <c r="ADX226" s="394"/>
      <c r="ADY226" s="394"/>
      <c r="ADZ226" s="394"/>
      <c r="AEA226" s="394"/>
      <c r="AEB226" s="394"/>
      <c r="AEC226" s="394"/>
      <c r="AED226" s="394"/>
      <c r="AEE226" s="394"/>
      <c r="AEF226" s="394"/>
      <c r="AEG226" s="394"/>
      <c r="AEH226" s="394"/>
      <c r="AEI226" s="394"/>
      <c r="AEJ226" s="394"/>
      <c r="AEK226" s="394"/>
      <c r="AEL226" s="394"/>
      <c r="AEM226" s="394"/>
      <c r="AEN226" s="394"/>
      <c r="AEO226" s="394"/>
      <c r="AEP226" s="394"/>
      <c r="AEQ226" s="394"/>
      <c r="AER226" s="394"/>
      <c r="AES226" s="394"/>
      <c r="AET226" s="394"/>
      <c r="AEU226" s="394"/>
      <c r="AEV226" s="394"/>
      <c r="AEW226" s="394"/>
      <c r="AEX226" s="394"/>
      <c r="AEY226" s="394"/>
      <c r="AEZ226" s="394"/>
      <c r="AFA226" s="394"/>
      <c r="AFB226" s="394"/>
      <c r="AFC226" s="394"/>
      <c r="AFD226" s="394"/>
      <c r="AFE226" s="394"/>
      <c r="AFF226" s="394"/>
      <c r="AFG226" s="394"/>
      <c r="AFH226" s="394"/>
      <c r="AFI226" s="394"/>
      <c r="AFJ226" s="394"/>
      <c r="AFK226" s="394"/>
      <c r="AFL226" s="394"/>
      <c r="AFM226" s="394"/>
      <c r="AFN226" s="394"/>
      <c r="AFO226" s="394"/>
      <c r="AFP226" s="394"/>
      <c r="AFQ226" s="394"/>
      <c r="AFR226" s="394"/>
      <c r="AFS226" s="394"/>
      <c r="AFT226" s="394"/>
      <c r="AFU226" s="394"/>
      <c r="AFV226" s="394"/>
      <c r="AFW226" s="394"/>
      <c r="AFX226" s="394"/>
      <c r="AFY226" s="394"/>
      <c r="AFZ226" s="394"/>
      <c r="AGA226" s="394"/>
      <c r="AGB226" s="394"/>
      <c r="AGC226" s="394"/>
      <c r="AGD226" s="394"/>
      <c r="AGE226" s="394"/>
      <c r="AGF226" s="394"/>
      <c r="AGG226" s="394"/>
      <c r="AGH226" s="394"/>
      <c r="AGI226" s="394"/>
      <c r="AGJ226" s="394"/>
      <c r="AGK226" s="394"/>
      <c r="AGL226" s="394"/>
      <c r="AGM226" s="394"/>
      <c r="AGN226" s="394"/>
      <c r="AGO226" s="394"/>
      <c r="AGP226" s="394"/>
      <c r="AGQ226" s="394"/>
      <c r="AGR226" s="394"/>
      <c r="AGS226" s="394"/>
      <c r="AGT226" s="394"/>
      <c r="AGU226" s="394"/>
      <c r="AGV226" s="394"/>
      <c r="AGW226" s="394"/>
      <c r="AGX226" s="394"/>
      <c r="AGY226" s="394"/>
      <c r="AGZ226" s="394"/>
      <c r="AHA226" s="394"/>
      <c r="AHB226" s="394"/>
      <c r="AHC226" s="394"/>
      <c r="AHD226" s="394"/>
      <c r="AHE226" s="394"/>
      <c r="AHF226" s="394"/>
      <c r="AHG226" s="394"/>
      <c r="AHH226" s="394"/>
      <c r="AHI226" s="394"/>
      <c r="AHJ226" s="394"/>
      <c r="AHK226" s="394"/>
      <c r="AHL226" s="394"/>
      <c r="AHM226" s="394"/>
      <c r="AHN226" s="394"/>
      <c r="AHO226" s="394"/>
      <c r="AHP226" s="394"/>
      <c r="AHQ226" s="394"/>
      <c r="AHR226" s="394"/>
      <c r="AHS226" s="394"/>
      <c r="AHT226" s="394"/>
      <c r="AHU226" s="394"/>
      <c r="AHV226" s="394"/>
      <c r="AHW226" s="394"/>
      <c r="AHX226" s="394"/>
      <c r="AHY226" s="394"/>
      <c r="AHZ226" s="394"/>
      <c r="AIA226" s="394"/>
      <c r="AIB226" s="394"/>
      <c r="AIC226" s="394"/>
      <c r="AID226" s="394"/>
      <c r="AIE226" s="394"/>
      <c r="AIF226" s="394"/>
      <c r="AIG226" s="394"/>
      <c r="AIH226" s="394"/>
      <c r="AII226" s="394"/>
      <c r="AIJ226" s="394"/>
      <c r="AIK226" s="394"/>
      <c r="AIL226" s="394"/>
      <c r="AIM226" s="394"/>
      <c r="AIN226" s="394"/>
      <c r="AIO226" s="394"/>
      <c r="AIP226" s="394"/>
      <c r="AIQ226" s="394"/>
      <c r="AIR226" s="394"/>
      <c r="AIS226" s="394"/>
      <c r="AIT226" s="394"/>
      <c r="AIU226" s="394"/>
      <c r="AIV226" s="394"/>
      <c r="AIW226" s="394"/>
      <c r="AIX226" s="394"/>
      <c r="AIY226" s="394"/>
      <c r="AIZ226" s="394"/>
      <c r="AJA226" s="394"/>
      <c r="AJB226" s="394"/>
      <c r="AJC226" s="394"/>
      <c r="AJD226" s="394"/>
      <c r="AJE226" s="394"/>
      <c r="AJF226" s="394"/>
      <c r="AJG226" s="394"/>
      <c r="AJH226" s="394"/>
      <c r="AJI226" s="394"/>
      <c r="AJJ226" s="394"/>
      <c r="AJK226" s="394"/>
      <c r="AJL226" s="394"/>
      <c r="AJM226" s="394"/>
      <c r="AJN226" s="394"/>
      <c r="AJO226" s="394"/>
      <c r="AJP226" s="394"/>
      <c r="AJQ226" s="394"/>
      <c r="AJR226" s="394"/>
      <c r="AJS226" s="394"/>
      <c r="AJT226" s="394"/>
      <c r="AJU226" s="394"/>
      <c r="AJV226" s="394"/>
      <c r="AJW226" s="394"/>
      <c r="AJX226" s="394"/>
      <c r="AJY226" s="394"/>
      <c r="AJZ226" s="394"/>
      <c r="AKA226" s="394"/>
      <c r="AKB226" s="394"/>
      <c r="AKC226" s="394"/>
      <c r="AKD226" s="394"/>
      <c r="AKE226" s="394"/>
      <c r="AKF226" s="394"/>
      <c r="AKG226" s="394"/>
      <c r="AKH226" s="394"/>
      <c r="AKI226" s="394"/>
      <c r="AKJ226" s="394"/>
      <c r="AKK226" s="394"/>
      <c r="AKL226" s="394"/>
      <c r="AKM226" s="394"/>
      <c r="AKN226" s="394"/>
      <c r="AKO226" s="394"/>
      <c r="AKP226" s="394"/>
      <c r="AKQ226" s="394"/>
      <c r="AKR226" s="394"/>
      <c r="AKS226" s="394"/>
      <c r="AKT226" s="394"/>
      <c r="AKU226" s="394"/>
      <c r="AKV226" s="394"/>
      <c r="AKW226" s="394"/>
      <c r="AKX226" s="394"/>
      <c r="AKY226" s="394"/>
      <c r="AKZ226" s="394"/>
      <c r="ALA226" s="394"/>
      <c r="ALB226" s="394"/>
      <c r="ALC226" s="394"/>
      <c r="ALD226" s="394"/>
      <c r="ALE226" s="394"/>
      <c r="ALF226" s="394"/>
      <c r="ALG226" s="394"/>
      <c r="ALH226" s="394"/>
      <c r="ALI226" s="394"/>
      <c r="ALJ226" s="394"/>
      <c r="ALK226" s="394"/>
      <c r="ALL226" s="394"/>
      <c r="ALM226" s="394"/>
      <c r="ALN226" s="394"/>
      <c r="ALO226" s="394"/>
      <c r="ALP226" s="394"/>
      <c r="ALQ226" s="394"/>
      <c r="ALR226" s="394"/>
      <c r="ALS226" s="394"/>
      <c r="ALT226" s="394"/>
      <c r="ALU226" s="394"/>
      <c r="ALV226" s="394"/>
      <c r="ALW226" s="394"/>
      <c r="ALX226" s="394"/>
      <c r="ALY226" s="394"/>
      <c r="ALZ226" s="394"/>
      <c r="AMA226" s="394"/>
      <c r="AMB226" s="394"/>
      <c r="AMC226" s="394"/>
      <c r="AMD226" s="394"/>
      <c r="AME226" s="394"/>
      <c r="AMF226" s="394"/>
      <c r="AMG226" s="394"/>
      <c r="AMH226" s="394"/>
      <c r="AMI226" s="394"/>
      <c r="AMJ226" s="394"/>
      <c r="AMK226" s="394"/>
      <c r="AML226" s="394"/>
      <c r="AMM226" s="394"/>
      <c r="AMN226" s="394"/>
      <c r="AMO226" s="394"/>
      <c r="AMP226" s="394"/>
      <c r="AMQ226" s="394"/>
      <c r="AMR226" s="394"/>
      <c r="AMS226" s="394"/>
      <c r="AMT226" s="394"/>
      <c r="AMU226" s="394"/>
      <c r="AMV226" s="394"/>
      <c r="AMW226" s="394"/>
      <c r="AMX226" s="394"/>
      <c r="AMY226" s="394"/>
      <c r="AMZ226" s="394"/>
      <c r="ANA226" s="394"/>
      <c r="ANB226" s="394"/>
      <c r="ANC226" s="394"/>
      <c r="AND226" s="394"/>
      <c r="ANE226" s="394"/>
      <c r="ANF226" s="394"/>
      <c r="ANG226" s="394"/>
      <c r="ANH226" s="394"/>
      <c r="ANI226" s="394"/>
      <c r="ANJ226" s="394"/>
      <c r="ANK226" s="394"/>
      <c r="ANL226" s="394"/>
      <c r="ANM226" s="394"/>
      <c r="ANN226" s="394"/>
      <c r="ANO226" s="394"/>
      <c r="ANP226" s="394"/>
      <c r="ANQ226" s="394"/>
      <c r="ANR226" s="394"/>
      <c r="ANS226" s="394"/>
      <c r="ANT226" s="394"/>
      <c r="ANU226" s="394"/>
      <c r="ANV226" s="394"/>
      <c r="ANW226" s="394"/>
      <c r="ANX226" s="394"/>
      <c r="ANY226" s="394"/>
      <c r="ANZ226" s="394"/>
      <c r="AOA226" s="394"/>
      <c r="AOB226" s="394"/>
      <c r="AOC226" s="394"/>
      <c r="AOD226" s="394"/>
      <c r="AOE226" s="394"/>
      <c r="AOF226" s="394"/>
      <c r="AOG226" s="394"/>
      <c r="AOH226" s="394"/>
      <c r="AOI226" s="394"/>
      <c r="AOJ226" s="394"/>
      <c r="AOK226" s="394"/>
      <c r="AOL226" s="394"/>
      <c r="AOM226" s="394"/>
      <c r="AON226" s="394"/>
      <c r="AOO226" s="394"/>
      <c r="AOP226" s="394"/>
      <c r="AOQ226" s="394"/>
      <c r="AOR226" s="394"/>
      <c r="AOS226" s="394"/>
      <c r="AOT226" s="394"/>
      <c r="AOU226" s="394"/>
      <c r="AOV226" s="394"/>
      <c r="AOW226" s="394"/>
      <c r="AOX226" s="394"/>
      <c r="AOY226" s="394"/>
      <c r="AOZ226" s="394"/>
      <c r="APA226" s="394"/>
      <c r="APB226" s="394"/>
      <c r="APC226" s="394"/>
      <c r="APD226" s="394"/>
      <c r="APE226" s="394"/>
      <c r="APF226" s="394"/>
      <c r="APG226" s="394"/>
      <c r="APH226" s="394"/>
      <c r="API226" s="394"/>
      <c r="APJ226" s="394"/>
      <c r="APK226" s="394"/>
      <c r="APL226" s="394"/>
      <c r="APM226" s="394"/>
      <c r="APN226" s="394"/>
      <c r="APO226" s="394"/>
      <c r="APP226" s="394"/>
      <c r="APQ226" s="394"/>
      <c r="APR226" s="394"/>
      <c r="APS226" s="394"/>
      <c r="APT226" s="394"/>
      <c r="APU226" s="394"/>
      <c r="APV226" s="394"/>
      <c r="APW226" s="394"/>
      <c r="APX226" s="394"/>
      <c r="APY226" s="394"/>
      <c r="APZ226" s="394"/>
      <c r="AQA226" s="394"/>
      <c r="AQB226" s="394"/>
      <c r="AQC226" s="394"/>
      <c r="AQD226" s="394"/>
      <c r="AQE226" s="394"/>
      <c r="AQF226" s="394"/>
      <c r="AQG226" s="394"/>
      <c r="AQH226" s="394"/>
      <c r="AQI226" s="394"/>
      <c r="AQJ226" s="394"/>
      <c r="AQK226" s="394"/>
      <c r="AQL226" s="394"/>
      <c r="AQM226" s="394"/>
      <c r="AQN226" s="394"/>
      <c r="AQO226" s="394"/>
      <c r="AQP226" s="394"/>
      <c r="AQQ226" s="394"/>
      <c r="AQR226" s="394"/>
      <c r="AQS226" s="394"/>
      <c r="AQT226" s="394"/>
      <c r="AQU226" s="394"/>
      <c r="AQV226" s="394"/>
      <c r="AQW226" s="394"/>
      <c r="AQX226" s="394"/>
      <c r="AQY226" s="394"/>
      <c r="AQZ226" s="394"/>
      <c r="ARA226" s="394"/>
      <c r="ARB226" s="394"/>
      <c r="ARC226" s="394"/>
      <c r="ARD226" s="394"/>
      <c r="ARE226" s="394"/>
      <c r="ARF226" s="394"/>
      <c r="ARG226" s="394"/>
      <c r="ARH226" s="394"/>
      <c r="ARI226" s="394"/>
      <c r="ARJ226" s="394"/>
      <c r="ARK226" s="394"/>
      <c r="ARL226" s="394"/>
      <c r="ARM226" s="394"/>
      <c r="ARN226" s="394"/>
      <c r="ARO226" s="394"/>
      <c r="ARP226" s="394"/>
      <c r="ARQ226" s="394"/>
      <c r="ARR226" s="394"/>
      <c r="ARS226" s="394"/>
      <c r="ART226" s="394"/>
      <c r="ARU226" s="394"/>
      <c r="ARV226" s="394"/>
      <c r="ARW226" s="394"/>
      <c r="ARX226" s="394"/>
      <c r="ARY226" s="394"/>
      <c r="ARZ226" s="394"/>
      <c r="ASA226" s="394"/>
      <c r="ASB226" s="394"/>
      <c r="ASC226" s="394"/>
      <c r="ASD226" s="394"/>
      <c r="ASE226" s="394"/>
      <c r="ASF226" s="394"/>
      <c r="ASG226" s="394"/>
      <c r="ASH226" s="394"/>
      <c r="ASI226" s="394"/>
      <c r="ASJ226" s="394"/>
      <c r="ASK226" s="394"/>
      <c r="ASL226" s="394"/>
      <c r="ASM226" s="394"/>
      <c r="ASN226" s="394"/>
      <c r="ASO226" s="394"/>
      <c r="ASP226" s="394"/>
      <c r="ASQ226" s="394"/>
      <c r="ASR226" s="394"/>
      <c r="ASS226" s="394"/>
      <c r="AST226" s="394"/>
      <c r="ASU226" s="394"/>
      <c r="ASV226" s="394"/>
      <c r="ASW226" s="394"/>
      <c r="ASX226" s="394"/>
      <c r="ASY226" s="394"/>
      <c r="ASZ226" s="394"/>
      <c r="ATA226" s="394"/>
      <c r="ATB226" s="394"/>
      <c r="ATC226" s="394"/>
      <c r="ATD226" s="394"/>
      <c r="ATE226" s="394"/>
      <c r="ATF226" s="394"/>
      <c r="ATG226" s="394"/>
      <c r="ATH226" s="394"/>
      <c r="ATI226" s="394"/>
      <c r="ATJ226" s="394"/>
      <c r="ATK226" s="394"/>
      <c r="ATL226" s="394"/>
      <c r="ATM226" s="394"/>
      <c r="ATN226" s="394"/>
      <c r="ATO226" s="394"/>
      <c r="ATP226" s="394"/>
      <c r="ATQ226" s="394"/>
      <c r="ATR226" s="394"/>
      <c r="ATS226" s="394"/>
      <c r="ATT226" s="394"/>
      <c r="ATU226" s="394"/>
      <c r="ATV226" s="394"/>
      <c r="ATW226" s="394"/>
      <c r="ATX226" s="394"/>
      <c r="ATY226" s="394"/>
      <c r="ATZ226" s="394"/>
      <c r="AUA226" s="394"/>
      <c r="AUB226" s="394"/>
      <c r="AUC226" s="394"/>
      <c r="AUD226" s="394"/>
      <c r="AUE226" s="394"/>
      <c r="AUF226" s="394"/>
      <c r="AUG226" s="394"/>
      <c r="AUH226" s="394"/>
      <c r="AUI226" s="394"/>
      <c r="AUJ226" s="394"/>
      <c r="AUK226" s="394"/>
      <c r="AUL226" s="394"/>
      <c r="AUM226" s="394"/>
      <c r="AUN226" s="394"/>
      <c r="AUO226" s="394"/>
      <c r="AUP226" s="394"/>
      <c r="AUQ226" s="394"/>
      <c r="AUR226" s="394"/>
      <c r="AUS226" s="394"/>
      <c r="AUT226" s="394"/>
      <c r="AUU226" s="394"/>
      <c r="AUV226" s="394"/>
      <c r="AUW226" s="394"/>
      <c r="AUX226" s="394"/>
      <c r="AUY226" s="394"/>
      <c r="AUZ226" s="394"/>
      <c r="AVA226" s="394"/>
      <c r="AVB226" s="394"/>
      <c r="AVC226" s="394"/>
      <c r="AVD226" s="394"/>
      <c r="AVE226" s="394"/>
      <c r="AVF226" s="394"/>
      <c r="AVG226" s="394"/>
      <c r="AVH226" s="394"/>
      <c r="AVI226" s="394"/>
      <c r="AVJ226" s="394"/>
      <c r="AVK226" s="394"/>
      <c r="AVL226" s="394"/>
      <c r="AVM226" s="394"/>
      <c r="AVN226" s="394"/>
      <c r="AVO226" s="394"/>
      <c r="AVP226" s="394"/>
      <c r="AVQ226" s="394"/>
      <c r="AVR226" s="394"/>
      <c r="AVS226" s="394"/>
      <c r="AVT226" s="394"/>
      <c r="AVU226" s="394"/>
      <c r="AVV226" s="394"/>
      <c r="AVW226" s="394"/>
      <c r="AVX226" s="394"/>
      <c r="AVY226" s="394"/>
      <c r="AVZ226" s="394"/>
      <c r="AWA226" s="394"/>
      <c r="AWB226" s="394"/>
      <c r="AWC226" s="394"/>
      <c r="AWD226" s="394"/>
      <c r="AWE226" s="394"/>
      <c r="AWF226" s="394"/>
      <c r="AWG226" s="394"/>
      <c r="AWH226" s="394"/>
      <c r="AWI226" s="394"/>
      <c r="AWJ226" s="394"/>
      <c r="AWK226" s="394"/>
      <c r="AWL226" s="394"/>
      <c r="AWM226" s="394"/>
      <c r="AWN226" s="394"/>
      <c r="AWO226" s="394"/>
      <c r="AWP226" s="394"/>
      <c r="AWQ226" s="394"/>
      <c r="AWR226" s="394"/>
      <c r="AWS226" s="394"/>
      <c r="AWT226" s="394"/>
      <c r="AWU226" s="394"/>
      <c r="AWV226" s="394"/>
      <c r="AWW226" s="394"/>
      <c r="AWX226" s="394"/>
      <c r="AWY226" s="394"/>
      <c r="AWZ226" s="394"/>
      <c r="AXA226" s="394"/>
      <c r="AXB226" s="394"/>
      <c r="AXC226" s="394"/>
      <c r="AXD226" s="394"/>
      <c r="AXE226" s="394"/>
      <c r="AXF226" s="394"/>
      <c r="AXG226" s="394"/>
      <c r="AXH226" s="394"/>
      <c r="AXI226" s="394"/>
      <c r="AXJ226" s="394"/>
      <c r="AXK226" s="394"/>
      <c r="AXL226" s="394"/>
      <c r="AXM226" s="394"/>
      <c r="AXN226" s="394"/>
      <c r="AXO226" s="394"/>
      <c r="AXP226" s="394"/>
      <c r="AXQ226" s="394"/>
      <c r="AXR226" s="394"/>
      <c r="AXS226" s="394"/>
      <c r="AXT226" s="394"/>
      <c r="AXU226" s="394"/>
      <c r="AXV226" s="394"/>
      <c r="AXW226" s="394"/>
      <c r="AXX226" s="394"/>
      <c r="AXY226" s="394"/>
      <c r="AXZ226" s="394"/>
      <c r="AYA226" s="394"/>
      <c r="AYB226" s="394"/>
      <c r="AYC226" s="394"/>
      <c r="AYD226" s="394"/>
      <c r="AYE226" s="394"/>
      <c r="AYF226" s="394"/>
      <c r="AYG226" s="394"/>
      <c r="AYH226" s="394"/>
      <c r="AYI226" s="394"/>
      <c r="AYJ226" s="394"/>
      <c r="AYK226" s="394"/>
      <c r="AYL226" s="394"/>
      <c r="AYM226" s="394"/>
      <c r="AYN226" s="394"/>
      <c r="AYO226" s="394"/>
      <c r="AYP226" s="394"/>
      <c r="AYQ226" s="394"/>
      <c r="AYR226" s="394"/>
      <c r="AYS226" s="394"/>
      <c r="AYT226" s="394"/>
      <c r="AYU226" s="394"/>
      <c r="AYV226" s="394"/>
      <c r="AYW226" s="394"/>
      <c r="AYX226" s="394"/>
      <c r="AYY226" s="394"/>
      <c r="AYZ226" s="394"/>
      <c r="AZA226" s="394"/>
      <c r="AZB226" s="394"/>
      <c r="AZC226" s="394"/>
      <c r="AZD226" s="394"/>
      <c r="AZE226" s="394"/>
      <c r="AZF226" s="394"/>
      <c r="AZG226" s="394"/>
      <c r="AZH226" s="394"/>
      <c r="AZI226" s="394"/>
      <c r="AZJ226" s="394"/>
      <c r="AZK226" s="394"/>
      <c r="AZL226" s="394"/>
      <c r="AZM226" s="394"/>
      <c r="AZN226" s="394"/>
      <c r="AZO226" s="394"/>
      <c r="AZP226" s="394"/>
      <c r="AZQ226" s="394"/>
      <c r="AZR226" s="394"/>
      <c r="AZS226" s="394"/>
      <c r="AZT226" s="394"/>
      <c r="AZU226" s="394"/>
      <c r="AZV226" s="394"/>
      <c r="AZW226" s="394"/>
      <c r="AZX226" s="394"/>
      <c r="AZY226" s="394"/>
      <c r="AZZ226" s="394"/>
      <c r="BAA226" s="394"/>
      <c r="BAB226" s="394"/>
      <c r="BAC226" s="394"/>
      <c r="BAD226" s="394"/>
      <c r="BAE226" s="394"/>
      <c r="BAF226" s="394"/>
      <c r="BAG226" s="394"/>
      <c r="BAH226" s="394"/>
      <c r="BAI226" s="394"/>
      <c r="BAJ226" s="394"/>
      <c r="BAK226" s="394"/>
      <c r="BAL226" s="394"/>
      <c r="BAM226" s="394"/>
      <c r="BAN226" s="394"/>
      <c r="BAO226" s="394"/>
      <c r="BAP226" s="394"/>
      <c r="BAQ226" s="394"/>
      <c r="BAR226" s="394"/>
      <c r="BAS226" s="394"/>
      <c r="BAT226" s="394"/>
      <c r="BAU226" s="394"/>
      <c r="BAV226" s="394"/>
      <c r="BAW226" s="394"/>
      <c r="BAX226" s="394"/>
      <c r="BAY226" s="394"/>
      <c r="BAZ226" s="394"/>
      <c r="BBA226" s="394"/>
      <c r="BBB226" s="394"/>
      <c r="BBC226" s="394"/>
      <c r="BBD226" s="394"/>
      <c r="BBE226" s="394"/>
      <c r="BBF226" s="394"/>
      <c r="BBG226" s="394"/>
      <c r="BBH226" s="394"/>
      <c r="BBI226" s="394"/>
      <c r="BBJ226" s="394"/>
      <c r="BBK226" s="394"/>
      <c r="BBL226" s="394"/>
      <c r="BBM226" s="394"/>
      <c r="BBN226" s="394"/>
      <c r="BBO226" s="394"/>
      <c r="BBP226" s="394"/>
      <c r="BBQ226" s="394"/>
      <c r="BBR226" s="394"/>
      <c r="BBS226" s="394"/>
      <c r="BBT226" s="394"/>
      <c r="BBU226" s="394"/>
      <c r="BBV226" s="394"/>
      <c r="BBW226" s="394"/>
      <c r="BBX226" s="394"/>
      <c r="BBY226" s="394"/>
      <c r="BBZ226" s="394"/>
      <c r="BCA226" s="394"/>
      <c r="BCB226" s="394"/>
      <c r="BCC226" s="394"/>
      <c r="BCD226" s="394"/>
      <c r="BCE226" s="394"/>
      <c r="BCF226" s="394"/>
      <c r="BCG226" s="394"/>
      <c r="BCH226" s="394"/>
      <c r="BCI226" s="394"/>
      <c r="BCJ226" s="394"/>
      <c r="BCK226" s="394"/>
      <c r="BCL226" s="394"/>
      <c r="BCM226" s="394"/>
      <c r="BCN226" s="394"/>
      <c r="BCO226" s="394"/>
      <c r="BCP226" s="394"/>
      <c r="BCQ226" s="394"/>
      <c r="BCR226" s="394"/>
      <c r="BCS226" s="394"/>
      <c r="BCT226" s="394"/>
      <c r="BCU226" s="394"/>
      <c r="BCV226" s="394"/>
      <c r="BCW226" s="394"/>
      <c r="BCX226" s="394"/>
      <c r="BCY226" s="394"/>
      <c r="BCZ226" s="394"/>
      <c r="BDA226" s="394"/>
      <c r="BDB226" s="394"/>
      <c r="BDC226" s="394"/>
      <c r="BDD226" s="394"/>
      <c r="BDE226" s="394"/>
      <c r="BDF226" s="394"/>
      <c r="BDG226" s="394"/>
      <c r="BDH226" s="394"/>
      <c r="BDI226" s="394"/>
      <c r="BDJ226" s="394"/>
      <c r="BDK226" s="394"/>
      <c r="BDL226" s="394"/>
      <c r="BDM226" s="394"/>
      <c r="BDN226" s="394"/>
      <c r="BDO226" s="394"/>
      <c r="BDP226" s="394"/>
      <c r="BDQ226" s="394"/>
      <c r="BDR226" s="394"/>
      <c r="BDS226" s="394"/>
      <c r="BDT226" s="394"/>
      <c r="BDU226" s="394"/>
      <c r="BDV226" s="394"/>
      <c r="BDW226" s="394"/>
      <c r="BDX226" s="394"/>
      <c r="BDY226" s="394"/>
      <c r="BDZ226" s="394"/>
      <c r="BEA226" s="394"/>
      <c r="BEB226" s="394"/>
      <c r="BEC226" s="394"/>
      <c r="BED226" s="394"/>
      <c r="BEE226" s="394"/>
      <c r="BEF226" s="394"/>
      <c r="BEG226" s="394"/>
      <c r="BEH226" s="394"/>
      <c r="BEI226" s="394"/>
      <c r="BEJ226" s="394"/>
      <c r="BEK226" s="394"/>
      <c r="BEL226" s="394"/>
      <c r="BEM226" s="394"/>
      <c r="BEN226" s="394"/>
      <c r="BEO226" s="394"/>
      <c r="BEP226" s="394"/>
      <c r="BEQ226" s="394"/>
      <c r="BER226" s="394"/>
      <c r="BES226" s="394"/>
      <c r="BET226" s="394"/>
      <c r="BEU226" s="394"/>
      <c r="BEV226" s="394"/>
      <c r="BEW226" s="394"/>
      <c r="BEX226" s="394"/>
      <c r="BEY226" s="394"/>
      <c r="BEZ226" s="394"/>
      <c r="BFA226" s="394"/>
      <c r="BFB226" s="394"/>
      <c r="BFC226" s="394"/>
      <c r="BFD226" s="394"/>
      <c r="BFE226" s="394"/>
      <c r="BFF226" s="394"/>
      <c r="BFG226" s="394"/>
      <c r="BFH226" s="394"/>
      <c r="BFI226" s="394"/>
      <c r="BFJ226" s="394"/>
      <c r="BFK226" s="394"/>
      <c r="BFL226" s="394"/>
      <c r="BFM226" s="394"/>
      <c r="BFN226" s="394"/>
      <c r="BFO226" s="394"/>
      <c r="BFP226" s="394"/>
      <c r="BFQ226" s="394"/>
      <c r="BFR226" s="394"/>
      <c r="BFS226" s="394"/>
      <c r="BFT226" s="394"/>
      <c r="BFU226" s="394"/>
      <c r="BFV226" s="394"/>
      <c r="BFW226" s="394"/>
      <c r="BFX226" s="394"/>
      <c r="BFY226" s="394"/>
      <c r="BFZ226" s="394"/>
      <c r="BGA226" s="394"/>
      <c r="BGB226" s="394"/>
      <c r="BGC226" s="394"/>
      <c r="BGD226" s="394"/>
      <c r="BGE226" s="394"/>
      <c r="BGF226" s="394"/>
      <c r="BGG226" s="394"/>
      <c r="BGH226" s="394"/>
      <c r="BGI226" s="394"/>
      <c r="BGJ226" s="394"/>
      <c r="BGK226" s="394"/>
      <c r="BGL226" s="394"/>
      <c r="BGM226" s="394"/>
      <c r="BGN226" s="394"/>
      <c r="BGO226" s="394"/>
      <c r="BGP226" s="394"/>
      <c r="BGQ226" s="394"/>
      <c r="BGR226" s="394"/>
      <c r="BGS226" s="394"/>
      <c r="BGT226" s="394"/>
      <c r="BGU226" s="394"/>
      <c r="BGV226" s="394"/>
      <c r="BGW226" s="394"/>
      <c r="BGX226" s="394"/>
      <c r="BGY226" s="394"/>
      <c r="BGZ226" s="394"/>
      <c r="BHA226" s="394"/>
      <c r="BHB226" s="394"/>
      <c r="BHC226" s="394"/>
      <c r="BHD226" s="394"/>
      <c r="BHE226" s="394"/>
      <c r="BHF226" s="394"/>
      <c r="BHG226" s="394"/>
      <c r="BHH226" s="394"/>
      <c r="BHI226" s="394"/>
      <c r="BHJ226" s="394"/>
      <c r="BHK226" s="394"/>
      <c r="BHL226" s="394"/>
      <c r="BHM226" s="394"/>
      <c r="BHN226" s="394"/>
      <c r="BHO226" s="394"/>
      <c r="BHP226" s="394"/>
      <c r="BHQ226" s="394"/>
      <c r="BHR226" s="394"/>
      <c r="BHS226" s="394"/>
      <c r="BHT226" s="394"/>
      <c r="BHU226" s="394"/>
      <c r="BHV226" s="394"/>
      <c r="BHW226" s="394"/>
      <c r="BHX226" s="394"/>
      <c r="BHY226" s="394"/>
      <c r="BHZ226" s="394"/>
      <c r="BIA226" s="394"/>
      <c r="BIB226" s="394"/>
      <c r="BIC226" s="394"/>
      <c r="BID226" s="394"/>
      <c r="BIE226" s="394"/>
      <c r="BIF226" s="394"/>
      <c r="BIG226" s="394"/>
      <c r="BIH226" s="394"/>
      <c r="BII226" s="394"/>
      <c r="BIJ226" s="394"/>
      <c r="BIK226" s="394"/>
      <c r="BIL226" s="394"/>
      <c r="BIM226" s="394"/>
      <c r="BIN226" s="394"/>
      <c r="BIO226" s="394"/>
      <c r="BIP226" s="394"/>
      <c r="BIQ226" s="394"/>
      <c r="BIR226" s="394"/>
      <c r="BIS226" s="394"/>
      <c r="BIT226" s="394"/>
      <c r="BIU226" s="394"/>
      <c r="BIV226" s="394"/>
      <c r="BIW226" s="394"/>
      <c r="BIX226" s="394"/>
      <c r="BIY226" s="394"/>
      <c r="BIZ226" s="394"/>
      <c r="BJA226" s="394"/>
      <c r="BJB226" s="394"/>
      <c r="BJC226" s="394"/>
      <c r="BJD226" s="394"/>
      <c r="BJE226" s="394"/>
      <c r="BJF226" s="394"/>
      <c r="BJG226" s="394"/>
      <c r="BJH226" s="394"/>
      <c r="BJI226" s="394"/>
      <c r="BJJ226" s="394"/>
      <c r="BJK226" s="394"/>
      <c r="BJL226" s="394"/>
      <c r="BJM226" s="394"/>
      <c r="BJN226" s="394"/>
      <c r="BJO226" s="394"/>
      <c r="BJP226" s="394"/>
      <c r="BJQ226" s="394"/>
      <c r="BJR226" s="394"/>
      <c r="BJS226" s="394"/>
      <c r="BJT226" s="394"/>
      <c r="BJU226" s="394"/>
      <c r="BJV226" s="394"/>
      <c r="BJW226" s="394"/>
      <c r="BJX226" s="394"/>
      <c r="BJY226" s="394"/>
      <c r="BJZ226" s="394"/>
      <c r="BKA226" s="394"/>
      <c r="BKB226" s="394"/>
      <c r="BKC226" s="394"/>
      <c r="BKD226" s="394"/>
      <c r="BKE226" s="394"/>
      <c r="BKF226" s="394"/>
      <c r="BKG226" s="394"/>
      <c r="BKH226" s="394"/>
      <c r="BKI226" s="394"/>
      <c r="BKJ226" s="394"/>
      <c r="BKK226" s="394"/>
      <c r="BKL226" s="394"/>
      <c r="BKM226" s="394"/>
      <c r="BKN226" s="394"/>
      <c r="BKO226" s="394"/>
      <c r="BKP226" s="394"/>
      <c r="BKQ226" s="394"/>
      <c r="BKR226" s="394"/>
      <c r="BKS226" s="394"/>
      <c r="BKT226" s="394"/>
      <c r="BKU226" s="394"/>
      <c r="BKV226" s="394"/>
      <c r="BKW226" s="394"/>
      <c r="BKX226" s="394"/>
      <c r="BKY226" s="394"/>
      <c r="BKZ226" s="394"/>
      <c r="BLA226" s="394"/>
      <c r="BLB226" s="394"/>
      <c r="BLC226" s="394"/>
      <c r="BLD226" s="394"/>
      <c r="BLE226" s="394"/>
      <c r="BLF226" s="394"/>
      <c r="BLG226" s="394"/>
      <c r="BLH226" s="394"/>
      <c r="BLI226" s="394"/>
      <c r="BLJ226" s="394"/>
      <c r="BLK226" s="394"/>
      <c r="BLL226" s="394"/>
      <c r="BLM226" s="394"/>
      <c r="BLN226" s="394"/>
      <c r="BLO226" s="394"/>
      <c r="BLP226" s="394"/>
      <c r="BLQ226" s="394"/>
      <c r="BLR226" s="394"/>
      <c r="BLS226" s="394"/>
      <c r="BLT226" s="394"/>
      <c r="BLU226" s="394"/>
      <c r="BLV226" s="394"/>
      <c r="BLW226" s="394"/>
      <c r="BLX226" s="394"/>
      <c r="BLY226" s="394"/>
      <c r="BLZ226" s="394"/>
      <c r="BMA226" s="394"/>
      <c r="BMB226" s="394"/>
      <c r="BMC226" s="394"/>
      <c r="BMD226" s="394"/>
      <c r="BME226" s="394"/>
      <c r="BMF226" s="394"/>
      <c r="BMG226" s="394"/>
      <c r="BMH226" s="394"/>
      <c r="BMI226" s="394"/>
      <c r="BMJ226" s="394"/>
      <c r="BMK226" s="394"/>
      <c r="BML226" s="394"/>
      <c r="BMM226" s="394"/>
      <c r="BMN226" s="394"/>
      <c r="BMO226" s="394"/>
      <c r="BMP226" s="394"/>
      <c r="BMQ226" s="394"/>
      <c r="BMR226" s="394"/>
      <c r="BMS226" s="394"/>
      <c r="BMT226" s="394"/>
      <c r="BMU226" s="394"/>
      <c r="BMV226" s="394"/>
      <c r="BMW226" s="394"/>
      <c r="BMX226" s="394"/>
      <c r="BMY226" s="394"/>
      <c r="BMZ226" s="394"/>
      <c r="BNA226" s="394"/>
      <c r="BNB226" s="394"/>
      <c r="BNC226" s="394"/>
      <c r="BND226" s="394"/>
      <c r="BNE226" s="394"/>
      <c r="BNF226" s="394"/>
      <c r="BNG226" s="394"/>
      <c r="BNH226" s="394"/>
      <c r="BNI226" s="394"/>
      <c r="BNJ226" s="394"/>
      <c r="BNK226" s="394"/>
      <c r="BNL226" s="394"/>
      <c r="BNM226" s="394"/>
      <c r="BNN226" s="394"/>
      <c r="BNO226" s="394"/>
      <c r="BNP226" s="394"/>
      <c r="BNQ226" s="394"/>
      <c r="BNR226" s="394"/>
      <c r="BNS226" s="394"/>
      <c r="BNT226" s="394"/>
      <c r="BNU226" s="394"/>
      <c r="BNV226" s="394"/>
      <c r="BNW226" s="394"/>
      <c r="BNX226" s="394"/>
      <c r="BNY226" s="394"/>
      <c r="BNZ226" s="394"/>
      <c r="BOA226" s="394"/>
      <c r="BOB226" s="394"/>
      <c r="BOC226" s="394"/>
      <c r="BOD226" s="394"/>
      <c r="BOE226" s="394"/>
      <c r="BOF226" s="394"/>
      <c r="BOG226" s="394"/>
      <c r="BOH226" s="394"/>
      <c r="BOI226" s="394"/>
      <c r="BOJ226" s="394"/>
      <c r="BOK226" s="394"/>
      <c r="BOL226" s="394"/>
      <c r="BOM226" s="394"/>
      <c r="BON226" s="394"/>
      <c r="BOO226" s="394"/>
      <c r="BOP226" s="394"/>
      <c r="BOQ226" s="394"/>
      <c r="BOR226" s="394"/>
      <c r="BOS226" s="394"/>
      <c r="BOT226" s="394"/>
      <c r="BOU226" s="394"/>
      <c r="BOV226" s="394"/>
      <c r="BOW226" s="394"/>
      <c r="BOX226" s="394"/>
      <c r="BOY226" s="394"/>
      <c r="BOZ226" s="394"/>
      <c r="BPA226" s="394"/>
      <c r="BPB226" s="394"/>
      <c r="BPC226" s="394"/>
      <c r="BPD226" s="394"/>
      <c r="BPE226" s="394"/>
      <c r="BPF226" s="394"/>
      <c r="BPG226" s="394"/>
      <c r="BPH226" s="394"/>
      <c r="BPI226" s="394"/>
      <c r="BPJ226" s="394"/>
      <c r="BPK226" s="394"/>
      <c r="BPL226" s="394"/>
      <c r="BPM226" s="394"/>
      <c r="BPN226" s="394"/>
      <c r="BPO226" s="394"/>
      <c r="BPP226" s="394"/>
      <c r="BPQ226" s="394"/>
      <c r="BPR226" s="394"/>
      <c r="BPS226" s="394"/>
      <c r="BPT226" s="394"/>
      <c r="BPU226" s="394"/>
      <c r="BPV226" s="394"/>
      <c r="BPW226" s="394"/>
      <c r="BPX226" s="394"/>
      <c r="BPY226" s="394"/>
      <c r="BPZ226" s="394"/>
      <c r="BQA226" s="394"/>
      <c r="BQB226" s="394"/>
      <c r="BQC226" s="394"/>
      <c r="BQD226" s="394"/>
      <c r="BQE226" s="394"/>
      <c r="BQF226" s="394"/>
      <c r="BQG226" s="394"/>
      <c r="BQH226" s="394"/>
      <c r="BQI226" s="394"/>
      <c r="BQJ226" s="394"/>
      <c r="BQK226" s="394"/>
      <c r="BQL226" s="394"/>
      <c r="BQM226" s="394"/>
      <c r="BQN226" s="394"/>
      <c r="BQO226" s="394"/>
      <c r="BQP226" s="394"/>
      <c r="BQQ226" s="394"/>
      <c r="BQR226" s="394"/>
      <c r="BQS226" s="394"/>
      <c r="BQT226" s="394"/>
      <c r="BQU226" s="394"/>
      <c r="BQV226" s="394"/>
      <c r="BQW226" s="394"/>
      <c r="BQX226" s="394"/>
      <c r="BQY226" s="394"/>
      <c r="BQZ226" s="394"/>
      <c r="BRA226" s="394"/>
      <c r="BRB226" s="394"/>
      <c r="BRC226" s="394"/>
      <c r="BRD226" s="394"/>
      <c r="BRE226" s="394"/>
      <c r="BRF226" s="394"/>
      <c r="BRG226" s="394"/>
      <c r="BRH226" s="394"/>
      <c r="BRI226" s="394"/>
      <c r="BRJ226" s="394"/>
      <c r="BRK226" s="394"/>
      <c r="BRL226" s="394"/>
      <c r="BRM226" s="394"/>
      <c r="BRN226" s="394"/>
      <c r="BRO226" s="394"/>
      <c r="BRP226" s="394"/>
      <c r="BRQ226" s="394"/>
      <c r="BRR226" s="394"/>
      <c r="BRS226" s="394"/>
      <c r="BRT226" s="394"/>
      <c r="BRU226" s="394"/>
      <c r="BRV226" s="394"/>
      <c r="BRW226" s="394"/>
      <c r="BRX226" s="394"/>
      <c r="BRY226" s="394"/>
      <c r="BRZ226" s="394"/>
      <c r="BSA226" s="394"/>
      <c r="BSB226" s="394"/>
      <c r="BSC226" s="394"/>
      <c r="BSD226" s="394"/>
      <c r="BSE226" s="394"/>
      <c r="BSF226" s="394"/>
      <c r="BSG226" s="394"/>
      <c r="BSH226" s="394"/>
      <c r="BSI226" s="394"/>
      <c r="BSJ226" s="394"/>
      <c r="BSK226" s="394"/>
      <c r="BSL226" s="394"/>
      <c r="BSM226" s="394"/>
      <c r="BSN226" s="394"/>
      <c r="BSO226" s="394"/>
      <c r="BSP226" s="394"/>
      <c r="BSQ226" s="394"/>
      <c r="BSR226" s="394"/>
      <c r="BSS226" s="394"/>
      <c r="BST226" s="394"/>
      <c r="BSU226" s="394"/>
      <c r="BSV226" s="394"/>
      <c r="BSW226" s="394"/>
      <c r="BSX226" s="394"/>
      <c r="BSY226" s="394"/>
      <c r="BSZ226" s="394"/>
      <c r="BTA226" s="394"/>
      <c r="BTB226" s="394"/>
      <c r="BTC226" s="394"/>
      <c r="BTD226" s="394"/>
      <c r="BTE226" s="394"/>
      <c r="BTF226" s="394"/>
      <c r="BTG226" s="394"/>
      <c r="BTH226" s="394"/>
      <c r="BTI226" s="394"/>
    </row>
    <row r="227" spans="1:1881" s="317" customFormat="1" ht="141" customHeight="1" x14ac:dyDescent="0.25">
      <c r="A227" s="188">
        <v>541</v>
      </c>
      <c r="B227" s="150" t="s">
        <v>66</v>
      </c>
      <c r="C227" s="182" t="s">
        <v>222</v>
      </c>
      <c r="D227" s="250" t="s">
        <v>888</v>
      </c>
      <c r="E227" s="32" t="e">
        <f>HLOOKUP($D$2,'2019 Data(H)'!$C$1:$CP$300,191,FALSE)</f>
        <v>#N/A</v>
      </c>
      <c r="F227" s="722"/>
      <c r="G227" s="395"/>
      <c r="H227" s="17"/>
      <c r="I227" s="297"/>
      <c r="J227" s="365"/>
      <c r="K227" s="394"/>
      <c r="L227" s="394"/>
      <c r="M227" s="394"/>
      <c r="N227"/>
      <c r="O227" s="394"/>
      <c r="P227" s="394"/>
      <c r="Q227" s="394"/>
      <c r="R227" s="394"/>
      <c r="S227" s="394"/>
      <c r="T227" s="394"/>
      <c r="U227" s="394"/>
      <c r="V227" s="394"/>
      <c r="W227" s="394"/>
      <c r="X227" s="394"/>
      <c r="Y227" s="394"/>
      <c r="Z227" s="394"/>
      <c r="AA227" s="394"/>
      <c r="AB227" s="394"/>
      <c r="AC227" s="394"/>
      <c r="AD227" s="394"/>
      <c r="AE227" s="394"/>
      <c r="AF227" s="394"/>
      <c r="AG227" s="394"/>
      <c r="AH227" s="394"/>
      <c r="AI227" s="394"/>
      <c r="AJ227" s="394"/>
      <c r="AK227" s="394"/>
      <c r="AL227" s="394"/>
      <c r="AM227" s="394"/>
      <c r="AN227" s="394"/>
      <c r="AO227" s="394"/>
      <c r="AP227" s="394"/>
      <c r="AQ227" s="394"/>
      <c r="AR227" s="394"/>
      <c r="AS227" s="394"/>
      <c r="AT227" s="394"/>
      <c r="AU227" s="394"/>
      <c r="AV227" s="394"/>
      <c r="AW227" s="394"/>
      <c r="AX227" s="394"/>
      <c r="AY227" s="394"/>
      <c r="AZ227" s="394"/>
      <c r="BA227" s="394"/>
      <c r="BB227" s="394"/>
      <c r="BC227" s="394"/>
      <c r="BD227" s="394"/>
      <c r="BE227" s="394"/>
      <c r="BF227" s="394"/>
      <c r="BG227" s="394"/>
      <c r="BH227" s="394"/>
      <c r="BI227" s="394"/>
      <c r="BJ227" s="394"/>
      <c r="BK227" s="394"/>
      <c r="BL227" s="394"/>
      <c r="BM227" s="394"/>
      <c r="BN227" s="394"/>
      <c r="BO227" s="394"/>
      <c r="BP227" s="394"/>
      <c r="BQ227" s="394"/>
      <c r="BR227" s="394"/>
      <c r="BS227" s="394"/>
      <c r="BT227" s="394"/>
      <c r="BU227" s="394"/>
      <c r="BV227" s="394"/>
      <c r="BW227" s="394"/>
      <c r="BX227" s="394"/>
      <c r="BY227" s="394"/>
      <c r="BZ227" s="394"/>
      <c r="CA227" s="394"/>
      <c r="CB227" s="394"/>
      <c r="CC227" s="394"/>
      <c r="CD227" s="394"/>
      <c r="CE227" s="394"/>
      <c r="CF227" s="394"/>
      <c r="CG227" s="394"/>
      <c r="CH227" s="394"/>
      <c r="CI227" s="394"/>
      <c r="CJ227" s="394"/>
      <c r="CK227" s="394"/>
      <c r="CL227" s="394"/>
      <c r="CM227" s="394"/>
      <c r="CN227" s="394"/>
      <c r="CO227" s="394"/>
      <c r="CP227" s="394"/>
      <c r="CQ227" s="394"/>
      <c r="CR227" s="394"/>
      <c r="CS227" s="394"/>
      <c r="CT227" s="394"/>
      <c r="CU227" s="394"/>
      <c r="CV227" s="394"/>
      <c r="CW227" s="394"/>
      <c r="CX227" s="394"/>
      <c r="CY227" s="394"/>
      <c r="CZ227" s="394"/>
      <c r="DA227" s="394"/>
      <c r="DB227" s="394"/>
      <c r="DC227" s="394"/>
      <c r="DD227" s="394"/>
      <c r="DE227" s="394"/>
      <c r="DF227" s="394"/>
      <c r="DG227" s="394"/>
      <c r="DH227" s="394"/>
      <c r="DI227" s="394"/>
      <c r="DJ227" s="394"/>
      <c r="DK227" s="394"/>
      <c r="DL227" s="394"/>
      <c r="DM227" s="394"/>
      <c r="DN227" s="394"/>
      <c r="DO227" s="394"/>
      <c r="DP227" s="394"/>
      <c r="DQ227" s="394"/>
      <c r="DR227" s="394"/>
      <c r="DS227" s="394"/>
      <c r="DT227" s="394"/>
      <c r="DU227" s="394"/>
      <c r="DV227" s="394"/>
      <c r="DW227" s="394"/>
      <c r="DX227" s="394"/>
      <c r="DY227" s="394"/>
      <c r="DZ227" s="394"/>
      <c r="EA227" s="394"/>
      <c r="EB227" s="394"/>
      <c r="EC227" s="394"/>
      <c r="ED227" s="394"/>
      <c r="EE227" s="394"/>
      <c r="EF227" s="394"/>
      <c r="EG227" s="394"/>
      <c r="EH227" s="394"/>
      <c r="EI227" s="394"/>
      <c r="EJ227" s="394"/>
      <c r="EK227" s="394"/>
      <c r="EL227" s="394"/>
      <c r="EM227" s="394"/>
      <c r="EN227" s="394"/>
      <c r="EO227" s="394"/>
      <c r="EP227" s="394"/>
      <c r="EQ227" s="394"/>
      <c r="ER227" s="394"/>
      <c r="ES227" s="394"/>
      <c r="ET227" s="394"/>
      <c r="EU227" s="394"/>
      <c r="EV227" s="394"/>
      <c r="EW227" s="394"/>
      <c r="EX227" s="394"/>
      <c r="EY227" s="394"/>
      <c r="EZ227" s="394"/>
      <c r="FA227" s="394"/>
      <c r="FB227" s="394"/>
      <c r="FC227" s="394"/>
      <c r="FD227" s="394"/>
      <c r="FE227" s="394"/>
      <c r="FF227" s="394"/>
      <c r="FG227" s="394"/>
      <c r="FH227" s="394"/>
      <c r="FI227" s="394"/>
      <c r="FJ227" s="394"/>
      <c r="FK227" s="394"/>
      <c r="FL227" s="394"/>
      <c r="FM227" s="394"/>
      <c r="FN227" s="394"/>
      <c r="FO227" s="394"/>
      <c r="FP227" s="394"/>
      <c r="FQ227" s="394"/>
      <c r="FR227" s="394"/>
      <c r="FS227" s="394"/>
      <c r="FT227" s="394"/>
      <c r="FU227" s="394"/>
      <c r="FV227" s="394"/>
      <c r="FW227" s="394"/>
      <c r="FX227" s="394"/>
      <c r="FY227" s="394"/>
      <c r="FZ227" s="394"/>
      <c r="GA227" s="394"/>
      <c r="GB227" s="394"/>
      <c r="GC227" s="394"/>
      <c r="GD227" s="394"/>
      <c r="GE227" s="394"/>
      <c r="GF227" s="394"/>
      <c r="GG227" s="394"/>
      <c r="GH227" s="394"/>
      <c r="GI227" s="394"/>
      <c r="GJ227" s="394"/>
      <c r="GK227" s="394"/>
      <c r="GL227" s="394"/>
      <c r="GM227" s="394"/>
      <c r="GN227" s="394"/>
      <c r="GO227" s="394"/>
      <c r="GP227" s="394"/>
      <c r="GQ227" s="394"/>
      <c r="GR227" s="394"/>
      <c r="GS227" s="394"/>
      <c r="GT227" s="394"/>
      <c r="GU227" s="394"/>
      <c r="GV227" s="394"/>
      <c r="GW227" s="394"/>
      <c r="GX227" s="394"/>
      <c r="GY227" s="394"/>
      <c r="GZ227" s="394"/>
      <c r="HA227" s="394"/>
      <c r="HB227" s="394"/>
      <c r="HC227" s="394"/>
      <c r="HD227" s="394"/>
      <c r="HE227" s="394"/>
      <c r="HF227" s="394"/>
      <c r="HG227" s="394"/>
      <c r="HH227" s="394"/>
      <c r="HI227" s="394"/>
      <c r="HJ227" s="394"/>
      <c r="HK227" s="394"/>
      <c r="HL227" s="394"/>
      <c r="HM227" s="394"/>
      <c r="HN227" s="394"/>
      <c r="HO227" s="394"/>
      <c r="HP227" s="394"/>
      <c r="HQ227" s="394"/>
      <c r="HR227" s="394"/>
      <c r="HS227" s="394"/>
      <c r="HT227" s="394"/>
      <c r="HU227" s="394"/>
      <c r="HV227" s="394"/>
      <c r="HW227" s="394"/>
      <c r="HX227" s="394"/>
      <c r="HY227" s="394"/>
      <c r="HZ227" s="394"/>
      <c r="IA227" s="394"/>
      <c r="IB227" s="394"/>
      <c r="IC227" s="394"/>
      <c r="ID227" s="394"/>
      <c r="IE227" s="394"/>
      <c r="IF227" s="394"/>
      <c r="IG227" s="394"/>
      <c r="IH227" s="394"/>
      <c r="II227" s="394"/>
      <c r="IJ227" s="394"/>
      <c r="IK227" s="394"/>
      <c r="IL227" s="394"/>
      <c r="IM227" s="394"/>
      <c r="IN227" s="394"/>
      <c r="IO227" s="394"/>
      <c r="IP227" s="394"/>
      <c r="IQ227" s="394"/>
      <c r="IR227" s="394"/>
      <c r="IS227" s="394"/>
      <c r="IT227" s="394"/>
      <c r="IU227" s="394"/>
      <c r="IV227" s="394"/>
      <c r="IW227" s="394"/>
      <c r="IX227" s="394"/>
      <c r="IY227" s="394"/>
      <c r="IZ227" s="394"/>
      <c r="JA227" s="394"/>
      <c r="JB227" s="394"/>
      <c r="JC227" s="394"/>
      <c r="JD227" s="394"/>
      <c r="JE227" s="394"/>
      <c r="JF227" s="394"/>
      <c r="JG227" s="394"/>
      <c r="JH227" s="394"/>
      <c r="JI227" s="394"/>
      <c r="JJ227" s="394"/>
      <c r="JK227" s="394"/>
      <c r="JL227" s="394"/>
      <c r="JM227" s="394"/>
      <c r="JN227" s="394"/>
      <c r="JO227" s="394"/>
      <c r="JP227" s="394"/>
      <c r="JQ227" s="394"/>
      <c r="JR227" s="394"/>
      <c r="JS227" s="394"/>
      <c r="JT227" s="394"/>
      <c r="JU227" s="394"/>
      <c r="JV227" s="394"/>
      <c r="JW227" s="394"/>
      <c r="JX227" s="394"/>
      <c r="JY227" s="394"/>
      <c r="JZ227" s="394"/>
      <c r="KA227" s="394"/>
      <c r="KB227" s="394"/>
      <c r="KC227" s="394"/>
      <c r="KD227" s="394"/>
      <c r="KE227" s="394"/>
      <c r="KF227" s="394"/>
      <c r="KG227" s="394"/>
      <c r="KH227" s="394"/>
      <c r="KI227" s="394"/>
      <c r="KJ227" s="394"/>
      <c r="KK227" s="394"/>
      <c r="KL227" s="394"/>
      <c r="KM227" s="394"/>
      <c r="KN227" s="394"/>
      <c r="KO227" s="394"/>
      <c r="KP227" s="394"/>
      <c r="KQ227" s="394"/>
      <c r="KR227" s="394"/>
      <c r="KS227" s="394"/>
      <c r="KT227" s="394"/>
      <c r="KU227" s="394"/>
      <c r="KV227" s="394"/>
      <c r="KW227" s="394"/>
      <c r="KX227" s="394"/>
      <c r="KY227" s="394"/>
      <c r="KZ227" s="394"/>
      <c r="LA227" s="394"/>
      <c r="LB227" s="394"/>
      <c r="LC227" s="394"/>
      <c r="LD227" s="394"/>
      <c r="LE227" s="394"/>
      <c r="LF227" s="394"/>
      <c r="LG227" s="394"/>
      <c r="LH227" s="394"/>
      <c r="LI227" s="394"/>
      <c r="LJ227" s="394"/>
      <c r="LK227" s="394"/>
      <c r="LL227" s="394"/>
      <c r="LM227" s="394"/>
      <c r="LN227" s="394"/>
      <c r="LO227" s="394"/>
      <c r="LP227" s="394"/>
      <c r="LQ227" s="394"/>
      <c r="LR227" s="394"/>
      <c r="LS227" s="394"/>
      <c r="LT227" s="394"/>
      <c r="LU227" s="394"/>
      <c r="LV227" s="394"/>
      <c r="LW227" s="394"/>
      <c r="LX227" s="394"/>
      <c r="LY227" s="394"/>
      <c r="LZ227" s="394"/>
      <c r="MA227" s="394"/>
      <c r="MB227" s="394"/>
      <c r="MC227" s="394"/>
      <c r="MD227" s="394"/>
      <c r="ME227" s="394"/>
      <c r="MF227" s="394"/>
      <c r="MG227" s="394"/>
      <c r="MH227" s="394"/>
      <c r="MI227" s="394"/>
      <c r="MJ227" s="394"/>
      <c r="MK227" s="394"/>
      <c r="ML227" s="394"/>
      <c r="MM227" s="394"/>
      <c r="MN227" s="394"/>
      <c r="MO227" s="394"/>
      <c r="MP227" s="394"/>
      <c r="MQ227" s="394"/>
      <c r="MR227" s="394"/>
      <c r="MS227" s="394"/>
      <c r="MT227" s="394"/>
      <c r="MU227" s="394"/>
      <c r="MV227" s="394"/>
      <c r="MW227" s="394"/>
      <c r="MX227" s="394"/>
      <c r="MY227" s="394"/>
      <c r="MZ227" s="394"/>
      <c r="NA227" s="394"/>
      <c r="NB227" s="394"/>
      <c r="NC227" s="394"/>
      <c r="ND227" s="394"/>
      <c r="NE227" s="394"/>
      <c r="NF227" s="394"/>
      <c r="NG227" s="394"/>
      <c r="NH227" s="394"/>
      <c r="NI227" s="394"/>
      <c r="NJ227" s="394"/>
      <c r="NK227" s="394"/>
      <c r="NL227" s="394"/>
      <c r="NM227" s="394"/>
      <c r="NN227" s="394"/>
      <c r="NO227" s="394"/>
      <c r="NP227" s="394"/>
      <c r="NQ227" s="394"/>
      <c r="NR227" s="394"/>
      <c r="NS227" s="394"/>
      <c r="NT227" s="394"/>
      <c r="NU227" s="394"/>
      <c r="NV227" s="394"/>
      <c r="NW227" s="394"/>
      <c r="NX227" s="394"/>
      <c r="NY227" s="394"/>
      <c r="NZ227" s="394"/>
      <c r="OA227" s="394"/>
      <c r="OB227" s="394"/>
      <c r="OC227" s="394"/>
      <c r="OD227" s="394"/>
      <c r="OE227" s="394"/>
      <c r="OF227" s="394"/>
      <c r="OG227" s="394"/>
      <c r="OH227" s="394"/>
      <c r="OI227" s="394"/>
      <c r="OJ227" s="394"/>
      <c r="OK227" s="394"/>
      <c r="OL227" s="394"/>
      <c r="OM227" s="394"/>
      <c r="ON227" s="394"/>
      <c r="OO227" s="394"/>
      <c r="OP227" s="394"/>
      <c r="OQ227" s="394"/>
      <c r="OR227" s="394"/>
      <c r="OS227" s="394"/>
      <c r="OT227" s="394"/>
      <c r="OU227" s="394"/>
      <c r="OV227" s="394"/>
      <c r="OW227" s="394"/>
      <c r="OX227" s="394"/>
      <c r="OY227" s="394"/>
      <c r="OZ227" s="394"/>
      <c r="PA227" s="394"/>
      <c r="PB227" s="394"/>
      <c r="PC227" s="394"/>
      <c r="PD227" s="394"/>
      <c r="PE227" s="394"/>
      <c r="PF227" s="394"/>
      <c r="PG227" s="394"/>
      <c r="PH227" s="394"/>
      <c r="PI227" s="394"/>
      <c r="PJ227" s="394"/>
      <c r="PK227" s="394"/>
      <c r="PL227" s="394"/>
      <c r="PM227" s="394"/>
      <c r="PN227" s="394"/>
      <c r="PO227" s="394"/>
      <c r="PP227" s="394"/>
      <c r="PQ227" s="394"/>
      <c r="PR227" s="394"/>
      <c r="PS227" s="394"/>
      <c r="PT227" s="394"/>
      <c r="PU227" s="394"/>
      <c r="PV227" s="394"/>
      <c r="PW227" s="394"/>
      <c r="PX227" s="394"/>
      <c r="PY227" s="394"/>
      <c r="PZ227" s="394"/>
      <c r="QA227" s="394"/>
      <c r="QB227" s="394"/>
      <c r="QC227" s="394"/>
      <c r="QD227" s="394"/>
      <c r="QE227" s="394"/>
      <c r="QF227" s="394"/>
      <c r="QG227" s="394"/>
      <c r="QH227" s="394"/>
      <c r="QI227" s="394"/>
      <c r="QJ227" s="394"/>
      <c r="QK227" s="394"/>
      <c r="QL227" s="394"/>
      <c r="QM227" s="394"/>
      <c r="QN227" s="394"/>
      <c r="QO227" s="394"/>
      <c r="QP227" s="394"/>
      <c r="QQ227" s="394"/>
      <c r="QR227" s="394"/>
      <c r="QS227" s="394"/>
      <c r="QT227" s="394"/>
      <c r="QU227" s="394"/>
      <c r="QV227" s="394"/>
      <c r="QW227" s="394"/>
      <c r="QX227" s="394"/>
      <c r="QY227" s="394"/>
      <c r="QZ227" s="394"/>
      <c r="RA227" s="394"/>
      <c r="RB227" s="394"/>
      <c r="RC227" s="394"/>
      <c r="RD227" s="394"/>
      <c r="RE227" s="394"/>
      <c r="RF227" s="394"/>
      <c r="RG227" s="394"/>
      <c r="RH227" s="394"/>
      <c r="RI227" s="394"/>
      <c r="RJ227" s="394"/>
      <c r="RK227" s="394"/>
      <c r="RL227" s="394"/>
      <c r="RM227" s="394"/>
      <c r="RN227" s="394"/>
      <c r="RO227" s="394"/>
      <c r="RP227" s="394"/>
      <c r="RQ227" s="394"/>
      <c r="RR227" s="394"/>
      <c r="RS227" s="394"/>
      <c r="RT227" s="394"/>
      <c r="RU227" s="394"/>
      <c r="RV227" s="394"/>
      <c r="RW227" s="394"/>
      <c r="RX227" s="394"/>
      <c r="RY227" s="394"/>
      <c r="RZ227" s="394"/>
      <c r="SA227" s="394"/>
      <c r="SB227" s="394"/>
      <c r="SC227" s="394"/>
      <c r="SD227" s="394"/>
      <c r="SE227" s="394"/>
      <c r="SF227" s="394"/>
      <c r="SG227" s="394"/>
      <c r="SH227" s="394"/>
      <c r="SI227" s="394"/>
      <c r="SJ227" s="394"/>
      <c r="SK227" s="394"/>
      <c r="SL227" s="394"/>
      <c r="SM227" s="394"/>
      <c r="SN227" s="394"/>
      <c r="SO227" s="394"/>
      <c r="SP227" s="394"/>
      <c r="SQ227" s="394"/>
      <c r="SR227" s="394"/>
      <c r="SS227" s="394"/>
      <c r="ST227" s="394"/>
      <c r="SU227" s="394"/>
      <c r="SV227" s="394"/>
      <c r="SW227" s="394"/>
      <c r="SX227" s="394"/>
      <c r="SY227" s="394"/>
      <c r="SZ227" s="394"/>
      <c r="TA227" s="394"/>
      <c r="TB227" s="394"/>
      <c r="TC227" s="394"/>
      <c r="TD227" s="394"/>
      <c r="TE227" s="394"/>
      <c r="TF227" s="394"/>
      <c r="TG227" s="394"/>
      <c r="TH227" s="394"/>
      <c r="TI227" s="394"/>
      <c r="TJ227" s="394"/>
      <c r="TK227" s="394"/>
      <c r="TL227" s="394"/>
      <c r="TM227" s="394"/>
      <c r="TN227" s="394"/>
      <c r="TO227" s="394"/>
      <c r="TP227" s="394"/>
      <c r="TQ227" s="394"/>
      <c r="TR227" s="394"/>
      <c r="TS227" s="394"/>
      <c r="TT227" s="394"/>
      <c r="TU227" s="394"/>
      <c r="TV227" s="394"/>
      <c r="TW227" s="394"/>
      <c r="TX227" s="394"/>
      <c r="TY227" s="394"/>
      <c r="TZ227" s="394"/>
      <c r="UA227" s="394"/>
      <c r="UB227" s="394"/>
      <c r="UC227" s="394"/>
      <c r="UD227" s="394"/>
      <c r="UE227" s="394"/>
      <c r="UF227" s="394"/>
      <c r="UG227" s="394"/>
      <c r="UH227" s="394"/>
      <c r="UI227" s="394"/>
      <c r="UJ227" s="394"/>
      <c r="UK227" s="394"/>
      <c r="UL227" s="394"/>
      <c r="UM227" s="394"/>
      <c r="UN227" s="394"/>
      <c r="UO227" s="394"/>
      <c r="UP227" s="394"/>
      <c r="UQ227" s="394"/>
      <c r="UR227" s="394"/>
      <c r="US227" s="394"/>
      <c r="UT227" s="394"/>
      <c r="UU227" s="394"/>
      <c r="UV227" s="394"/>
      <c r="UW227" s="394"/>
      <c r="UX227" s="394"/>
      <c r="UY227" s="394"/>
      <c r="UZ227" s="394"/>
      <c r="VA227" s="394"/>
      <c r="VB227" s="394"/>
      <c r="VC227" s="394"/>
      <c r="VD227" s="394"/>
      <c r="VE227" s="394"/>
      <c r="VF227" s="394"/>
      <c r="VG227" s="394"/>
      <c r="VH227" s="394"/>
      <c r="VI227" s="394"/>
      <c r="VJ227" s="394"/>
      <c r="VK227" s="394"/>
      <c r="VL227" s="394"/>
      <c r="VM227" s="394"/>
      <c r="VN227" s="394"/>
      <c r="VO227" s="394"/>
      <c r="VP227" s="394"/>
      <c r="VQ227" s="394"/>
      <c r="VR227" s="394"/>
      <c r="VS227" s="394"/>
      <c r="VT227" s="394"/>
      <c r="VU227" s="394"/>
      <c r="VV227" s="394"/>
      <c r="VW227" s="394"/>
      <c r="VX227" s="394"/>
      <c r="VY227" s="394"/>
      <c r="VZ227" s="394"/>
      <c r="WA227" s="394"/>
      <c r="WB227" s="394"/>
      <c r="WC227" s="394"/>
      <c r="WD227" s="394"/>
      <c r="WE227" s="394"/>
      <c r="WF227" s="394"/>
      <c r="WG227" s="394"/>
      <c r="WH227" s="394"/>
      <c r="WI227" s="394"/>
      <c r="WJ227" s="394"/>
      <c r="WK227" s="394"/>
      <c r="WL227" s="394"/>
      <c r="WM227" s="394"/>
      <c r="WN227" s="394"/>
      <c r="WO227" s="394"/>
      <c r="WP227" s="394"/>
      <c r="WQ227" s="394"/>
      <c r="WR227" s="394"/>
      <c r="WS227" s="394"/>
      <c r="WT227" s="394"/>
      <c r="WU227" s="394"/>
      <c r="WV227" s="394"/>
      <c r="WW227" s="394"/>
      <c r="WX227" s="394"/>
      <c r="WY227" s="394"/>
      <c r="WZ227" s="394"/>
      <c r="XA227" s="394"/>
      <c r="XB227" s="394"/>
      <c r="XC227" s="394"/>
      <c r="XD227" s="394"/>
      <c r="XE227" s="394"/>
      <c r="XF227" s="394"/>
      <c r="XG227" s="394"/>
      <c r="XH227" s="394"/>
      <c r="XI227" s="394"/>
      <c r="XJ227" s="394"/>
      <c r="XK227" s="394"/>
      <c r="XL227" s="394"/>
      <c r="XM227" s="394"/>
      <c r="XN227" s="394"/>
      <c r="XO227" s="394"/>
      <c r="XP227" s="394"/>
      <c r="XQ227" s="394"/>
      <c r="XR227" s="394"/>
      <c r="XS227" s="394"/>
      <c r="XT227" s="394"/>
      <c r="XU227" s="394"/>
      <c r="XV227" s="394"/>
      <c r="XW227" s="394"/>
      <c r="XX227" s="394"/>
      <c r="XY227" s="394"/>
      <c r="XZ227" s="394"/>
      <c r="YA227" s="394"/>
      <c r="YB227" s="394"/>
      <c r="YC227" s="394"/>
      <c r="YD227" s="394"/>
      <c r="YE227" s="394"/>
      <c r="YF227" s="394"/>
      <c r="YG227" s="394"/>
      <c r="YH227" s="394"/>
      <c r="YI227" s="394"/>
      <c r="YJ227" s="394"/>
      <c r="YK227" s="394"/>
      <c r="YL227" s="394"/>
      <c r="YM227" s="394"/>
      <c r="YN227" s="394"/>
      <c r="YO227" s="394"/>
      <c r="YP227" s="394"/>
      <c r="YQ227" s="394"/>
      <c r="YR227" s="394"/>
      <c r="YS227" s="394"/>
      <c r="YT227" s="394"/>
      <c r="YU227" s="394"/>
      <c r="YV227" s="394"/>
      <c r="YW227" s="394"/>
      <c r="YX227" s="394"/>
      <c r="YY227" s="394"/>
      <c r="YZ227" s="394"/>
      <c r="ZA227" s="394"/>
      <c r="ZB227" s="394"/>
      <c r="ZC227" s="394"/>
      <c r="ZD227" s="394"/>
      <c r="ZE227" s="394"/>
      <c r="ZF227" s="394"/>
      <c r="ZG227" s="394"/>
      <c r="ZH227" s="394"/>
      <c r="ZI227" s="394"/>
      <c r="ZJ227" s="394"/>
      <c r="ZK227" s="394"/>
      <c r="ZL227" s="394"/>
      <c r="ZM227" s="394"/>
      <c r="ZN227" s="394"/>
      <c r="ZO227" s="394"/>
      <c r="ZP227" s="394"/>
      <c r="ZQ227" s="394"/>
      <c r="ZR227" s="394"/>
      <c r="ZS227" s="394"/>
      <c r="ZT227" s="394"/>
      <c r="ZU227" s="394"/>
      <c r="ZV227" s="394"/>
      <c r="ZW227" s="394"/>
      <c r="ZX227" s="394"/>
      <c r="ZY227" s="394"/>
      <c r="ZZ227" s="394"/>
      <c r="AAA227" s="394"/>
      <c r="AAB227" s="394"/>
      <c r="AAC227" s="394"/>
      <c r="AAD227" s="394"/>
      <c r="AAE227" s="394"/>
      <c r="AAF227" s="394"/>
      <c r="AAG227" s="394"/>
      <c r="AAH227" s="394"/>
      <c r="AAI227" s="394"/>
      <c r="AAJ227" s="394"/>
      <c r="AAK227" s="394"/>
      <c r="AAL227" s="394"/>
      <c r="AAM227" s="394"/>
      <c r="AAN227" s="394"/>
      <c r="AAO227" s="394"/>
      <c r="AAP227" s="394"/>
      <c r="AAQ227" s="394"/>
      <c r="AAR227" s="394"/>
      <c r="AAS227" s="394"/>
      <c r="AAT227" s="394"/>
      <c r="AAU227" s="394"/>
      <c r="AAV227" s="394"/>
      <c r="AAW227" s="394"/>
      <c r="AAX227" s="394"/>
      <c r="AAY227" s="394"/>
      <c r="AAZ227" s="394"/>
      <c r="ABA227" s="394"/>
      <c r="ABB227" s="394"/>
      <c r="ABC227" s="394"/>
      <c r="ABD227" s="394"/>
      <c r="ABE227" s="394"/>
      <c r="ABF227" s="394"/>
      <c r="ABG227" s="394"/>
      <c r="ABH227" s="394"/>
      <c r="ABI227" s="394"/>
      <c r="ABJ227" s="394"/>
      <c r="ABK227" s="394"/>
      <c r="ABL227" s="394"/>
      <c r="ABM227" s="394"/>
      <c r="ABN227" s="394"/>
      <c r="ABO227" s="394"/>
      <c r="ABP227" s="394"/>
      <c r="ABQ227" s="394"/>
      <c r="ABR227" s="394"/>
      <c r="ABS227" s="394"/>
      <c r="ABT227" s="394"/>
      <c r="ABU227" s="394"/>
      <c r="ABV227" s="394"/>
      <c r="ABW227" s="394"/>
      <c r="ABX227" s="394"/>
      <c r="ABY227" s="394"/>
      <c r="ABZ227" s="394"/>
      <c r="ACA227" s="394"/>
      <c r="ACB227" s="394"/>
      <c r="ACC227" s="394"/>
      <c r="ACD227" s="394"/>
      <c r="ACE227" s="394"/>
      <c r="ACF227" s="394"/>
      <c r="ACG227" s="394"/>
      <c r="ACH227" s="394"/>
      <c r="ACI227" s="394"/>
      <c r="ACJ227" s="394"/>
      <c r="ACK227" s="394"/>
      <c r="ACL227" s="394"/>
      <c r="ACM227" s="394"/>
      <c r="ACN227" s="394"/>
      <c r="ACO227" s="394"/>
      <c r="ACP227" s="394"/>
      <c r="ACQ227" s="394"/>
      <c r="ACR227" s="394"/>
      <c r="ACS227" s="394"/>
      <c r="ACT227" s="394"/>
      <c r="ACU227" s="394"/>
      <c r="ACV227" s="394"/>
      <c r="ACW227" s="394"/>
      <c r="ACX227" s="394"/>
      <c r="ACY227" s="394"/>
      <c r="ACZ227" s="394"/>
      <c r="ADA227" s="394"/>
      <c r="ADB227" s="394"/>
      <c r="ADC227" s="394"/>
      <c r="ADD227" s="394"/>
      <c r="ADE227" s="394"/>
      <c r="ADF227" s="394"/>
      <c r="ADG227" s="394"/>
      <c r="ADH227" s="394"/>
      <c r="ADI227" s="394"/>
      <c r="ADJ227" s="394"/>
      <c r="ADK227" s="394"/>
      <c r="ADL227" s="394"/>
      <c r="ADM227" s="394"/>
      <c r="ADN227" s="394"/>
      <c r="ADO227" s="394"/>
      <c r="ADP227" s="394"/>
      <c r="ADQ227" s="394"/>
      <c r="ADR227" s="394"/>
      <c r="ADS227" s="394"/>
      <c r="ADT227" s="394"/>
      <c r="ADU227" s="394"/>
      <c r="ADV227" s="394"/>
      <c r="ADW227" s="394"/>
      <c r="ADX227" s="394"/>
      <c r="ADY227" s="394"/>
      <c r="ADZ227" s="394"/>
      <c r="AEA227" s="394"/>
      <c r="AEB227" s="394"/>
      <c r="AEC227" s="394"/>
      <c r="AED227" s="394"/>
      <c r="AEE227" s="394"/>
      <c r="AEF227" s="394"/>
      <c r="AEG227" s="394"/>
      <c r="AEH227" s="394"/>
      <c r="AEI227" s="394"/>
      <c r="AEJ227" s="394"/>
      <c r="AEK227" s="394"/>
      <c r="AEL227" s="394"/>
      <c r="AEM227" s="394"/>
      <c r="AEN227" s="394"/>
      <c r="AEO227" s="394"/>
      <c r="AEP227" s="394"/>
      <c r="AEQ227" s="394"/>
      <c r="AER227" s="394"/>
      <c r="AES227" s="394"/>
      <c r="AET227" s="394"/>
      <c r="AEU227" s="394"/>
      <c r="AEV227" s="394"/>
      <c r="AEW227" s="394"/>
      <c r="AEX227" s="394"/>
      <c r="AEY227" s="394"/>
      <c r="AEZ227" s="394"/>
      <c r="AFA227" s="394"/>
      <c r="AFB227" s="394"/>
      <c r="AFC227" s="394"/>
      <c r="AFD227" s="394"/>
      <c r="AFE227" s="394"/>
      <c r="AFF227" s="394"/>
      <c r="AFG227" s="394"/>
      <c r="AFH227" s="394"/>
      <c r="AFI227" s="394"/>
      <c r="AFJ227" s="394"/>
      <c r="AFK227" s="394"/>
      <c r="AFL227" s="394"/>
      <c r="AFM227" s="394"/>
      <c r="AFN227" s="394"/>
      <c r="AFO227" s="394"/>
      <c r="AFP227" s="394"/>
      <c r="AFQ227" s="394"/>
      <c r="AFR227" s="394"/>
      <c r="AFS227" s="394"/>
      <c r="AFT227" s="394"/>
      <c r="AFU227" s="394"/>
      <c r="AFV227" s="394"/>
      <c r="AFW227" s="394"/>
      <c r="AFX227" s="394"/>
      <c r="AFY227" s="394"/>
      <c r="AFZ227" s="394"/>
      <c r="AGA227" s="394"/>
      <c r="AGB227" s="394"/>
      <c r="AGC227" s="394"/>
      <c r="AGD227" s="394"/>
      <c r="AGE227" s="394"/>
      <c r="AGF227" s="394"/>
      <c r="AGG227" s="394"/>
      <c r="AGH227" s="394"/>
      <c r="AGI227" s="394"/>
      <c r="AGJ227" s="394"/>
      <c r="AGK227" s="394"/>
      <c r="AGL227" s="394"/>
      <c r="AGM227" s="394"/>
      <c r="AGN227" s="394"/>
      <c r="AGO227" s="394"/>
      <c r="AGP227" s="394"/>
      <c r="AGQ227" s="394"/>
      <c r="AGR227" s="394"/>
      <c r="AGS227" s="394"/>
      <c r="AGT227" s="394"/>
      <c r="AGU227" s="394"/>
      <c r="AGV227" s="394"/>
      <c r="AGW227" s="394"/>
      <c r="AGX227" s="394"/>
      <c r="AGY227" s="394"/>
      <c r="AGZ227" s="394"/>
      <c r="AHA227" s="394"/>
      <c r="AHB227" s="394"/>
      <c r="AHC227" s="394"/>
      <c r="AHD227" s="394"/>
      <c r="AHE227" s="394"/>
      <c r="AHF227" s="394"/>
      <c r="AHG227" s="394"/>
      <c r="AHH227" s="394"/>
      <c r="AHI227" s="394"/>
      <c r="AHJ227" s="394"/>
      <c r="AHK227" s="394"/>
      <c r="AHL227" s="394"/>
      <c r="AHM227" s="394"/>
      <c r="AHN227" s="394"/>
      <c r="AHO227" s="394"/>
      <c r="AHP227" s="394"/>
      <c r="AHQ227" s="394"/>
      <c r="AHR227" s="394"/>
      <c r="AHS227" s="394"/>
      <c r="AHT227" s="394"/>
      <c r="AHU227" s="394"/>
      <c r="AHV227" s="394"/>
      <c r="AHW227" s="394"/>
      <c r="AHX227" s="394"/>
      <c r="AHY227" s="394"/>
      <c r="AHZ227" s="394"/>
      <c r="AIA227" s="394"/>
      <c r="AIB227" s="394"/>
      <c r="AIC227" s="394"/>
      <c r="AID227" s="394"/>
      <c r="AIE227" s="394"/>
      <c r="AIF227" s="394"/>
      <c r="AIG227" s="394"/>
      <c r="AIH227" s="394"/>
      <c r="AII227" s="394"/>
      <c r="AIJ227" s="394"/>
      <c r="AIK227" s="394"/>
      <c r="AIL227" s="394"/>
      <c r="AIM227" s="394"/>
      <c r="AIN227" s="394"/>
      <c r="AIO227" s="394"/>
      <c r="AIP227" s="394"/>
      <c r="AIQ227" s="394"/>
      <c r="AIR227" s="394"/>
      <c r="AIS227" s="394"/>
      <c r="AIT227" s="394"/>
      <c r="AIU227" s="394"/>
      <c r="AIV227" s="394"/>
      <c r="AIW227" s="394"/>
      <c r="AIX227" s="394"/>
      <c r="AIY227" s="394"/>
      <c r="AIZ227" s="394"/>
      <c r="AJA227" s="394"/>
      <c r="AJB227" s="394"/>
      <c r="AJC227" s="394"/>
      <c r="AJD227" s="394"/>
      <c r="AJE227" s="394"/>
      <c r="AJF227" s="394"/>
      <c r="AJG227" s="394"/>
      <c r="AJH227" s="394"/>
      <c r="AJI227" s="394"/>
      <c r="AJJ227" s="394"/>
      <c r="AJK227" s="394"/>
      <c r="AJL227" s="394"/>
      <c r="AJM227" s="394"/>
      <c r="AJN227" s="394"/>
      <c r="AJO227" s="394"/>
      <c r="AJP227" s="394"/>
      <c r="AJQ227" s="394"/>
      <c r="AJR227" s="394"/>
      <c r="AJS227" s="394"/>
      <c r="AJT227" s="394"/>
      <c r="AJU227" s="394"/>
      <c r="AJV227" s="394"/>
      <c r="AJW227" s="394"/>
      <c r="AJX227" s="394"/>
      <c r="AJY227" s="394"/>
      <c r="AJZ227" s="394"/>
      <c r="AKA227" s="394"/>
      <c r="AKB227" s="394"/>
      <c r="AKC227" s="394"/>
      <c r="AKD227" s="394"/>
      <c r="AKE227" s="394"/>
      <c r="AKF227" s="394"/>
      <c r="AKG227" s="394"/>
      <c r="AKH227" s="394"/>
      <c r="AKI227" s="394"/>
      <c r="AKJ227" s="394"/>
      <c r="AKK227" s="394"/>
      <c r="AKL227" s="394"/>
      <c r="AKM227" s="394"/>
      <c r="AKN227" s="394"/>
      <c r="AKO227" s="394"/>
      <c r="AKP227" s="394"/>
      <c r="AKQ227" s="394"/>
      <c r="AKR227" s="394"/>
      <c r="AKS227" s="394"/>
      <c r="AKT227" s="394"/>
      <c r="AKU227" s="394"/>
      <c r="AKV227" s="394"/>
      <c r="AKW227" s="394"/>
      <c r="AKX227" s="394"/>
      <c r="AKY227" s="394"/>
      <c r="AKZ227" s="394"/>
      <c r="ALA227" s="394"/>
      <c r="ALB227" s="394"/>
      <c r="ALC227" s="394"/>
      <c r="ALD227" s="394"/>
      <c r="ALE227" s="394"/>
      <c r="ALF227" s="394"/>
      <c r="ALG227" s="394"/>
      <c r="ALH227" s="394"/>
      <c r="ALI227" s="394"/>
      <c r="ALJ227" s="394"/>
      <c r="ALK227" s="394"/>
      <c r="ALL227" s="394"/>
      <c r="ALM227" s="394"/>
      <c r="ALN227" s="394"/>
      <c r="ALO227" s="394"/>
      <c r="ALP227" s="394"/>
      <c r="ALQ227" s="394"/>
      <c r="ALR227" s="394"/>
      <c r="ALS227" s="394"/>
      <c r="ALT227" s="394"/>
      <c r="ALU227" s="394"/>
      <c r="ALV227" s="394"/>
      <c r="ALW227" s="394"/>
      <c r="ALX227" s="394"/>
      <c r="ALY227" s="394"/>
      <c r="ALZ227" s="394"/>
      <c r="AMA227" s="394"/>
      <c r="AMB227" s="394"/>
      <c r="AMC227" s="394"/>
      <c r="AMD227" s="394"/>
      <c r="AME227" s="394"/>
      <c r="AMF227" s="394"/>
      <c r="AMG227" s="394"/>
      <c r="AMH227" s="394"/>
      <c r="AMI227" s="394"/>
      <c r="AMJ227" s="394"/>
      <c r="AMK227" s="394"/>
      <c r="AML227" s="394"/>
      <c r="AMM227" s="394"/>
      <c r="AMN227" s="394"/>
      <c r="AMO227" s="394"/>
      <c r="AMP227" s="394"/>
      <c r="AMQ227" s="394"/>
      <c r="AMR227" s="394"/>
      <c r="AMS227" s="394"/>
      <c r="AMT227" s="394"/>
      <c r="AMU227" s="394"/>
      <c r="AMV227" s="394"/>
      <c r="AMW227" s="394"/>
      <c r="AMX227" s="394"/>
      <c r="AMY227" s="394"/>
      <c r="AMZ227" s="394"/>
      <c r="ANA227" s="394"/>
      <c r="ANB227" s="394"/>
      <c r="ANC227" s="394"/>
      <c r="AND227" s="394"/>
      <c r="ANE227" s="394"/>
      <c r="ANF227" s="394"/>
      <c r="ANG227" s="394"/>
      <c r="ANH227" s="394"/>
      <c r="ANI227" s="394"/>
      <c r="ANJ227" s="394"/>
      <c r="ANK227" s="394"/>
      <c r="ANL227" s="394"/>
      <c r="ANM227" s="394"/>
      <c r="ANN227" s="394"/>
      <c r="ANO227" s="394"/>
      <c r="ANP227" s="394"/>
      <c r="ANQ227" s="394"/>
      <c r="ANR227" s="394"/>
      <c r="ANS227" s="394"/>
      <c r="ANT227" s="394"/>
      <c r="ANU227" s="394"/>
      <c r="ANV227" s="394"/>
      <c r="ANW227" s="394"/>
      <c r="ANX227" s="394"/>
      <c r="ANY227" s="394"/>
      <c r="ANZ227" s="394"/>
      <c r="AOA227" s="394"/>
      <c r="AOB227" s="394"/>
      <c r="AOC227" s="394"/>
      <c r="AOD227" s="394"/>
      <c r="AOE227" s="394"/>
      <c r="AOF227" s="394"/>
      <c r="AOG227" s="394"/>
      <c r="AOH227" s="394"/>
      <c r="AOI227" s="394"/>
      <c r="AOJ227" s="394"/>
      <c r="AOK227" s="394"/>
      <c r="AOL227" s="394"/>
      <c r="AOM227" s="394"/>
      <c r="AON227" s="394"/>
      <c r="AOO227" s="394"/>
      <c r="AOP227" s="394"/>
      <c r="AOQ227" s="394"/>
      <c r="AOR227" s="394"/>
      <c r="AOS227" s="394"/>
      <c r="AOT227" s="394"/>
      <c r="AOU227" s="394"/>
      <c r="AOV227" s="394"/>
      <c r="AOW227" s="394"/>
      <c r="AOX227" s="394"/>
      <c r="AOY227" s="394"/>
      <c r="AOZ227" s="394"/>
      <c r="APA227" s="394"/>
      <c r="APB227" s="394"/>
      <c r="APC227" s="394"/>
      <c r="APD227" s="394"/>
      <c r="APE227" s="394"/>
      <c r="APF227" s="394"/>
      <c r="APG227" s="394"/>
      <c r="APH227" s="394"/>
      <c r="API227" s="394"/>
      <c r="APJ227" s="394"/>
      <c r="APK227" s="394"/>
      <c r="APL227" s="394"/>
      <c r="APM227" s="394"/>
      <c r="APN227" s="394"/>
      <c r="APO227" s="394"/>
      <c r="APP227" s="394"/>
      <c r="APQ227" s="394"/>
      <c r="APR227" s="394"/>
      <c r="APS227" s="394"/>
      <c r="APT227" s="394"/>
      <c r="APU227" s="394"/>
      <c r="APV227" s="394"/>
      <c r="APW227" s="394"/>
      <c r="APX227" s="394"/>
      <c r="APY227" s="394"/>
      <c r="APZ227" s="394"/>
      <c r="AQA227" s="394"/>
      <c r="AQB227" s="394"/>
      <c r="AQC227" s="394"/>
      <c r="AQD227" s="394"/>
      <c r="AQE227" s="394"/>
      <c r="AQF227" s="394"/>
      <c r="AQG227" s="394"/>
      <c r="AQH227" s="394"/>
      <c r="AQI227" s="394"/>
      <c r="AQJ227" s="394"/>
      <c r="AQK227" s="394"/>
      <c r="AQL227" s="394"/>
      <c r="AQM227" s="394"/>
      <c r="AQN227" s="394"/>
      <c r="AQO227" s="394"/>
      <c r="AQP227" s="394"/>
      <c r="AQQ227" s="394"/>
      <c r="AQR227" s="394"/>
      <c r="AQS227" s="394"/>
      <c r="AQT227" s="394"/>
      <c r="AQU227" s="394"/>
      <c r="AQV227" s="394"/>
      <c r="AQW227" s="394"/>
      <c r="AQX227" s="394"/>
      <c r="AQY227" s="394"/>
      <c r="AQZ227" s="394"/>
      <c r="ARA227" s="394"/>
      <c r="ARB227" s="394"/>
      <c r="ARC227" s="394"/>
      <c r="ARD227" s="394"/>
      <c r="ARE227" s="394"/>
      <c r="ARF227" s="394"/>
      <c r="ARG227" s="394"/>
      <c r="ARH227" s="394"/>
      <c r="ARI227" s="394"/>
      <c r="ARJ227" s="394"/>
      <c r="ARK227" s="394"/>
      <c r="ARL227" s="394"/>
      <c r="ARM227" s="394"/>
      <c r="ARN227" s="394"/>
      <c r="ARO227" s="394"/>
      <c r="ARP227" s="394"/>
      <c r="ARQ227" s="394"/>
      <c r="ARR227" s="394"/>
      <c r="ARS227" s="394"/>
      <c r="ART227" s="394"/>
      <c r="ARU227" s="394"/>
      <c r="ARV227" s="394"/>
      <c r="ARW227" s="394"/>
      <c r="ARX227" s="394"/>
      <c r="ARY227" s="394"/>
      <c r="ARZ227" s="394"/>
      <c r="ASA227" s="394"/>
      <c r="ASB227" s="394"/>
      <c r="ASC227" s="394"/>
      <c r="ASD227" s="394"/>
      <c r="ASE227" s="394"/>
      <c r="ASF227" s="394"/>
      <c r="ASG227" s="394"/>
      <c r="ASH227" s="394"/>
      <c r="ASI227" s="394"/>
      <c r="ASJ227" s="394"/>
      <c r="ASK227" s="394"/>
      <c r="ASL227" s="394"/>
      <c r="ASM227" s="394"/>
      <c r="ASN227" s="394"/>
      <c r="ASO227" s="394"/>
      <c r="ASP227" s="394"/>
      <c r="ASQ227" s="394"/>
      <c r="ASR227" s="394"/>
      <c r="ASS227" s="394"/>
      <c r="AST227" s="394"/>
      <c r="ASU227" s="394"/>
      <c r="ASV227" s="394"/>
      <c r="ASW227" s="394"/>
      <c r="ASX227" s="394"/>
      <c r="ASY227" s="394"/>
      <c r="ASZ227" s="394"/>
      <c r="ATA227" s="394"/>
      <c r="ATB227" s="394"/>
      <c r="ATC227" s="394"/>
      <c r="ATD227" s="394"/>
      <c r="ATE227" s="394"/>
      <c r="ATF227" s="394"/>
      <c r="ATG227" s="394"/>
      <c r="ATH227" s="394"/>
      <c r="ATI227" s="394"/>
      <c r="ATJ227" s="394"/>
      <c r="ATK227" s="394"/>
      <c r="ATL227" s="394"/>
      <c r="ATM227" s="394"/>
      <c r="ATN227" s="394"/>
      <c r="ATO227" s="394"/>
      <c r="ATP227" s="394"/>
      <c r="ATQ227" s="394"/>
      <c r="ATR227" s="394"/>
      <c r="ATS227" s="394"/>
      <c r="ATT227" s="394"/>
      <c r="ATU227" s="394"/>
      <c r="ATV227" s="394"/>
      <c r="ATW227" s="394"/>
      <c r="ATX227" s="394"/>
      <c r="ATY227" s="394"/>
      <c r="ATZ227" s="394"/>
      <c r="AUA227" s="394"/>
      <c r="AUB227" s="394"/>
      <c r="AUC227" s="394"/>
      <c r="AUD227" s="394"/>
      <c r="AUE227" s="394"/>
      <c r="AUF227" s="394"/>
      <c r="AUG227" s="394"/>
      <c r="AUH227" s="394"/>
      <c r="AUI227" s="394"/>
      <c r="AUJ227" s="394"/>
      <c r="AUK227" s="394"/>
      <c r="AUL227" s="394"/>
      <c r="AUM227" s="394"/>
      <c r="AUN227" s="394"/>
      <c r="AUO227" s="394"/>
      <c r="AUP227" s="394"/>
      <c r="AUQ227" s="394"/>
      <c r="AUR227" s="394"/>
      <c r="AUS227" s="394"/>
      <c r="AUT227" s="394"/>
      <c r="AUU227" s="394"/>
      <c r="AUV227" s="394"/>
      <c r="AUW227" s="394"/>
      <c r="AUX227" s="394"/>
      <c r="AUY227" s="394"/>
      <c r="AUZ227" s="394"/>
      <c r="AVA227" s="394"/>
      <c r="AVB227" s="394"/>
      <c r="AVC227" s="394"/>
      <c r="AVD227" s="394"/>
      <c r="AVE227" s="394"/>
      <c r="AVF227" s="394"/>
      <c r="AVG227" s="394"/>
      <c r="AVH227" s="394"/>
      <c r="AVI227" s="394"/>
      <c r="AVJ227" s="394"/>
      <c r="AVK227" s="394"/>
      <c r="AVL227" s="394"/>
      <c r="AVM227" s="394"/>
      <c r="AVN227" s="394"/>
      <c r="AVO227" s="394"/>
      <c r="AVP227" s="394"/>
      <c r="AVQ227" s="394"/>
      <c r="AVR227" s="394"/>
      <c r="AVS227" s="394"/>
      <c r="AVT227" s="394"/>
      <c r="AVU227" s="394"/>
      <c r="AVV227" s="394"/>
      <c r="AVW227" s="394"/>
      <c r="AVX227" s="394"/>
      <c r="AVY227" s="394"/>
      <c r="AVZ227" s="394"/>
      <c r="AWA227" s="394"/>
      <c r="AWB227" s="394"/>
      <c r="AWC227" s="394"/>
      <c r="AWD227" s="394"/>
      <c r="AWE227" s="394"/>
      <c r="AWF227" s="394"/>
      <c r="AWG227" s="394"/>
      <c r="AWH227" s="394"/>
      <c r="AWI227" s="394"/>
      <c r="AWJ227" s="394"/>
      <c r="AWK227" s="394"/>
      <c r="AWL227" s="394"/>
      <c r="AWM227" s="394"/>
      <c r="AWN227" s="394"/>
      <c r="AWO227" s="394"/>
      <c r="AWP227" s="394"/>
      <c r="AWQ227" s="394"/>
      <c r="AWR227" s="394"/>
      <c r="AWS227" s="394"/>
      <c r="AWT227" s="394"/>
      <c r="AWU227" s="394"/>
      <c r="AWV227" s="394"/>
      <c r="AWW227" s="394"/>
      <c r="AWX227" s="394"/>
      <c r="AWY227" s="394"/>
      <c r="AWZ227" s="394"/>
      <c r="AXA227" s="394"/>
      <c r="AXB227" s="394"/>
      <c r="AXC227" s="394"/>
      <c r="AXD227" s="394"/>
      <c r="AXE227" s="394"/>
      <c r="AXF227" s="394"/>
      <c r="AXG227" s="394"/>
      <c r="AXH227" s="394"/>
      <c r="AXI227" s="394"/>
      <c r="AXJ227" s="394"/>
      <c r="AXK227" s="394"/>
      <c r="AXL227" s="394"/>
      <c r="AXM227" s="394"/>
      <c r="AXN227" s="394"/>
      <c r="AXO227" s="394"/>
      <c r="AXP227" s="394"/>
      <c r="AXQ227" s="394"/>
      <c r="AXR227" s="394"/>
      <c r="AXS227" s="394"/>
      <c r="AXT227" s="394"/>
      <c r="AXU227" s="394"/>
      <c r="AXV227" s="394"/>
      <c r="AXW227" s="394"/>
      <c r="AXX227" s="394"/>
      <c r="AXY227" s="394"/>
      <c r="AXZ227" s="394"/>
      <c r="AYA227" s="394"/>
      <c r="AYB227" s="394"/>
      <c r="AYC227" s="394"/>
      <c r="AYD227" s="394"/>
      <c r="AYE227" s="394"/>
      <c r="AYF227" s="394"/>
      <c r="AYG227" s="394"/>
      <c r="AYH227" s="394"/>
      <c r="AYI227" s="394"/>
      <c r="AYJ227" s="394"/>
      <c r="AYK227" s="394"/>
      <c r="AYL227" s="394"/>
      <c r="AYM227" s="394"/>
      <c r="AYN227" s="394"/>
      <c r="AYO227" s="394"/>
      <c r="AYP227" s="394"/>
      <c r="AYQ227" s="394"/>
      <c r="AYR227" s="394"/>
      <c r="AYS227" s="394"/>
      <c r="AYT227" s="394"/>
      <c r="AYU227" s="394"/>
      <c r="AYV227" s="394"/>
      <c r="AYW227" s="394"/>
      <c r="AYX227" s="394"/>
      <c r="AYY227" s="394"/>
      <c r="AYZ227" s="394"/>
      <c r="AZA227" s="394"/>
      <c r="AZB227" s="394"/>
      <c r="AZC227" s="394"/>
      <c r="AZD227" s="394"/>
      <c r="AZE227" s="394"/>
      <c r="AZF227" s="394"/>
      <c r="AZG227" s="394"/>
      <c r="AZH227" s="394"/>
      <c r="AZI227" s="394"/>
      <c r="AZJ227" s="394"/>
      <c r="AZK227" s="394"/>
      <c r="AZL227" s="394"/>
      <c r="AZM227" s="394"/>
      <c r="AZN227" s="394"/>
      <c r="AZO227" s="394"/>
      <c r="AZP227" s="394"/>
      <c r="AZQ227" s="394"/>
      <c r="AZR227" s="394"/>
      <c r="AZS227" s="394"/>
      <c r="AZT227" s="394"/>
      <c r="AZU227" s="394"/>
      <c r="AZV227" s="394"/>
      <c r="AZW227" s="394"/>
      <c r="AZX227" s="394"/>
      <c r="AZY227" s="394"/>
      <c r="AZZ227" s="394"/>
      <c r="BAA227" s="394"/>
      <c r="BAB227" s="394"/>
      <c r="BAC227" s="394"/>
      <c r="BAD227" s="394"/>
      <c r="BAE227" s="394"/>
      <c r="BAF227" s="394"/>
      <c r="BAG227" s="394"/>
      <c r="BAH227" s="394"/>
      <c r="BAI227" s="394"/>
      <c r="BAJ227" s="394"/>
      <c r="BAK227" s="394"/>
      <c r="BAL227" s="394"/>
      <c r="BAM227" s="394"/>
      <c r="BAN227" s="394"/>
      <c r="BAO227" s="394"/>
      <c r="BAP227" s="394"/>
      <c r="BAQ227" s="394"/>
      <c r="BAR227" s="394"/>
      <c r="BAS227" s="394"/>
      <c r="BAT227" s="394"/>
      <c r="BAU227" s="394"/>
      <c r="BAV227" s="394"/>
      <c r="BAW227" s="394"/>
      <c r="BAX227" s="394"/>
      <c r="BAY227" s="394"/>
      <c r="BAZ227" s="394"/>
      <c r="BBA227" s="394"/>
      <c r="BBB227" s="394"/>
      <c r="BBC227" s="394"/>
      <c r="BBD227" s="394"/>
      <c r="BBE227" s="394"/>
      <c r="BBF227" s="394"/>
      <c r="BBG227" s="394"/>
      <c r="BBH227" s="394"/>
      <c r="BBI227" s="394"/>
      <c r="BBJ227" s="394"/>
      <c r="BBK227" s="394"/>
      <c r="BBL227" s="394"/>
      <c r="BBM227" s="394"/>
      <c r="BBN227" s="394"/>
      <c r="BBO227" s="394"/>
      <c r="BBP227" s="394"/>
      <c r="BBQ227" s="394"/>
      <c r="BBR227" s="394"/>
      <c r="BBS227" s="394"/>
      <c r="BBT227" s="394"/>
      <c r="BBU227" s="394"/>
      <c r="BBV227" s="394"/>
      <c r="BBW227" s="394"/>
      <c r="BBX227" s="394"/>
      <c r="BBY227" s="394"/>
      <c r="BBZ227" s="394"/>
      <c r="BCA227" s="394"/>
      <c r="BCB227" s="394"/>
      <c r="BCC227" s="394"/>
      <c r="BCD227" s="394"/>
      <c r="BCE227" s="394"/>
      <c r="BCF227" s="394"/>
      <c r="BCG227" s="394"/>
      <c r="BCH227" s="394"/>
      <c r="BCI227" s="394"/>
      <c r="BCJ227" s="394"/>
      <c r="BCK227" s="394"/>
      <c r="BCL227" s="394"/>
      <c r="BCM227" s="394"/>
      <c r="BCN227" s="394"/>
      <c r="BCO227" s="394"/>
      <c r="BCP227" s="394"/>
      <c r="BCQ227" s="394"/>
      <c r="BCR227" s="394"/>
      <c r="BCS227" s="394"/>
      <c r="BCT227" s="394"/>
      <c r="BCU227" s="394"/>
      <c r="BCV227" s="394"/>
      <c r="BCW227" s="394"/>
      <c r="BCX227" s="394"/>
      <c r="BCY227" s="394"/>
      <c r="BCZ227" s="394"/>
      <c r="BDA227" s="394"/>
      <c r="BDB227" s="394"/>
      <c r="BDC227" s="394"/>
      <c r="BDD227" s="394"/>
      <c r="BDE227" s="394"/>
      <c r="BDF227" s="394"/>
      <c r="BDG227" s="394"/>
      <c r="BDH227" s="394"/>
      <c r="BDI227" s="394"/>
      <c r="BDJ227" s="394"/>
      <c r="BDK227" s="394"/>
      <c r="BDL227" s="394"/>
      <c r="BDM227" s="394"/>
      <c r="BDN227" s="394"/>
      <c r="BDO227" s="394"/>
      <c r="BDP227" s="394"/>
      <c r="BDQ227" s="394"/>
      <c r="BDR227" s="394"/>
      <c r="BDS227" s="394"/>
      <c r="BDT227" s="394"/>
      <c r="BDU227" s="394"/>
      <c r="BDV227" s="394"/>
      <c r="BDW227" s="394"/>
      <c r="BDX227" s="394"/>
      <c r="BDY227" s="394"/>
      <c r="BDZ227" s="394"/>
      <c r="BEA227" s="394"/>
      <c r="BEB227" s="394"/>
      <c r="BEC227" s="394"/>
      <c r="BED227" s="394"/>
      <c r="BEE227" s="394"/>
      <c r="BEF227" s="394"/>
      <c r="BEG227" s="394"/>
      <c r="BEH227" s="394"/>
      <c r="BEI227" s="394"/>
      <c r="BEJ227" s="394"/>
      <c r="BEK227" s="394"/>
      <c r="BEL227" s="394"/>
      <c r="BEM227" s="394"/>
      <c r="BEN227" s="394"/>
      <c r="BEO227" s="394"/>
      <c r="BEP227" s="394"/>
      <c r="BEQ227" s="394"/>
      <c r="BER227" s="394"/>
      <c r="BES227" s="394"/>
      <c r="BET227" s="394"/>
      <c r="BEU227" s="394"/>
      <c r="BEV227" s="394"/>
      <c r="BEW227" s="394"/>
      <c r="BEX227" s="394"/>
      <c r="BEY227" s="394"/>
      <c r="BEZ227" s="394"/>
      <c r="BFA227" s="394"/>
      <c r="BFB227" s="394"/>
      <c r="BFC227" s="394"/>
      <c r="BFD227" s="394"/>
      <c r="BFE227" s="394"/>
      <c r="BFF227" s="394"/>
      <c r="BFG227" s="394"/>
      <c r="BFH227" s="394"/>
      <c r="BFI227" s="394"/>
      <c r="BFJ227" s="394"/>
      <c r="BFK227" s="394"/>
      <c r="BFL227" s="394"/>
      <c r="BFM227" s="394"/>
      <c r="BFN227" s="394"/>
      <c r="BFO227" s="394"/>
      <c r="BFP227" s="394"/>
      <c r="BFQ227" s="394"/>
      <c r="BFR227" s="394"/>
      <c r="BFS227" s="394"/>
      <c r="BFT227" s="394"/>
      <c r="BFU227" s="394"/>
      <c r="BFV227" s="394"/>
      <c r="BFW227" s="394"/>
      <c r="BFX227" s="394"/>
      <c r="BFY227" s="394"/>
      <c r="BFZ227" s="394"/>
      <c r="BGA227" s="394"/>
      <c r="BGB227" s="394"/>
      <c r="BGC227" s="394"/>
      <c r="BGD227" s="394"/>
      <c r="BGE227" s="394"/>
      <c r="BGF227" s="394"/>
      <c r="BGG227" s="394"/>
      <c r="BGH227" s="394"/>
      <c r="BGI227" s="394"/>
      <c r="BGJ227" s="394"/>
      <c r="BGK227" s="394"/>
      <c r="BGL227" s="394"/>
      <c r="BGM227" s="394"/>
      <c r="BGN227" s="394"/>
      <c r="BGO227" s="394"/>
      <c r="BGP227" s="394"/>
      <c r="BGQ227" s="394"/>
      <c r="BGR227" s="394"/>
      <c r="BGS227" s="394"/>
      <c r="BGT227" s="394"/>
      <c r="BGU227" s="394"/>
      <c r="BGV227" s="394"/>
      <c r="BGW227" s="394"/>
      <c r="BGX227" s="394"/>
      <c r="BGY227" s="394"/>
      <c r="BGZ227" s="394"/>
      <c r="BHA227" s="394"/>
      <c r="BHB227" s="394"/>
      <c r="BHC227" s="394"/>
      <c r="BHD227" s="394"/>
      <c r="BHE227" s="394"/>
      <c r="BHF227" s="394"/>
      <c r="BHG227" s="394"/>
      <c r="BHH227" s="394"/>
      <c r="BHI227" s="394"/>
      <c r="BHJ227" s="394"/>
      <c r="BHK227" s="394"/>
      <c r="BHL227" s="394"/>
      <c r="BHM227" s="394"/>
      <c r="BHN227" s="394"/>
      <c r="BHO227" s="394"/>
      <c r="BHP227" s="394"/>
      <c r="BHQ227" s="394"/>
      <c r="BHR227" s="394"/>
      <c r="BHS227" s="394"/>
      <c r="BHT227" s="394"/>
      <c r="BHU227" s="394"/>
      <c r="BHV227" s="394"/>
      <c r="BHW227" s="394"/>
      <c r="BHX227" s="394"/>
      <c r="BHY227" s="394"/>
      <c r="BHZ227" s="394"/>
      <c r="BIA227" s="394"/>
      <c r="BIB227" s="394"/>
      <c r="BIC227" s="394"/>
      <c r="BID227" s="394"/>
      <c r="BIE227" s="394"/>
      <c r="BIF227" s="394"/>
      <c r="BIG227" s="394"/>
      <c r="BIH227" s="394"/>
      <c r="BII227" s="394"/>
      <c r="BIJ227" s="394"/>
      <c r="BIK227" s="394"/>
      <c r="BIL227" s="394"/>
      <c r="BIM227" s="394"/>
      <c r="BIN227" s="394"/>
      <c r="BIO227" s="394"/>
      <c r="BIP227" s="394"/>
      <c r="BIQ227" s="394"/>
      <c r="BIR227" s="394"/>
      <c r="BIS227" s="394"/>
      <c r="BIT227" s="394"/>
      <c r="BIU227" s="394"/>
      <c r="BIV227" s="394"/>
      <c r="BIW227" s="394"/>
      <c r="BIX227" s="394"/>
      <c r="BIY227" s="394"/>
      <c r="BIZ227" s="394"/>
      <c r="BJA227" s="394"/>
      <c r="BJB227" s="394"/>
      <c r="BJC227" s="394"/>
      <c r="BJD227" s="394"/>
      <c r="BJE227" s="394"/>
      <c r="BJF227" s="394"/>
      <c r="BJG227" s="394"/>
      <c r="BJH227" s="394"/>
      <c r="BJI227" s="394"/>
      <c r="BJJ227" s="394"/>
      <c r="BJK227" s="394"/>
      <c r="BJL227" s="394"/>
      <c r="BJM227" s="394"/>
      <c r="BJN227" s="394"/>
      <c r="BJO227" s="394"/>
      <c r="BJP227" s="394"/>
      <c r="BJQ227" s="394"/>
      <c r="BJR227" s="394"/>
      <c r="BJS227" s="394"/>
      <c r="BJT227" s="394"/>
      <c r="BJU227" s="394"/>
      <c r="BJV227" s="394"/>
      <c r="BJW227" s="394"/>
      <c r="BJX227" s="394"/>
      <c r="BJY227" s="394"/>
      <c r="BJZ227" s="394"/>
      <c r="BKA227" s="394"/>
      <c r="BKB227" s="394"/>
      <c r="BKC227" s="394"/>
      <c r="BKD227" s="394"/>
      <c r="BKE227" s="394"/>
      <c r="BKF227" s="394"/>
      <c r="BKG227" s="394"/>
      <c r="BKH227" s="394"/>
      <c r="BKI227" s="394"/>
      <c r="BKJ227" s="394"/>
      <c r="BKK227" s="394"/>
      <c r="BKL227" s="394"/>
      <c r="BKM227" s="394"/>
      <c r="BKN227" s="394"/>
      <c r="BKO227" s="394"/>
      <c r="BKP227" s="394"/>
      <c r="BKQ227" s="394"/>
      <c r="BKR227" s="394"/>
      <c r="BKS227" s="394"/>
      <c r="BKT227" s="394"/>
      <c r="BKU227" s="394"/>
      <c r="BKV227" s="394"/>
      <c r="BKW227" s="394"/>
      <c r="BKX227" s="394"/>
      <c r="BKY227" s="394"/>
      <c r="BKZ227" s="394"/>
      <c r="BLA227" s="394"/>
      <c r="BLB227" s="394"/>
      <c r="BLC227" s="394"/>
      <c r="BLD227" s="394"/>
      <c r="BLE227" s="394"/>
      <c r="BLF227" s="394"/>
      <c r="BLG227" s="394"/>
      <c r="BLH227" s="394"/>
      <c r="BLI227" s="394"/>
      <c r="BLJ227" s="394"/>
      <c r="BLK227" s="394"/>
      <c r="BLL227" s="394"/>
      <c r="BLM227" s="394"/>
      <c r="BLN227" s="394"/>
      <c r="BLO227" s="394"/>
      <c r="BLP227" s="394"/>
      <c r="BLQ227" s="394"/>
      <c r="BLR227" s="394"/>
      <c r="BLS227" s="394"/>
      <c r="BLT227" s="394"/>
      <c r="BLU227" s="394"/>
      <c r="BLV227" s="394"/>
      <c r="BLW227" s="394"/>
      <c r="BLX227" s="394"/>
      <c r="BLY227" s="394"/>
      <c r="BLZ227" s="394"/>
      <c r="BMA227" s="394"/>
      <c r="BMB227" s="394"/>
      <c r="BMC227" s="394"/>
      <c r="BMD227" s="394"/>
      <c r="BME227" s="394"/>
      <c r="BMF227" s="394"/>
      <c r="BMG227" s="394"/>
      <c r="BMH227" s="394"/>
      <c r="BMI227" s="394"/>
      <c r="BMJ227" s="394"/>
      <c r="BMK227" s="394"/>
      <c r="BML227" s="394"/>
      <c r="BMM227" s="394"/>
      <c r="BMN227" s="394"/>
      <c r="BMO227" s="394"/>
      <c r="BMP227" s="394"/>
      <c r="BMQ227" s="394"/>
      <c r="BMR227" s="394"/>
      <c r="BMS227" s="394"/>
      <c r="BMT227" s="394"/>
      <c r="BMU227" s="394"/>
      <c r="BMV227" s="394"/>
      <c r="BMW227" s="394"/>
      <c r="BMX227" s="394"/>
      <c r="BMY227" s="394"/>
      <c r="BMZ227" s="394"/>
      <c r="BNA227" s="394"/>
      <c r="BNB227" s="394"/>
      <c r="BNC227" s="394"/>
      <c r="BND227" s="394"/>
      <c r="BNE227" s="394"/>
      <c r="BNF227" s="394"/>
      <c r="BNG227" s="394"/>
      <c r="BNH227" s="394"/>
      <c r="BNI227" s="394"/>
      <c r="BNJ227" s="394"/>
      <c r="BNK227" s="394"/>
      <c r="BNL227" s="394"/>
      <c r="BNM227" s="394"/>
      <c r="BNN227" s="394"/>
      <c r="BNO227" s="394"/>
      <c r="BNP227" s="394"/>
      <c r="BNQ227" s="394"/>
      <c r="BNR227" s="394"/>
      <c r="BNS227" s="394"/>
      <c r="BNT227" s="394"/>
      <c r="BNU227" s="394"/>
      <c r="BNV227" s="394"/>
      <c r="BNW227" s="394"/>
      <c r="BNX227" s="394"/>
      <c r="BNY227" s="394"/>
      <c r="BNZ227" s="394"/>
      <c r="BOA227" s="394"/>
      <c r="BOB227" s="394"/>
      <c r="BOC227" s="394"/>
      <c r="BOD227" s="394"/>
      <c r="BOE227" s="394"/>
      <c r="BOF227" s="394"/>
      <c r="BOG227" s="394"/>
      <c r="BOH227" s="394"/>
      <c r="BOI227" s="394"/>
      <c r="BOJ227" s="394"/>
      <c r="BOK227" s="394"/>
      <c r="BOL227" s="394"/>
      <c r="BOM227" s="394"/>
      <c r="BON227" s="394"/>
      <c r="BOO227" s="394"/>
      <c r="BOP227" s="394"/>
      <c r="BOQ227" s="394"/>
      <c r="BOR227" s="394"/>
      <c r="BOS227" s="394"/>
      <c r="BOT227" s="394"/>
      <c r="BOU227" s="394"/>
      <c r="BOV227" s="394"/>
      <c r="BOW227" s="394"/>
      <c r="BOX227" s="394"/>
      <c r="BOY227" s="394"/>
      <c r="BOZ227" s="394"/>
      <c r="BPA227" s="394"/>
      <c r="BPB227" s="394"/>
      <c r="BPC227" s="394"/>
      <c r="BPD227" s="394"/>
      <c r="BPE227" s="394"/>
      <c r="BPF227" s="394"/>
      <c r="BPG227" s="394"/>
      <c r="BPH227" s="394"/>
      <c r="BPI227" s="394"/>
      <c r="BPJ227" s="394"/>
      <c r="BPK227" s="394"/>
      <c r="BPL227" s="394"/>
      <c r="BPM227" s="394"/>
      <c r="BPN227" s="394"/>
      <c r="BPO227" s="394"/>
      <c r="BPP227" s="394"/>
      <c r="BPQ227" s="394"/>
      <c r="BPR227" s="394"/>
      <c r="BPS227" s="394"/>
      <c r="BPT227" s="394"/>
      <c r="BPU227" s="394"/>
      <c r="BPV227" s="394"/>
      <c r="BPW227" s="394"/>
      <c r="BPX227" s="394"/>
      <c r="BPY227" s="394"/>
      <c r="BPZ227" s="394"/>
      <c r="BQA227" s="394"/>
      <c r="BQB227" s="394"/>
      <c r="BQC227" s="394"/>
      <c r="BQD227" s="394"/>
      <c r="BQE227" s="394"/>
      <c r="BQF227" s="394"/>
      <c r="BQG227" s="394"/>
      <c r="BQH227" s="394"/>
      <c r="BQI227" s="394"/>
      <c r="BQJ227" s="394"/>
      <c r="BQK227" s="394"/>
      <c r="BQL227" s="394"/>
      <c r="BQM227" s="394"/>
      <c r="BQN227" s="394"/>
      <c r="BQO227" s="394"/>
      <c r="BQP227" s="394"/>
      <c r="BQQ227" s="394"/>
      <c r="BQR227" s="394"/>
      <c r="BQS227" s="394"/>
      <c r="BQT227" s="394"/>
      <c r="BQU227" s="394"/>
      <c r="BQV227" s="394"/>
      <c r="BQW227" s="394"/>
      <c r="BQX227" s="394"/>
      <c r="BQY227" s="394"/>
      <c r="BQZ227" s="394"/>
      <c r="BRA227" s="394"/>
      <c r="BRB227" s="394"/>
      <c r="BRC227" s="394"/>
      <c r="BRD227" s="394"/>
      <c r="BRE227" s="394"/>
      <c r="BRF227" s="394"/>
      <c r="BRG227" s="394"/>
      <c r="BRH227" s="394"/>
      <c r="BRI227" s="394"/>
      <c r="BRJ227" s="394"/>
      <c r="BRK227" s="394"/>
      <c r="BRL227" s="394"/>
      <c r="BRM227" s="394"/>
      <c r="BRN227" s="394"/>
      <c r="BRO227" s="394"/>
      <c r="BRP227" s="394"/>
      <c r="BRQ227" s="394"/>
      <c r="BRR227" s="394"/>
      <c r="BRS227" s="394"/>
      <c r="BRT227" s="394"/>
      <c r="BRU227" s="394"/>
      <c r="BRV227" s="394"/>
      <c r="BRW227" s="394"/>
      <c r="BRX227" s="394"/>
      <c r="BRY227" s="394"/>
      <c r="BRZ227" s="394"/>
      <c r="BSA227" s="394"/>
      <c r="BSB227" s="394"/>
      <c r="BSC227" s="394"/>
      <c r="BSD227" s="394"/>
      <c r="BSE227" s="394"/>
      <c r="BSF227" s="394"/>
      <c r="BSG227" s="394"/>
      <c r="BSH227" s="394"/>
      <c r="BSI227" s="394"/>
      <c r="BSJ227" s="394"/>
      <c r="BSK227" s="394"/>
      <c r="BSL227" s="394"/>
      <c r="BSM227" s="394"/>
      <c r="BSN227" s="394"/>
      <c r="BSO227" s="394"/>
      <c r="BSP227" s="394"/>
      <c r="BSQ227" s="394"/>
      <c r="BSR227" s="394"/>
      <c r="BSS227" s="394"/>
      <c r="BST227" s="394"/>
      <c r="BSU227" s="394"/>
      <c r="BSV227" s="394"/>
      <c r="BSW227" s="394"/>
      <c r="BSX227" s="394"/>
      <c r="BSY227" s="394"/>
      <c r="BSZ227" s="394"/>
      <c r="BTA227" s="394"/>
      <c r="BTB227" s="394"/>
      <c r="BTC227" s="394"/>
      <c r="BTD227" s="394"/>
      <c r="BTE227" s="394"/>
      <c r="BTF227" s="394"/>
      <c r="BTG227" s="394"/>
      <c r="BTH227" s="394"/>
      <c r="BTI227" s="394"/>
    </row>
    <row r="228" spans="1:1881" s="317" customFormat="1" ht="28.5" customHeight="1" x14ac:dyDescent="0.25">
      <c r="A228" s="188"/>
      <c r="B228" s="160" t="s">
        <v>57</v>
      </c>
      <c r="C228" s="160"/>
      <c r="D228" s="353"/>
      <c r="E228" s="152"/>
      <c r="F228" s="742"/>
      <c r="G228" s="354"/>
      <c r="H228" s="17"/>
      <c r="I228" s="297"/>
      <c r="J228" s="394"/>
      <c r="K228" s="394"/>
      <c r="L228" s="394"/>
      <c r="M228" s="394"/>
      <c r="N228"/>
      <c r="O228" s="394"/>
      <c r="P228" s="394"/>
      <c r="Q228" s="394"/>
      <c r="R228" s="394"/>
      <c r="S228" s="394"/>
      <c r="T228" s="394"/>
      <c r="U228" s="394"/>
      <c r="V228" s="394"/>
      <c r="W228" s="394"/>
      <c r="X228" s="394"/>
      <c r="Y228" s="394"/>
      <c r="Z228" s="394"/>
      <c r="AA228" s="394"/>
      <c r="AB228" s="394"/>
      <c r="AC228" s="394"/>
      <c r="AD228" s="394"/>
      <c r="AE228" s="394"/>
      <c r="AF228" s="394"/>
      <c r="AG228" s="394"/>
      <c r="AH228" s="394"/>
      <c r="AI228" s="394"/>
      <c r="AJ228" s="394"/>
      <c r="AK228" s="394"/>
      <c r="AL228" s="394"/>
      <c r="AM228" s="394"/>
      <c r="AN228" s="394"/>
      <c r="AO228" s="394"/>
      <c r="AP228" s="394"/>
      <c r="AQ228" s="394"/>
      <c r="AR228" s="394"/>
      <c r="AS228" s="394"/>
      <c r="AT228" s="394"/>
      <c r="AU228" s="394"/>
      <c r="AV228" s="394"/>
      <c r="AW228" s="394"/>
      <c r="AX228" s="394"/>
      <c r="AY228" s="394"/>
      <c r="AZ228" s="394"/>
      <c r="BA228" s="394"/>
      <c r="BB228" s="394"/>
      <c r="BC228" s="394"/>
      <c r="BD228" s="394"/>
      <c r="BE228" s="394"/>
      <c r="BF228" s="394"/>
      <c r="BG228" s="394"/>
      <c r="BH228" s="394"/>
      <c r="BI228" s="394"/>
      <c r="BJ228" s="394"/>
      <c r="BK228" s="394"/>
      <c r="BL228" s="394"/>
      <c r="BM228" s="394"/>
      <c r="BN228" s="394"/>
      <c r="BO228" s="394"/>
      <c r="BP228" s="394"/>
      <c r="BQ228" s="394"/>
      <c r="BR228" s="394"/>
      <c r="BS228" s="394"/>
      <c r="BT228" s="394"/>
      <c r="BU228" s="394"/>
      <c r="BV228" s="394"/>
      <c r="BW228" s="394"/>
      <c r="BX228" s="394"/>
      <c r="BY228" s="394"/>
      <c r="BZ228" s="394"/>
      <c r="CA228" s="394"/>
      <c r="CB228" s="394"/>
      <c r="CC228" s="394"/>
      <c r="CD228" s="394"/>
      <c r="CE228" s="394"/>
      <c r="CF228" s="394"/>
      <c r="CG228" s="394"/>
      <c r="CH228" s="394"/>
      <c r="CI228" s="394"/>
      <c r="CJ228" s="394"/>
      <c r="CK228" s="394"/>
      <c r="CL228" s="394"/>
      <c r="CM228" s="394"/>
      <c r="CN228" s="394"/>
      <c r="CO228" s="394"/>
      <c r="CP228" s="394"/>
      <c r="CQ228" s="394"/>
      <c r="CR228" s="394"/>
      <c r="CS228" s="394"/>
      <c r="CT228" s="394"/>
      <c r="CU228" s="394"/>
      <c r="CV228" s="394"/>
      <c r="CW228" s="394"/>
      <c r="CX228" s="394"/>
      <c r="CY228" s="394"/>
      <c r="CZ228" s="394"/>
      <c r="DA228" s="394"/>
      <c r="DB228" s="394"/>
      <c r="DC228" s="394"/>
      <c r="DD228" s="394"/>
      <c r="DE228" s="394"/>
      <c r="DF228" s="394"/>
      <c r="DG228" s="394"/>
      <c r="DH228" s="394"/>
      <c r="DI228" s="394"/>
      <c r="DJ228" s="394"/>
      <c r="DK228" s="394"/>
      <c r="DL228" s="394"/>
      <c r="DM228" s="394"/>
      <c r="DN228" s="394"/>
      <c r="DO228" s="394"/>
      <c r="DP228" s="394"/>
      <c r="DQ228" s="394"/>
      <c r="DR228" s="394"/>
      <c r="DS228" s="394"/>
      <c r="DT228" s="394"/>
      <c r="DU228" s="394"/>
      <c r="DV228" s="394"/>
      <c r="DW228" s="394"/>
      <c r="DX228" s="394"/>
      <c r="DY228" s="394"/>
      <c r="DZ228" s="394"/>
      <c r="EA228" s="394"/>
      <c r="EB228" s="394"/>
      <c r="EC228" s="394"/>
      <c r="ED228" s="394"/>
      <c r="EE228" s="394"/>
      <c r="EF228" s="394"/>
      <c r="EG228" s="394"/>
      <c r="EH228" s="394"/>
      <c r="EI228" s="394"/>
      <c r="EJ228" s="394"/>
      <c r="EK228" s="394"/>
      <c r="EL228" s="394"/>
      <c r="EM228" s="394"/>
      <c r="EN228" s="394"/>
      <c r="EO228" s="394"/>
      <c r="EP228" s="394"/>
      <c r="EQ228" s="394"/>
      <c r="ER228" s="394"/>
      <c r="ES228" s="394"/>
      <c r="ET228" s="394"/>
      <c r="EU228" s="394"/>
      <c r="EV228" s="394"/>
      <c r="EW228" s="394"/>
      <c r="EX228" s="394"/>
      <c r="EY228" s="394"/>
      <c r="EZ228" s="394"/>
      <c r="FA228" s="394"/>
      <c r="FB228" s="394"/>
      <c r="FC228" s="394"/>
      <c r="FD228" s="394"/>
      <c r="FE228" s="394"/>
      <c r="FF228" s="394"/>
      <c r="FG228" s="394"/>
      <c r="FH228" s="394"/>
      <c r="FI228" s="394"/>
      <c r="FJ228" s="394"/>
      <c r="FK228" s="394"/>
      <c r="FL228" s="394"/>
      <c r="FM228" s="394"/>
      <c r="FN228" s="394"/>
      <c r="FO228" s="394"/>
      <c r="FP228" s="394"/>
      <c r="FQ228" s="394"/>
      <c r="FR228" s="394"/>
      <c r="FS228" s="394"/>
      <c r="FT228" s="394"/>
      <c r="FU228" s="394"/>
      <c r="FV228" s="394"/>
      <c r="FW228" s="394"/>
      <c r="FX228" s="394"/>
      <c r="FY228" s="394"/>
      <c r="FZ228" s="394"/>
      <c r="GA228" s="394"/>
      <c r="GB228" s="394"/>
      <c r="GC228" s="394"/>
      <c r="GD228" s="394"/>
      <c r="GE228" s="394"/>
      <c r="GF228" s="394"/>
      <c r="GG228" s="394"/>
      <c r="GH228" s="394"/>
      <c r="GI228" s="394"/>
      <c r="GJ228" s="394"/>
      <c r="GK228" s="394"/>
      <c r="GL228" s="394"/>
      <c r="GM228" s="394"/>
      <c r="GN228" s="394"/>
      <c r="GO228" s="394"/>
      <c r="GP228" s="394"/>
      <c r="GQ228" s="394"/>
      <c r="GR228" s="394"/>
      <c r="GS228" s="394"/>
      <c r="GT228" s="394"/>
      <c r="GU228" s="394"/>
      <c r="GV228" s="394"/>
      <c r="GW228" s="394"/>
      <c r="GX228" s="394"/>
      <c r="GY228" s="394"/>
      <c r="GZ228" s="394"/>
      <c r="HA228" s="394"/>
      <c r="HB228" s="394"/>
      <c r="HC228" s="394"/>
      <c r="HD228" s="394"/>
      <c r="HE228" s="394"/>
      <c r="HF228" s="394"/>
      <c r="HG228" s="394"/>
      <c r="HH228" s="394"/>
      <c r="HI228" s="394"/>
      <c r="HJ228" s="394"/>
      <c r="HK228" s="394"/>
      <c r="HL228" s="394"/>
      <c r="HM228" s="394"/>
      <c r="HN228" s="394"/>
      <c r="HO228" s="394"/>
      <c r="HP228" s="394"/>
      <c r="HQ228" s="394"/>
      <c r="HR228" s="394"/>
      <c r="HS228" s="394"/>
      <c r="HT228" s="394"/>
      <c r="HU228" s="394"/>
      <c r="HV228" s="394"/>
      <c r="HW228" s="394"/>
      <c r="HX228" s="394"/>
      <c r="HY228" s="394"/>
      <c r="HZ228" s="394"/>
      <c r="IA228" s="394"/>
      <c r="IB228" s="394"/>
      <c r="IC228" s="394"/>
      <c r="ID228" s="394"/>
      <c r="IE228" s="394"/>
      <c r="IF228" s="394"/>
      <c r="IG228" s="394"/>
      <c r="IH228" s="394"/>
      <c r="II228" s="394"/>
      <c r="IJ228" s="394"/>
      <c r="IK228" s="394"/>
      <c r="IL228" s="394"/>
      <c r="IM228" s="394"/>
      <c r="IN228" s="394"/>
      <c r="IO228" s="394"/>
      <c r="IP228" s="394"/>
      <c r="IQ228" s="394"/>
      <c r="IR228" s="394"/>
      <c r="IS228" s="394"/>
      <c r="IT228" s="394"/>
      <c r="IU228" s="394"/>
      <c r="IV228" s="394"/>
      <c r="IW228" s="394"/>
      <c r="IX228" s="394"/>
      <c r="IY228" s="394"/>
      <c r="IZ228" s="394"/>
      <c r="JA228" s="394"/>
      <c r="JB228" s="394"/>
      <c r="JC228" s="394"/>
      <c r="JD228" s="394"/>
      <c r="JE228" s="394"/>
      <c r="JF228" s="394"/>
      <c r="JG228" s="394"/>
      <c r="JH228" s="394"/>
      <c r="JI228" s="394"/>
      <c r="JJ228" s="394"/>
      <c r="JK228" s="394"/>
      <c r="JL228" s="394"/>
      <c r="JM228" s="394"/>
      <c r="JN228" s="394"/>
      <c r="JO228" s="394"/>
      <c r="JP228" s="394"/>
      <c r="JQ228" s="394"/>
      <c r="JR228" s="394"/>
      <c r="JS228" s="394"/>
      <c r="JT228" s="394"/>
      <c r="JU228" s="394"/>
      <c r="JV228" s="394"/>
      <c r="JW228" s="394"/>
      <c r="JX228" s="394"/>
      <c r="JY228" s="394"/>
      <c r="JZ228" s="394"/>
      <c r="KA228" s="394"/>
      <c r="KB228" s="394"/>
      <c r="KC228" s="394"/>
      <c r="KD228" s="394"/>
      <c r="KE228" s="394"/>
      <c r="KF228" s="394"/>
      <c r="KG228" s="394"/>
      <c r="KH228" s="394"/>
      <c r="KI228" s="394"/>
      <c r="KJ228" s="394"/>
      <c r="KK228" s="394"/>
      <c r="KL228" s="394"/>
      <c r="KM228" s="394"/>
      <c r="KN228" s="394"/>
      <c r="KO228" s="394"/>
      <c r="KP228" s="394"/>
      <c r="KQ228" s="394"/>
      <c r="KR228" s="394"/>
      <c r="KS228" s="394"/>
      <c r="KT228" s="394"/>
      <c r="KU228" s="394"/>
      <c r="KV228" s="394"/>
      <c r="KW228" s="394"/>
      <c r="KX228" s="394"/>
      <c r="KY228" s="394"/>
      <c r="KZ228" s="394"/>
      <c r="LA228" s="394"/>
      <c r="LB228" s="394"/>
      <c r="LC228" s="394"/>
      <c r="LD228" s="394"/>
      <c r="LE228" s="394"/>
      <c r="LF228" s="394"/>
      <c r="LG228" s="394"/>
      <c r="LH228" s="394"/>
      <c r="LI228" s="394"/>
      <c r="LJ228" s="394"/>
      <c r="LK228" s="394"/>
      <c r="LL228" s="394"/>
      <c r="LM228" s="394"/>
      <c r="LN228" s="394"/>
      <c r="LO228" s="394"/>
      <c r="LP228" s="394"/>
      <c r="LQ228" s="394"/>
      <c r="LR228" s="394"/>
      <c r="LS228" s="394"/>
      <c r="LT228" s="394"/>
      <c r="LU228" s="394"/>
      <c r="LV228" s="394"/>
      <c r="LW228" s="394"/>
      <c r="LX228" s="394"/>
      <c r="LY228" s="394"/>
      <c r="LZ228" s="394"/>
      <c r="MA228" s="394"/>
      <c r="MB228" s="394"/>
      <c r="MC228" s="394"/>
      <c r="MD228" s="394"/>
      <c r="ME228" s="394"/>
      <c r="MF228" s="394"/>
      <c r="MG228" s="394"/>
      <c r="MH228" s="394"/>
      <c r="MI228" s="394"/>
      <c r="MJ228" s="394"/>
      <c r="MK228" s="394"/>
      <c r="ML228" s="394"/>
      <c r="MM228" s="394"/>
      <c r="MN228" s="394"/>
      <c r="MO228" s="394"/>
      <c r="MP228" s="394"/>
      <c r="MQ228" s="394"/>
      <c r="MR228" s="394"/>
      <c r="MS228" s="394"/>
      <c r="MT228" s="394"/>
      <c r="MU228" s="394"/>
      <c r="MV228" s="394"/>
      <c r="MW228" s="394"/>
      <c r="MX228" s="394"/>
      <c r="MY228" s="394"/>
      <c r="MZ228" s="394"/>
      <c r="NA228" s="394"/>
      <c r="NB228" s="394"/>
      <c r="NC228" s="394"/>
      <c r="ND228" s="394"/>
      <c r="NE228" s="394"/>
      <c r="NF228" s="394"/>
      <c r="NG228" s="394"/>
      <c r="NH228" s="394"/>
      <c r="NI228" s="394"/>
      <c r="NJ228" s="394"/>
      <c r="NK228" s="394"/>
      <c r="NL228" s="394"/>
      <c r="NM228" s="394"/>
      <c r="NN228" s="394"/>
      <c r="NO228" s="394"/>
      <c r="NP228" s="394"/>
      <c r="NQ228" s="394"/>
      <c r="NR228" s="394"/>
      <c r="NS228" s="394"/>
      <c r="NT228" s="394"/>
      <c r="NU228" s="394"/>
      <c r="NV228" s="394"/>
      <c r="NW228" s="394"/>
      <c r="NX228" s="394"/>
      <c r="NY228" s="394"/>
      <c r="NZ228" s="394"/>
      <c r="OA228" s="394"/>
      <c r="OB228" s="394"/>
      <c r="OC228" s="394"/>
      <c r="OD228" s="394"/>
      <c r="OE228" s="394"/>
      <c r="OF228" s="394"/>
      <c r="OG228" s="394"/>
      <c r="OH228" s="394"/>
      <c r="OI228" s="394"/>
      <c r="OJ228" s="394"/>
      <c r="OK228" s="394"/>
      <c r="OL228" s="394"/>
      <c r="OM228" s="394"/>
      <c r="ON228" s="394"/>
      <c r="OO228" s="394"/>
      <c r="OP228" s="394"/>
      <c r="OQ228" s="394"/>
      <c r="OR228" s="394"/>
      <c r="OS228" s="394"/>
      <c r="OT228" s="394"/>
      <c r="OU228" s="394"/>
      <c r="OV228" s="394"/>
      <c r="OW228" s="394"/>
      <c r="OX228" s="394"/>
      <c r="OY228" s="394"/>
      <c r="OZ228" s="394"/>
      <c r="PA228" s="394"/>
      <c r="PB228" s="394"/>
      <c r="PC228" s="394"/>
      <c r="PD228" s="394"/>
      <c r="PE228" s="394"/>
      <c r="PF228" s="394"/>
      <c r="PG228" s="394"/>
      <c r="PH228" s="394"/>
      <c r="PI228" s="394"/>
      <c r="PJ228" s="394"/>
      <c r="PK228" s="394"/>
      <c r="PL228" s="394"/>
      <c r="PM228" s="394"/>
      <c r="PN228" s="394"/>
      <c r="PO228" s="394"/>
      <c r="PP228" s="394"/>
      <c r="PQ228" s="394"/>
      <c r="PR228" s="394"/>
      <c r="PS228" s="394"/>
      <c r="PT228" s="394"/>
      <c r="PU228" s="394"/>
      <c r="PV228" s="394"/>
      <c r="PW228" s="394"/>
      <c r="PX228" s="394"/>
      <c r="PY228" s="394"/>
      <c r="PZ228" s="394"/>
      <c r="QA228" s="394"/>
      <c r="QB228" s="394"/>
      <c r="QC228" s="394"/>
      <c r="QD228" s="394"/>
      <c r="QE228" s="394"/>
      <c r="QF228" s="394"/>
      <c r="QG228" s="394"/>
      <c r="QH228" s="394"/>
      <c r="QI228" s="394"/>
      <c r="QJ228" s="394"/>
      <c r="QK228" s="394"/>
      <c r="QL228" s="394"/>
      <c r="QM228" s="394"/>
      <c r="QN228" s="394"/>
      <c r="QO228" s="394"/>
      <c r="QP228" s="394"/>
      <c r="QQ228" s="394"/>
      <c r="QR228" s="394"/>
      <c r="QS228" s="394"/>
      <c r="QT228" s="394"/>
      <c r="QU228" s="394"/>
      <c r="QV228" s="394"/>
      <c r="QW228" s="394"/>
      <c r="QX228" s="394"/>
      <c r="QY228" s="394"/>
      <c r="QZ228" s="394"/>
      <c r="RA228" s="394"/>
      <c r="RB228" s="394"/>
      <c r="RC228" s="394"/>
      <c r="RD228" s="394"/>
      <c r="RE228" s="394"/>
      <c r="RF228" s="394"/>
      <c r="RG228" s="394"/>
      <c r="RH228" s="394"/>
      <c r="RI228" s="394"/>
      <c r="RJ228" s="394"/>
      <c r="RK228" s="394"/>
      <c r="RL228" s="394"/>
      <c r="RM228" s="394"/>
      <c r="RN228" s="394"/>
      <c r="RO228" s="394"/>
      <c r="RP228" s="394"/>
      <c r="RQ228" s="394"/>
      <c r="RR228" s="394"/>
      <c r="RS228" s="394"/>
      <c r="RT228" s="394"/>
      <c r="RU228" s="394"/>
      <c r="RV228" s="394"/>
      <c r="RW228" s="394"/>
      <c r="RX228" s="394"/>
      <c r="RY228" s="394"/>
      <c r="RZ228" s="394"/>
      <c r="SA228" s="394"/>
      <c r="SB228" s="394"/>
      <c r="SC228" s="394"/>
      <c r="SD228" s="394"/>
      <c r="SE228" s="394"/>
      <c r="SF228" s="394"/>
      <c r="SG228" s="394"/>
      <c r="SH228" s="394"/>
      <c r="SI228" s="394"/>
      <c r="SJ228" s="394"/>
      <c r="SK228" s="394"/>
      <c r="SL228" s="394"/>
      <c r="SM228" s="394"/>
      <c r="SN228" s="394"/>
      <c r="SO228" s="394"/>
      <c r="SP228" s="394"/>
      <c r="SQ228" s="394"/>
      <c r="SR228" s="394"/>
      <c r="SS228" s="394"/>
      <c r="ST228" s="394"/>
      <c r="SU228" s="394"/>
      <c r="SV228" s="394"/>
      <c r="SW228" s="394"/>
      <c r="SX228" s="394"/>
      <c r="SY228" s="394"/>
      <c r="SZ228" s="394"/>
      <c r="TA228" s="394"/>
      <c r="TB228" s="394"/>
      <c r="TC228" s="394"/>
      <c r="TD228" s="394"/>
      <c r="TE228" s="394"/>
      <c r="TF228" s="394"/>
      <c r="TG228" s="394"/>
      <c r="TH228" s="394"/>
      <c r="TI228" s="394"/>
      <c r="TJ228" s="394"/>
      <c r="TK228" s="394"/>
      <c r="TL228" s="394"/>
      <c r="TM228" s="394"/>
      <c r="TN228" s="394"/>
      <c r="TO228" s="394"/>
      <c r="TP228" s="394"/>
      <c r="TQ228" s="394"/>
      <c r="TR228" s="394"/>
      <c r="TS228" s="394"/>
      <c r="TT228" s="394"/>
      <c r="TU228" s="394"/>
      <c r="TV228" s="394"/>
      <c r="TW228" s="394"/>
      <c r="TX228" s="394"/>
      <c r="TY228" s="394"/>
      <c r="TZ228" s="394"/>
      <c r="UA228" s="394"/>
      <c r="UB228" s="394"/>
      <c r="UC228" s="394"/>
      <c r="UD228" s="394"/>
      <c r="UE228" s="394"/>
      <c r="UF228" s="394"/>
      <c r="UG228" s="394"/>
      <c r="UH228" s="394"/>
      <c r="UI228" s="394"/>
      <c r="UJ228" s="394"/>
      <c r="UK228" s="394"/>
      <c r="UL228" s="394"/>
      <c r="UM228" s="394"/>
      <c r="UN228" s="394"/>
      <c r="UO228" s="394"/>
      <c r="UP228" s="394"/>
      <c r="UQ228" s="394"/>
      <c r="UR228" s="394"/>
      <c r="US228" s="394"/>
      <c r="UT228" s="394"/>
      <c r="UU228" s="394"/>
      <c r="UV228" s="394"/>
      <c r="UW228" s="394"/>
      <c r="UX228" s="394"/>
      <c r="UY228" s="394"/>
      <c r="UZ228" s="394"/>
      <c r="VA228" s="394"/>
      <c r="VB228" s="394"/>
      <c r="VC228" s="394"/>
      <c r="VD228" s="394"/>
      <c r="VE228" s="394"/>
      <c r="VF228" s="394"/>
      <c r="VG228" s="394"/>
      <c r="VH228" s="394"/>
      <c r="VI228" s="394"/>
      <c r="VJ228" s="394"/>
      <c r="VK228" s="394"/>
      <c r="VL228" s="394"/>
      <c r="VM228" s="394"/>
      <c r="VN228" s="394"/>
      <c r="VO228" s="394"/>
      <c r="VP228" s="394"/>
      <c r="VQ228" s="394"/>
      <c r="VR228" s="394"/>
      <c r="VS228" s="394"/>
      <c r="VT228" s="394"/>
      <c r="VU228" s="394"/>
      <c r="VV228" s="394"/>
      <c r="VW228" s="394"/>
      <c r="VX228" s="394"/>
      <c r="VY228" s="394"/>
      <c r="VZ228" s="394"/>
      <c r="WA228" s="394"/>
      <c r="WB228" s="394"/>
      <c r="WC228" s="394"/>
      <c r="WD228" s="394"/>
      <c r="WE228" s="394"/>
      <c r="WF228" s="394"/>
      <c r="WG228" s="394"/>
      <c r="WH228" s="394"/>
      <c r="WI228" s="394"/>
      <c r="WJ228" s="394"/>
      <c r="WK228" s="394"/>
      <c r="WL228" s="394"/>
      <c r="WM228" s="394"/>
      <c r="WN228" s="394"/>
      <c r="WO228" s="394"/>
      <c r="WP228" s="394"/>
      <c r="WQ228" s="394"/>
      <c r="WR228" s="394"/>
      <c r="WS228" s="394"/>
      <c r="WT228" s="394"/>
      <c r="WU228" s="394"/>
      <c r="WV228" s="394"/>
      <c r="WW228" s="394"/>
      <c r="WX228" s="394"/>
      <c r="WY228" s="394"/>
      <c r="WZ228" s="394"/>
      <c r="XA228" s="394"/>
      <c r="XB228" s="394"/>
      <c r="XC228" s="394"/>
      <c r="XD228" s="394"/>
      <c r="XE228" s="394"/>
      <c r="XF228" s="394"/>
      <c r="XG228" s="394"/>
      <c r="XH228" s="394"/>
      <c r="XI228" s="394"/>
      <c r="XJ228" s="394"/>
      <c r="XK228" s="394"/>
      <c r="XL228" s="394"/>
      <c r="XM228" s="394"/>
      <c r="XN228" s="394"/>
      <c r="XO228" s="394"/>
      <c r="XP228" s="394"/>
      <c r="XQ228" s="394"/>
      <c r="XR228" s="394"/>
      <c r="XS228" s="394"/>
      <c r="XT228" s="394"/>
      <c r="XU228" s="394"/>
      <c r="XV228" s="394"/>
      <c r="XW228" s="394"/>
      <c r="XX228" s="394"/>
      <c r="XY228" s="394"/>
      <c r="XZ228" s="394"/>
      <c r="YA228" s="394"/>
      <c r="YB228" s="394"/>
      <c r="YC228" s="394"/>
      <c r="YD228" s="394"/>
      <c r="YE228" s="394"/>
      <c r="YF228" s="394"/>
      <c r="YG228" s="394"/>
      <c r="YH228" s="394"/>
      <c r="YI228" s="394"/>
      <c r="YJ228" s="394"/>
      <c r="YK228" s="394"/>
      <c r="YL228" s="394"/>
      <c r="YM228" s="394"/>
      <c r="YN228" s="394"/>
      <c r="YO228" s="394"/>
      <c r="YP228" s="394"/>
      <c r="YQ228" s="394"/>
      <c r="YR228" s="394"/>
      <c r="YS228" s="394"/>
      <c r="YT228" s="394"/>
      <c r="YU228" s="394"/>
      <c r="YV228" s="394"/>
      <c r="YW228" s="394"/>
      <c r="YX228" s="394"/>
      <c r="YY228" s="394"/>
      <c r="YZ228" s="394"/>
      <c r="ZA228" s="394"/>
      <c r="ZB228" s="394"/>
      <c r="ZC228" s="394"/>
      <c r="ZD228" s="394"/>
      <c r="ZE228" s="394"/>
      <c r="ZF228" s="394"/>
      <c r="ZG228" s="394"/>
      <c r="ZH228" s="394"/>
      <c r="ZI228" s="394"/>
      <c r="ZJ228" s="394"/>
      <c r="ZK228" s="394"/>
      <c r="ZL228" s="394"/>
      <c r="ZM228" s="394"/>
      <c r="ZN228" s="394"/>
      <c r="ZO228" s="394"/>
      <c r="ZP228" s="394"/>
      <c r="ZQ228" s="394"/>
      <c r="ZR228" s="394"/>
      <c r="ZS228" s="394"/>
      <c r="ZT228" s="394"/>
      <c r="ZU228" s="394"/>
      <c r="ZV228" s="394"/>
      <c r="ZW228" s="394"/>
      <c r="ZX228" s="394"/>
      <c r="ZY228" s="394"/>
      <c r="ZZ228" s="394"/>
      <c r="AAA228" s="394"/>
      <c r="AAB228" s="394"/>
      <c r="AAC228" s="394"/>
      <c r="AAD228" s="394"/>
      <c r="AAE228" s="394"/>
      <c r="AAF228" s="394"/>
      <c r="AAG228" s="394"/>
      <c r="AAH228" s="394"/>
      <c r="AAI228" s="394"/>
      <c r="AAJ228" s="394"/>
      <c r="AAK228" s="394"/>
      <c r="AAL228" s="394"/>
      <c r="AAM228" s="394"/>
      <c r="AAN228" s="394"/>
      <c r="AAO228" s="394"/>
      <c r="AAP228" s="394"/>
      <c r="AAQ228" s="394"/>
      <c r="AAR228" s="394"/>
      <c r="AAS228" s="394"/>
      <c r="AAT228" s="394"/>
      <c r="AAU228" s="394"/>
      <c r="AAV228" s="394"/>
      <c r="AAW228" s="394"/>
      <c r="AAX228" s="394"/>
      <c r="AAY228" s="394"/>
      <c r="AAZ228" s="394"/>
      <c r="ABA228" s="394"/>
      <c r="ABB228" s="394"/>
      <c r="ABC228" s="394"/>
      <c r="ABD228" s="394"/>
      <c r="ABE228" s="394"/>
      <c r="ABF228" s="394"/>
      <c r="ABG228" s="394"/>
      <c r="ABH228" s="394"/>
      <c r="ABI228" s="394"/>
      <c r="ABJ228" s="394"/>
      <c r="ABK228" s="394"/>
      <c r="ABL228" s="394"/>
      <c r="ABM228" s="394"/>
      <c r="ABN228" s="394"/>
      <c r="ABO228" s="394"/>
      <c r="ABP228" s="394"/>
      <c r="ABQ228" s="394"/>
      <c r="ABR228" s="394"/>
      <c r="ABS228" s="394"/>
      <c r="ABT228" s="394"/>
      <c r="ABU228" s="394"/>
      <c r="ABV228" s="394"/>
      <c r="ABW228" s="394"/>
      <c r="ABX228" s="394"/>
      <c r="ABY228" s="394"/>
      <c r="ABZ228" s="394"/>
      <c r="ACA228" s="394"/>
      <c r="ACB228" s="394"/>
      <c r="ACC228" s="394"/>
      <c r="ACD228" s="394"/>
      <c r="ACE228" s="394"/>
      <c r="ACF228" s="394"/>
      <c r="ACG228" s="394"/>
      <c r="ACH228" s="394"/>
      <c r="ACI228" s="394"/>
      <c r="ACJ228" s="394"/>
      <c r="ACK228" s="394"/>
      <c r="ACL228" s="394"/>
      <c r="ACM228" s="394"/>
      <c r="ACN228" s="394"/>
      <c r="ACO228" s="394"/>
      <c r="ACP228" s="394"/>
      <c r="ACQ228" s="394"/>
      <c r="ACR228" s="394"/>
      <c r="ACS228" s="394"/>
      <c r="ACT228" s="394"/>
      <c r="ACU228" s="394"/>
      <c r="ACV228" s="394"/>
      <c r="ACW228" s="394"/>
      <c r="ACX228" s="394"/>
      <c r="ACY228" s="394"/>
      <c r="ACZ228" s="394"/>
      <c r="ADA228" s="394"/>
      <c r="ADB228" s="394"/>
      <c r="ADC228" s="394"/>
      <c r="ADD228" s="394"/>
      <c r="ADE228" s="394"/>
      <c r="ADF228" s="394"/>
      <c r="ADG228" s="394"/>
      <c r="ADH228" s="394"/>
      <c r="ADI228" s="394"/>
      <c r="ADJ228" s="394"/>
      <c r="ADK228" s="394"/>
      <c r="ADL228" s="394"/>
      <c r="ADM228" s="394"/>
      <c r="ADN228" s="394"/>
      <c r="ADO228" s="394"/>
      <c r="ADP228" s="394"/>
      <c r="ADQ228" s="394"/>
      <c r="ADR228" s="394"/>
      <c r="ADS228" s="394"/>
      <c r="ADT228" s="394"/>
      <c r="ADU228" s="394"/>
      <c r="ADV228" s="394"/>
      <c r="ADW228" s="394"/>
      <c r="ADX228" s="394"/>
      <c r="ADY228" s="394"/>
      <c r="ADZ228" s="394"/>
      <c r="AEA228" s="394"/>
      <c r="AEB228" s="394"/>
      <c r="AEC228" s="394"/>
      <c r="AED228" s="394"/>
      <c r="AEE228" s="394"/>
      <c r="AEF228" s="394"/>
      <c r="AEG228" s="394"/>
      <c r="AEH228" s="394"/>
      <c r="AEI228" s="394"/>
      <c r="AEJ228" s="394"/>
      <c r="AEK228" s="394"/>
      <c r="AEL228" s="394"/>
      <c r="AEM228" s="394"/>
      <c r="AEN228" s="394"/>
      <c r="AEO228" s="394"/>
      <c r="AEP228" s="394"/>
      <c r="AEQ228" s="394"/>
      <c r="AER228" s="394"/>
      <c r="AES228" s="394"/>
      <c r="AET228" s="394"/>
      <c r="AEU228" s="394"/>
      <c r="AEV228" s="394"/>
      <c r="AEW228" s="394"/>
      <c r="AEX228" s="394"/>
      <c r="AEY228" s="394"/>
      <c r="AEZ228" s="394"/>
      <c r="AFA228" s="394"/>
      <c r="AFB228" s="394"/>
      <c r="AFC228" s="394"/>
      <c r="AFD228" s="394"/>
      <c r="AFE228" s="394"/>
      <c r="AFF228" s="394"/>
      <c r="AFG228" s="394"/>
      <c r="AFH228" s="394"/>
      <c r="AFI228" s="394"/>
      <c r="AFJ228" s="394"/>
      <c r="AFK228" s="394"/>
      <c r="AFL228" s="394"/>
      <c r="AFM228" s="394"/>
      <c r="AFN228" s="394"/>
      <c r="AFO228" s="394"/>
      <c r="AFP228" s="394"/>
      <c r="AFQ228" s="394"/>
      <c r="AFR228" s="394"/>
      <c r="AFS228" s="394"/>
      <c r="AFT228" s="394"/>
      <c r="AFU228" s="394"/>
      <c r="AFV228" s="394"/>
      <c r="AFW228" s="394"/>
      <c r="AFX228" s="394"/>
      <c r="AFY228" s="394"/>
      <c r="AFZ228" s="394"/>
      <c r="AGA228" s="394"/>
      <c r="AGB228" s="394"/>
      <c r="AGC228" s="394"/>
      <c r="AGD228" s="394"/>
      <c r="AGE228" s="394"/>
      <c r="AGF228" s="394"/>
      <c r="AGG228" s="394"/>
      <c r="AGH228" s="394"/>
      <c r="AGI228" s="394"/>
      <c r="AGJ228" s="394"/>
      <c r="AGK228" s="394"/>
      <c r="AGL228" s="394"/>
      <c r="AGM228" s="394"/>
      <c r="AGN228" s="394"/>
      <c r="AGO228" s="394"/>
      <c r="AGP228" s="394"/>
      <c r="AGQ228" s="394"/>
      <c r="AGR228" s="394"/>
      <c r="AGS228" s="394"/>
      <c r="AGT228" s="394"/>
      <c r="AGU228" s="394"/>
      <c r="AGV228" s="394"/>
      <c r="AGW228" s="394"/>
      <c r="AGX228" s="394"/>
      <c r="AGY228" s="394"/>
      <c r="AGZ228" s="394"/>
      <c r="AHA228" s="394"/>
      <c r="AHB228" s="394"/>
      <c r="AHC228" s="394"/>
      <c r="AHD228" s="394"/>
      <c r="AHE228" s="394"/>
      <c r="AHF228" s="394"/>
      <c r="AHG228" s="394"/>
      <c r="AHH228" s="394"/>
      <c r="AHI228" s="394"/>
      <c r="AHJ228" s="394"/>
      <c r="AHK228" s="394"/>
      <c r="AHL228" s="394"/>
      <c r="AHM228" s="394"/>
      <c r="AHN228" s="394"/>
      <c r="AHO228" s="394"/>
      <c r="AHP228" s="394"/>
      <c r="AHQ228" s="394"/>
      <c r="AHR228" s="394"/>
      <c r="AHS228" s="394"/>
      <c r="AHT228" s="394"/>
      <c r="AHU228" s="394"/>
      <c r="AHV228" s="394"/>
      <c r="AHW228" s="394"/>
      <c r="AHX228" s="394"/>
      <c r="AHY228" s="394"/>
      <c r="AHZ228" s="394"/>
      <c r="AIA228" s="394"/>
      <c r="AIB228" s="394"/>
      <c r="AIC228" s="394"/>
      <c r="AID228" s="394"/>
      <c r="AIE228" s="394"/>
      <c r="AIF228" s="394"/>
      <c r="AIG228" s="394"/>
      <c r="AIH228" s="394"/>
      <c r="AII228" s="394"/>
      <c r="AIJ228" s="394"/>
      <c r="AIK228" s="394"/>
      <c r="AIL228" s="394"/>
      <c r="AIM228" s="394"/>
      <c r="AIN228" s="394"/>
      <c r="AIO228" s="394"/>
      <c r="AIP228" s="394"/>
      <c r="AIQ228" s="394"/>
      <c r="AIR228" s="394"/>
      <c r="AIS228" s="394"/>
      <c r="AIT228" s="394"/>
      <c r="AIU228" s="394"/>
      <c r="AIV228" s="394"/>
      <c r="AIW228" s="394"/>
      <c r="AIX228" s="394"/>
      <c r="AIY228" s="394"/>
      <c r="AIZ228" s="394"/>
      <c r="AJA228" s="394"/>
      <c r="AJB228" s="394"/>
      <c r="AJC228" s="394"/>
      <c r="AJD228" s="394"/>
      <c r="AJE228" s="394"/>
      <c r="AJF228" s="394"/>
      <c r="AJG228" s="394"/>
      <c r="AJH228" s="394"/>
      <c r="AJI228" s="394"/>
      <c r="AJJ228" s="394"/>
      <c r="AJK228" s="394"/>
      <c r="AJL228" s="394"/>
      <c r="AJM228" s="394"/>
      <c r="AJN228" s="394"/>
      <c r="AJO228" s="394"/>
      <c r="AJP228" s="394"/>
      <c r="AJQ228" s="394"/>
      <c r="AJR228" s="394"/>
      <c r="AJS228" s="394"/>
      <c r="AJT228" s="394"/>
      <c r="AJU228" s="394"/>
      <c r="AJV228" s="394"/>
      <c r="AJW228" s="394"/>
      <c r="AJX228" s="394"/>
      <c r="AJY228" s="394"/>
      <c r="AJZ228" s="394"/>
      <c r="AKA228" s="394"/>
      <c r="AKB228" s="394"/>
      <c r="AKC228" s="394"/>
      <c r="AKD228" s="394"/>
      <c r="AKE228" s="394"/>
      <c r="AKF228" s="394"/>
      <c r="AKG228" s="394"/>
      <c r="AKH228" s="394"/>
      <c r="AKI228" s="394"/>
      <c r="AKJ228" s="394"/>
      <c r="AKK228" s="394"/>
      <c r="AKL228" s="394"/>
      <c r="AKM228" s="394"/>
      <c r="AKN228" s="394"/>
      <c r="AKO228" s="394"/>
      <c r="AKP228" s="394"/>
      <c r="AKQ228" s="394"/>
      <c r="AKR228" s="394"/>
      <c r="AKS228" s="394"/>
      <c r="AKT228" s="394"/>
      <c r="AKU228" s="394"/>
      <c r="AKV228" s="394"/>
      <c r="AKW228" s="394"/>
      <c r="AKX228" s="394"/>
      <c r="AKY228" s="394"/>
      <c r="AKZ228" s="394"/>
      <c r="ALA228" s="394"/>
      <c r="ALB228" s="394"/>
      <c r="ALC228" s="394"/>
      <c r="ALD228" s="394"/>
      <c r="ALE228" s="394"/>
      <c r="ALF228" s="394"/>
      <c r="ALG228" s="394"/>
      <c r="ALH228" s="394"/>
      <c r="ALI228" s="394"/>
      <c r="ALJ228" s="394"/>
      <c r="ALK228" s="394"/>
      <c r="ALL228" s="394"/>
      <c r="ALM228" s="394"/>
      <c r="ALN228" s="394"/>
      <c r="ALO228" s="394"/>
      <c r="ALP228" s="394"/>
      <c r="ALQ228" s="394"/>
      <c r="ALR228" s="394"/>
      <c r="ALS228" s="394"/>
      <c r="ALT228" s="394"/>
      <c r="ALU228" s="394"/>
      <c r="ALV228" s="394"/>
      <c r="ALW228" s="394"/>
      <c r="ALX228" s="394"/>
      <c r="ALY228" s="394"/>
      <c r="ALZ228" s="394"/>
      <c r="AMA228" s="394"/>
      <c r="AMB228" s="394"/>
      <c r="AMC228" s="394"/>
      <c r="AMD228" s="394"/>
      <c r="AME228" s="394"/>
      <c r="AMF228" s="394"/>
      <c r="AMG228" s="394"/>
      <c r="AMH228" s="394"/>
      <c r="AMI228" s="394"/>
      <c r="AMJ228" s="394"/>
      <c r="AMK228" s="394"/>
      <c r="AML228" s="394"/>
      <c r="AMM228" s="394"/>
      <c r="AMN228" s="394"/>
      <c r="AMO228" s="394"/>
      <c r="AMP228" s="394"/>
      <c r="AMQ228" s="394"/>
      <c r="AMR228" s="394"/>
      <c r="AMS228" s="394"/>
      <c r="AMT228" s="394"/>
      <c r="AMU228" s="394"/>
      <c r="AMV228" s="394"/>
      <c r="AMW228" s="394"/>
      <c r="AMX228" s="394"/>
      <c r="AMY228" s="394"/>
      <c r="AMZ228" s="394"/>
      <c r="ANA228" s="394"/>
      <c r="ANB228" s="394"/>
      <c r="ANC228" s="394"/>
      <c r="AND228" s="394"/>
      <c r="ANE228" s="394"/>
      <c r="ANF228" s="394"/>
      <c r="ANG228" s="394"/>
      <c r="ANH228" s="394"/>
      <c r="ANI228" s="394"/>
      <c r="ANJ228" s="394"/>
      <c r="ANK228" s="394"/>
      <c r="ANL228" s="394"/>
      <c r="ANM228" s="394"/>
      <c r="ANN228" s="394"/>
      <c r="ANO228" s="394"/>
      <c r="ANP228" s="394"/>
      <c r="ANQ228" s="394"/>
      <c r="ANR228" s="394"/>
      <c r="ANS228" s="394"/>
      <c r="ANT228" s="394"/>
      <c r="ANU228" s="394"/>
      <c r="ANV228" s="394"/>
      <c r="ANW228" s="394"/>
      <c r="ANX228" s="394"/>
      <c r="ANY228" s="394"/>
      <c r="ANZ228" s="394"/>
      <c r="AOA228" s="394"/>
      <c r="AOB228" s="394"/>
      <c r="AOC228" s="394"/>
      <c r="AOD228" s="394"/>
      <c r="AOE228" s="394"/>
      <c r="AOF228" s="394"/>
      <c r="AOG228" s="394"/>
      <c r="AOH228" s="394"/>
      <c r="AOI228" s="394"/>
      <c r="AOJ228" s="394"/>
      <c r="AOK228" s="394"/>
      <c r="AOL228" s="394"/>
      <c r="AOM228" s="394"/>
      <c r="AON228" s="394"/>
      <c r="AOO228" s="394"/>
      <c r="AOP228" s="394"/>
      <c r="AOQ228" s="394"/>
      <c r="AOR228" s="394"/>
      <c r="AOS228" s="394"/>
      <c r="AOT228" s="394"/>
      <c r="AOU228" s="394"/>
      <c r="AOV228" s="394"/>
      <c r="AOW228" s="394"/>
      <c r="AOX228" s="394"/>
      <c r="AOY228" s="394"/>
      <c r="AOZ228" s="394"/>
      <c r="APA228" s="394"/>
      <c r="APB228" s="394"/>
      <c r="APC228" s="394"/>
      <c r="APD228" s="394"/>
      <c r="APE228" s="394"/>
      <c r="APF228" s="394"/>
      <c r="APG228" s="394"/>
      <c r="APH228" s="394"/>
      <c r="API228" s="394"/>
      <c r="APJ228" s="394"/>
      <c r="APK228" s="394"/>
      <c r="APL228" s="394"/>
      <c r="APM228" s="394"/>
      <c r="APN228" s="394"/>
      <c r="APO228" s="394"/>
      <c r="APP228" s="394"/>
      <c r="APQ228" s="394"/>
      <c r="APR228" s="394"/>
      <c r="APS228" s="394"/>
      <c r="APT228" s="394"/>
      <c r="APU228" s="394"/>
      <c r="APV228" s="394"/>
      <c r="APW228" s="394"/>
      <c r="APX228" s="394"/>
      <c r="APY228" s="394"/>
      <c r="APZ228" s="394"/>
      <c r="AQA228" s="394"/>
      <c r="AQB228" s="394"/>
      <c r="AQC228" s="394"/>
      <c r="AQD228" s="394"/>
      <c r="AQE228" s="394"/>
      <c r="AQF228" s="394"/>
      <c r="AQG228" s="394"/>
      <c r="AQH228" s="394"/>
      <c r="AQI228" s="394"/>
      <c r="AQJ228" s="394"/>
      <c r="AQK228" s="394"/>
      <c r="AQL228" s="394"/>
      <c r="AQM228" s="394"/>
      <c r="AQN228" s="394"/>
      <c r="AQO228" s="394"/>
      <c r="AQP228" s="394"/>
      <c r="AQQ228" s="394"/>
      <c r="AQR228" s="394"/>
      <c r="AQS228" s="394"/>
      <c r="AQT228" s="394"/>
      <c r="AQU228" s="394"/>
      <c r="AQV228" s="394"/>
      <c r="AQW228" s="394"/>
      <c r="AQX228" s="394"/>
      <c r="AQY228" s="394"/>
      <c r="AQZ228" s="394"/>
      <c r="ARA228" s="394"/>
      <c r="ARB228" s="394"/>
      <c r="ARC228" s="394"/>
      <c r="ARD228" s="394"/>
      <c r="ARE228" s="394"/>
      <c r="ARF228" s="394"/>
      <c r="ARG228" s="394"/>
      <c r="ARH228" s="394"/>
      <c r="ARI228" s="394"/>
      <c r="ARJ228" s="394"/>
      <c r="ARK228" s="394"/>
      <c r="ARL228" s="394"/>
      <c r="ARM228" s="394"/>
      <c r="ARN228" s="394"/>
      <c r="ARO228" s="394"/>
      <c r="ARP228" s="394"/>
      <c r="ARQ228" s="394"/>
      <c r="ARR228" s="394"/>
      <c r="ARS228" s="394"/>
      <c r="ART228" s="394"/>
      <c r="ARU228" s="394"/>
      <c r="ARV228" s="394"/>
      <c r="ARW228" s="394"/>
      <c r="ARX228" s="394"/>
      <c r="ARY228" s="394"/>
      <c r="ARZ228" s="394"/>
      <c r="ASA228" s="394"/>
      <c r="ASB228" s="394"/>
      <c r="ASC228" s="394"/>
      <c r="ASD228" s="394"/>
      <c r="ASE228" s="394"/>
      <c r="ASF228" s="394"/>
      <c r="ASG228" s="394"/>
      <c r="ASH228" s="394"/>
      <c r="ASI228" s="394"/>
      <c r="ASJ228" s="394"/>
      <c r="ASK228" s="394"/>
      <c r="ASL228" s="394"/>
      <c r="ASM228" s="394"/>
      <c r="ASN228" s="394"/>
      <c r="ASO228" s="394"/>
      <c r="ASP228" s="394"/>
      <c r="ASQ228" s="394"/>
      <c r="ASR228" s="394"/>
      <c r="ASS228" s="394"/>
      <c r="AST228" s="394"/>
      <c r="ASU228" s="394"/>
      <c r="ASV228" s="394"/>
      <c r="ASW228" s="394"/>
      <c r="ASX228" s="394"/>
      <c r="ASY228" s="394"/>
      <c r="ASZ228" s="394"/>
      <c r="ATA228" s="394"/>
      <c r="ATB228" s="394"/>
      <c r="ATC228" s="394"/>
      <c r="ATD228" s="394"/>
      <c r="ATE228" s="394"/>
      <c r="ATF228" s="394"/>
      <c r="ATG228" s="394"/>
      <c r="ATH228" s="394"/>
      <c r="ATI228" s="394"/>
      <c r="ATJ228" s="394"/>
      <c r="ATK228" s="394"/>
      <c r="ATL228" s="394"/>
      <c r="ATM228" s="394"/>
      <c r="ATN228" s="394"/>
      <c r="ATO228" s="394"/>
      <c r="ATP228" s="394"/>
      <c r="ATQ228" s="394"/>
      <c r="ATR228" s="394"/>
      <c r="ATS228" s="394"/>
      <c r="ATT228" s="394"/>
      <c r="ATU228" s="394"/>
      <c r="ATV228" s="394"/>
      <c r="ATW228" s="394"/>
      <c r="ATX228" s="394"/>
      <c r="ATY228" s="394"/>
      <c r="ATZ228" s="394"/>
      <c r="AUA228" s="394"/>
      <c r="AUB228" s="394"/>
      <c r="AUC228" s="394"/>
      <c r="AUD228" s="394"/>
      <c r="AUE228" s="394"/>
      <c r="AUF228" s="394"/>
      <c r="AUG228" s="394"/>
      <c r="AUH228" s="394"/>
      <c r="AUI228" s="394"/>
      <c r="AUJ228" s="394"/>
      <c r="AUK228" s="394"/>
      <c r="AUL228" s="394"/>
      <c r="AUM228" s="394"/>
      <c r="AUN228" s="394"/>
      <c r="AUO228" s="394"/>
      <c r="AUP228" s="394"/>
      <c r="AUQ228" s="394"/>
      <c r="AUR228" s="394"/>
      <c r="AUS228" s="394"/>
      <c r="AUT228" s="394"/>
      <c r="AUU228" s="394"/>
      <c r="AUV228" s="394"/>
      <c r="AUW228" s="394"/>
      <c r="AUX228" s="394"/>
      <c r="AUY228" s="394"/>
      <c r="AUZ228" s="394"/>
      <c r="AVA228" s="394"/>
      <c r="AVB228" s="394"/>
      <c r="AVC228" s="394"/>
      <c r="AVD228" s="394"/>
      <c r="AVE228" s="394"/>
      <c r="AVF228" s="394"/>
      <c r="AVG228" s="394"/>
      <c r="AVH228" s="394"/>
      <c r="AVI228" s="394"/>
      <c r="AVJ228" s="394"/>
      <c r="AVK228" s="394"/>
      <c r="AVL228" s="394"/>
      <c r="AVM228" s="394"/>
      <c r="AVN228" s="394"/>
      <c r="AVO228" s="394"/>
      <c r="AVP228" s="394"/>
      <c r="AVQ228" s="394"/>
      <c r="AVR228" s="394"/>
      <c r="AVS228" s="394"/>
      <c r="AVT228" s="394"/>
      <c r="AVU228" s="394"/>
      <c r="AVV228" s="394"/>
      <c r="AVW228" s="394"/>
      <c r="AVX228" s="394"/>
      <c r="AVY228" s="394"/>
      <c r="AVZ228" s="394"/>
      <c r="AWA228" s="394"/>
      <c r="AWB228" s="394"/>
      <c r="AWC228" s="394"/>
      <c r="AWD228" s="394"/>
      <c r="AWE228" s="394"/>
      <c r="AWF228" s="394"/>
      <c r="AWG228" s="394"/>
      <c r="AWH228" s="394"/>
      <c r="AWI228" s="394"/>
      <c r="AWJ228" s="394"/>
      <c r="AWK228" s="394"/>
      <c r="AWL228" s="394"/>
      <c r="AWM228" s="394"/>
      <c r="AWN228" s="394"/>
      <c r="AWO228" s="394"/>
      <c r="AWP228" s="394"/>
      <c r="AWQ228" s="394"/>
      <c r="AWR228" s="394"/>
      <c r="AWS228" s="394"/>
      <c r="AWT228" s="394"/>
      <c r="AWU228" s="394"/>
      <c r="AWV228" s="394"/>
      <c r="AWW228" s="394"/>
      <c r="AWX228" s="394"/>
      <c r="AWY228" s="394"/>
      <c r="AWZ228" s="394"/>
      <c r="AXA228" s="394"/>
      <c r="AXB228" s="394"/>
      <c r="AXC228" s="394"/>
      <c r="AXD228" s="394"/>
      <c r="AXE228" s="394"/>
      <c r="AXF228" s="394"/>
      <c r="AXG228" s="394"/>
      <c r="AXH228" s="394"/>
      <c r="AXI228" s="394"/>
      <c r="AXJ228" s="394"/>
      <c r="AXK228" s="394"/>
      <c r="AXL228" s="394"/>
      <c r="AXM228" s="394"/>
      <c r="AXN228" s="394"/>
      <c r="AXO228" s="394"/>
      <c r="AXP228" s="394"/>
      <c r="AXQ228" s="394"/>
      <c r="AXR228" s="394"/>
      <c r="AXS228" s="394"/>
      <c r="AXT228" s="394"/>
      <c r="AXU228" s="394"/>
      <c r="AXV228" s="394"/>
      <c r="AXW228" s="394"/>
      <c r="AXX228" s="394"/>
      <c r="AXY228" s="394"/>
      <c r="AXZ228" s="394"/>
      <c r="AYA228" s="394"/>
      <c r="AYB228" s="394"/>
      <c r="AYC228" s="394"/>
      <c r="AYD228" s="394"/>
      <c r="AYE228" s="394"/>
      <c r="AYF228" s="394"/>
      <c r="AYG228" s="394"/>
      <c r="AYH228" s="394"/>
      <c r="AYI228" s="394"/>
      <c r="AYJ228" s="394"/>
      <c r="AYK228" s="394"/>
      <c r="AYL228" s="394"/>
      <c r="AYM228" s="394"/>
      <c r="AYN228" s="394"/>
      <c r="AYO228" s="394"/>
      <c r="AYP228" s="394"/>
      <c r="AYQ228" s="394"/>
      <c r="AYR228" s="394"/>
      <c r="AYS228" s="394"/>
      <c r="AYT228" s="394"/>
      <c r="AYU228" s="394"/>
      <c r="AYV228" s="394"/>
      <c r="AYW228" s="394"/>
      <c r="AYX228" s="394"/>
      <c r="AYY228" s="394"/>
      <c r="AYZ228" s="394"/>
      <c r="AZA228" s="394"/>
      <c r="AZB228" s="394"/>
      <c r="AZC228" s="394"/>
      <c r="AZD228" s="394"/>
      <c r="AZE228" s="394"/>
      <c r="AZF228" s="394"/>
      <c r="AZG228" s="394"/>
      <c r="AZH228" s="394"/>
      <c r="AZI228" s="394"/>
      <c r="AZJ228" s="394"/>
      <c r="AZK228" s="394"/>
      <c r="AZL228" s="394"/>
      <c r="AZM228" s="394"/>
      <c r="AZN228" s="394"/>
      <c r="AZO228" s="394"/>
      <c r="AZP228" s="394"/>
      <c r="AZQ228" s="394"/>
      <c r="AZR228" s="394"/>
      <c r="AZS228" s="394"/>
      <c r="AZT228" s="394"/>
      <c r="AZU228" s="394"/>
      <c r="AZV228" s="394"/>
      <c r="AZW228" s="394"/>
      <c r="AZX228" s="394"/>
      <c r="AZY228" s="394"/>
      <c r="AZZ228" s="394"/>
      <c r="BAA228" s="394"/>
      <c r="BAB228" s="394"/>
      <c r="BAC228" s="394"/>
      <c r="BAD228" s="394"/>
      <c r="BAE228" s="394"/>
      <c r="BAF228" s="394"/>
      <c r="BAG228" s="394"/>
      <c r="BAH228" s="394"/>
      <c r="BAI228" s="394"/>
      <c r="BAJ228" s="394"/>
      <c r="BAK228" s="394"/>
      <c r="BAL228" s="394"/>
      <c r="BAM228" s="394"/>
      <c r="BAN228" s="394"/>
      <c r="BAO228" s="394"/>
      <c r="BAP228" s="394"/>
      <c r="BAQ228" s="394"/>
      <c r="BAR228" s="394"/>
      <c r="BAS228" s="394"/>
      <c r="BAT228" s="394"/>
      <c r="BAU228" s="394"/>
      <c r="BAV228" s="394"/>
      <c r="BAW228" s="394"/>
      <c r="BAX228" s="394"/>
      <c r="BAY228" s="394"/>
      <c r="BAZ228" s="394"/>
      <c r="BBA228" s="394"/>
      <c r="BBB228" s="394"/>
      <c r="BBC228" s="394"/>
      <c r="BBD228" s="394"/>
      <c r="BBE228" s="394"/>
      <c r="BBF228" s="394"/>
      <c r="BBG228" s="394"/>
      <c r="BBH228" s="394"/>
      <c r="BBI228" s="394"/>
      <c r="BBJ228" s="394"/>
      <c r="BBK228" s="394"/>
      <c r="BBL228" s="394"/>
      <c r="BBM228" s="394"/>
      <c r="BBN228" s="394"/>
      <c r="BBO228" s="394"/>
      <c r="BBP228" s="394"/>
      <c r="BBQ228" s="394"/>
      <c r="BBR228" s="394"/>
      <c r="BBS228" s="394"/>
      <c r="BBT228" s="394"/>
      <c r="BBU228" s="394"/>
      <c r="BBV228" s="394"/>
      <c r="BBW228" s="394"/>
      <c r="BBX228" s="394"/>
      <c r="BBY228" s="394"/>
      <c r="BBZ228" s="394"/>
      <c r="BCA228" s="394"/>
      <c r="BCB228" s="394"/>
      <c r="BCC228" s="394"/>
      <c r="BCD228" s="394"/>
      <c r="BCE228" s="394"/>
      <c r="BCF228" s="394"/>
      <c r="BCG228" s="394"/>
      <c r="BCH228" s="394"/>
      <c r="BCI228" s="394"/>
      <c r="BCJ228" s="394"/>
      <c r="BCK228" s="394"/>
      <c r="BCL228" s="394"/>
      <c r="BCM228" s="394"/>
      <c r="BCN228" s="394"/>
      <c r="BCO228" s="394"/>
      <c r="BCP228" s="394"/>
      <c r="BCQ228" s="394"/>
      <c r="BCR228" s="394"/>
      <c r="BCS228" s="394"/>
      <c r="BCT228" s="394"/>
      <c r="BCU228" s="394"/>
      <c r="BCV228" s="394"/>
      <c r="BCW228" s="394"/>
      <c r="BCX228" s="394"/>
      <c r="BCY228" s="394"/>
      <c r="BCZ228" s="394"/>
      <c r="BDA228" s="394"/>
      <c r="BDB228" s="394"/>
      <c r="BDC228" s="394"/>
      <c r="BDD228" s="394"/>
      <c r="BDE228" s="394"/>
      <c r="BDF228" s="394"/>
      <c r="BDG228" s="394"/>
      <c r="BDH228" s="394"/>
      <c r="BDI228" s="394"/>
      <c r="BDJ228" s="394"/>
      <c r="BDK228" s="394"/>
      <c r="BDL228" s="394"/>
      <c r="BDM228" s="394"/>
      <c r="BDN228" s="394"/>
      <c r="BDO228" s="394"/>
      <c r="BDP228" s="394"/>
      <c r="BDQ228" s="394"/>
      <c r="BDR228" s="394"/>
      <c r="BDS228" s="394"/>
      <c r="BDT228" s="394"/>
      <c r="BDU228" s="394"/>
      <c r="BDV228" s="394"/>
      <c r="BDW228" s="394"/>
      <c r="BDX228" s="394"/>
      <c r="BDY228" s="394"/>
      <c r="BDZ228" s="394"/>
      <c r="BEA228" s="394"/>
      <c r="BEB228" s="394"/>
      <c r="BEC228" s="394"/>
      <c r="BED228" s="394"/>
      <c r="BEE228" s="394"/>
      <c r="BEF228" s="394"/>
      <c r="BEG228" s="394"/>
      <c r="BEH228" s="394"/>
      <c r="BEI228" s="394"/>
      <c r="BEJ228" s="394"/>
      <c r="BEK228" s="394"/>
      <c r="BEL228" s="394"/>
      <c r="BEM228" s="394"/>
      <c r="BEN228" s="394"/>
      <c r="BEO228" s="394"/>
      <c r="BEP228" s="394"/>
      <c r="BEQ228" s="394"/>
      <c r="BER228" s="394"/>
      <c r="BES228" s="394"/>
      <c r="BET228" s="394"/>
      <c r="BEU228" s="394"/>
      <c r="BEV228" s="394"/>
      <c r="BEW228" s="394"/>
      <c r="BEX228" s="394"/>
      <c r="BEY228" s="394"/>
      <c r="BEZ228" s="394"/>
      <c r="BFA228" s="394"/>
      <c r="BFB228" s="394"/>
      <c r="BFC228" s="394"/>
      <c r="BFD228" s="394"/>
      <c r="BFE228" s="394"/>
      <c r="BFF228" s="394"/>
      <c r="BFG228" s="394"/>
      <c r="BFH228" s="394"/>
      <c r="BFI228" s="394"/>
      <c r="BFJ228" s="394"/>
      <c r="BFK228" s="394"/>
      <c r="BFL228" s="394"/>
      <c r="BFM228" s="394"/>
      <c r="BFN228" s="394"/>
      <c r="BFO228" s="394"/>
      <c r="BFP228" s="394"/>
      <c r="BFQ228" s="394"/>
      <c r="BFR228" s="394"/>
      <c r="BFS228" s="394"/>
      <c r="BFT228" s="394"/>
      <c r="BFU228" s="394"/>
      <c r="BFV228" s="394"/>
      <c r="BFW228" s="394"/>
      <c r="BFX228" s="394"/>
      <c r="BFY228" s="394"/>
      <c r="BFZ228" s="394"/>
      <c r="BGA228" s="394"/>
      <c r="BGB228" s="394"/>
      <c r="BGC228" s="394"/>
      <c r="BGD228" s="394"/>
      <c r="BGE228" s="394"/>
      <c r="BGF228" s="394"/>
      <c r="BGG228" s="394"/>
      <c r="BGH228" s="394"/>
      <c r="BGI228" s="394"/>
      <c r="BGJ228" s="394"/>
      <c r="BGK228" s="394"/>
      <c r="BGL228" s="394"/>
      <c r="BGM228" s="394"/>
      <c r="BGN228" s="394"/>
      <c r="BGO228" s="394"/>
      <c r="BGP228" s="394"/>
      <c r="BGQ228" s="394"/>
      <c r="BGR228" s="394"/>
      <c r="BGS228" s="394"/>
      <c r="BGT228" s="394"/>
      <c r="BGU228" s="394"/>
      <c r="BGV228" s="394"/>
      <c r="BGW228" s="394"/>
      <c r="BGX228" s="394"/>
      <c r="BGY228" s="394"/>
      <c r="BGZ228" s="394"/>
      <c r="BHA228" s="394"/>
      <c r="BHB228" s="394"/>
      <c r="BHC228" s="394"/>
      <c r="BHD228" s="394"/>
      <c r="BHE228" s="394"/>
      <c r="BHF228" s="394"/>
      <c r="BHG228" s="394"/>
      <c r="BHH228" s="394"/>
      <c r="BHI228" s="394"/>
      <c r="BHJ228" s="394"/>
      <c r="BHK228" s="394"/>
      <c r="BHL228" s="394"/>
      <c r="BHM228" s="394"/>
      <c r="BHN228" s="394"/>
      <c r="BHO228" s="394"/>
      <c r="BHP228" s="394"/>
      <c r="BHQ228" s="394"/>
      <c r="BHR228" s="394"/>
      <c r="BHS228" s="394"/>
      <c r="BHT228" s="394"/>
      <c r="BHU228" s="394"/>
      <c r="BHV228" s="394"/>
      <c r="BHW228" s="394"/>
      <c r="BHX228" s="394"/>
      <c r="BHY228" s="394"/>
      <c r="BHZ228" s="394"/>
      <c r="BIA228" s="394"/>
      <c r="BIB228" s="394"/>
      <c r="BIC228" s="394"/>
      <c r="BID228" s="394"/>
      <c r="BIE228" s="394"/>
      <c r="BIF228" s="394"/>
      <c r="BIG228" s="394"/>
      <c r="BIH228" s="394"/>
      <c r="BII228" s="394"/>
      <c r="BIJ228" s="394"/>
      <c r="BIK228" s="394"/>
      <c r="BIL228" s="394"/>
      <c r="BIM228" s="394"/>
      <c r="BIN228" s="394"/>
      <c r="BIO228" s="394"/>
      <c r="BIP228" s="394"/>
      <c r="BIQ228" s="394"/>
      <c r="BIR228" s="394"/>
      <c r="BIS228" s="394"/>
      <c r="BIT228" s="394"/>
      <c r="BIU228" s="394"/>
      <c r="BIV228" s="394"/>
      <c r="BIW228" s="394"/>
      <c r="BIX228" s="394"/>
      <c r="BIY228" s="394"/>
      <c r="BIZ228" s="394"/>
      <c r="BJA228" s="394"/>
      <c r="BJB228" s="394"/>
      <c r="BJC228" s="394"/>
      <c r="BJD228" s="394"/>
      <c r="BJE228" s="394"/>
      <c r="BJF228" s="394"/>
      <c r="BJG228" s="394"/>
      <c r="BJH228" s="394"/>
      <c r="BJI228" s="394"/>
      <c r="BJJ228" s="394"/>
      <c r="BJK228" s="394"/>
      <c r="BJL228" s="394"/>
      <c r="BJM228" s="394"/>
      <c r="BJN228" s="394"/>
      <c r="BJO228" s="394"/>
      <c r="BJP228" s="394"/>
      <c r="BJQ228" s="394"/>
      <c r="BJR228" s="394"/>
      <c r="BJS228" s="394"/>
      <c r="BJT228" s="394"/>
      <c r="BJU228" s="394"/>
      <c r="BJV228" s="394"/>
      <c r="BJW228" s="394"/>
      <c r="BJX228" s="394"/>
      <c r="BJY228" s="394"/>
      <c r="BJZ228" s="394"/>
      <c r="BKA228" s="394"/>
      <c r="BKB228" s="394"/>
      <c r="BKC228" s="394"/>
      <c r="BKD228" s="394"/>
      <c r="BKE228" s="394"/>
      <c r="BKF228" s="394"/>
      <c r="BKG228" s="394"/>
      <c r="BKH228" s="394"/>
      <c r="BKI228" s="394"/>
      <c r="BKJ228" s="394"/>
      <c r="BKK228" s="394"/>
      <c r="BKL228" s="394"/>
      <c r="BKM228" s="394"/>
      <c r="BKN228" s="394"/>
      <c r="BKO228" s="394"/>
      <c r="BKP228" s="394"/>
      <c r="BKQ228" s="394"/>
      <c r="BKR228" s="394"/>
      <c r="BKS228" s="394"/>
      <c r="BKT228" s="394"/>
      <c r="BKU228" s="394"/>
      <c r="BKV228" s="394"/>
      <c r="BKW228" s="394"/>
      <c r="BKX228" s="394"/>
      <c r="BKY228" s="394"/>
      <c r="BKZ228" s="394"/>
      <c r="BLA228" s="394"/>
      <c r="BLB228" s="394"/>
      <c r="BLC228" s="394"/>
      <c r="BLD228" s="394"/>
      <c r="BLE228" s="394"/>
      <c r="BLF228" s="394"/>
      <c r="BLG228" s="394"/>
      <c r="BLH228" s="394"/>
      <c r="BLI228" s="394"/>
      <c r="BLJ228" s="394"/>
      <c r="BLK228" s="394"/>
      <c r="BLL228" s="394"/>
      <c r="BLM228" s="394"/>
      <c r="BLN228" s="394"/>
      <c r="BLO228" s="394"/>
      <c r="BLP228" s="394"/>
      <c r="BLQ228" s="394"/>
      <c r="BLR228" s="394"/>
      <c r="BLS228" s="394"/>
      <c r="BLT228" s="394"/>
      <c r="BLU228" s="394"/>
      <c r="BLV228" s="394"/>
      <c r="BLW228" s="394"/>
      <c r="BLX228" s="394"/>
      <c r="BLY228" s="394"/>
      <c r="BLZ228" s="394"/>
      <c r="BMA228" s="394"/>
      <c r="BMB228" s="394"/>
      <c r="BMC228" s="394"/>
      <c r="BMD228" s="394"/>
      <c r="BME228" s="394"/>
      <c r="BMF228" s="394"/>
      <c r="BMG228" s="394"/>
      <c r="BMH228" s="394"/>
      <c r="BMI228" s="394"/>
      <c r="BMJ228" s="394"/>
      <c r="BMK228" s="394"/>
      <c r="BML228" s="394"/>
      <c r="BMM228" s="394"/>
      <c r="BMN228" s="394"/>
      <c r="BMO228" s="394"/>
      <c r="BMP228" s="394"/>
      <c r="BMQ228" s="394"/>
      <c r="BMR228" s="394"/>
      <c r="BMS228" s="394"/>
      <c r="BMT228" s="394"/>
      <c r="BMU228" s="394"/>
      <c r="BMV228" s="394"/>
      <c r="BMW228" s="394"/>
      <c r="BMX228" s="394"/>
      <c r="BMY228" s="394"/>
      <c r="BMZ228" s="394"/>
      <c r="BNA228" s="394"/>
      <c r="BNB228" s="394"/>
      <c r="BNC228" s="394"/>
      <c r="BND228" s="394"/>
      <c r="BNE228" s="394"/>
      <c r="BNF228" s="394"/>
      <c r="BNG228" s="394"/>
      <c r="BNH228" s="394"/>
      <c r="BNI228" s="394"/>
      <c r="BNJ228" s="394"/>
      <c r="BNK228" s="394"/>
      <c r="BNL228" s="394"/>
      <c r="BNM228" s="394"/>
      <c r="BNN228" s="394"/>
      <c r="BNO228" s="394"/>
      <c r="BNP228" s="394"/>
      <c r="BNQ228" s="394"/>
      <c r="BNR228" s="394"/>
      <c r="BNS228" s="394"/>
      <c r="BNT228" s="394"/>
      <c r="BNU228" s="394"/>
      <c r="BNV228" s="394"/>
      <c r="BNW228" s="394"/>
      <c r="BNX228" s="394"/>
      <c r="BNY228" s="394"/>
      <c r="BNZ228" s="394"/>
      <c r="BOA228" s="394"/>
      <c r="BOB228" s="394"/>
      <c r="BOC228" s="394"/>
      <c r="BOD228" s="394"/>
      <c r="BOE228" s="394"/>
      <c r="BOF228" s="394"/>
      <c r="BOG228" s="394"/>
      <c r="BOH228" s="394"/>
      <c r="BOI228" s="394"/>
      <c r="BOJ228" s="394"/>
      <c r="BOK228" s="394"/>
      <c r="BOL228" s="394"/>
      <c r="BOM228" s="394"/>
      <c r="BON228" s="394"/>
      <c r="BOO228" s="394"/>
      <c r="BOP228" s="394"/>
      <c r="BOQ228" s="394"/>
      <c r="BOR228" s="394"/>
      <c r="BOS228" s="394"/>
      <c r="BOT228" s="394"/>
      <c r="BOU228" s="394"/>
      <c r="BOV228" s="394"/>
      <c r="BOW228" s="394"/>
      <c r="BOX228" s="394"/>
      <c r="BOY228" s="394"/>
      <c r="BOZ228" s="394"/>
      <c r="BPA228" s="394"/>
      <c r="BPB228" s="394"/>
      <c r="BPC228" s="394"/>
      <c r="BPD228" s="394"/>
      <c r="BPE228" s="394"/>
      <c r="BPF228" s="394"/>
      <c r="BPG228" s="394"/>
      <c r="BPH228" s="394"/>
      <c r="BPI228" s="394"/>
      <c r="BPJ228" s="394"/>
      <c r="BPK228" s="394"/>
      <c r="BPL228" s="394"/>
      <c r="BPM228" s="394"/>
      <c r="BPN228" s="394"/>
      <c r="BPO228" s="394"/>
      <c r="BPP228" s="394"/>
      <c r="BPQ228" s="394"/>
      <c r="BPR228" s="394"/>
      <c r="BPS228" s="394"/>
      <c r="BPT228" s="394"/>
      <c r="BPU228" s="394"/>
      <c r="BPV228" s="394"/>
      <c r="BPW228" s="394"/>
      <c r="BPX228" s="394"/>
      <c r="BPY228" s="394"/>
      <c r="BPZ228" s="394"/>
      <c r="BQA228" s="394"/>
      <c r="BQB228" s="394"/>
      <c r="BQC228" s="394"/>
      <c r="BQD228" s="394"/>
      <c r="BQE228" s="394"/>
      <c r="BQF228" s="394"/>
      <c r="BQG228" s="394"/>
      <c r="BQH228" s="394"/>
      <c r="BQI228" s="394"/>
      <c r="BQJ228" s="394"/>
      <c r="BQK228" s="394"/>
      <c r="BQL228" s="394"/>
      <c r="BQM228" s="394"/>
      <c r="BQN228" s="394"/>
      <c r="BQO228" s="394"/>
      <c r="BQP228" s="394"/>
      <c r="BQQ228" s="394"/>
      <c r="BQR228" s="394"/>
      <c r="BQS228" s="394"/>
      <c r="BQT228" s="394"/>
      <c r="BQU228" s="394"/>
      <c r="BQV228" s="394"/>
      <c r="BQW228" s="394"/>
      <c r="BQX228" s="394"/>
      <c r="BQY228" s="394"/>
      <c r="BQZ228" s="394"/>
      <c r="BRA228" s="394"/>
      <c r="BRB228" s="394"/>
      <c r="BRC228" s="394"/>
      <c r="BRD228" s="394"/>
      <c r="BRE228" s="394"/>
      <c r="BRF228" s="394"/>
      <c r="BRG228" s="394"/>
      <c r="BRH228" s="394"/>
      <c r="BRI228" s="394"/>
      <c r="BRJ228" s="394"/>
      <c r="BRK228" s="394"/>
      <c r="BRL228" s="394"/>
      <c r="BRM228" s="394"/>
      <c r="BRN228" s="394"/>
      <c r="BRO228" s="394"/>
      <c r="BRP228" s="394"/>
      <c r="BRQ228" s="394"/>
      <c r="BRR228" s="394"/>
      <c r="BRS228" s="394"/>
      <c r="BRT228" s="394"/>
      <c r="BRU228" s="394"/>
      <c r="BRV228" s="394"/>
      <c r="BRW228" s="394"/>
      <c r="BRX228" s="394"/>
      <c r="BRY228" s="394"/>
      <c r="BRZ228" s="394"/>
      <c r="BSA228" s="394"/>
      <c r="BSB228" s="394"/>
      <c r="BSC228" s="394"/>
      <c r="BSD228" s="394"/>
      <c r="BSE228" s="394"/>
      <c r="BSF228" s="394"/>
      <c r="BSG228" s="394"/>
      <c r="BSH228" s="394"/>
      <c r="BSI228" s="394"/>
      <c r="BSJ228" s="394"/>
      <c r="BSK228" s="394"/>
      <c r="BSL228" s="394"/>
      <c r="BSM228" s="394"/>
      <c r="BSN228" s="394"/>
      <c r="BSO228" s="394"/>
      <c r="BSP228" s="394"/>
      <c r="BSQ228" s="394"/>
      <c r="BSR228" s="394"/>
      <c r="BSS228" s="394"/>
      <c r="BST228" s="394"/>
      <c r="BSU228" s="394"/>
      <c r="BSV228" s="394"/>
      <c r="BSW228" s="394"/>
      <c r="BSX228" s="394"/>
      <c r="BSY228" s="394"/>
      <c r="BSZ228" s="394"/>
      <c r="BTA228" s="394"/>
      <c r="BTB228" s="394"/>
      <c r="BTC228" s="394"/>
      <c r="BTD228" s="394"/>
      <c r="BTE228" s="394"/>
      <c r="BTF228" s="394"/>
      <c r="BTG228" s="394"/>
      <c r="BTH228" s="394"/>
      <c r="BTI228" s="394"/>
    </row>
    <row r="229" spans="1:1881" ht="86.25" customHeight="1" x14ac:dyDescent="0.25">
      <c r="A229" s="405">
        <v>542</v>
      </c>
      <c r="B229" s="401" t="s">
        <v>66</v>
      </c>
      <c r="C229" s="441" t="s">
        <v>893</v>
      </c>
      <c r="D229" s="175" t="s">
        <v>220</v>
      </c>
      <c r="E229" s="398" t="e">
        <f>HLOOKUP($D$2,'2019 Data(H)'!$C$1:$CP$300,192,FALSE)</f>
        <v>#N/A</v>
      </c>
      <c r="F229" s="624"/>
      <c r="G229" s="395"/>
      <c r="H229" s="149"/>
      <c r="I229" s="711"/>
    </row>
    <row r="230" spans="1:1881" ht="24.75" customHeight="1" x14ac:dyDescent="0.3">
      <c r="A230" s="189"/>
      <c r="B230" s="161" t="s">
        <v>223</v>
      </c>
      <c r="C230" s="161"/>
      <c r="D230" s="155"/>
      <c r="E230" s="162"/>
      <c r="F230" s="743"/>
      <c r="G230" s="555"/>
      <c r="H230" s="13"/>
      <c r="I230" s="31"/>
    </row>
    <row r="231" spans="1:1881" ht="25.5" customHeight="1" x14ac:dyDescent="0.3">
      <c r="A231" s="189"/>
      <c r="B231" s="156" t="s">
        <v>14</v>
      </c>
      <c r="C231" s="156"/>
      <c r="D231" s="155"/>
      <c r="E231" s="162"/>
      <c r="F231" s="724"/>
      <c r="G231" s="555"/>
      <c r="H231" s="13"/>
      <c r="I231" s="31"/>
    </row>
    <row r="232" spans="1:1881" ht="83.25" customHeight="1" x14ac:dyDescent="0.25">
      <c r="A232" s="191">
        <v>528</v>
      </c>
      <c r="B232" s="150" t="s">
        <v>62</v>
      </c>
      <c r="C232" s="159" t="s">
        <v>224</v>
      </c>
      <c r="D232" s="157" t="s">
        <v>1207</v>
      </c>
      <c r="E232" s="32" t="e">
        <f>HLOOKUP($D$2,'2019 Data(H)'!$C$1:$CP$300,178,FALSE)</f>
        <v>#N/A</v>
      </c>
      <c r="F232" s="624"/>
      <c r="G232" s="395" t="str">
        <f>IF(F232="","Error: Unit must enter this information if they levy taxes.",)</f>
        <v>Error: Unit must enter this information if they levy taxes.</v>
      </c>
      <c r="H232" s="117"/>
      <c r="I232" s="31"/>
      <c r="J232" s="444"/>
    </row>
    <row r="233" spans="1:1881" ht="69.75" customHeight="1" x14ac:dyDescent="0.25">
      <c r="A233" s="191">
        <v>529</v>
      </c>
      <c r="B233" s="150" t="s">
        <v>62</v>
      </c>
      <c r="C233" s="159" t="s">
        <v>224</v>
      </c>
      <c r="D233" s="157" t="s">
        <v>238</v>
      </c>
      <c r="E233" s="32" t="e">
        <f>HLOOKUP($D$2,'2019 Data(H)'!$C$1:$CP$300,179,FALSE)</f>
        <v>#N/A</v>
      </c>
      <c r="F233" s="624"/>
      <c r="G233" s="581" t="str">
        <f>IF(F233="","Error: Unit must enter this information if they levy taxes.",)</f>
        <v>Error: Unit must enter this information if they levy taxes.</v>
      </c>
      <c r="H233" s="13"/>
      <c r="I233" s="31"/>
    </row>
    <row r="234" spans="1:1881" ht="69.75" customHeight="1" x14ac:dyDescent="0.25">
      <c r="A234" s="191">
        <v>530</v>
      </c>
      <c r="B234" s="150" t="s">
        <v>62</v>
      </c>
      <c r="C234" s="159" t="s">
        <v>224</v>
      </c>
      <c r="D234" s="158" t="s">
        <v>239</v>
      </c>
      <c r="E234" s="32" t="e">
        <f>HLOOKUP($D$2,'2019 Data(H)'!$C$1:$CP$300,180,FALSE)</f>
        <v>#N/A</v>
      </c>
      <c r="F234" s="624"/>
      <c r="G234" s="581" t="str">
        <f>IF(F234="","Error: Unit must enter this information if they levy taxes.",)</f>
        <v>Error: Unit must enter this information if they levy taxes.</v>
      </c>
      <c r="H234" s="13"/>
      <c r="I234" s="31"/>
    </row>
    <row r="235" spans="1:1881" ht="69.75" customHeight="1" x14ac:dyDescent="0.25">
      <c r="A235" s="191">
        <v>531</v>
      </c>
      <c r="B235" s="150" t="s">
        <v>62</v>
      </c>
      <c r="C235" s="159" t="s">
        <v>224</v>
      </c>
      <c r="D235" s="158" t="s">
        <v>240</v>
      </c>
      <c r="E235" s="32" t="e">
        <f>HLOOKUP($D$2,'2019 Data(H)'!$C$1:$CP$300,181,FALSE)</f>
        <v>#N/A</v>
      </c>
      <c r="F235" s="624"/>
      <c r="G235" s="581" t="str">
        <f>IF(F235="","Error: Unit must enter this information if they levy taxes.",)</f>
        <v>Error: Unit must enter this information if they levy taxes.</v>
      </c>
      <c r="H235" s="13"/>
      <c r="I235" s="31"/>
    </row>
    <row r="236" spans="1:1881" ht="69.75" customHeight="1" x14ac:dyDescent="0.25">
      <c r="A236" s="188">
        <v>61</v>
      </c>
      <c r="B236" s="64" t="s">
        <v>66</v>
      </c>
      <c r="C236" s="159" t="s">
        <v>224</v>
      </c>
      <c r="D236" s="175" t="s">
        <v>635</v>
      </c>
      <c r="E236" s="194" t="e">
        <f>HLOOKUP($D$2,'2019 Data(H)'!$C$1:$CP$300,43,FALSE)</f>
        <v>#N/A</v>
      </c>
      <c r="F236" s="588"/>
      <c r="G236" s="581" t="e">
        <f>IF(F236=H236," ","Please check values in account 528, 529, 530 and  531.")</f>
        <v>#DIV/0!</v>
      </c>
      <c r="H236" s="658" t="e">
        <f>ROUND((F232+F233-F234-F235)/(F232+F233)*100,2)</f>
        <v>#DIV/0!</v>
      </c>
      <c r="I236" s="31"/>
    </row>
    <row r="237" spans="1:1881" ht="75.75" customHeight="1" x14ac:dyDescent="0.25">
      <c r="A237" s="188">
        <v>102</v>
      </c>
      <c r="B237" s="64" t="s">
        <v>66</v>
      </c>
      <c r="C237" s="159" t="s">
        <v>224</v>
      </c>
      <c r="D237" s="253" t="s">
        <v>636</v>
      </c>
      <c r="E237" s="194" t="e">
        <f>HLOOKUP($D$2,'2019 Data(H)'!$C$1:$CP$300,62,FALSE)</f>
        <v>#N/A</v>
      </c>
      <c r="F237" s="588"/>
      <c r="G237" s="581" t="e">
        <f>IF(F237=H237," ","Please check values in account 528 and 530.")</f>
        <v>#DIV/0!</v>
      </c>
      <c r="H237" s="658" t="e">
        <f>ROUND((F232-F234)/(F232)*100,2)</f>
        <v>#DIV/0!</v>
      </c>
      <c r="I237" s="31"/>
    </row>
    <row r="238" spans="1:1881" ht="63.75" customHeight="1" x14ac:dyDescent="0.25">
      <c r="A238" s="188">
        <v>103</v>
      </c>
      <c r="B238" s="64" t="s">
        <v>66</v>
      </c>
      <c r="C238" s="159" t="s">
        <v>224</v>
      </c>
      <c r="D238" s="175" t="s">
        <v>637</v>
      </c>
      <c r="E238" s="194" t="e">
        <f>HLOOKUP($D$2,'2019 Data(H)'!$C$1:$CP$300,63,FALSE)</f>
        <v>#N/A</v>
      </c>
      <c r="F238" s="588"/>
      <c r="G238" s="581" t="e">
        <f>IF(F238=H238," ","Please check values in account 529 and 531.")</f>
        <v>#DIV/0!</v>
      </c>
      <c r="H238" s="658" t="e">
        <f>ROUND((F233-F235)/F233*100,2)</f>
        <v>#DIV/0!</v>
      </c>
      <c r="I238" s="31"/>
    </row>
    <row r="239" spans="1:1881" ht="72" customHeight="1" x14ac:dyDescent="0.25">
      <c r="A239" s="188">
        <v>544</v>
      </c>
      <c r="B239" s="150" t="s">
        <v>66</v>
      </c>
      <c r="C239" s="182" t="s">
        <v>224</v>
      </c>
      <c r="D239" s="165" t="s">
        <v>241</v>
      </c>
      <c r="E239" s="195" t="e">
        <f>HLOOKUP($D$2,'2019 Data(H)'!$C$1:$CP$300,194,FALSE)</f>
        <v>#N/A</v>
      </c>
      <c r="F239" s="585"/>
      <c r="G239" s="581"/>
      <c r="H239" s="13"/>
      <c r="I239" s="188"/>
    </row>
    <row r="240" spans="1:1881" ht="73.5" customHeight="1" x14ac:dyDescent="0.25">
      <c r="A240" s="188">
        <v>545</v>
      </c>
      <c r="B240" s="150" t="s">
        <v>66</v>
      </c>
      <c r="C240" s="182" t="s">
        <v>224</v>
      </c>
      <c r="D240" s="165" t="s">
        <v>242</v>
      </c>
      <c r="E240" s="597"/>
      <c r="F240" s="585"/>
      <c r="G240" s="581"/>
      <c r="H240" s="13"/>
      <c r="I240" s="598"/>
    </row>
    <row r="241" spans="1:1881" ht="58.5" customHeight="1" x14ac:dyDescent="0.25">
      <c r="A241" s="462">
        <v>624</v>
      </c>
      <c r="B241" s="461" t="s">
        <v>66</v>
      </c>
      <c r="C241" s="461"/>
      <c r="D241" s="461" t="s">
        <v>826</v>
      </c>
      <c r="E241" s="597"/>
      <c r="F241" s="587"/>
      <c r="G241" s="563" t="str">
        <f>IF(+F241&lt;1,"Please answer this question","")</f>
        <v>Please answer this question</v>
      </c>
      <c r="H241" s="67"/>
      <c r="I241" s="188"/>
    </row>
    <row r="242" spans="1:1881" ht="27.75" customHeight="1" x14ac:dyDescent="0.25">
      <c r="A242" s="566"/>
      <c r="B242" s="161" t="s">
        <v>807</v>
      </c>
      <c r="C242" s="161"/>
      <c r="D242" s="161"/>
      <c r="E242" s="565"/>
      <c r="F242" s="744"/>
      <c r="G242" s="564"/>
      <c r="H242" s="67"/>
      <c r="I242" s="188"/>
      <c r="J242" s="367"/>
    </row>
    <row r="243" spans="1:1881" ht="60" x14ac:dyDescent="0.25">
      <c r="A243" s="188">
        <v>620</v>
      </c>
      <c r="B243" s="150" t="s">
        <v>66</v>
      </c>
      <c r="C243" s="182"/>
      <c r="D243" s="335" t="s">
        <v>806</v>
      </c>
      <c r="E243" s="311"/>
      <c r="F243" s="587"/>
      <c r="G243" s="563" t="str">
        <f>IF(F243&lt;1,"Please answer this question","")</f>
        <v>Please answer this question</v>
      </c>
      <c r="H243" s="67"/>
      <c r="I243" s="188"/>
    </row>
    <row r="244" spans="1:1881" s="489" customFormat="1" ht="93" customHeight="1" x14ac:dyDescent="0.25">
      <c r="A244" s="934" t="s">
        <v>959</v>
      </c>
      <c r="B244" s="934"/>
      <c r="C244" s="934"/>
      <c r="D244" s="934"/>
      <c r="E244" s="575"/>
      <c r="F244" s="745"/>
      <c r="G244" s="575"/>
      <c r="H244" s="491"/>
      <c r="I244" s="405"/>
      <c r="J244" s="490"/>
      <c r="K244" s="490"/>
      <c r="L244" s="490"/>
      <c r="M244" s="490"/>
      <c r="N244"/>
      <c r="O244" s="490"/>
      <c r="P244" s="490"/>
      <c r="Q244" s="490"/>
      <c r="R244" s="490"/>
      <c r="S244" s="490"/>
      <c r="T244" s="490"/>
      <c r="U244" s="490"/>
      <c r="V244" s="490"/>
      <c r="W244" s="490"/>
      <c r="X244" s="490"/>
      <c r="Y244" s="490"/>
      <c r="Z244" s="490"/>
      <c r="AA244" s="490"/>
      <c r="AB244" s="490"/>
      <c r="AC244" s="490"/>
      <c r="AD244" s="490"/>
      <c r="AE244" s="490"/>
      <c r="AF244" s="490"/>
      <c r="AG244" s="490"/>
      <c r="AH244" s="490"/>
      <c r="AI244" s="490"/>
      <c r="AJ244" s="490"/>
      <c r="AK244" s="490"/>
      <c r="AL244" s="490"/>
      <c r="AM244" s="490"/>
      <c r="AN244" s="490"/>
      <c r="AO244" s="490"/>
      <c r="AP244" s="490"/>
      <c r="AQ244" s="490"/>
      <c r="AR244" s="490"/>
      <c r="AS244" s="490"/>
      <c r="AT244" s="490"/>
      <c r="AU244" s="490"/>
      <c r="AV244" s="490"/>
      <c r="AW244" s="490"/>
      <c r="AX244" s="490"/>
      <c r="AY244" s="490"/>
      <c r="AZ244" s="490"/>
      <c r="BA244" s="490"/>
      <c r="BB244" s="490"/>
      <c r="BC244" s="490"/>
      <c r="BD244" s="490"/>
      <c r="BE244" s="490"/>
      <c r="BF244" s="490"/>
      <c r="BG244" s="490"/>
      <c r="BH244" s="490"/>
      <c r="BI244" s="490"/>
      <c r="BJ244" s="490"/>
      <c r="BK244" s="490"/>
      <c r="BL244" s="490"/>
      <c r="BM244" s="490"/>
      <c r="BN244" s="490"/>
      <c r="BO244" s="490"/>
      <c r="BP244" s="490"/>
      <c r="BQ244" s="490"/>
      <c r="BR244" s="490"/>
      <c r="BS244" s="490"/>
      <c r="BT244" s="490"/>
      <c r="BU244" s="490"/>
      <c r="BV244" s="490"/>
      <c r="BW244" s="490"/>
      <c r="BX244" s="490"/>
      <c r="BY244" s="490"/>
      <c r="BZ244" s="490"/>
      <c r="CA244" s="490"/>
      <c r="CB244" s="490"/>
      <c r="CC244" s="490"/>
      <c r="CD244" s="490"/>
      <c r="CE244" s="490"/>
      <c r="CF244" s="490"/>
      <c r="CG244" s="490"/>
      <c r="CH244" s="490"/>
      <c r="CI244" s="490"/>
      <c r="CJ244" s="490"/>
      <c r="CK244" s="490"/>
      <c r="CL244" s="490"/>
      <c r="CM244" s="490"/>
      <c r="CN244" s="490"/>
      <c r="CO244" s="490"/>
      <c r="CP244" s="490"/>
      <c r="CQ244" s="490"/>
      <c r="CR244" s="490"/>
      <c r="CS244" s="490"/>
      <c r="CT244" s="490"/>
      <c r="CU244" s="490"/>
      <c r="CV244" s="490"/>
      <c r="CW244" s="490"/>
      <c r="CX244" s="490"/>
      <c r="CY244" s="490"/>
      <c r="CZ244" s="490"/>
      <c r="DA244" s="490"/>
      <c r="DB244" s="490"/>
      <c r="DC244" s="490"/>
      <c r="DD244" s="490"/>
      <c r="DE244" s="490"/>
      <c r="DF244" s="490"/>
      <c r="DG244" s="490"/>
      <c r="DH244" s="490"/>
      <c r="DI244" s="490"/>
      <c r="DJ244" s="490"/>
      <c r="DK244" s="490"/>
      <c r="DL244" s="490"/>
      <c r="DM244" s="490"/>
      <c r="DN244" s="490"/>
      <c r="DO244" s="490"/>
      <c r="DP244" s="490"/>
      <c r="DQ244" s="490"/>
      <c r="DR244" s="490"/>
      <c r="DS244" s="490"/>
      <c r="DT244" s="490"/>
      <c r="DU244" s="490"/>
      <c r="DV244" s="490"/>
      <c r="DW244" s="490"/>
      <c r="DX244" s="490"/>
      <c r="DY244" s="490"/>
      <c r="DZ244" s="490"/>
      <c r="EA244" s="490"/>
      <c r="EB244" s="490"/>
      <c r="EC244" s="490"/>
      <c r="ED244" s="490"/>
      <c r="EE244" s="490"/>
      <c r="EF244" s="490"/>
      <c r="EG244" s="490"/>
      <c r="EH244" s="490"/>
      <c r="EI244" s="490"/>
      <c r="EJ244" s="490"/>
      <c r="EK244" s="490"/>
      <c r="EL244" s="490"/>
      <c r="EM244" s="490"/>
      <c r="EN244" s="490"/>
      <c r="EO244" s="490"/>
      <c r="EP244" s="490"/>
      <c r="EQ244" s="490"/>
      <c r="ER244" s="490"/>
      <c r="ES244" s="490"/>
      <c r="ET244" s="490"/>
      <c r="EU244" s="490"/>
      <c r="EV244" s="490"/>
      <c r="EW244" s="490"/>
      <c r="EX244" s="490"/>
      <c r="EY244" s="490"/>
      <c r="EZ244" s="490"/>
      <c r="FA244" s="490"/>
      <c r="FB244" s="490"/>
      <c r="FC244" s="490"/>
      <c r="FD244" s="490"/>
      <c r="FE244" s="490"/>
      <c r="FF244" s="490"/>
      <c r="FG244" s="490"/>
      <c r="FH244" s="490"/>
      <c r="FI244" s="490"/>
      <c r="FJ244" s="490"/>
      <c r="FK244" s="490"/>
      <c r="FL244" s="490"/>
      <c r="FM244" s="490"/>
      <c r="FN244" s="490"/>
      <c r="FO244" s="490"/>
      <c r="FP244" s="490"/>
      <c r="FQ244" s="490"/>
      <c r="FR244" s="490"/>
      <c r="FS244" s="490"/>
      <c r="FT244" s="490"/>
      <c r="FU244" s="490"/>
      <c r="FV244" s="490"/>
      <c r="FW244" s="490"/>
      <c r="FX244" s="490"/>
      <c r="FY244" s="490"/>
      <c r="FZ244" s="490"/>
      <c r="GA244" s="490"/>
      <c r="GB244" s="490"/>
      <c r="GC244" s="490"/>
      <c r="GD244" s="490"/>
      <c r="GE244" s="490"/>
      <c r="GF244" s="490"/>
      <c r="GG244" s="490"/>
      <c r="GH244" s="490"/>
      <c r="GI244" s="490"/>
      <c r="GJ244" s="490"/>
      <c r="GK244" s="490"/>
      <c r="GL244" s="490"/>
      <c r="GM244" s="490"/>
      <c r="GN244" s="490"/>
      <c r="GO244" s="490"/>
      <c r="GP244" s="490"/>
      <c r="GQ244" s="490"/>
      <c r="GR244" s="490"/>
      <c r="GS244" s="490"/>
      <c r="GT244" s="490"/>
      <c r="GU244" s="490"/>
      <c r="GV244" s="490"/>
      <c r="GW244" s="490"/>
      <c r="GX244" s="490"/>
      <c r="GY244" s="490"/>
      <c r="GZ244" s="490"/>
      <c r="HA244" s="490"/>
      <c r="HB244" s="490"/>
      <c r="HC244" s="490"/>
      <c r="HD244" s="490"/>
      <c r="HE244" s="490"/>
      <c r="HF244" s="490"/>
      <c r="HG244" s="490"/>
      <c r="HH244" s="490"/>
      <c r="HI244" s="490"/>
      <c r="HJ244" s="490"/>
      <c r="HK244" s="490"/>
      <c r="HL244" s="490"/>
      <c r="HM244" s="490"/>
      <c r="HN244" s="490"/>
      <c r="HO244" s="490"/>
      <c r="HP244" s="490"/>
      <c r="HQ244" s="490"/>
      <c r="HR244" s="490"/>
      <c r="HS244" s="490"/>
      <c r="HT244" s="490"/>
      <c r="HU244" s="490"/>
      <c r="HV244" s="490"/>
      <c r="HW244" s="490"/>
      <c r="HX244" s="490"/>
      <c r="HY244" s="490"/>
      <c r="HZ244" s="490"/>
      <c r="IA244" s="490"/>
      <c r="IB244" s="490"/>
      <c r="IC244" s="490"/>
      <c r="ID244" s="490"/>
      <c r="IE244" s="490"/>
      <c r="IF244" s="490"/>
      <c r="IG244" s="490"/>
      <c r="IH244" s="490"/>
      <c r="II244" s="490"/>
      <c r="IJ244" s="490"/>
      <c r="IK244" s="490"/>
      <c r="IL244" s="490"/>
      <c r="IM244" s="490"/>
      <c r="IN244" s="490"/>
      <c r="IO244" s="490"/>
      <c r="IP244" s="490"/>
      <c r="IQ244" s="490"/>
      <c r="IR244" s="490"/>
      <c r="IS244" s="490"/>
      <c r="IT244" s="490"/>
      <c r="IU244" s="490"/>
      <c r="IV244" s="490"/>
      <c r="IW244" s="490"/>
      <c r="IX244" s="490"/>
      <c r="IY244" s="490"/>
      <c r="IZ244" s="490"/>
      <c r="JA244" s="490"/>
      <c r="JB244" s="490"/>
      <c r="JC244" s="490"/>
      <c r="JD244" s="490"/>
      <c r="JE244" s="490"/>
      <c r="JF244" s="490"/>
      <c r="JG244" s="490"/>
      <c r="JH244" s="490"/>
      <c r="JI244" s="490"/>
      <c r="JJ244" s="490"/>
      <c r="JK244" s="490"/>
      <c r="JL244" s="490"/>
      <c r="JM244" s="490"/>
      <c r="JN244" s="490"/>
      <c r="JO244" s="490"/>
      <c r="JP244" s="490"/>
      <c r="JQ244" s="490"/>
      <c r="JR244" s="490"/>
      <c r="JS244" s="490"/>
      <c r="JT244" s="490"/>
      <c r="JU244" s="490"/>
      <c r="JV244" s="490"/>
      <c r="JW244" s="490"/>
      <c r="JX244" s="490"/>
      <c r="JY244" s="490"/>
      <c r="JZ244" s="490"/>
      <c r="KA244" s="490"/>
      <c r="KB244" s="490"/>
      <c r="KC244" s="490"/>
      <c r="KD244" s="490"/>
      <c r="KE244" s="490"/>
      <c r="KF244" s="490"/>
      <c r="KG244" s="490"/>
      <c r="KH244" s="490"/>
      <c r="KI244" s="490"/>
      <c r="KJ244" s="490"/>
      <c r="KK244" s="490"/>
      <c r="KL244" s="490"/>
      <c r="KM244" s="490"/>
      <c r="KN244" s="490"/>
      <c r="KO244" s="490"/>
      <c r="KP244" s="490"/>
      <c r="KQ244" s="490"/>
      <c r="KR244" s="490"/>
      <c r="KS244" s="490"/>
      <c r="KT244" s="490"/>
      <c r="KU244" s="490"/>
      <c r="KV244" s="490"/>
      <c r="KW244" s="490"/>
      <c r="KX244" s="490"/>
      <c r="KY244" s="490"/>
      <c r="KZ244" s="490"/>
      <c r="LA244" s="490"/>
      <c r="LB244" s="490"/>
      <c r="LC244" s="490"/>
      <c r="LD244" s="490"/>
      <c r="LE244" s="490"/>
      <c r="LF244" s="490"/>
      <c r="LG244" s="490"/>
      <c r="LH244" s="490"/>
      <c r="LI244" s="490"/>
      <c r="LJ244" s="490"/>
      <c r="LK244" s="490"/>
      <c r="LL244" s="490"/>
      <c r="LM244" s="490"/>
      <c r="LN244" s="490"/>
      <c r="LO244" s="490"/>
      <c r="LP244" s="490"/>
      <c r="LQ244" s="490"/>
      <c r="LR244" s="490"/>
      <c r="LS244" s="490"/>
      <c r="LT244" s="490"/>
      <c r="LU244" s="490"/>
      <c r="LV244" s="490"/>
      <c r="LW244" s="490"/>
      <c r="LX244" s="490"/>
      <c r="LY244" s="490"/>
      <c r="LZ244" s="490"/>
      <c r="MA244" s="490"/>
      <c r="MB244" s="490"/>
      <c r="MC244" s="490"/>
      <c r="MD244" s="490"/>
      <c r="ME244" s="490"/>
      <c r="MF244" s="490"/>
      <c r="MG244" s="490"/>
      <c r="MH244" s="490"/>
      <c r="MI244" s="490"/>
      <c r="MJ244" s="490"/>
      <c r="MK244" s="490"/>
      <c r="ML244" s="490"/>
      <c r="MM244" s="490"/>
      <c r="MN244" s="490"/>
      <c r="MO244" s="490"/>
      <c r="MP244" s="490"/>
      <c r="MQ244" s="490"/>
      <c r="MR244" s="490"/>
      <c r="MS244" s="490"/>
      <c r="MT244" s="490"/>
      <c r="MU244" s="490"/>
      <c r="MV244" s="490"/>
      <c r="MW244" s="490"/>
      <c r="MX244" s="490"/>
      <c r="MY244" s="490"/>
      <c r="MZ244" s="490"/>
      <c r="NA244" s="490"/>
      <c r="NB244" s="490"/>
      <c r="NC244" s="490"/>
      <c r="ND244" s="490"/>
      <c r="NE244" s="490"/>
      <c r="NF244" s="490"/>
      <c r="NG244" s="490"/>
      <c r="NH244" s="490"/>
      <c r="NI244" s="490"/>
      <c r="NJ244" s="490"/>
      <c r="NK244" s="490"/>
      <c r="NL244" s="490"/>
      <c r="NM244" s="490"/>
      <c r="NN244" s="490"/>
      <c r="NO244" s="490"/>
      <c r="NP244" s="490"/>
      <c r="NQ244" s="490"/>
      <c r="NR244" s="490"/>
      <c r="NS244" s="490"/>
      <c r="NT244" s="490"/>
      <c r="NU244" s="490"/>
      <c r="NV244" s="490"/>
      <c r="NW244" s="490"/>
      <c r="NX244" s="490"/>
      <c r="NY244" s="490"/>
      <c r="NZ244" s="490"/>
      <c r="OA244" s="490"/>
      <c r="OB244" s="490"/>
      <c r="OC244" s="490"/>
      <c r="OD244" s="490"/>
      <c r="OE244" s="490"/>
      <c r="OF244" s="490"/>
      <c r="OG244" s="490"/>
      <c r="OH244" s="490"/>
      <c r="OI244" s="490"/>
      <c r="OJ244" s="490"/>
      <c r="OK244" s="490"/>
      <c r="OL244" s="490"/>
      <c r="OM244" s="490"/>
      <c r="ON244" s="490"/>
      <c r="OO244" s="490"/>
      <c r="OP244" s="490"/>
      <c r="OQ244" s="490"/>
      <c r="OR244" s="490"/>
      <c r="OS244" s="490"/>
      <c r="OT244" s="490"/>
      <c r="OU244" s="490"/>
      <c r="OV244" s="490"/>
      <c r="OW244" s="490"/>
      <c r="OX244" s="490"/>
      <c r="OY244" s="490"/>
      <c r="OZ244" s="490"/>
      <c r="PA244" s="490"/>
      <c r="PB244" s="490"/>
      <c r="PC244" s="490"/>
      <c r="PD244" s="490"/>
      <c r="PE244" s="490"/>
      <c r="PF244" s="490"/>
      <c r="PG244" s="490"/>
      <c r="PH244" s="490"/>
      <c r="PI244" s="490"/>
      <c r="PJ244" s="490"/>
      <c r="PK244" s="490"/>
      <c r="PL244" s="490"/>
      <c r="PM244" s="490"/>
      <c r="PN244" s="490"/>
      <c r="PO244" s="490"/>
      <c r="PP244" s="490"/>
      <c r="PQ244" s="490"/>
      <c r="PR244" s="490"/>
      <c r="PS244" s="490"/>
      <c r="PT244" s="490"/>
      <c r="PU244" s="490"/>
      <c r="PV244" s="490"/>
      <c r="PW244" s="490"/>
      <c r="PX244" s="490"/>
      <c r="PY244" s="490"/>
      <c r="PZ244" s="490"/>
      <c r="QA244" s="490"/>
      <c r="QB244" s="490"/>
      <c r="QC244" s="490"/>
      <c r="QD244" s="490"/>
      <c r="QE244" s="490"/>
      <c r="QF244" s="490"/>
      <c r="QG244" s="490"/>
      <c r="QH244" s="490"/>
      <c r="QI244" s="490"/>
      <c r="QJ244" s="490"/>
      <c r="QK244" s="490"/>
      <c r="QL244" s="490"/>
      <c r="QM244" s="490"/>
      <c r="QN244" s="490"/>
      <c r="QO244" s="490"/>
      <c r="QP244" s="490"/>
      <c r="QQ244" s="490"/>
      <c r="QR244" s="490"/>
      <c r="QS244" s="490"/>
      <c r="QT244" s="490"/>
      <c r="QU244" s="490"/>
      <c r="QV244" s="490"/>
      <c r="QW244" s="490"/>
      <c r="QX244" s="490"/>
      <c r="QY244" s="490"/>
      <c r="QZ244" s="490"/>
      <c r="RA244" s="490"/>
      <c r="RB244" s="490"/>
      <c r="RC244" s="490"/>
      <c r="RD244" s="490"/>
      <c r="RE244" s="490"/>
      <c r="RF244" s="490"/>
      <c r="RG244" s="490"/>
      <c r="RH244" s="490"/>
      <c r="RI244" s="490"/>
      <c r="RJ244" s="490"/>
      <c r="RK244" s="490"/>
      <c r="RL244" s="490"/>
      <c r="RM244" s="490"/>
      <c r="RN244" s="490"/>
      <c r="RO244" s="490"/>
      <c r="RP244" s="490"/>
      <c r="RQ244" s="490"/>
      <c r="RR244" s="490"/>
      <c r="RS244" s="490"/>
      <c r="RT244" s="490"/>
      <c r="RU244" s="490"/>
      <c r="RV244" s="490"/>
      <c r="RW244" s="490"/>
      <c r="RX244" s="490"/>
      <c r="RY244" s="490"/>
      <c r="RZ244" s="490"/>
      <c r="SA244" s="490"/>
      <c r="SB244" s="490"/>
      <c r="SC244" s="490"/>
      <c r="SD244" s="490"/>
      <c r="SE244" s="490"/>
      <c r="SF244" s="490"/>
      <c r="SG244" s="490"/>
      <c r="SH244" s="490"/>
      <c r="SI244" s="490"/>
      <c r="SJ244" s="490"/>
      <c r="SK244" s="490"/>
      <c r="SL244" s="490"/>
      <c r="SM244" s="490"/>
      <c r="SN244" s="490"/>
      <c r="SO244" s="490"/>
      <c r="SP244" s="490"/>
      <c r="SQ244" s="490"/>
      <c r="SR244" s="490"/>
      <c r="SS244" s="490"/>
      <c r="ST244" s="490"/>
      <c r="SU244" s="490"/>
      <c r="SV244" s="490"/>
      <c r="SW244" s="490"/>
      <c r="SX244" s="490"/>
      <c r="SY244" s="490"/>
      <c r="SZ244" s="490"/>
      <c r="TA244" s="490"/>
      <c r="TB244" s="490"/>
      <c r="TC244" s="490"/>
      <c r="TD244" s="490"/>
      <c r="TE244" s="490"/>
      <c r="TF244" s="490"/>
      <c r="TG244" s="490"/>
      <c r="TH244" s="490"/>
      <c r="TI244" s="490"/>
      <c r="TJ244" s="490"/>
      <c r="TK244" s="490"/>
      <c r="TL244" s="490"/>
      <c r="TM244" s="490"/>
      <c r="TN244" s="490"/>
      <c r="TO244" s="490"/>
      <c r="TP244" s="490"/>
      <c r="TQ244" s="490"/>
      <c r="TR244" s="490"/>
      <c r="TS244" s="490"/>
      <c r="TT244" s="490"/>
      <c r="TU244" s="490"/>
      <c r="TV244" s="490"/>
      <c r="TW244" s="490"/>
      <c r="TX244" s="490"/>
      <c r="TY244" s="490"/>
      <c r="TZ244" s="490"/>
      <c r="UA244" s="490"/>
      <c r="UB244" s="490"/>
      <c r="UC244" s="490"/>
      <c r="UD244" s="490"/>
      <c r="UE244" s="490"/>
      <c r="UF244" s="490"/>
      <c r="UG244" s="490"/>
      <c r="UH244" s="490"/>
      <c r="UI244" s="490"/>
      <c r="UJ244" s="490"/>
      <c r="UK244" s="490"/>
      <c r="UL244" s="490"/>
      <c r="UM244" s="490"/>
      <c r="UN244" s="490"/>
      <c r="UO244" s="490"/>
      <c r="UP244" s="490"/>
      <c r="UQ244" s="490"/>
      <c r="UR244" s="490"/>
      <c r="US244" s="490"/>
      <c r="UT244" s="490"/>
      <c r="UU244" s="490"/>
      <c r="UV244" s="490"/>
      <c r="UW244" s="490"/>
      <c r="UX244" s="490"/>
      <c r="UY244" s="490"/>
      <c r="UZ244" s="490"/>
      <c r="VA244" s="490"/>
      <c r="VB244" s="490"/>
      <c r="VC244" s="490"/>
      <c r="VD244" s="490"/>
      <c r="VE244" s="490"/>
      <c r="VF244" s="490"/>
      <c r="VG244" s="490"/>
      <c r="VH244" s="490"/>
      <c r="VI244" s="490"/>
      <c r="VJ244" s="490"/>
      <c r="VK244" s="490"/>
      <c r="VL244" s="490"/>
      <c r="VM244" s="490"/>
      <c r="VN244" s="490"/>
      <c r="VO244" s="490"/>
      <c r="VP244" s="490"/>
      <c r="VQ244" s="490"/>
      <c r="VR244" s="490"/>
      <c r="VS244" s="490"/>
      <c r="VT244" s="490"/>
      <c r="VU244" s="490"/>
      <c r="VV244" s="490"/>
      <c r="VW244" s="490"/>
      <c r="VX244" s="490"/>
      <c r="VY244" s="490"/>
      <c r="VZ244" s="490"/>
      <c r="WA244" s="490"/>
      <c r="WB244" s="490"/>
      <c r="WC244" s="490"/>
      <c r="WD244" s="490"/>
      <c r="WE244" s="490"/>
      <c r="WF244" s="490"/>
      <c r="WG244" s="490"/>
      <c r="WH244" s="490"/>
      <c r="WI244" s="490"/>
      <c r="WJ244" s="490"/>
      <c r="WK244" s="490"/>
      <c r="WL244" s="490"/>
      <c r="WM244" s="490"/>
      <c r="WN244" s="490"/>
      <c r="WO244" s="490"/>
      <c r="WP244" s="490"/>
      <c r="WQ244" s="490"/>
      <c r="WR244" s="490"/>
      <c r="WS244" s="490"/>
      <c r="WT244" s="490"/>
      <c r="WU244" s="490"/>
      <c r="WV244" s="490"/>
      <c r="WW244" s="490"/>
      <c r="WX244" s="490"/>
      <c r="WY244" s="490"/>
      <c r="WZ244" s="490"/>
      <c r="XA244" s="490"/>
      <c r="XB244" s="490"/>
      <c r="XC244" s="490"/>
      <c r="XD244" s="490"/>
      <c r="XE244" s="490"/>
      <c r="XF244" s="490"/>
      <c r="XG244" s="490"/>
      <c r="XH244" s="490"/>
      <c r="XI244" s="490"/>
      <c r="XJ244" s="490"/>
      <c r="XK244" s="490"/>
      <c r="XL244" s="490"/>
      <c r="XM244" s="490"/>
      <c r="XN244" s="490"/>
      <c r="XO244" s="490"/>
      <c r="XP244" s="490"/>
      <c r="XQ244" s="490"/>
      <c r="XR244" s="490"/>
      <c r="XS244" s="490"/>
      <c r="XT244" s="490"/>
      <c r="XU244" s="490"/>
      <c r="XV244" s="490"/>
      <c r="XW244" s="490"/>
      <c r="XX244" s="490"/>
      <c r="XY244" s="490"/>
      <c r="XZ244" s="490"/>
      <c r="YA244" s="490"/>
      <c r="YB244" s="490"/>
      <c r="YC244" s="490"/>
      <c r="YD244" s="490"/>
      <c r="YE244" s="490"/>
      <c r="YF244" s="490"/>
      <c r="YG244" s="490"/>
      <c r="YH244" s="490"/>
      <c r="YI244" s="490"/>
      <c r="YJ244" s="490"/>
      <c r="YK244" s="490"/>
      <c r="YL244" s="490"/>
      <c r="YM244" s="490"/>
      <c r="YN244" s="490"/>
      <c r="YO244" s="490"/>
      <c r="YP244" s="490"/>
      <c r="YQ244" s="490"/>
      <c r="YR244" s="490"/>
      <c r="YS244" s="490"/>
      <c r="YT244" s="490"/>
      <c r="YU244" s="490"/>
      <c r="YV244" s="490"/>
      <c r="YW244" s="490"/>
      <c r="YX244" s="490"/>
      <c r="YY244" s="490"/>
      <c r="YZ244" s="490"/>
      <c r="ZA244" s="490"/>
      <c r="ZB244" s="490"/>
      <c r="ZC244" s="490"/>
      <c r="ZD244" s="490"/>
      <c r="ZE244" s="490"/>
      <c r="ZF244" s="490"/>
      <c r="ZG244" s="490"/>
      <c r="ZH244" s="490"/>
      <c r="ZI244" s="490"/>
      <c r="ZJ244" s="490"/>
      <c r="ZK244" s="490"/>
      <c r="ZL244" s="490"/>
      <c r="ZM244" s="490"/>
      <c r="ZN244" s="490"/>
      <c r="ZO244" s="490"/>
      <c r="ZP244" s="490"/>
      <c r="ZQ244" s="490"/>
      <c r="ZR244" s="490"/>
      <c r="ZS244" s="490"/>
      <c r="ZT244" s="490"/>
      <c r="ZU244" s="490"/>
      <c r="ZV244" s="490"/>
      <c r="ZW244" s="490"/>
      <c r="ZX244" s="490"/>
      <c r="ZY244" s="490"/>
      <c r="ZZ244" s="490"/>
      <c r="AAA244" s="490"/>
      <c r="AAB244" s="490"/>
      <c r="AAC244" s="490"/>
      <c r="AAD244" s="490"/>
      <c r="AAE244" s="490"/>
      <c r="AAF244" s="490"/>
      <c r="AAG244" s="490"/>
      <c r="AAH244" s="490"/>
      <c r="AAI244" s="490"/>
      <c r="AAJ244" s="490"/>
      <c r="AAK244" s="490"/>
      <c r="AAL244" s="490"/>
      <c r="AAM244" s="490"/>
      <c r="AAN244" s="490"/>
      <c r="AAO244" s="490"/>
      <c r="AAP244" s="490"/>
      <c r="AAQ244" s="490"/>
      <c r="AAR244" s="490"/>
      <c r="AAS244" s="490"/>
      <c r="AAT244" s="490"/>
      <c r="AAU244" s="490"/>
      <c r="AAV244" s="490"/>
      <c r="AAW244" s="490"/>
      <c r="AAX244" s="490"/>
      <c r="AAY244" s="490"/>
      <c r="AAZ244" s="490"/>
      <c r="ABA244" s="490"/>
      <c r="ABB244" s="490"/>
      <c r="ABC244" s="490"/>
      <c r="ABD244" s="490"/>
      <c r="ABE244" s="490"/>
      <c r="ABF244" s="490"/>
      <c r="ABG244" s="490"/>
      <c r="ABH244" s="490"/>
      <c r="ABI244" s="490"/>
      <c r="ABJ244" s="490"/>
      <c r="ABK244" s="490"/>
      <c r="ABL244" s="490"/>
      <c r="ABM244" s="490"/>
      <c r="ABN244" s="490"/>
      <c r="ABO244" s="490"/>
      <c r="ABP244" s="490"/>
      <c r="ABQ244" s="490"/>
      <c r="ABR244" s="490"/>
      <c r="ABS244" s="490"/>
      <c r="ABT244" s="490"/>
      <c r="ABU244" s="490"/>
      <c r="ABV244" s="490"/>
      <c r="ABW244" s="490"/>
      <c r="ABX244" s="490"/>
      <c r="ABY244" s="490"/>
      <c r="ABZ244" s="490"/>
      <c r="ACA244" s="490"/>
      <c r="ACB244" s="490"/>
      <c r="ACC244" s="490"/>
      <c r="ACD244" s="490"/>
      <c r="ACE244" s="490"/>
      <c r="ACF244" s="490"/>
      <c r="ACG244" s="490"/>
      <c r="ACH244" s="490"/>
      <c r="ACI244" s="490"/>
      <c r="ACJ244" s="490"/>
      <c r="ACK244" s="490"/>
      <c r="ACL244" s="490"/>
      <c r="ACM244" s="490"/>
      <c r="ACN244" s="490"/>
      <c r="ACO244" s="490"/>
      <c r="ACP244" s="490"/>
      <c r="ACQ244" s="490"/>
      <c r="ACR244" s="490"/>
      <c r="ACS244" s="490"/>
      <c r="ACT244" s="490"/>
      <c r="ACU244" s="490"/>
      <c r="ACV244" s="490"/>
      <c r="ACW244" s="490"/>
      <c r="ACX244" s="490"/>
      <c r="ACY244" s="490"/>
      <c r="ACZ244" s="490"/>
      <c r="ADA244" s="490"/>
      <c r="ADB244" s="490"/>
      <c r="ADC244" s="490"/>
      <c r="ADD244" s="490"/>
      <c r="ADE244" s="490"/>
      <c r="ADF244" s="490"/>
      <c r="ADG244" s="490"/>
      <c r="ADH244" s="490"/>
      <c r="ADI244" s="490"/>
      <c r="ADJ244" s="490"/>
      <c r="ADK244" s="490"/>
      <c r="ADL244" s="490"/>
      <c r="ADM244" s="490"/>
      <c r="ADN244" s="490"/>
      <c r="ADO244" s="490"/>
      <c r="ADP244" s="490"/>
      <c r="ADQ244" s="490"/>
      <c r="ADR244" s="490"/>
      <c r="ADS244" s="490"/>
      <c r="ADT244" s="490"/>
      <c r="ADU244" s="490"/>
      <c r="ADV244" s="490"/>
      <c r="ADW244" s="490"/>
      <c r="ADX244" s="490"/>
      <c r="ADY244" s="490"/>
      <c r="ADZ244" s="490"/>
      <c r="AEA244" s="490"/>
      <c r="AEB244" s="490"/>
      <c r="AEC244" s="490"/>
      <c r="AED244" s="490"/>
      <c r="AEE244" s="490"/>
      <c r="AEF244" s="490"/>
      <c r="AEG244" s="490"/>
      <c r="AEH244" s="490"/>
      <c r="AEI244" s="490"/>
      <c r="AEJ244" s="490"/>
      <c r="AEK244" s="490"/>
      <c r="AEL244" s="490"/>
      <c r="AEM244" s="490"/>
      <c r="AEN244" s="490"/>
      <c r="AEO244" s="490"/>
      <c r="AEP244" s="490"/>
      <c r="AEQ244" s="490"/>
      <c r="AER244" s="490"/>
      <c r="AES244" s="490"/>
      <c r="AET244" s="490"/>
      <c r="AEU244" s="490"/>
      <c r="AEV244" s="490"/>
      <c r="AEW244" s="490"/>
      <c r="AEX244" s="490"/>
      <c r="AEY244" s="490"/>
      <c r="AEZ244" s="490"/>
      <c r="AFA244" s="490"/>
      <c r="AFB244" s="490"/>
      <c r="AFC244" s="490"/>
      <c r="AFD244" s="490"/>
      <c r="AFE244" s="490"/>
      <c r="AFF244" s="490"/>
      <c r="AFG244" s="490"/>
      <c r="AFH244" s="490"/>
      <c r="AFI244" s="490"/>
      <c r="AFJ244" s="490"/>
      <c r="AFK244" s="490"/>
      <c r="AFL244" s="490"/>
      <c r="AFM244" s="490"/>
      <c r="AFN244" s="490"/>
      <c r="AFO244" s="490"/>
      <c r="AFP244" s="490"/>
      <c r="AFQ244" s="490"/>
      <c r="AFR244" s="490"/>
      <c r="AFS244" s="490"/>
      <c r="AFT244" s="490"/>
      <c r="AFU244" s="490"/>
      <c r="AFV244" s="490"/>
      <c r="AFW244" s="490"/>
      <c r="AFX244" s="490"/>
      <c r="AFY244" s="490"/>
      <c r="AFZ244" s="490"/>
      <c r="AGA244" s="490"/>
      <c r="AGB244" s="490"/>
      <c r="AGC244" s="490"/>
      <c r="AGD244" s="490"/>
      <c r="AGE244" s="490"/>
      <c r="AGF244" s="490"/>
      <c r="AGG244" s="490"/>
      <c r="AGH244" s="490"/>
      <c r="AGI244" s="490"/>
      <c r="AGJ244" s="490"/>
      <c r="AGK244" s="490"/>
      <c r="AGL244" s="490"/>
      <c r="AGM244" s="490"/>
      <c r="AGN244" s="490"/>
      <c r="AGO244" s="490"/>
      <c r="AGP244" s="490"/>
      <c r="AGQ244" s="490"/>
      <c r="AGR244" s="490"/>
      <c r="AGS244" s="490"/>
      <c r="AGT244" s="490"/>
      <c r="AGU244" s="490"/>
      <c r="AGV244" s="490"/>
      <c r="AGW244" s="490"/>
      <c r="AGX244" s="490"/>
      <c r="AGY244" s="490"/>
      <c r="AGZ244" s="490"/>
      <c r="AHA244" s="490"/>
      <c r="AHB244" s="490"/>
      <c r="AHC244" s="490"/>
      <c r="AHD244" s="490"/>
      <c r="AHE244" s="490"/>
      <c r="AHF244" s="490"/>
      <c r="AHG244" s="490"/>
      <c r="AHH244" s="490"/>
      <c r="AHI244" s="490"/>
      <c r="AHJ244" s="490"/>
      <c r="AHK244" s="490"/>
      <c r="AHL244" s="490"/>
      <c r="AHM244" s="490"/>
      <c r="AHN244" s="490"/>
      <c r="AHO244" s="490"/>
      <c r="AHP244" s="490"/>
      <c r="AHQ244" s="490"/>
      <c r="AHR244" s="490"/>
      <c r="AHS244" s="490"/>
      <c r="AHT244" s="490"/>
      <c r="AHU244" s="490"/>
      <c r="AHV244" s="490"/>
      <c r="AHW244" s="490"/>
      <c r="AHX244" s="490"/>
      <c r="AHY244" s="490"/>
      <c r="AHZ244" s="490"/>
      <c r="AIA244" s="490"/>
      <c r="AIB244" s="490"/>
      <c r="AIC244" s="490"/>
      <c r="AID244" s="490"/>
      <c r="AIE244" s="490"/>
      <c r="AIF244" s="490"/>
      <c r="AIG244" s="490"/>
      <c r="AIH244" s="490"/>
      <c r="AII244" s="490"/>
      <c r="AIJ244" s="490"/>
      <c r="AIK244" s="490"/>
      <c r="AIL244" s="490"/>
      <c r="AIM244" s="490"/>
      <c r="AIN244" s="490"/>
      <c r="AIO244" s="490"/>
      <c r="AIP244" s="490"/>
      <c r="AIQ244" s="490"/>
      <c r="AIR244" s="490"/>
      <c r="AIS244" s="490"/>
      <c r="AIT244" s="490"/>
      <c r="AIU244" s="490"/>
      <c r="AIV244" s="490"/>
      <c r="AIW244" s="490"/>
      <c r="AIX244" s="490"/>
      <c r="AIY244" s="490"/>
      <c r="AIZ244" s="490"/>
      <c r="AJA244" s="490"/>
      <c r="AJB244" s="490"/>
      <c r="AJC244" s="490"/>
      <c r="AJD244" s="490"/>
      <c r="AJE244" s="490"/>
      <c r="AJF244" s="490"/>
      <c r="AJG244" s="490"/>
      <c r="AJH244" s="490"/>
      <c r="AJI244" s="490"/>
      <c r="AJJ244" s="490"/>
      <c r="AJK244" s="490"/>
      <c r="AJL244" s="490"/>
      <c r="AJM244" s="490"/>
      <c r="AJN244" s="490"/>
      <c r="AJO244" s="490"/>
      <c r="AJP244" s="490"/>
      <c r="AJQ244" s="490"/>
      <c r="AJR244" s="490"/>
      <c r="AJS244" s="490"/>
      <c r="AJT244" s="490"/>
      <c r="AJU244" s="490"/>
      <c r="AJV244" s="490"/>
      <c r="AJW244" s="490"/>
      <c r="AJX244" s="490"/>
      <c r="AJY244" s="490"/>
      <c r="AJZ244" s="490"/>
      <c r="AKA244" s="490"/>
      <c r="AKB244" s="490"/>
      <c r="AKC244" s="490"/>
      <c r="AKD244" s="490"/>
      <c r="AKE244" s="490"/>
      <c r="AKF244" s="490"/>
      <c r="AKG244" s="490"/>
      <c r="AKH244" s="490"/>
      <c r="AKI244" s="490"/>
      <c r="AKJ244" s="490"/>
      <c r="AKK244" s="490"/>
      <c r="AKL244" s="490"/>
      <c r="AKM244" s="490"/>
      <c r="AKN244" s="490"/>
      <c r="AKO244" s="490"/>
      <c r="AKP244" s="490"/>
      <c r="AKQ244" s="490"/>
      <c r="AKR244" s="490"/>
      <c r="AKS244" s="490"/>
      <c r="AKT244" s="490"/>
      <c r="AKU244" s="490"/>
      <c r="AKV244" s="490"/>
      <c r="AKW244" s="490"/>
      <c r="AKX244" s="490"/>
      <c r="AKY244" s="490"/>
      <c r="AKZ244" s="490"/>
      <c r="ALA244" s="490"/>
      <c r="ALB244" s="490"/>
      <c r="ALC244" s="490"/>
      <c r="ALD244" s="490"/>
      <c r="ALE244" s="490"/>
      <c r="ALF244" s="490"/>
      <c r="ALG244" s="490"/>
      <c r="ALH244" s="490"/>
      <c r="ALI244" s="490"/>
      <c r="ALJ244" s="490"/>
      <c r="ALK244" s="490"/>
      <c r="ALL244" s="490"/>
      <c r="ALM244" s="490"/>
      <c r="ALN244" s="490"/>
      <c r="ALO244" s="490"/>
      <c r="ALP244" s="490"/>
      <c r="ALQ244" s="490"/>
      <c r="ALR244" s="490"/>
      <c r="ALS244" s="490"/>
      <c r="ALT244" s="490"/>
      <c r="ALU244" s="490"/>
      <c r="ALV244" s="490"/>
      <c r="ALW244" s="490"/>
      <c r="ALX244" s="490"/>
      <c r="ALY244" s="490"/>
      <c r="ALZ244" s="490"/>
      <c r="AMA244" s="490"/>
      <c r="AMB244" s="490"/>
      <c r="AMC244" s="490"/>
      <c r="AMD244" s="490"/>
      <c r="AME244" s="490"/>
      <c r="AMF244" s="490"/>
      <c r="AMG244" s="490"/>
      <c r="AMH244" s="490"/>
      <c r="AMI244" s="490"/>
      <c r="AMJ244" s="490"/>
      <c r="AMK244" s="490"/>
      <c r="AML244" s="490"/>
      <c r="AMM244" s="490"/>
      <c r="AMN244" s="490"/>
      <c r="AMO244" s="490"/>
      <c r="AMP244" s="490"/>
      <c r="AMQ244" s="490"/>
      <c r="AMR244" s="490"/>
      <c r="AMS244" s="490"/>
      <c r="AMT244" s="490"/>
      <c r="AMU244" s="490"/>
      <c r="AMV244" s="490"/>
      <c r="AMW244" s="490"/>
      <c r="AMX244" s="490"/>
      <c r="AMY244" s="490"/>
      <c r="AMZ244" s="490"/>
      <c r="ANA244" s="490"/>
      <c r="ANB244" s="490"/>
      <c r="ANC244" s="490"/>
      <c r="AND244" s="490"/>
      <c r="ANE244" s="490"/>
      <c r="ANF244" s="490"/>
      <c r="ANG244" s="490"/>
      <c r="ANH244" s="490"/>
      <c r="ANI244" s="490"/>
      <c r="ANJ244" s="490"/>
      <c r="ANK244" s="490"/>
      <c r="ANL244" s="490"/>
      <c r="ANM244" s="490"/>
      <c r="ANN244" s="490"/>
      <c r="ANO244" s="490"/>
      <c r="ANP244" s="490"/>
      <c r="ANQ244" s="490"/>
      <c r="ANR244" s="490"/>
      <c r="ANS244" s="490"/>
      <c r="ANT244" s="490"/>
      <c r="ANU244" s="490"/>
      <c r="ANV244" s="490"/>
      <c r="ANW244" s="490"/>
      <c r="ANX244" s="490"/>
      <c r="ANY244" s="490"/>
      <c r="ANZ244" s="490"/>
      <c r="AOA244" s="490"/>
      <c r="AOB244" s="490"/>
      <c r="AOC244" s="490"/>
      <c r="AOD244" s="490"/>
      <c r="AOE244" s="490"/>
      <c r="AOF244" s="490"/>
      <c r="AOG244" s="490"/>
      <c r="AOH244" s="490"/>
      <c r="AOI244" s="490"/>
      <c r="AOJ244" s="490"/>
      <c r="AOK244" s="490"/>
      <c r="AOL244" s="490"/>
      <c r="AOM244" s="490"/>
      <c r="AON244" s="490"/>
      <c r="AOO244" s="490"/>
      <c r="AOP244" s="490"/>
      <c r="AOQ244" s="490"/>
      <c r="AOR244" s="490"/>
      <c r="AOS244" s="490"/>
      <c r="AOT244" s="490"/>
      <c r="AOU244" s="490"/>
      <c r="AOV244" s="490"/>
      <c r="AOW244" s="490"/>
      <c r="AOX244" s="490"/>
      <c r="AOY244" s="490"/>
      <c r="AOZ244" s="490"/>
      <c r="APA244" s="490"/>
      <c r="APB244" s="490"/>
      <c r="APC244" s="490"/>
      <c r="APD244" s="490"/>
      <c r="APE244" s="490"/>
      <c r="APF244" s="490"/>
      <c r="APG244" s="490"/>
      <c r="APH244" s="490"/>
      <c r="API244" s="490"/>
      <c r="APJ244" s="490"/>
      <c r="APK244" s="490"/>
      <c r="APL244" s="490"/>
      <c r="APM244" s="490"/>
      <c r="APN244" s="490"/>
      <c r="APO244" s="490"/>
      <c r="APP244" s="490"/>
      <c r="APQ244" s="490"/>
      <c r="APR244" s="490"/>
      <c r="APS244" s="490"/>
      <c r="APT244" s="490"/>
      <c r="APU244" s="490"/>
      <c r="APV244" s="490"/>
      <c r="APW244" s="490"/>
      <c r="APX244" s="490"/>
      <c r="APY244" s="490"/>
      <c r="APZ244" s="490"/>
      <c r="AQA244" s="490"/>
      <c r="AQB244" s="490"/>
      <c r="AQC244" s="490"/>
      <c r="AQD244" s="490"/>
      <c r="AQE244" s="490"/>
      <c r="AQF244" s="490"/>
      <c r="AQG244" s="490"/>
      <c r="AQH244" s="490"/>
      <c r="AQI244" s="490"/>
      <c r="AQJ244" s="490"/>
      <c r="AQK244" s="490"/>
      <c r="AQL244" s="490"/>
      <c r="AQM244" s="490"/>
      <c r="AQN244" s="490"/>
      <c r="AQO244" s="490"/>
      <c r="AQP244" s="490"/>
      <c r="AQQ244" s="490"/>
      <c r="AQR244" s="490"/>
      <c r="AQS244" s="490"/>
      <c r="AQT244" s="490"/>
      <c r="AQU244" s="490"/>
      <c r="AQV244" s="490"/>
      <c r="AQW244" s="490"/>
      <c r="AQX244" s="490"/>
      <c r="AQY244" s="490"/>
      <c r="AQZ244" s="490"/>
      <c r="ARA244" s="490"/>
      <c r="ARB244" s="490"/>
      <c r="ARC244" s="490"/>
      <c r="ARD244" s="490"/>
      <c r="ARE244" s="490"/>
      <c r="ARF244" s="490"/>
      <c r="ARG244" s="490"/>
      <c r="ARH244" s="490"/>
      <c r="ARI244" s="490"/>
      <c r="ARJ244" s="490"/>
      <c r="ARK244" s="490"/>
      <c r="ARL244" s="490"/>
      <c r="ARM244" s="490"/>
      <c r="ARN244" s="490"/>
      <c r="ARO244" s="490"/>
      <c r="ARP244" s="490"/>
      <c r="ARQ244" s="490"/>
      <c r="ARR244" s="490"/>
      <c r="ARS244" s="490"/>
      <c r="ART244" s="490"/>
      <c r="ARU244" s="490"/>
      <c r="ARV244" s="490"/>
      <c r="ARW244" s="490"/>
      <c r="ARX244" s="490"/>
      <c r="ARY244" s="490"/>
      <c r="ARZ244" s="490"/>
      <c r="ASA244" s="490"/>
      <c r="ASB244" s="490"/>
      <c r="ASC244" s="490"/>
      <c r="ASD244" s="490"/>
      <c r="ASE244" s="490"/>
      <c r="ASF244" s="490"/>
      <c r="ASG244" s="490"/>
      <c r="ASH244" s="490"/>
      <c r="ASI244" s="490"/>
      <c r="ASJ244" s="490"/>
      <c r="ASK244" s="490"/>
      <c r="ASL244" s="490"/>
      <c r="ASM244" s="490"/>
      <c r="ASN244" s="490"/>
      <c r="ASO244" s="490"/>
      <c r="ASP244" s="490"/>
      <c r="ASQ244" s="490"/>
      <c r="ASR244" s="490"/>
      <c r="ASS244" s="490"/>
      <c r="AST244" s="490"/>
      <c r="ASU244" s="490"/>
      <c r="ASV244" s="490"/>
      <c r="ASW244" s="490"/>
      <c r="ASX244" s="490"/>
      <c r="ASY244" s="490"/>
      <c r="ASZ244" s="490"/>
      <c r="ATA244" s="490"/>
      <c r="ATB244" s="490"/>
      <c r="ATC244" s="490"/>
      <c r="ATD244" s="490"/>
      <c r="ATE244" s="490"/>
      <c r="ATF244" s="490"/>
      <c r="ATG244" s="490"/>
      <c r="ATH244" s="490"/>
      <c r="ATI244" s="490"/>
      <c r="ATJ244" s="490"/>
      <c r="ATK244" s="490"/>
      <c r="ATL244" s="490"/>
      <c r="ATM244" s="490"/>
      <c r="ATN244" s="490"/>
      <c r="ATO244" s="490"/>
      <c r="ATP244" s="490"/>
      <c r="ATQ244" s="490"/>
      <c r="ATR244" s="490"/>
      <c r="ATS244" s="490"/>
      <c r="ATT244" s="490"/>
      <c r="ATU244" s="490"/>
      <c r="ATV244" s="490"/>
      <c r="ATW244" s="490"/>
      <c r="ATX244" s="490"/>
      <c r="ATY244" s="490"/>
      <c r="ATZ244" s="490"/>
      <c r="AUA244" s="490"/>
      <c r="AUB244" s="490"/>
      <c r="AUC244" s="490"/>
      <c r="AUD244" s="490"/>
      <c r="AUE244" s="490"/>
      <c r="AUF244" s="490"/>
      <c r="AUG244" s="490"/>
      <c r="AUH244" s="490"/>
      <c r="AUI244" s="490"/>
      <c r="AUJ244" s="490"/>
      <c r="AUK244" s="490"/>
      <c r="AUL244" s="490"/>
      <c r="AUM244" s="490"/>
      <c r="AUN244" s="490"/>
      <c r="AUO244" s="490"/>
      <c r="AUP244" s="490"/>
      <c r="AUQ244" s="490"/>
      <c r="AUR244" s="490"/>
      <c r="AUS244" s="490"/>
      <c r="AUT244" s="490"/>
      <c r="AUU244" s="490"/>
      <c r="AUV244" s="490"/>
      <c r="AUW244" s="490"/>
      <c r="AUX244" s="490"/>
      <c r="AUY244" s="490"/>
      <c r="AUZ244" s="490"/>
      <c r="AVA244" s="490"/>
      <c r="AVB244" s="490"/>
      <c r="AVC244" s="490"/>
      <c r="AVD244" s="490"/>
      <c r="AVE244" s="490"/>
      <c r="AVF244" s="490"/>
      <c r="AVG244" s="490"/>
      <c r="AVH244" s="490"/>
      <c r="AVI244" s="490"/>
      <c r="AVJ244" s="490"/>
      <c r="AVK244" s="490"/>
      <c r="AVL244" s="490"/>
      <c r="AVM244" s="490"/>
      <c r="AVN244" s="490"/>
      <c r="AVO244" s="490"/>
      <c r="AVP244" s="490"/>
      <c r="AVQ244" s="490"/>
      <c r="AVR244" s="490"/>
      <c r="AVS244" s="490"/>
      <c r="AVT244" s="490"/>
      <c r="AVU244" s="490"/>
      <c r="AVV244" s="490"/>
      <c r="AVW244" s="490"/>
      <c r="AVX244" s="490"/>
      <c r="AVY244" s="490"/>
      <c r="AVZ244" s="490"/>
      <c r="AWA244" s="490"/>
      <c r="AWB244" s="490"/>
      <c r="AWC244" s="490"/>
      <c r="AWD244" s="490"/>
      <c r="AWE244" s="490"/>
      <c r="AWF244" s="490"/>
      <c r="AWG244" s="490"/>
      <c r="AWH244" s="490"/>
      <c r="AWI244" s="490"/>
      <c r="AWJ244" s="490"/>
      <c r="AWK244" s="490"/>
      <c r="AWL244" s="490"/>
      <c r="AWM244" s="490"/>
      <c r="AWN244" s="490"/>
      <c r="AWO244" s="490"/>
      <c r="AWP244" s="490"/>
      <c r="AWQ244" s="490"/>
      <c r="AWR244" s="490"/>
      <c r="AWS244" s="490"/>
      <c r="AWT244" s="490"/>
      <c r="AWU244" s="490"/>
      <c r="AWV244" s="490"/>
      <c r="AWW244" s="490"/>
      <c r="AWX244" s="490"/>
      <c r="AWY244" s="490"/>
      <c r="AWZ244" s="490"/>
      <c r="AXA244" s="490"/>
      <c r="AXB244" s="490"/>
      <c r="AXC244" s="490"/>
      <c r="AXD244" s="490"/>
      <c r="AXE244" s="490"/>
      <c r="AXF244" s="490"/>
      <c r="AXG244" s="490"/>
      <c r="AXH244" s="490"/>
      <c r="AXI244" s="490"/>
      <c r="AXJ244" s="490"/>
      <c r="AXK244" s="490"/>
      <c r="AXL244" s="490"/>
      <c r="AXM244" s="490"/>
      <c r="AXN244" s="490"/>
      <c r="AXO244" s="490"/>
      <c r="AXP244" s="490"/>
      <c r="AXQ244" s="490"/>
      <c r="AXR244" s="490"/>
      <c r="AXS244" s="490"/>
      <c r="AXT244" s="490"/>
      <c r="AXU244" s="490"/>
      <c r="AXV244" s="490"/>
      <c r="AXW244" s="490"/>
      <c r="AXX244" s="490"/>
      <c r="AXY244" s="490"/>
      <c r="AXZ244" s="490"/>
      <c r="AYA244" s="490"/>
      <c r="AYB244" s="490"/>
      <c r="AYC244" s="490"/>
      <c r="AYD244" s="490"/>
      <c r="AYE244" s="490"/>
      <c r="AYF244" s="490"/>
      <c r="AYG244" s="490"/>
      <c r="AYH244" s="490"/>
      <c r="AYI244" s="490"/>
      <c r="AYJ244" s="490"/>
      <c r="AYK244" s="490"/>
      <c r="AYL244" s="490"/>
      <c r="AYM244" s="490"/>
      <c r="AYN244" s="490"/>
      <c r="AYO244" s="490"/>
      <c r="AYP244" s="490"/>
      <c r="AYQ244" s="490"/>
      <c r="AYR244" s="490"/>
      <c r="AYS244" s="490"/>
      <c r="AYT244" s="490"/>
      <c r="AYU244" s="490"/>
      <c r="AYV244" s="490"/>
      <c r="AYW244" s="490"/>
      <c r="AYX244" s="490"/>
      <c r="AYY244" s="490"/>
      <c r="AYZ244" s="490"/>
      <c r="AZA244" s="490"/>
      <c r="AZB244" s="490"/>
      <c r="AZC244" s="490"/>
      <c r="AZD244" s="490"/>
      <c r="AZE244" s="490"/>
      <c r="AZF244" s="490"/>
      <c r="AZG244" s="490"/>
      <c r="AZH244" s="490"/>
      <c r="AZI244" s="490"/>
      <c r="AZJ244" s="490"/>
      <c r="AZK244" s="490"/>
      <c r="AZL244" s="490"/>
      <c r="AZM244" s="490"/>
      <c r="AZN244" s="490"/>
      <c r="AZO244" s="490"/>
      <c r="AZP244" s="490"/>
      <c r="AZQ244" s="490"/>
      <c r="AZR244" s="490"/>
      <c r="AZS244" s="490"/>
      <c r="AZT244" s="490"/>
      <c r="AZU244" s="490"/>
      <c r="AZV244" s="490"/>
      <c r="AZW244" s="490"/>
      <c r="AZX244" s="490"/>
      <c r="AZY244" s="490"/>
      <c r="AZZ244" s="490"/>
      <c r="BAA244" s="490"/>
      <c r="BAB244" s="490"/>
      <c r="BAC244" s="490"/>
      <c r="BAD244" s="490"/>
      <c r="BAE244" s="490"/>
      <c r="BAF244" s="490"/>
      <c r="BAG244" s="490"/>
      <c r="BAH244" s="490"/>
      <c r="BAI244" s="490"/>
      <c r="BAJ244" s="490"/>
      <c r="BAK244" s="490"/>
      <c r="BAL244" s="490"/>
      <c r="BAM244" s="490"/>
      <c r="BAN244" s="490"/>
      <c r="BAO244" s="490"/>
      <c r="BAP244" s="490"/>
      <c r="BAQ244" s="490"/>
      <c r="BAR244" s="490"/>
      <c r="BAS244" s="490"/>
      <c r="BAT244" s="490"/>
      <c r="BAU244" s="490"/>
      <c r="BAV244" s="490"/>
      <c r="BAW244" s="490"/>
      <c r="BAX244" s="490"/>
      <c r="BAY244" s="490"/>
      <c r="BAZ244" s="490"/>
      <c r="BBA244" s="490"/>
      <c r="BBB244" s="490"/>
      <c r="BBC244" s="490"/>
      <c r="BBD244" s="490"/>
      <c r="BBE244" s="490"/>
      <c r="BBF244" s="490"/>
      <c r="BBG244" s="490"/>
      <c r="BBH244" s="490"/>
      <c r="BBI244" s="490"/>
      <c r="BBJ244" s="490"/>
      <c r="BBK244" s="490"/>
      <c r="BBL244" s="490"/>
      <c r="BBM244" s="490"/>
      <c r="BBN244" s="490"/>
      <c r="BBO244" s="490"/>
      <c r="BBP244" s="490"/>
      <c r="BBQ244" s="490"/>
      <c r="BBR244" s="490"/>
      <c r="BBS244" s="490"/>
      <c r="BBT244" s="490"/>
      <c r="BBU244" s="490"/>
      <c r="BBV244" s="490"/>
      <c r="BBW244" s="490"/>
      <c r="BBX244" s="490"/>
      <c r="BBY244" s="490"/>
      <c r="BBZ244" s="490"/>
      <c r="BCA244" s="490"/>
      <c r="BCB244" s="490"/>
      <c r="BCC244" s="490"/>
      <c r="BCD244" s="490"/>
      <c r="BCE244" s="490"/>
      <c r="BCF244" s="490"/>
      <c r="BCG244" s="490"/>
      <c r="BCH244" s="490"/>
      <c r="BCI244" s="490"/>
      <c r="BCJ244" s="490"/>
      <c r="BCK244" s="490"/>
      <c r="BCL244" s="490"/>
      <c r="BCM244" s="490"/>
      <c r="BCN244" s="490"/>
      <c r="BCO244" s="490"/>
      <c r="BCP244" s="490"/>
      <c r="BCQ244" s="490"/>
      <c r="BCR244" s="490"/>
      <c r="BCS244" s="490"/>
      <c r="BCT244" s="490"/>
      <c r="BCU244" s="490"/>
      <c r="BCV244" s="490"/>
      <c r="BCW244" s="490"/>
      <c r="BCX244" s="490"/>
      <c r="BCY244" s="490"/>
      <c r="BCZ244" s="490"/>
      <c r="BDA244" s="490"/>
      <c r="BDB244" s="490"/>
      <c r="BDC244" s="490"/>
      <c r="BDD244" s="490"/>
      <c r="BDE244" s="490"/>
      <c r="BDF244" s="490"/>
      <c r="BDG244" s="490"/>
      <c r="BDH244" s="490"/>
      <c r="BDI244" s="490"/>
      <c r="BDJ244" s="490"/>
      <c r="BDK244" s="490"/>
      <c r="BDL244" s="490"/>
      <c r="BDM244" s="490"/>
      <c r="BDN244" s="490"/>
      <c r="BDO244" s="490"/>
      <c r="BDP244" s="490"/>
      <c r="BDQ244" s="490"/>
      <c r="BDR244" s="490"/>
      <c r="BDS244" s="490"/>
      <c r="BDT244" s="490"/>
      <c r="BDU244" s="490"/>
      <c r="BDV244" s="490"/>
      <c r="BDW244" s="490"/>
      <c r="BDX244" s="490"/>
      <c r="BDY244" s="490"/>
      <c r="BDZ244" s="490"/>
      <c r="BEA244" s="490"/>
      <c r="BEB244" s="490"/>
      <c r="BEC244" s="490"/>
      <c r="BED244" s="490"/>
      <c r="BEE244" s="490"/>
      <c r="BEF244" s="490"/>
      <c r="BEG244" s="490"/>
      <c r="BEH244" s="490"/>
      <c r="BEI244" s="490"/>
      <c r="BEJ244" s="490"/>
      <c r="BEK244" s="490"/>
      <c r="BEL244" s="490"/>
      <c r="BEM244" s="490"/>
      <c r="BEN244" s="490"/>
      <c r="BEO244" s="490"/>
      <c r="BEP244" s="490"/>
      <c r="BEQ244" s="490"/>
      <c r="BER244" s="490"/>
      <c r="BES244" s="490"/>
      <c r="BET244" s="490"/>
      <c r="BEU244" s="490"/>
      <c r="BEV244" s="490"/>
      <c r="BEW244" s="490"/>
      <c r="BEX244" s="490"/>
      <c r="BEY244" s="490"/>
      <c r="BEZ244" s="490"/>
      <c r="BFA244" s="490"/>
      <c r="BFB244" s="490"/>
      <c r="BFC244" s="490"/>
      <c r="BFD244" s="490"/>
      <c r="BFE244" s="490"/>
      <c r="BFF244" s="490"/>
      <c r="BFG244" s="490"/>
      <c r="BFH244" s="490"/>
      <c r="BFI244" s="490"/>
      <c r="BFJ244" s="490"/>
      <c r="BFK244" s="490"/>
      <c r="BFL244" s="490"/>
      <c r="BFM244" s="490"/>
      <c r="BFN244" s="490"/>
      <c r="BFO244" s="490"/>
      <c r="BFP244" s="490"/>
      <c r="BFQ244" s="490"/>
      <c r="BFR244" s="490"/>
      <c r="BFS244" s="490"/>
      <c r="BFT244" s="490"/>
      <c r="BFU244" s="490"/>
      <c r="BFV244" s="490"/>
      <c r="BFW244" s="490"/>
      <c r="BFX244" s="490"/>
      <c r="BFY244" s="490"/>
      <c r="BFZ244" s="490"/>
      <c r="BGA244" s="490"/>
      <c r="BGB244" s="490"/>
      <c r="BGC244" s="490"/>
      <c r="BGD244" s="490"/>
      <c r="BGE244" s="490"/>
      <c r="BGF244" s="490"/>
      <c r="BGG244" s="490"/>
      <c r="BGH244" s="490"/>
      <c r="BGI244" s="490"/>
      <c r="BGJ244" s="490"/>
      <c r="BGK244" s="490"/>
      <c r="BGL244" s="490"/>
      <c r="BGM244" s="490"/>
      <c r="BGN244" s="490"/>
      <c r="BGO244" s="490"/>
      <c r="BGP244" s="490"/>
      <c r="BGQ244" s="490"/>
      <c r="BGR244" s="490"/>
      <c r="BGS244" s="490"/>
      <c r="BGT244" s="490"/>
      <c r="BGU244" s="490"/>
      <c r="BGV244" s="490"/>
      <c r="BGW244" s="490"/>
      <c r="BGX244" s="490"/>
      <c r="BGY244" s="490"/>
      <c r="BGZ244" s="490"/>
      <c r="BHA244" s="490"/>
      <c r="BHB244" s="490"/>
      <c r="BHC244" s="490"/>
      <c r="BHD244" s="490"/>
      <c r="BHE244" s="490"/>
      <c r="BHF244" s="490"/>
      <c r="BHG244" s="490"/>
      <c r="BHH244" s="490"/>
      <c r="BHI244" s="490"/>
      <c r="BHJ244" s="490"/>
      <c r="BHK244" s="490"/>
      <c r="BHL244" s="490"/>
      <c r="BHM244" s="490"/>
      <c r="BHN244" s="490"/>
      <c r="BHO244" s="490"/>
      <c r="BHP244" s="490"/>
      <c r="BHQ244" s="490"/>
      <c r="BHR244" s="490"/>
      <c r="BHS244" s="490"/>
      <c r="BHT244" s="490"/>
      <c r="BHU244" s="490"/>
      <c r="BHV244" s="490"/>
      <c r="BHW244" s="490"/>
      <c r="BHX244" s="490"/>
      <c r="BHY244" s="490"/>
      <c r="BHZ244" s="490"/>
      <c r="BIA244" s="490"/>
      <c r="BIB244" s="490"/>
      <c r="BIC244" s="490"/>
      <c r="BID244" s="490"/>
      <c r="BIE244" s="490"/>
      <c r="BIF244" s="490"/>
      <c r="BIG244" s="490"/>
      <c r="BIH244" s="490"/>
      <c r="BII244" s="490"/>
      <c r="BIJ244" s="490"/>
      <c r="BIK244" s="490"/>
      <c r="BIL244" s="490"/>
      <c r="BIM244" s="490"/>
      <c r="BIN244" s="490"/>
      <c r="BIO244" s="490"/>
      <c r="BIP244" s="490"/>
      <c r="BIQ244" s="490"/>
      <c r="BIR244" s="490"/>
      <c r="BIS244" s="490"/>
      <c r="BIT244" s="490"/>
      <c r="BIU244" s="490"/>
      <c r="BIV244" s="490"/>
      <c r="BIW244" s="490"/>
      <c r="BIX244" s="490"/>
      <c r="BIY244" s="490"/>
      <c r="BIZ244" s="490"/>
      <c r="BJA244" s="490"/>
      <c r="BJB244" s="490"/>
      <c r="BJC244" s="490"/>
      <c r="BJD244" s="490"/>
      <c r="BJE244" s="490"/>
      <c r="BJF244" s="490"/>
      <c r="BJG244" s="490"/>
      <c r="BJH244" s="490"/>
      <c r="BJI244" s="490"/>
      <c r="BJJ244" s="490"/>
      <c r="BJK244" s="490"/>
      <c r="BJL244" s="490"/>
      <c r="BJM244" s="490"/>
      <c r="BJN244" s="490"/>
      <c r="BJO244" s="490"/>
      <c r="BJP244" s="490"/>
      <c r="BJQ244" s="490"/>
      <c r="BJR244" s="490"/>
      <c r="BJS244" s="490"/>
      <c r="BJT244" s="490"/>
      <c r="BJU244" s="490"/>
      <c r="BJV244" s="490"/>
      <c r="BJW244" s="490"/>
      <c r="BJX244" s="490"/>
      <c r="BJY244" s="490"/>
      <c r="BJZ244" s="490"/>
      <c r="BKA244" s="490"/>
      <c r="BKB244" s="490"/>
      <c r="BKC244" s="490"/>
      <c r="BKD244" s="490"/>
      <c r="BKE244" s="490"/>
      <c r="BKF244" s="490"/>
      <c r="BKG244" s="490"/>
      <c r="BKH244" s="490"/>
      <c r="BKI244" s="490"/>
      <c r="BKJ244" s="490"/>
      <c r="BKK244" s="490"/>
      <c r="BKL244" s="490"/>
      <c r="BKM244" s="490"/>
      <c r="BKN244" s="490"/>
      <c r="BKO244" s="490"/>
      <c r="BKP244" s="490"/>
      <c r="BKQ244" s="490"/>
      <c r="BKR244" s="490"/>
      <c r="BKS244" s="490"/>
      <c r="BKT244" s="490"/>
      <c r="BKU244" s="490"/>
      <c r="BKV244" s="490"/>
      <c r="BKW244" s="490"/>
      <c r="BKX244" s="490"/>
      <c r="BKY244" s="490"/>
      <c r="BKZ244" s="490"/>
      <c r="BLA244" s="490"/>
      <c r="BLB244" s="490"/>
      <c r="BLC244" s="490"/>
      <c r="BLD244" s="490"/>
      <c r="BLE244" s="490"/>
      <c r="BLF244" s="490"/>
      <c r="BLG244" s="490"/>
      <c r="BLH244" s="490"/>
      <c r="BLI244" s="490"/>
      <c r="BLJ244" s="490"/>
      <c r="BLK244" s="490"/>
      <c r="BLL244" s="490"/>
      <c r="BLM244" s="490"/>
      <c r="BLN244" s="490"/>
      <c r="BLO244" s="490"/>
      <c r="BLP244" s="490"/>
      <c r="BLQ244" s="490"/>
      <c r="BLR244" s="490"/>
      <c r="BLS244" s="490"/>
      <c r="BLT244" s="490"/>
      <c r="BLU244" s="490"/>
      <c r="BLV244" s="490"/>
      <c r="BLW244" s="490"/>
      <c r="BLX244" s="490"/>
      <c r="BLY244" s="490"/>
      <c r="BLZ244" s="490"/>
      <c r="BMA244" s="490"/>
      <c r="BMB244" s="490"/>
      <c r="BMC244" s="490"/>
      <c r="BMD244" s="490"/>
      <c r="BME244" s="490"/>
      <c r="BMF244" s="490"/>
      <c r="BMG244" s="490"/>
      <c r="BMH244" s="490"/>
      <c r="BMI244" s="490"/>
      <c r="BMJ244" s="490"/>
      <c r="BMK244" s="490"/>
      <c r="BML244" s="490"/>
      <c r="BMM244" s="490"/>
      <c r="BMN244" s="490"/>
      <c r="BMO244" s="490"/>
      <c r="BMP244" s="490"/>
      <c r="BMQ244" s="490"/>
      <c r="BMR244" s="490"/>
      <c r="BMS244" s="490"/>
      <c r="BMT244" s="490"/>
      <c r="BMU244" s="490"/>
      <c r="BMV244" s="490"/>
      <c r="BMW244" s="490"/>
      <c r="BMX244" s="490"/>
      <c r="BMY244" s="490"/>
      <c r="BMZ244" s="490"/>
      <c r="BNA244" s="490"/>
      <c r="BNB244" s="490"/>
      <c r="BNC244" s="490"/>
      <c r="BND244" s="490"/>
      <c r="BNE244" s="490"/>
      <c r="BNF244" s="490"/>
      <c r="BNG244" s="490"/>
      <c r="BNH244" s="490"/>
      <c r="BNI244" s="490"/>
      <c r="BNJ244" s="490"/>
      <c r="BNK244" s="490"/>
      <c r="BNL244" s="490"/>
      <c r="BNM244" s="490"/>
      <c r="BNN244" s="490"/>
      <c r="BNO244" s="490"/>
      <c r="BNP244" s="490"/>
      <c r="BNQ244" s="490"/>
      <c r="BNR244" s="490"/>
      <c r="BNS244" s="490"/>
      <c r="BNT244" s="490"/>
      <c r="BNU244" s="490"/>
      <c r="BNV244" s="490"/>
      <c r="BNW244" s="490"/>
      <c r="BNX244" s="490"/>
      <c r="BNY244" s="490"/>
      <c r="BNZ244" s="490"/>
      <c r="BOA244" s="490"/>
      <c r="BOB244" s="490"/>
      <c r="BOC244" s="490"/>
      <c r="BOD244" s="490"/>
      <c r="BOE244" s="490"/>
      <c r="BOF244" s="490"/>
      <c r="BOG244" s="490"/>
      <c r="BOH244" s="490"/>
      <c r="BOI244" s="490"/>
      <c r="BOJ244" s="490"/>
      <c r="BOK244" s="490"/>
      <c r="BOL244" s="490"/>
      <c r="BOM244" s="490"/>
      <c r="BON244" s="490"/>
      <c r="BOO244" s="490"/>
      <c r="BOP244" s="490"/>
      <c r="BOQ244" s="490"/>
      <c r="BOR244" s="490"/>
      <c r="BOS244" s="490"/>
      <c r="BOT244" s="490"/>
      <c r="BOU244" s="490"/>
      <c r="BOV244" s="490"/>
      <c r="BOW244" s="490"/>
      <c r="BOX244" s="490"/>
      <c r="BOY244" s="490"/>
      <c r="BOZ244" s="490"/>
      <c r="BPA244" s="490"/>
      <c r="BPB244" s="490"/>
      <c r="BPC244" s="490"/>
      <c r="BPD244" s="490"/>
      <c r="BPE244" s="490"/>
      <c r="BPF244" s="490"/>
      <c r="BPG244" s="490"/>
      <c r="BPH244" s="490"/>
      <c r="BPI244" s="490"/>
      <c r="BPJ244" s="490"/>
      <c r="BPK244" s="490"/>
      <c r="BPL244" s="490"/>
      <c r="BPM244" s="490"/>
      <c r="BPN244" s="490"/>
      <c r="BPO244" s="490"/>
      <c r="BPP244" s="490"/>
      <c r="BPQ244" s="490"/>
      <c r="BPR244" s="490"/>
      <c r="BPS244" s="490"/>
      <c r="BPT244" s="490"/>
      <c r="BPU244" s="490"/>
      <c r="BPV244" s="490"/>
      <c r="BPW244" s="490"/>
      <c r="BPX244" s="490"/>
      <c r="BPY244" s="490"/>
      <c r="BPZ244" s="490"/>
      <c r="BQA244" s="490"/>
      <c r="BQB244" s="490"/>
      <c r="BQC244" s="490"/>
      <c r="BQD244" s="490"/>
      <c r="BQE244" s="490"/>
      <c r="BQF244" s="490"/>
      <c r="BQG244" s="490"/>
      <c r="BQH244" s="490"/>
      <c r="BQI244" s="490"/>
      <c r="BQJ244" s="490"/>
      <c r="BQK244" s="490"/>
      <c r="BQL244" s="490"/>
      <c r="BQM244" s="490"/>
      <c r="BQN244" s="490"/>
      <c r="BQO244" s="490"/>
      <c r="BQP244" s="490"/>
      <c r="BQQ244" s="490"/>
      <c r="BQR244" s="490"/>
      <c r="BQS244" s="490"/>
      <c r="BQT244" s="490"/>
      <c r="BQU244" s="490"/>
      <c r="BQV244" s="490"/>
      <c r="BQW244" s="490"/>
      <c r="BQX244" s="490"/>
      <c r="BQY244" s="490"/>
      <c r="BQZ244" s="490"/>
      <c r="BRA244" s="490"/>
      <c r="BRB244" s="490"/>
      <c r="BRC244" s="490"/>
      <c r="BRD244" s="490"/>
      <c r="BRE244" s="490"/>
      <c r="BRF244" s="490"/>
      <c r="BRG244" s="490"/>
      <c r="BRH244" s="490"/>
      <c r="BRI244" s="490"/>
      <c r="BRJ244" s="490"/>
      <c r="BRK244" s="490"/>
      <c r="BRL244" s="490"/>
      <c r="BRM244" s="490"/>
      <c r="BRN244" s="490"/>
      <c r="BRO244" s="490"/>
      <c r="BRP244" s="490"/>
      <c r="BRQ244" s="490"/>
      <c r="BRR244" s="490"/>
      <c r="BRS244" s="490"/>
      <c r="BRT244" s="490"/>
      <c r="BRU244" s="490"/>
      <c r="BRV244" s="490"/>
      <c r="BRW244" s="490"/>
      <c r="BRX244" s="490"/>
      <c r="BRY244" s="490"/>
      <c r="BRZ244" s="490"/>
      <c r="BSA244" s="490"/>
      <c r="BSB244" s="490"/>
      <c r="BSC244" s="490"/>
      <c r="BSD244" s="490"/>
      <c r="BSE244" s="490"/>
      <c r="BSF244" s="490"/>
      <c r="BSG244" s="490"/>
      <c r="BSH244" s="490"/>
      <c r="BSI244" s="490"/>
      <c r="BSJ244" s="490"/>
      <c r="BSK244" s="490"/>
      <c r="BSL244" s="490"/>
      <c r="BSM244" s="490"/>
      <c r="BSN244" s="490"/>
      <c r="BSO244" s="490"/>
      <c r="BSP244" s="490"/>
      <c r="BSQ244" s="490"/>
      <c r="BSR244" s="490"/>
      <c r="BSS244" s="490"/>
      <c r="BST244" s="490"/>
      <c r="BSU244" s="490"/>
      <c r="BSV244" s="490"/>
      <c r="BSW244" s="490"/>
      <c r="BSX244" s="490"/>
      <c r="BSY244" s="490"/>
      <c r="BSZ244" s="490"/>
      <c r="BTA244" s="490"/>
      <c r="BTB244" s="490"/>
      <c r="BTC244" s="490"/>
      <c r="BTD244" s="490"/>
      <c r="BTE244" s="490"/>
      <c r="BTF244" s="490"/>
      <c r="BTG244" s="490"/>
      <c r="BTH244" s="490"/>
      <c r="BTI244" s="490"/>
    </row>
    <row r="245" spans="1:1881" s="489" customFormat="1" ht="54.75" customHeight="1" x14ac:dyDescent="0.25">
      <c r="A245" s="455">
        <v>947</v>
      </c>
      <c r="B245" s="451"/>
      <c r="C245" s="452"/>
      <c r="D245" s="855" t="s">
        <v>1081</v>
      </c>
      <c r="E245" s="454" t="s">
        <v>952</v>
      </c>
      <c r="F245" s="916"/>
      <c r="G245" s="563" t="str">
        <f t="shared" ref="G245:G252" si="3">IF(ISBLANK(F245),"Please do not leave blank","")</f>
        <v>Please do not leave blank</v>
      </c>
      <c r="H245" s="491"/>
      <c r="I245"/>
      <c r="J245"/>
      <c r="K245"/>
      <c r="L245"/>
      <c r="M245"/>
      <c r="N245"/>
      <c r="O245"/>
      <c r="P245" s="490"/>
      <c r="Q245" s="490"/>
      <c r="R245" s="490"/>
      <c r="S245" s="490"/>
      <c r="T245" s="490"/>
      <c r="U245" s="490"/>
      <c r="V245" s="490"/>
      <c r="W245" s="490"/>
      <c r="X245" s="490"/>
      <c r="Y245" s="490"/>
      <c r="Z245" s="490"/>
      <c r="AA245" s="490"/>
      <c r="AB245" s="490"/>
      <c r="AC245" s="490"/>
      <c r="AD245" s="490"/>
      <c r="AE245" s="490"/>
      <c r="AF245" s="490"/>
      <c r="AG245" s="490"/>
      <c r="AH245" s="490"/>
      <c r="AI245" s="490"/>
      <c r="AJ245" s="490"/>
      <c r="AK245" s="490"/>
      <c r="AL245" s="490"/>
      <c r="AM245" s="490"/>
      <c r="AN245" s="490"/>
      <c r="AO245" s="490"/>
      <c r="AP245" s="490"/>
      <c r="AQ245" s="490"/>
      <c r="AR245" s="490"/>
      <c r="AS245" s="490"/>
      <c r="AT245" s="490"/>
      <c r="AU245" s="490"/>
      <c r="AV245" s="490"/>
      <c r="AW245" s="490"/>
      <c r="AX245" s="490"/>
      <c r="AY245" s="490"/>
      <c r="AZ245" s="490"/>
      <c r="BA245" s="490"/>
      <c r="BB245" s="490"/>
      <c r="BC245" s="490"/>
      <c r="BD245" s="490"/>
      <c r="BE245" s="490"/>
      <c r="BF245" s="490"/>
      <c r="BG245" s="490"/>
      <c r="BH245" s="490"/>
      <c r="BI245" s="490"/>
      <c r="BJ245" s="490"/>
      <c r="BK245" s="490"/>
      <c r="BL245" s="490"/>
      <c r="BM245" s="490"/>
      <c r="BN245" s="490"/>
      <c r="BO245" s="490"/>
      <c r="BP245" s="490"/>
      <c r="BQ245" s="490"/>
      <c r="BR245" s="490"/>
      <c r="BS245" s="490"/>
      <c r="BT245" s="490"/>
      <c r="BU245" s="490"/>
      <c r="BV245" s="490"/>
      <c r="BW245" s="490"/>
      <c r="BX245" s="490"/>
      <c r="BY245" s="490"/>
      <c r="BZ245" s="490"/>
      <c r="CA245" s="490"/>
      <c r="CB245" s="490"/>
      <c r="CC245" s="490"/>
      <c r="CD245" s="490"/>
      <c r="CE245" s="490"/>
      <c r="CF245" s="490"/>
      <c r="CG245" s="490"/>
      <c r="CH245" s="490"/>
      <c r="CI245" s="490"/>
      <c r="CJ245" s="490"/>
      <c r="CK245" s="490"/>
      <c r="CL245" s="490"/>
      <c r="CM245" s="490"/>
      <c r="CN245" s="490"/>
      <c r="CO245" s="490"/>
      <c r="CP245" s="490"/>
      <c r="CQ245" s="490"/>
      <c r="CR245" s="490"/>
      <c r="CS245" s="490"/>
      <c r="CT245" s="490"/>
      <c r="CU245" s="490"/>
      <c r="CV245" s="490"/>
      <c r="CW245" s="490"/>
      <c r="CX245" s="490"/>
      <c r="CY245" s="490"/>
      <c r="CZ245" s="490"/>
      <c r="DA245" s="490"/>
      <c r="DB245" s="490"/>
      <c r="DC245" s="490"/>
      <c r="DD245" s="490"/>
      <c r="DE245" s="490"/>
      <c r="DF245" s="490"/>
      <c r="DG245" s="490"/>
      <c r="DH245" s="490"/>
      <c r="DI245" s="490"/>
      <c r="DJ245" s="490"/>
      <c r="DK245" s="490"/>
      <c r="DL245" s="490"/>
      <c r="DM245" s="490"/>
      <c r="DN245" s="490"/>
      <c r="DO245" s="490"/>
      <c r="DP245" s="490"/>
      <c r="DQ245" s="490"/>
      <c r="DR245" s="490"/>
      <c r="DS245" s="490"/>
      <c r="DT245" s="490"/>
      <c r="DU245" s="490"/>
      <c r="DV245" s="490"/>
      <c r="DW245" s="490"/>
      <c r="DX245" s="490"/>
      <c r="DY245" s="490"/>
      <c r="DZ245" s="490"/>
      <c r="EA245" s="490"/>
      <c r="EB245" s="490"/>
      <c r="EC245" s="490"/>
      <c r="ED245" s="490"/>
      <c r="EE245" s="490"/>
      <c r="EF245" s="490"/>
      <c r="EG245" s="490"/>
      <c r="EH245" s="490"/>
      <c r="EI245" s="490"/>
      <c r="EJ245" s="490"/>
      <c r="EK245" s="490"/>
      <c r="EL245" s="490"/>
      <c r="EM245" s="490"/>
      <c r="EN245" s="490"/>
      <c r="EO245" s="490"/>
      <c r="EP245" s="490"/>
      <c r="EQ245" s="490"/>
      <c r="ER245" s="490"/>
      <c r="ES245" s="490"/>
      <c r="ET245" s="490"/>
      <c r="EU245" s="490"/>
      <c r="EV245" s="490"/>
      <c r="EW245" s="490"/>
      <c r="EX245" s="490"/>
      <c r="EY245" s="490"/>
      <c r="EZ245" s="490"/>
      <c r="FA245" s="490"/>
      <c r="FB245" s="490"/>
      <c r="FC245" s="490"/>
      <c r="FD245" s="490"/>
      <c r="FE245" s="490"/>
      <c r="FF245" s="490"/>
      <c r="FG245" s="490"/>
      <c r="FH245" s="490"/>
      <c r="FI245" s="490"/>
      <c r="FJ245" s="490"/>
      <c r="FK245" s="490"/>
      <c r="FL245" s="490"/>
      <c r="FM245" s="490"/>
      <c r="FN245" s="490"/>
      <c r="FO245" s="490"/>
      <c r="FP245" s="490"/>
      <c r="FQ245" s="490"/>
      <c r="FR245" s="490"/>
      <c r="FS245" s="490"/>
      <c r="FT245" s="490"/>
      <c r="FU245" s="490"/>
      <c r="FV245" s="490"/>
      <c r="FW245" s="490"/>
      <c r="FX245" s="490"/>
      <c r="FY245" s="490"/>
      <c r="FZ245" s="490"/>
      <c r="GA245" s="490"/>
      <c r="GB245" s="490"/>
      <c r="GC245" s="490"/>
      <c r="GD245" s="490"/>
      <c r="GE245" s="490"/>
      <c r="GF245" s="490"/>
      <c r="GG245" s="490"/>
      <c r="GH245" s="490"/>
      <c r="GI245" s="490"/>
      <c r="GJ245" s="490"/>
      <c r="GK245" s="490"/>
      <c r="GL245" s="490"/>
      <c r="GM245" s="490"/>
      <c r="GN245" s="490"/>
      <c r="GO245" s="490"/>
      <c r="GP245" s="490"/>
      <c r="GQ245" s="490"/>
      <c r="GR245" s="490"/>
      <c r="GS245" s="490"/>
      <c r="GT245" s="490"/>
      <c r="GU245" s="490"/>
      <c r="GV245" s="490"/>
      <c r="GW245" s="490"/>
      <c r="GX245" s="490"/>
      <c r="GY245" s="490"/>
      <c r="GZ245" s="490"/>
      <c r="HA245" s="490"/>
      <c r="HB245" s="490"/>
      <c r="HC245" s="490"/>
      <c r="HD245" s="490"/>
      <c r="HE245" s="490"/>
      <c r="HF245" s="490"/>
      <c r="HG245" s="490"/>
      <c r="HH245" s="490"/>
      <c r="HI245" s="490"/>
      <c r="HJ245" s="490"/>
      <c r="HK245" s="490"/>
      <c r="HL245" s="490"/>
      <c r="HM245" s="490"/>
      <c r="HN245" s="490"/>
      <c r="HO245" s="490"/>
      <c r="HP245" s="490"/>
      <c r="HQ245" s="490"/>
      <c r="HR245" s="490"/>
      <c r="HS245" s="490"/>
      <c r="HT245" s="490"/>
      <c r="HU245" s="490"/>
      <c r="HV245" s="490"/>
      <c r="HW245" s="490"/>
      <c r="HX245" s="490"/>
      <c r="HY245" s="490"/>
      <c r="HZ245" s="490"/>
      <c r="IA245" s="490"/>
      <c r="IB245" s="490"/>
      <c r="IC245" s="490"/>
      <c r="ID245" s="490"/>
      <c r="IE245" s="490"/>
      <c r="IF245" s="490"/>
      <c r="IG245" s="490"/>
      <c r="IH245" s="490"/>
      <c r="II245" s="490"/>
      <c r="IJ245" s="490"/>
      <c r="IK245" s="490"/>
      <c r="IL245" s="490"/>
      <c r="IM245" s="490"/>
      <c r="IN245" s="490"/>
      <c r="IO245" s="490"/>
      <c r="IP245" s="490"/>
      <c r="IQ245" s="490"/>
      <c r="IR245" s="490"/>
      <c r="IS245" s="490"/>
      <c r="IT245" s="490"/>
      <c r="IU245" s="490"/>
      <c r="IV245" s="490"/>
      <c r="IW245" s="490"/>
      <c r="IX245" s="490"/>
      <c r="IY245" s="490"/>
      <c r="IZ245" s="490"/>
      <c r="JA245" s="490"/>
      <c r="JB245" s="490"/>
      <c r="JC245" s="490"/>
      <c r="JD245" s="490"/>
      <c r="JE245" s="490"/>
      <c r="JF245" s="490"/>
      <c r="JG245" s="490"/>
      <c r="JH245" s="490"/>
      <c r="JI245" s="490"/>
      <c r="JJ245" s="490"/>
      <c r="JK245" s="490"/>
      <c r="JL245" s="490"/>
      <c r="JM245" s="490"/>
      <c r="JN245" s="490"/>
      <c r="JO245" s="490"/>
      <c r="JP245" s="490"/>
      <c r="JQ245" s="490"/>
      <c r="JR245" s="490"/>
      <c r="JS245" s="490"/>
      <c r="JT245" s="490"/>
      <c r="JU245" s="490"/>
      <c r="JV245" s="490"/>
      <c r="JW245" s="490"/>
      <c r="JX245" s="490"/>
      <c r="JY245" s="490"/>
      <c r="JZ245" s="490"/>
      <c r="KA245" s="490"/>
      <c r="KB245" s="490"/>
      <c r="KC245" s="490"/>
      <c r="KD245" s="490"/>
      <c r="KE245" s="490"/>
      <c r="KF245" s="490"/>
      <c r="KG245" s="490"/>
      <c r="KH245" s="490"/>
      <c r="KI245" s="490"/>
      <c r="KJ245" s="490"/>
      <c r="KK245" s="490"/>
      <c r="KL245" s="490"/>
      <c r="KM245" s="490"/>
      <c r="KN245" s="490"/>
      <c r="KO245" s="490"/>
      <c r="KP245" s="490"/>
      <c r="KQ245" s="490"/>
      <c r="KR245" s="490"/>
      <c r="KS245" s="490"/>
      <c r="KT245" s="490"/>
      <c r="KU245" s="490"/>
      <c r="KV245" s="490"/>
      <c r="KW245" s="490"/>
      <c r="KX245" s="490"/>
      <c r="KY245" s="490"/>
      <c r="KZ245" s="490"/>
      <c r="LA245" s="490"/>
      <c r="LB245" s="490"/>
      <c r="LC245" s="490"/>
      <c r="LD245" s="490"/>
      <c r="LE245" s="490"/>
      <c r="LF245" s="490"/>
      <c r="LG245" s="490"/>
      <c r="LH245" s="490"/>
      <c r="LI245" s="490"/>
      <c r="LJ245" s="490"/>
      <c r="LK245" s="490"/>
      <c r="LL245" s="490"/>
      <c r="LM245" s="490"/>
      <c r="LN245" s="490"/>
      <c r="LO245" s="490"/>
      <c r="LP245" s="490"/>
      <c r="LQ245" s="490"/>
      <c r="LR245" s="490"/>
      <c r="LS245" s="490"/>
      <c r="LT245" s="490"/>
      <c r="LU245" s="490"/>
      <c r="LV245" s="490"/>
      <c r="LW245" s="490"/>
      <c r="LX245" s="490"/>
      <c r="LY245" s="490"/>
      <c r="LZ245" s="490"/>
      <c r="MA245" s="490"/>
      <c r="MB245" s="490"/>
      <c r="MC245" s="490"/>
      <c r="MD245" s="490"/>
      <c r="ME245" s="490"/>
      <c r="MF245" s="490"/>
      <c r="MG245" s="490"/>
      <c r="MH245" s="490"/>
      <c r="MI245" s="490"/>
      <c r="MJ245" s="490"/>
      <c r="MK245" s="490"/>
      <c r="ML245" s="490"/>
      <c r="MM245" s="490"/>
      <c r="MN245" s="490"/>
      <c r="MO245" s="490"/>
      <c r="MP245" s="490"/>
      <c r="MQ245" s="490"/>
      <c r="MR245" s="490"/>
      <c r="MS245" s="490"/>
      <c r="MT245" s="490"/>
      <c r="MU245" s="490"/>
      <c r="MV245" s="490"/>
      <c r="MW245" s="490"/>
      <c r="MX245" s="490"/>
      <c r="MY245" s="490"/>
      <c r="MZ245" s="490"/>
      <c r="NA245" s="490"/>
      <c r="NB245" s="490"/>
      <c r="NC245" s="490"/>
      <c r="ND245" s="490"/>
      <c r="NE245" s="490"/>
      <c r="NF245" s="490"/>
      <c r="NG245" s="490"/>
      <c r="NH245" s="490"/>
      <c r="NI245" s="490"/>
      <c r="NJ245" s="490"/>
      <c r="NK245" s="490"/>
      <c r="NL245" s="490"/>
      <c r="NM245" s="490"/>
      <c r="NN245" s="490"/>
      <c r="NO245" s="490"/>
      <c r="NP245" s="490"/>
      <c r="NQ245" s="490"/>
      <c r="NR245" s="490"/>
      <c r="NS245" s="490"/>
      <c r="NT245" s="490"/>
      <c r="NU245" s="490"/>
      <c r="NV245" s="490"/>
      <c r="NW245" s="490"/>
      <c r="NX245" s="490"/>
      <c r="NY245" s="490"/>
      <c r="NZ245" s="490"/>
      <c r="OA245" s="490"/>
      <c r="OB245" s="490"/>
      <c r="OC245" s="490"/>
      <c r="OD245" s="490"/>
      <c r="OE245" s="490"/>
      <c r="OF245" s="490"/>
      <c r="OG245" s="490"/>
      <c r="OH245" s="490"/>
      <c r="OI245" s="490"/>
      <c r="OJ245" s="490"/>
      <c r="OK245" s="490"/>
      <c r="OL245" s="490"/>
      <c r="OM245" s="490"/>
      <c r="ON245" s="490"/>
      <c r="OO245" s="490"/>
      <c r="OP245" s="490"/>
      <c r="OQ245" s="490"/>
      <c r="OR245" s="490"/>
      <c r="OS245" s="490"/>
      <c r="OT245" s="490"/>
      <c r="OU245" s="490"/>
      <c r="OV245" s="490"/>
      <c r="OW245" s="490"/>
      <c r="OX245" s="490"/>
      <c r="OY245" s="490"/>
      <c r="OZ245" s="490"/>
      <c r="PA245" s="490"/>
      <c r="PB245" s="490"/>
      <c r="PC245" s="490"/>
      <c r="PD245" s="490"/>
      <c r="PE245" s="490"/>
      <c r="PF245" s="490"/>
      <c r="PG245" s="490"/>
      <c r="PH245" s="490"/>
      <c r="PI245" s="490"/>
      <c r="PJ245" s="490"/>
      <c r="PK245" s="490"/>
      <c r="PL245" s="490"/>
      <c r="PM245" s="490"/>
      <c r="PN245" s="490"/>
      <c r="PO245" s="490"/>
      <c r="PP245" s="490"/>
      <c r="PQ245" s="490"/>
      <c r="PR245" s="490"/>
      <c r="PS245" s="490"/>
      <c r="PT245" s="490"/>
      <c r="PU245" s="490"/>
      <c r="PV245" s="490"/>
      <c r="PW245" s="490"/>
      <c r="PX245" s="490"/>
      <c r="PY245" s="490"/>
      <c r="PZ245" s="490"/>
      <c r="QA245" s="490"/>
      <c r="QB245" s="490"/>
      <c r="QC245" s="490"/>
      <c r="QD245" s="490"/>
      <c r="QE245" s="490"/>
      <c r="QF245" s="490"/>
      <c r="QG245" s="490"/>
      <c r="QH245" s="490"/>
      <c r="QI245" s="490"/>
      <c r="QJ245" s="490"/>
      <c r="QK245" s="490"/>
      <c r="QL245" s="490"/>
      <c r="QM245" s="490"/>
      <c r="QN245" s="490"/>
      <c r="QO245" s="490"/>
      <c r="QP245" s="490"/>
      <c r="QQ245" s="490"/>
      <c r="QR245" s="490"/>
      <c r="QS245" s="490"/>
      <c r="QT245" s="490"/>
      <c r="QU245" s="490"/>
      <c r="QV245" s="490"/>
      <c r="QW245" s="490"/>
      <c r="QX245" s="490"/>
      <c r="QY245" s="490"/>
      <c r="QZ245" s="490"/>
      <c r="RA245" s="490"/>
      <c r="RB245" s="490"/>
      <c r="RC245" s="490"/>
      <c r="RD245" s="490"/>
      <c r="RE245" s="490"/>
      <c r="RF245" s="490"/>
      <c r="RG245" s="490"/>
      <c r="RH245" s="490"/>
      <c r="RI245" s="490"/>
      <c r="RJ245" s="490"/>
      <c r="RK245" s="490"/>
      <c r="RL245" s="490"/>
      <c r="RM245" s="490"/>
      <c r="RN245" s="490"/>
      <c r="RO245" s="490"/>
      <c r="RP245" s="490"/>
      <c r="RQ245" s="490"/>
      <c r="RR245" s="490"/>
      <c r="RS245" s="490"/>
      <c r="RT245" s="490"/>
      <c r="RU245" s="490"/>
      <c r="RV245" s="490"/>
      <c r="RW245" s="490"/>
      <c r="RX245" s="490"/>
      <c r="RY245" s="490"/>
      <c r="RZ245" s="490"/>
      <c r="SA245" s="490"/>
      <c r="SB245" s="490"/>
      <c r="SC245" s="490"/>
      <c r="SD245" s="490"/>
      <c r="SE245" s="490"/>
      <c r="SF245" s="490"/>
      <c r="SG245" s="490"/>
      <c r="SH245" s="490"/>
      <c r="SI245" s="490"/>
      <c r="SJ245" s="490"/>
      <c r="SK245" s="490"/>
      <c r="SL245" s="490"/>
      <c r="SM245" s="490"/>
      <c r="SN245" s="490"/>
      <c r="SO245" s="490"/>
      <c r="SP245" s="490"/>
      <c r="SQ245" s="490"/>
      <c r="SR245" s="490"/>
      <c r="SS245" s="490"/>
      <c r="ST245" s="490"/>
      <c r="SU245" s="490"/>
      <c r="SV245" s="490"/>
      <c r="SW245" s="490"/>
      <c r="SX245" s="490"/>
      <c r="SY245" s="490"/>
      <c r="SZ245" s="490"/>
      <c r="TA245" s="490"/>
      <c r="TB245" s="490"/>
      <c r="TC245" s="490"/>
      <c r="TD245" s="490"/>
      <c r="TE245" s="490"/>
      <c r="TF245" s="490"/>
      <c r="TG245" s="490"/>
      <c r="TH245" s="490"/>
      <c r="TI245" s="490"/>
      <c r="TJ245" s="490"/>
      <c r="TK245" s="490"/>
      <c r="TL245" s="490"/>
      <c r="TM245" s="490"/>
      <c r="TN245" s="490"/>
      <c r="TO245" s="490"/>
      <c r="TP245" s="490"/>
      <c r="TQ245" s="490"/>
      <c r="TR245" s="490"/>
      <c r="TS245" s="490"/>
      <c r="TT245" s="490"/>
      <c r="TU245" s="490"/>
      <c r="TV245" s="490"/>
      <c r="TW245" s="490"/>
      <c r="TX245" s="490"/>
      <c r="TY245" s="490"/>
      <c r="TZ245" s="490"/>
      <c r="UA245" s="490"/>
      <c r="UB245" s="490"/>
      <c r="UC245" s="490"/>
      <c r="UD245" s="490"/>
      <c r="UE245" s="490"/>
      <c r="UF245" s="490"/>
      <c r="UG245" s="490"/>
      <c r="UH245" s="490"/>
      <c r="UI245" s="490"/>
      <c r="UJ245" s="490"/>
      <c r="UK245" s="490"/>
      <c r="UL245" s="490"/>
      <c r="UM245" s="490"/>
      <c r="UN245" s="490"/>
      <c r="UO245" s="490"/>
      <c r="UP245" s="490"/>
      <c r="UQ245" s="490"/>
      <c r="UR245" s="490"/>
      <c r="US245" s="490"/>
      <c r="UT245" s="490"/>
      <c r="UU245" s="490"/>
      <c r="UV245" s="490"/>
      <c r="UW245" s="490"/>
      <c r="UX245" s="490"/>
      <c r="UY245" s="490"/>
      <c r="UZ245" s="490"/>
      <c r="VA245" s="490"/>
      <c r="VB245" s="490"/>
      <c r="VC245" s="490"/>
      <c r="VD245" s="490"/>
      <c r="VE245" s="490"/>
      <c r="VF245" s="490"/>
      <c r="VG245" s="490"/>
      <c r="VH245" s="490"/>
      <c r="VI245" s="490"/>
      <c r="VJ245" s="490"/>
      <c r="VK245" s="490"/>
      <c r="VL245" s="490"/>
      <c r="VM245" s="490"/>
      <c r="VN245" s="490"/>
      <c r="VO245" s="490"/>
      <c r="VP245" s="490"/>
      <c r="VQ245" s="490"/>
      <c r="VR245" s="490"/>
      <c r="VS245" s="490"/>
      <c r="VT245" s="490"/>
      <c r="VU245" s="490"/>
      <c r="VV245" s="490"/>
      <c r="VW245" s="490"/>
      <c r="VX245" s="490"/>
      <c r="VY245" s="490"/>
      <c r="VZ245" s="490"/>
      <c r="WA245" s="490"/>
      <c r="WB245" s="490"/>
      <c r="WC245" s="490"/>
      <c r="WD245" s="490"/>
      <c r="WE245" s="490"/>
      <c r="WF245" s="490"/>
      <c r="WG245" s="490"/>
      <c r="WH245" s="490"/>
      <c r="WI245" s="490"/>
      <c r="WJ245" s="490"/>
      <c r="WK245" s="490"/>
      <c r="WL245" s="490"/>
      <c r="WM245" s="490"/>
      <c r="WN245" s="490"/>
      <c r="WO245" s="490"/>
      <c r="WP245" s="490"/>
      <c r="WQ245" s="490"/>
      <c r="WR245" s="490"/>
      <c r="WS245" s="490"/>
      <c r="WT245" s="490"/>
      <c r="WU245" s="490"/>
      <c r="WV245" s="490"/>
      <c r="WW245" s="490"/>
      <c r="WX245" s="490"/>
      <c r="WY245" s="490"/>
      <c r="WZ245" s="490"/>
      <c r="XA245" s="490"/>
      <c r="XB245" s="490"/>
      <c r="XC245" s="490"/>
      <c r="XD245" s="490"/>
      <c r="XE245" s="490"/>
      <c r="XF245" s="490"/>
      <c r="XG245" s="490"/>
      <c r="XH245" s="490"/>
      <c r="XI245" s="490"/>
      <c r="XJ245" s="490"/>
      <c r="XK245" s="490"/>
      <c r="XL245" s="490"/>
      <c r="XM245" s="490"/>
      <c r="XN245" s="490"/>
      <c r="XO245" s="490"/>
      <c r="XP245" s="490"/>
      <c r="XQ245" s="490"/>
      <c r="XR245" s="490"/>
      <c r="XS245" s="490"/>
      <c r="XT245" s="490"/>
      <c r="XU245" s="490"/>
      <c r="XV245" s="490"/>
      <c r="XW245" s="490"/>
      <c r="XX245" s="490"/>
      <c r="XY245" s="490"/>
      <c r="XZ245" s="490"/>
      <c r="YA245" s="490"/>
      <c r="YB245" s="490"/>
      <c r="YC245" s="490"/>
      <c r="YD245" s="490"/>
      <c r="YE245" s="490"/>
      <c r="YF245" s="490"/>
      <c r="YG245" s="490"/>
      <c r="YH245" s="490"/>
      <c r="YI245" s="490"/>
      <c r="YJ245" s="490"/>
      <c r="YK245" s="490"/>
      <c r="YL245" s="490"/>
      <c r="YM245" s="490"/>
      <c r="YN245" s="490"/>
      <c r="YO245" s="490"/>
      <c r="YP245" s="490"/>
      <c r="YQ245" s="490"/>
      <c r="YR245" s="490"/>
      <c r="YS245" s="490"/>
      <c r="YT245" s="490"/>
      <c r="YU245" s="490"/>
      <c r="YV245" s="490"/>
      <c r="YW245" s="490"/>
      <c r="YX245" s="490"/>
      <c r="YY245" s="490"/>
      <c r="YZ245" s="490"/>
      <c r="ZA245" s="490"/>
      <c r="ZB245" s="490"/>
      <c r="ZC245" s="490"/>
      <c r="ZD245" s="490"/>
      <c r="ZE245" s="490"/>
      <c r="ZF245" s="490"/>
      <c r="ZG245" s="490"/>
      <c r="ZH245" s="490"/>
      <c r="ZI245" s="490"/>
      <c r="ZJ245" s="490"/>
      <c r="ZK245" s="490"/>
      <c r="ZL245" s="490"/>
      <c r="ZM245" s="490"/>
      <c r="ZN245" s="490"/>
      <c r="ZO245" s="490"/>
      <c r="ZP245" s="490"/>
      <c r="ZQ245" s="490"/>
      <c r="ZR245" s="490"/>
      <c r="ZS245" s="490"/>
      <c r="ZT245" s="490"/>
      <c r="ZU245" s="490"/>
      <c r="ZV245" s="490"/>
      <c r="ZW245" s="490"/>
      <c r="ZX245" s="490"/>
      <c r="ZY245" s="490"/>
      <c r="ZZ245" s="490"/>
      <c r="AAA245" s="490"/>
      <c r="AAB245" s="490"/>
      <c r="AAC245" s="490"/>
      <c r="AAD245" s="490"/>
      <c r="AAE245" s="490"/>
      <c r="AAF245" s="490"/>
      <c r="AAG245" s="490"/>
      <c r="AAH245" s="490"/>
      <c r="AAI245" s="490"/>
      <c r="AAJ245" s="490"/>
      <c r="AAK245" s="490"/>
      <c r="AAL245" s="490"/>
      <c r="AAM245" s="490"/>
      <c r="AAN245" s="490"/>
      <c r="AAO245" s="490"/>
      <c r="AAP245" s="490"/>
      <c r="AAQ245" s="490"/>
      <c r="AAR245" s="490"/>
      <c r="AAS245" s="490"/>
      <c r="AAT245" s="490"/>
      <c r="AAU245" s="490"/>
      <c r="AAV245" s="490"/>
      <c r="AAW245" s="490"/>
      <c r="AAX245" s="490"/>
      <c r="AAY245" s="490"/>
      <c r="AAZ245" s="490"/>
      <c r="ABA245" s="490"/>
      <c r="ABB245" s="490"/>
      <c r="ABC245" s="490"/>
      <c r="ABD245" s="490"/>
      <c r="ABE245" s="490"/>
      <c r="ABF245" s="490"/>
      <c r="ABG245" s="490"/>
      <c r="ABH245" s="490"/>
      <c r="ABI245" s="490"/>
      <c r="ABJ245" s="490"/>
      <c r="ABK245" s="490"/>
      <c r="ABL245" s="490"/>
      <c r="ABM245" s="490"/>
      <c r="ABN245" s="490"/>
      <c r="ABO245" s="490"/>
      <c r="ABP245" s="490"/>
      <c r="ABQ245" s="490"/>
      <c r="ABR245" s="490"/>
      <c r="ABS245" s="490"/>
      <c r="ABT245" s="490"/>
      <c r="ABU245" s="490"/>
      <c r="ABV245" s="490"/>
      <c r="ABW245" s="490"/>
      <c r="ABX245" s="490"/>
      <c r="ABY245" s="490"/>
      <c r="ABZ245" s="490"/>
      <c r="ACA245" s="490"/>
      <c r="ACB245" s="490"/>
      <c r="ACC245" s="490"/>
      <c r="ACD245" s="490"/>
      <c r="ACE245" s="490"/>
      <c r="ACF245" s="490"/>
      <c r="ACG245" s="490"/>
      <c r="ACH245" s="490"/>
      <c r="ACI245" s="490"/>
      <c r="ACJ245" s="490"/>
      <c r="ACK245" s="490"/>
      <c r="ACL245" s="490"/>
      <c r="ACM245" s="490"/>
      <c r="ACN245" s="490"/>
      <c r="ACO245" s="490"/>
      <c r="ACP245" s="490"/>
      <c r="ACQ245" s="490"/>
      <c r="ACR245" s="490"/>
      <c r="ACS245" s="490"/>
      <c r="ACT245" s="490"/>
      <c r="ACU245" s="490"/>
      <c r="ACV245" s="490"/>
      <c r="ACW245" s="490"/>
      <c r="ACX245" s="490"/>
      <c r="ACY245" s="490"/>
      <c r="ACZ245" s="490"/>
      <c r="ADA245" s="490"/>
      <c r="ADB245" s="490"/>
      <c r="ADC245" s="490"/>
      <c r="ADD245" s="490"/>
      <c r="ADE245" s="490"/>
      <c r="ADF245" s="490"/>
      <c r="ADG245" s="490"/>
      <c r="ADH245" s="490"/>
      <c r="ADI245" s="490"/>
      <c r="ADJ245" s="490"/>
      <c r="ADK245" s="490"/>
      <c r="ADL245" s="490"/>
      <c r="ADM245" s="490"/>
      <c r="ADN245" s="490"/>
      <c r="ADO245" s="490"/>
      <c r="ADP245" s="490"/>
      <c r="ADQ245" s="490"/>
      <c r="ADR245" s="490"/>
      <c r="ADS245" s="490"/>
      <c r="ADT245" s="490"/>
      <c r="ADU245" s="490"/>
      <c r="ADV245" s="490"/>
      <c r="ADW245" s="490"/>
      <c r="ADX245" s="490"/>
      <c r="ADY245" s="490"/>
      <c r="ADZ245" s="490"/>
      <c r="AEA245" s="490"/>
      <c r="AEB245" s="490"/>
      <c r="AEC245" s="490"/>
      <c r="AED245" s="490"/>
      <c r="AEE245" s="490"/>
      <c r="AEF245" s="490"/>
      <c r="AEG245" s="490"/>
      <c r="AEH245" s="490"/>
      <c r="AEI245" s="490"/>
      <c r="AEJ245" s="490"/>
      <c r="AEK245" s="490"/>
      <c r="AEL245" s="490"/>
      <c r="AEM245" s="490"/>
      <c r="AEN245" s="490"/>
      <c r="AEO245" s="490"/>
      <c r="AEP245" s="490"/>
      <c r="AEQ245" s="490"/>
      <c r="AER245" s="490"/>
      <c r="AES245" s="490"/>
      <c r="AET245" s="490"/>
      <c r="AEU245" s="490"/>
      <c r="AEV245" s="490"/>
      <c r="AEW245" s="490"/>
      <c r="AEX245" s="490"/>
      <c r="AEY245" s="490"/>
      <c r="AEZ245" s="490"/>
      <c r="AFA245" s="490"/>
      <c r="AFB245" s="490"/>
      <c r="AFC245" s="490"/>
      <c r="AFD245" s="490"/>
      <c r="AFE245" s="490"/>
      <c r="AFF245" s="490"/>
      <c r="AFG245" s="490"/>
      <c r="AFH245" s="490"/>
      <c r="AFI245" s="490"/>
      <c r="AFJ245" s="490"/>
      <c r="AFK245" s="490"/>
      <c r="AFL245" s="490"/>
      <c r="AFM245" s="490"/>
      <c r="AFN245" s="490"/>
      <c r="AFO245" s="490"/>
      <c r="AFP245" s="490"/>
      <c r="AFQ245" s="490"/>
      <c r="AFR245" s="490"/>
      <c r="AFS245" s="490"/>
      <c r="AFT245" s="490"/>
      <c r="AFU245" s="490"/>
      <c r="AFV245" s="490"/>
      <c r="AFW245" s="490"/>
      <c r="AFX245" s="490"/>
      <c r="AFY245" s="490"/>
      <c r="AFZ245" s="490"/>
      <c r="AGA245" s="490"/>
      <c r="AGB245" s="490"/>
      <c r="AGC245" s="490"/>
      <c r="AGD245" s="490"/>
      <c r="AGE245" s="490"/>
      <c r="AGF245" s="490"/>
      <c r="AGG245" s="490"/>
      <c r="AGH245" s="490"/>
      <c r="AGI245" s="490"/>
      <c r="AGJ245" s="490"/>
      <c r="AGK245" s="490"/>
      <c r="AGL245" s="490"/>
      <c r="AGM245" s="490"/>
      <c r="AGN245" s="490"/>
      <c r="AGO245" s="490"/>
      <c r="AGP245" s="490"/>
      <c r="AGQ245" s="490"/>
      <c r="AGR245" s="490"/>
      <c r="AGS245" s="490"/>
      <c r="AGT245" s="490"/>
      <c r="AGU245" s="490"/>
      <c r="AGV245" s="490"/>
      <c r="AGW245" s="490"/>
      <c r="AGX245" s="490"/>
      <c r="AGY245" s="490"/>
      <c r="AGZ245" s="490"/>
      <c r="AHA245" s="490"/>
      <c r="AHB245" s="490"/>
      <c r="AHC245" s="490"/>
      <c r="AHD245" s="490"/>
      <c r="AHE245" s="490"/>
      <c r="AHF245" s="490"/>
      <c r="AHG245" s="490"/>
      <c r="AHH245" s="490"/>
      <c r="AHI245" s="490"/>
      <c r="AHJ245" s="490"/>
      <c r="AHK245" s="490"/>
      <c r="AHL245" s="490"/>
      <c r="AHM245" s="490"/>
      <c r="AHN245" s="490"/>
      <c r="AHO245" s="490"/>
      <c r="AHP245" s="490"/>
      <c r="AHQ245" s="490"/>
      <c r="AHR245" s="490"/>
      <c r="AHS245" s="490"/>
      <c r="AHT245" s="490"/>
      <c r="AHU245" s="490"/>
      <c r="AHV245" s="490"/>
      <c r="AHW245" s="490"/>
      <c r="AHX245" s="490"/>
      <c r="AHY245" s="490"/>
      <c r="AHZ245" s="490"/>
      <c r="AIA245" s="490"/>
      <c r="AIB245" s="490"/>
      <c r="AIC245" s="490"/>
      <c r="AID245" s="490"/>
      <c r="AIE245" s="490"/>
      <c r="AIF245" s="490"/>
      <c r="AIG245" s="490"/>
      <c r="AIH245" s="490"/>
      <c r="AII245" s="490"/>
      <c r="AIJ245" s="490"/>
      <c r="AIK245" s="490"/>
      <c r="AIL245" s="490"/>
      <c r="AIM245" s="490"/>
      <c r="AIN245" s="490"/>
      <c r="AIO245" s="490"/>
      <c r="AIP245" s="490"/>
      <c r="AIQ245" s="490"/>
      <c r="AIR245" s="490"/>
      <c r="AIS245" s="490"/>
      <c r="AIT245" s="490"/>
      <c r="AIU245" s="490"/>
      <c r="AIV245" s="490"/>
      <c r="AIW245" s="490"/>
      <c r="AIX245" s="490"/>
      <c r="AIY245" s="490"/>
      <c r="AIZ245" s="490"/>
      <c r="AJA245" s="490"/>
      <c r="AJB245" s="490"/>
      <c r="AJC245" s="490"/>
      <c r="AJD245" s="490"/>
      <c r="AJE245" s="490"/>
      <c r="AJF245" s="490"/>
      <c r="AJG245" s="490"/>
      <c r="AJH245" s="490"/>
      <c r="AJI245" s="490"/>
      <c r="AJJ245" s="490"/>
      <c r="AJK245" s="490"/>
      <c r="AJL245" s="490"/>
      <c r="AJM245" s="490"/>
      <c r="AJN245" s="490"/>
      <c r="AJO245" s="490"/>
      <c r="AJP245" s="490"/>
      <c r="AJQ245" s="490"/>
      <c r="AJR245" s="490"/>
      <c r="AJS245" s="490"/>
      <c r="AJT245" s="490"/>
      <c r="AJU245" s="490"/>
      <c r="AJV245" s="490"/>
      <c r="AJW245" s="490"/>
      <c r="AJX245" s="490"/>
      <c r="AJY245" s="490"/>
      <c r="AJZ245" s="490"/>
      <c r="AKA245" s="490"/>
      <c r="AKB245" s="490"/>
      <c r="AKC245" s="490"/>
      <c r="AKD245" s="490"/>
      <c r="AKE245" s="490"/>
      <c r="AKF245" s="490"/>
      <c r="AKG245" s="490"/>
      <c r="AKH245" s="490"/>
      <c r="AKI245" s="490"/>
      <c r="AKJ245" s="490"/>
      <c r="AKK245" s="490"/>
      <c r="AKL245" s="490"/>
      <c r="AKM245" s="490"/>
      <c r="AKN245" s="490"/>
      <c r="AKO245" s="490"/>
      <c r="AKP245" s="490"/>
      <c r="AKQ245" s="490"/>
      <c r="AKR245" s="490"/>
      <c r="AKS245" s="490"/>
      <c r="AKT245" s="490"/>
      <c r="AKU245" s="490"/>
      <c r="AKV245" s="490"/>
      <c r="AKW245" s="490"/>
      <c r="AKX245" s="490"/>
      <c r="AKY245" s="490"/>
      <c r="AKZ245" s="490"/>
      <c r="ALA245" s="490"/>
      <c r="ALB245" s="490"/>
      <c r="ALC245" s="490"/>
      <c r="ALD245" s="490"/>
      <c r="ALE245" s="490"/>
      <c r="ALF245" s="490"/>
      <c r="ALG245" s="490"/>
      <c r="ALH245" s="490"/>
      <c r="ALI245" s="490"/>
      <c r="ALJ245" s="490"/>
      <c r="ALK245" s="490"/>
      <c r="ALL245" s="490"/>
      <c r="ALM245" s="490"/>
      <c r="ALN245" s="490"/>
      <c r="ALO245" s="490"/>
      <c r="ALP245" s="490"/>
      <c r="ALQ245" s="490"/>
      <c r="ALR245" s="490"/>
      <c r="ALS245" s="490"/>
      <c r="ALT245" s="490"/>
      <c r="ALU245" s="490"/>
      <c r="ALV245" s="490"/>
      <c r="ALW245" s="490"/>
      <c r="ALX245" s="490"/>
      <c r="ALY245" s="490"/>
      <c r="ALZ245" s="490"/>
      <c r="AMA245" s="490"/>
      <c r="AMB245" s="490"/>
      <c r="AMC245" s="490"/>
      <c r="AMD245" s="490"/>
      <c r="AME245" s="490"/>
      <c r="AMF245" s="490"/>
      <c r="AMG245" s="490"/>
      <c r="AMH245" s="490"/>
      <c r="AMI245" s="490"/>
      <c r="AMJ245" s="490"/>
      <c r="AMK245" s="490"/>
      <c r="AML245" s="490"/>
      <c r="AMM245" s="490"/>
      <c r="AMN245" s="490"/>
      <c r="AMO245" s="490"/>
      <c r="AMP245" s="490"/>
      <c r="AMQ245" s="490"/>
      <c r="AMR245" s="490"/>
      <c r="AMS245" s="490"/>
      <c r="AMT245" s="490"/>
      <c r="AMU245" s="490"/>
      <c r="AMV245" s="490"/>
      <c r="AMW245" s="490"/>
      <c r="AMX245" s="490"/>
      <c r="AMY245" s="490"/>
      <c r="AMZ245" s="490"/>
      <c r="ANA245" s="490"/>
      <c r="ANB245" s="490"/>
      <c r="ANC245" s="490"/>
      <c r="AND245" s="490"/>
      <c r="ANE245" s="490"/>
      <c r="ANF245" s="490"/>
      <c r="ANG245" s="490"/>
      <c r="ANH245" s="490"/>
      <c r="ANI245" s="490"/>
      <c r="ANJ245" s="490"/>
      <c r="ANK245" s="490"/>
      <c r="ANL245" s="490"/>
      <c r="ANM245" s="490"/>
      <c r="ANN245" s="490"/>
      <c r="ANO245" s="490"/>
      <c r="ANP245" s="490"/>
      <c r="ANQ245" s="490"/>
      <c r="ANR245" s="490"/>
      <c r="ANS245" s="490"/>
      <c r="ANT245" s="490"/>
      <c r="ANU245" s="490"/>
      <c r="ANV245" s="490"/>
      <c r="ANW245" s="490"/>
      <c r="ANX245" s="490"/>
      <c r="ANY245" s="490"/>
      <c r="ANZ245" s="490"/>
      <c r="AOA245" s="490"/>
      <c r="AOB245" s="490"/>
      <c r="AOC245" s="490"/>
      <c r="AOD245" s="490"/>
      <c r="AOE245" s="490"/>
      <c r="AOF245" s="490"/>
      <c r="AOG245" s="490"/>
      <c r="AOH245" s="490"/>
      <c r="AOI245" s="490"/>
      <c r="AOJ245" s="490"/>
      <c r="AOK245" s="490"/>
      <c r="AOL245" s="490"/>
      <c r="AOM245" s="490"/>
      <c r="AON245" s="490"/>
      <c r="AOO245" s="490"/>
      <c r="AOP245" s="490"/>
      <c r="AOQ245" s="490"/>
      <c r="AOR245" s="490"/>
      <c r="AOS245" s="490"/>
      <c r="AOT245" s="490"/>
      <c r="AOU245" s="490"/>
      <c r="AOV245" s="490"/>
      <c r="AOW245" s="490"/>
      <c r="AOX245" s="490"/>
      <c r="AOY245" s="490"/>
      <c r="AOZ245" s="490"/>
      <c r="APA245" s="490"/>
      <c r="APB245" s="490"/>
      <c r="APC245" s="490"/>
      <c r="APD245" s="490"/>
      <c r="APE245" s="490"/>
      <c r="APF245" s="490"/>
      <c r="APG245" s="490"/>
      <c r="APH245" s="490"/>
      <c r="API245" s="490"/>
      <c r="APJ245" s="490"/>
      <c r="APK245" s="490"/>
      <c r="APL245" s="490"/>
      <c r="APM245" s="490"/>
      <c r="APN245" s="490"/>
      <c r="APO245" s="490"/>
      <c r="APP245" s="490"/>
      <c r="APQ245" s="490"/>
      <c r="APR245" s="490"/>
      <c r="APS245" s="490"/>
      <c r="APT245" s="490"/>
      <c r="APU245" s="490"/>
      <c r="APV245" s="490"/>
      <c r="APW245" s="490"/>
      <c r="APX245" s="490"/>
      <c r="APY245" s="490"/>
      <c r="APZ245" s="490"/>
      <c r="AQA245" s="490"/>
      <c r="AQB245" s="490"/>
      <c r="AQC245" s="490"/>
      <c r="AQD245" s="490"/>
      <c r="AQE245" s="490"/>
      <c r="AQF245" s="490"/>
      <c r="AQG245" s="490"/>
      <c r="AQH245" s="490"/>
      <c r="AQI245" s="490"/>
      <c r="AQJ245" s="490"/>
      <c r="AQK245" s="490"/>
      <c r="AQL245" s="490"/>
      <c r="AQM245" s="490"/>
      <c r="AQN245" s="490"/>
      <c r="AQO245" s="490"/>
      <c r="AQP245" s="490"/>
      <c r="AQQ245" s="490"/>
      <c r="AQR245" s="490"/>
      <c r="AQS245" s="490"/>
      <c r="AQT245" s="490"/>
      <c r="AQU245" s="490"/>
      <c r="AQV245" s="490"/>
      <c r="AQW245" s="490"/>
      <c r="AQX245" s="490"/>
      <c r="AQY245" s="490"/>
      <c r="AQZ245" s="490"/>
      <c r="ARA245" s="490"/>
      <c r="ARB245" s="490"/>
      <c r="ARC245" s="490"/>
      <c r="ARD245" s="490"/>
      <c r="ARE245" s="490"/>
      <c r="ARF245" s="490"/>
      <c r="ARG245" s="490"/>
      <c r="ARH245" s="490"/>
      <c r="ARI245" s="490"/>
      <c r="ARJ245" s="490"/>
      <c r="ARK245" s="490"/>
      <c r="ARL245" s="490"/>
      <c r="ARM245" s="490"/>
      <c r="ARN245" s="490"/>
      <c r="ARO245" s="490"/>
      <c r="ARP245" s="490"/>
      <c r="ARQ245" s="490"/>
      <c r="ARR245" s="490"/>
      <c r="ARS245" s="490"/>
      <c r="ART245" s="490"/>
      <c r="ARU245" s="490"/>
      <c r="ARV245" s="490"/>
      <c r="ARW245" s="490"/>
      <c r="ARX245" s="490"/>
      <c r="ARY245" s="490"/>
      <c r="ARZ245" s="490"/>
      <c r="ASA245" s="490"/>
      <c r="ASB245" s="490"/>
      <c r="ASC245" s="490"/>
      <c r="ASD245" s="490"/>
      <c r="ASE245" s="490"/>
      <c r="ASF245" s="490"/>
      <c r="ASG245" s="490"/>
      <c r="ASH245" s="490"/>
      <c r="ASI245" s="490"/>
      <c r="ASJ245" s="490"/>
      <c r="ASK245" s="490"/>
      <c r="ASL245" s="490"/>
      <c r="ASM245" s="490"/>
      <c r="ASN245" s="490"/>
      <c r="ASO245" s="490"/>
      <c r="ASP245" s="490"/>
      <c r="ASQ245" s="490"/>
      <c r="ASR245" s="490"/>
      <c r="ASS245" s="490"/>
      <c r="AST245" s="490"/>
      <c r="ASU245" s="490"/>
      <c r="ASV245" s="490"/>
      <c r="ASW245" s="490"/>
      <c r="ASX245" s="490"/>
      <c r="ASY245" s="490"/>
      <c r="ASZ245" s="490"/>
      <c r="ATA245" s="490"/>
      <c r="ATB245" s="490"/>
      <c r="ATC245" s="490"/>
      <c r="ATD245" s="490"/>
      <c r="ATE245" s="490"/>
      <c r="ATF245" s="490"/>
      <c r="ATG245" s="490"/>
      <c r="ATH245" s="490"/>
      <c r="ATI245" s="490"/>
      <c r="ATJ245" s="490"/>
      <c r="ATK245" s="490"/>
      <c r="ATL245" s="490"/>
      <c r="ATM245" s="490"/>
      <c r="ATN245" s="490"/>
      <c r="ATO245" s="490"/>
      <c r="ATP245" s="490"/>
      <c r="ATQ245" s="490"/>
      <c r="ATR245" s="490"/>
      <c r="ATS245" s="490"/>
      <c r="ATT245" s="490"/>
      <c r="ATU245" s="490"/>
      <c r="ATV245" s="490"/>
      <c r="ATW245" s="490"/>
      <c r="ATX245" s="490"/>
      <c r="ATY245" s="490"/>
      <c r="ATZ245" s="490"/>
      <c r="AUA245" s="490"/>
      <c r="AUB245" s="490"/>
      <c r="AUC245" s="490"/>
      <c r="AUD245" s="490"/>
      <c r="AUE245" s="490"/>
      <c r="AUF245" s="490"/>
      <c r="AUG245" s="490"/>
      <c r="AUH245" s="490"/>
      <c r="AUI245" s="490"/>
      <c r="AUJ245" s="490"/>
      <c r="AUK245" s="490"/>
      <c r="AUL245" s="490"/>
      <c r="AUM245" s="490"/>
      <c r="AUN245" s="490"/>
      <c r="AUO245" s="490"/>
      <c r="AUP245" s="490"/>
      <c r="AUQ245" s="490"/>
      <c r="AUR245" s="490"/>
      <c r="AUS245" s="490"/>
      <c r="AUT245" s="490"/>
      <c r="AUU245" s="490"/>
      <c r="AUV245" s="490"/>
      <c r="AUW245" s="490"/>
      <c r="AUX245" s="490"/>
      <c r="AUY245" s="490"/>
      <c r="AUZ245" s="490"/>
      <c r="AVA245" s="490"/>
      <c r="AVB245" s="490"/>
      <c r="AVC245" s="490"/>
      <c r="AVD245" s="490"/>
      <c r="AVE245" s="490"/>
      <c r="AVF245" s="490"/>
      <c r="AVG245" s="490"/>
      <c r="AVH245" s="490"/>
      <c r="AVI245" s="490"/>
      <c r="AVJ245" s="490"/>
      <c r="AVK245" s="490"/>
      <c r="AVL245" s="490"/>
      <c r="AVM245" s="490"/>
      <c r="AVN245" s="490"/>
      <c r="AVO245" s="490"/>
      <c r="AVP245" s="490"/>
      <c r="AVQ245" s="490"/>
      <c r="AVR245" s="490"/>
      <c r="AVS245" s="490"/>
      <c r="AVT245" s="490"/>
      <c r="AVU245" s="490"/>
      <c r="AVV245" s="490"/>
      <c r="AVW245" s="490"/>
      <c r="AVX245" s="490"/>
      <c r="AVY245" s="490"/>
      <c r="AVZ245" s="490"/>
      <c r="AWA245" s="490"/>
      <c r="AWB245" s="490"/>
      <c r="AWC245" s="490"/>
      <c r="AWD245" s="490"/>
      <c r="AWE245" s="490"/>
      <c r="AWF245" s="490"/>
      <c r="AWG245" s="490"/>
      <c r="AWH245" s="490"/>
      <c r="AWI245" s="490"/>
      <c r="AWJ245" s="490"/>
      <c r="AWK245" s="490"/>
      <c r="AWL245" s="490"/>
      <c r="AWM245" s="490"/>
      <c r="AWN245" s="490"/>
      <c r="AWO245" s="490"/>
      <c r="AWP245" s="490"/>
      <c r="AWQ245" s="490"/>
      <c r="AWR245" s="490"/>
      <c r="AWS245" s="490"/>
      <c r="AWT245" s="490"/>
      <c r="AWU245" s="490"/>
      <c r="AWV245" s="490"/>
      <c r="AWW245" s="490"/>
      <c r="AWX245" s="490"/>
      <c r="AWY245" s="490"/>
      <c r="AWZ245" s="490"/>
      <c r="AXA245" s="490"/>
      <c r="AXB245" s="490"/>
      <c r="AXC245" s="490"/>
      <c r="AXD245" s="490"/>
      <c r="AXE245" s="490"/>
      <c r="AXF245" s="490"/>
      <c r="AXG245" s="490"/>
      <c r="AXH245" s="490"/>
      <c r="AXI245" s="490"/>
      <c r="AXJ245" s="490"/>
      <c r="AXK245" s="490"/>
      <c r="AXL245" s="490"/>
      <c r="AXM245" s="490"/>
      <c r="AXN245" s="490"/>
      <c r="AXO245" s="490"/>
      <c r="AXP245" s="490"/>
      <c r="AXQ245" s="490"/>
      <c r="AXR245" s="490"/>
      <c r="AXS245" s="490"/>
      <c r="AXT245" s="490"/>
      <c r="AXU245" s="490"/>
      <c r="AXV245" s="490"/>
      <c r="AXW245" s="490"/>
      <c r="AXX245" s="490"/>
      <c r="AXY245" s="490"/>
      <c r="AXZ245" s="490"/>
      <c r="AYA245" s="490"/>
      <c r="AYB245" s="490"/>
      <c r="AYC245" s="490"/>
      <c r="AYD245" s="490"/>
      <c r="AYE245" s="490"/>
      <c r="AYF245" s="490"/>
      <c r="AYG245" s="490"/>
      <c r="AYH245" s="490"/>
      <c r="AYI245" s="490"/>
      <c r="AYJ245" s="490"/>
      <c r="AYK245" s="490"/>
      <c r="AYL245" s="490"/>
      <c r="AYM245" s="490"/>
      <c r="AYN245" s="490"/>
      <c r="AYO245" s="490"/>
      <c r="AYP245" s="490"/>
      <c r="AYQ245" s="490"/>
      <c r="AYR245" s="490"/>
      <c r="AYS245" s="490"/>
      <c r="AYT245" s="490"/>
      <c r="AYU245" s="490"/>
      <c r="AYV245" s="490"/>
      <c r="AYW245" s="490"/>
      <c r="AYX245" s="490"/>
      <c r="AYY245" s="490"/>
      <c r="AYZ245" s="490"/>
      <c r="AZA245" s="490"/>
      <c r="AZB245" s="490"/>
      <c r="AZC245" s="490"/>
      <c r="AZD245" s="490"/>
      <c r="AZE245" s="490"/>
      <c r="AZF245" s="490"/>
      <c r="AZG245" s="490"/>
      <c r="AZH245" s="490"/>
      <c r="AZI245" s="490"/>
      <c r="AZJ245" s="490"/>
      <c r="AZK245" s="490"/>
      <c r="AZL245" s="490"/>
      <c r="AZM245" s="490"/>
      <c r="AZN245" s="490"/>
      <c r="AZO245" s="490"/>
      <c r="AZP245" s="490"/>
      <c r="AZQ245" s="490"/>
      <c r="AZR245" s="490"/>
      <c r="AZS245" s="490"/>
      <c r="AZT245" s="490"/>
      <c r="AZU245" s="490"/>
      <c r="AZV245" s="490"/>
      <c r="AZW245" s="490"/>
      <c r="AZX245" s="490"/>
      <c r="AZY245" s="490"/>
      <c r="AZZ245" s="490"/>
      <c r="BAA245" s="490"/>
      <c r="BAB245" s="490"/>
      <c r="BAC245" s="490"/>
      <c r="BAD245" s="490"/>
      <c r="BAE245" s="490"/>
      <c r="BAF245" s="490"/>
      <c r="BAG245" s="490"/>
      <c r="BAH245" s="490"/>
      <c r="BAI245" s="490"/>
      <c r="BAJ245" s="490"/>
      <c r="BAK245" s="490"/>
      <c r="BAL245" s="490"/>
      <c r="BAM245" s="490"/>
      <c r="BAN245" s="490"/>
      <c r="BAO245" s="490"/>
      <c r="BAP245" s="490"/>
      <c r="BAQ245" s="490"/>
      <c r="BAR245" s="490"/>
      <c r="BAS245" s="490"/>
      <c r="BAT245" s="490"/>
      <c r="BAU245" s="490"/>
      <c r="BAV245" s="490"/>
      <c r="BAW245" s="490"/>
      <c r="BAX245" s="490"/>
      <c r="BAY245" s="490"/>
      <c r="BAZ245" s="490"/>
      <c r="BBA245" s="490"/>
      <c r="BBB245" s="490"/>
      <c r="BBC245" s="490"/>
      <c r="BBD245" s="490"/>
      <c r="BBE245" s="490"/>
      <c r="BBF245" s="490"/>
      <c r="BBG245" s="490"/>
      <c r="BBH245" s="490"/>
      <c r="BBI245" s="490"/>
      <c r="BBJ245" s="490"/>
      <c r="BBK245" s="490"/>
      <c r="BBL245" s="490"/>
      <c r="BBM245" s="490"/>
      <c r="BBN245" s="490"/>
      <c r="BBO245" s="490"/>
      <c r="BBP245" s="490"/>
      <c r="BBQ245" s="490"/>
      <c r="BBR245" s="490"/>
      <c r="BBS245" s="490"/>
      <c r="BBT245" s="490"/>
      <c r="BBU245" s="490"/>
      <c r="BBV245" s="490"/>
      <c r="BBW245" s="490"/>
      <c r="BBX245" s="490"/>
      <c r="BBY245" s="490"/>
      <c r="BBZ245" s="490"/>
      <c r="BCA245" s="490"/>
      <c r="BCB245" s="490"/>
      <c r="BCC245" s="490"/>
      <c r="BCD245" s="490"/>
      <c r="BCE245" s="490"/>
      <c r="BCF245" s="490"/>
      <c r="BCG245" s="490"/>
      <c r="BCH245" s="490"/>
      <c r="BCI245" s="490"/>
      <c r="BCJ245" s="490"/>
      <c r="BCK245" s="490"/>
      <c r="BCL245" s="490"/>
      <c r="BCM245" s="490"/>
      <c r="BCN245" s="490"/>
      <c r="BCO245" s="490"/>
      <c r="BCP245" s="490"/>
      <c r="BCQ245" s="490"/>
      <c r="BCR245" s="490"/>
      <c r="BCS245" s="490"/>
      <c r="BCT245" s="490"/>
      <c r="BCU245" s="490"/>
      <c r="BCV245" s="490"/>
      <c r="BCW245" s="490"/>
      <c r="BCX245" s="490"/>
      <c r="BCY245" s="490"/>
      <c r="BCZ245" s="490"/>
      <c r="BDA245" s="490"/>
      <c r="BDB245" s="490"/>
      <c r="BDC245" s="490"/>
      <c r="BDD245" s="490"/>
      <c r="BDE245" s="490"/>
      <c r="BDF245" s="490"/>
      <c r="BDG245" s="490"/>
      <c r="BDH245" s="490"/>
      <c r="BDI245" s="490"/>
      <c r="BDJ245" s="490"/>
      <c r="BDK245" s="490"/>
      <c r="BDL245" s="490"/>
      <c r="BDM245" s="490"/>
      <c r="BDN245" s="490"/>
      <c r="BDO245" s="490"/>
      <c r="BDP245" s="490"/>
      <c r="BDQ245" s="490"/>
      <c r="BDR245" s="490"/>
      <c r="BDS245" s="490"/>
      <c r="BDT245" s="490"/>
      <c r="BDU245" s="490"/>
      <c r="BDV245" s="490"/>
      <c r="BDW245" s="490"/>
      <c r="BDX245" s="490"/>
      <c r="BDY245" s="490"/>
      <c r="BDZ245" s="490"/>
      <c r="BEA245" s="490"/>
      <c r="BEB245" s="490"/>
      <c r="BEC245" s="490"/>
      <c r="BED245" s="490"/>
      <c r="BEE245" s="490"/>
      <c r="BEF245" s="490"/>
      <c r="BEG245" s="490"/>
      <c r="BEH245" s="490"/>
      <c r="BEI245" s="490"/>
      <c r="BEJ245" s="490"/>
      <c r="BEK245" s="490"/>
      <c r="BEL245" s="490"/>
      <c r="BEM245" s="490"/>
      <c r="BEN245" s="490"/>
      <c r="BEO245" s="490"/>
      <c r="BEP245" s="490"/>
      <c r="BEQ245" s="490"/>
      <c r="BER245" s="490"/>
      <c r="BES245" s="490"/>
      <c r="BET245" s="490"/>
      <c r="BEU245" s="490"/>
      <c r="BEV245" s="490"/>
      <c r="BEW245" s="490"/>
      <c r="BEX245" s="490"/>
      <c r="BEY245" s="490"/>
      <c r="BEZ245" s="490"/>
      <c r="BFA245" s="490"/>
      <c r="BFB245" s="490"/>
      <c r="BFC245" s="490"/>
      <c r="BFD245" s="490"/>
      <c r="BFE245" s="490"/>
      <c r="BFF245" s="490"/>
      <c r="BFG245" s="490"/>
      <c r="BFH245" s="490"/>
      <c r="BFI245" s="490"/>
      <c r="BFJ245" s="490"/>
      <c r="BFK245" s="490"/>
      <c r="BFL245" s="490"/>
      <c r="BFM245" s="490"/>
      <c r="BFN245" s="490"/>
      <c r="BFO245" s="490"/>
      <c r="BFP245" s="490"/>
      <c r="BFQ245" s="490"/>
      <c r="BFR245" s="490"/>
      <c r="BFS245" s="490"/>
      <c r="BFT245" s="490"/>
      <c r="BFU245" s="490"/>
      <c r="BFV245" s="490"/>
      <c r="BFW245" s="490"/>
      <c r="BFX245" s="490"/>
      <c r="BFY245" s="490"/>
      <c r="BFZ245" s="490"/>
      <c r="BGA245" s="490"/>
      <c r="BGB245" s="490"/>
      <c r="BGC245" s="490"/>
      <c r="BGD245" s="490"/>
      <c r="BGE245" s="490"/>
      <c r="BGF245" s="490"/>
      <c r="BGG245" s="490"/>
      <c r="BGH245" s="490"/>
      <c r="BGI245" s="490"/>
      <c r="BGJ245" s="490"/>
      <c r="BGK245" s="490"/>
      <c r="BGL245" s="490"/>
      <c r="BGM245" s="490"/>
      <c r="BGN245" s="490"/>
      <c r="BGO245" s="490"/>
      <c r="BGP245" s="490"/>
      <c r="BGQ245" s="490"/>
      <c r="BGR245" s="490"/>
      <c r="BGS245" s="490"/>
      <c r="BGT245" s="490"/>
      <c r="BGU245" s="490"/>
      <c r="BGV245" s="490"/>
      <c r="BGW245" s="490"/>
      <c r="BGX245" s="490"/>
      <c r="BGY245" s="490"/>
      <c r="BGZ245" s="490"/>
      <c r="BHA245" s="490"/>
      <c r="BHB245" s="490"/>
      <c r="BHC245" s="490"/>
      <c r="BHD245" s="490"/>
      <c r="BHE245" s="490"/>
      <c r="BHF245" s="490"/>
      <c r="BHG245" s="490"/>
      <c r="BHH245" s="490"/>
      <c r="BHI245" s="490"/>
      <c r="BHJ245" s="490"/>
      <c r="BHK245" s="490"/>
      <c r="BHL245" s="490"/>
      <c r="BHM245" s="490"/>
      <c r="BHN245" s="490"/>
      <c r="BHO245" s="490"/>
      <c r="BHP245" s="490"/>
      <c r="BHQ245" s="490"/>
      <c r="BHR245" s="490"/>
      <c r="BHS245" s="490"/>
      <c r="BHT245" s="490"/>
      <c r="BHU245" s="490"/>
      <c r="BHV245" s="490"/>
      <c r="BHW245" s="490"/>
      <c r="BHX245" s="490"/>
      <c r="BHY245" s="490"/>
      <c r="BHZ245" s="490"/>
      <c r="BIA245" s="490"/>
      <c r="BIB245" s="490"/>
      <c r="BIC245" s="490"/>
      <c r="BID245" s="490"/>
      <c r="BIE245" s="490"/>
      <c r="BIF245" s="490"/>
      <c r="BIG245" s="490"/>
      <c r="BIH245" s="490"/>
      <c r="BII245" s="490"/>
      <c r="BIJ245" s="490"/>
      <c r="BIK245" s="490"/>
      <c r="BIL245" s="490"/>
      <c r="BIM245" s="490"/>
      <c r="BIN245" s="490"/>
      <c r="BIO245" s="490"/>
      <c r="BIP245" s="490"/>
      <c r="BIQ245" s="490"/>
      <c r="BIR245" s="490"/>
      <c r="BIS245" s="490"/>
      <c r="BIT245" s="490"/>
      <c r="BIU245" s="490"/>
      <c r="BIV245" s="490"/>
      <c r="BIW245" s="490"/>
      <c r="BIX245" s="490"/>
      <c r="BIY245" s="490"/>
      <c r="BIZ245" s="490"/>
      <c r="BJA245" s="490"/>
      <c r="BJB245" s="490"/>
      <c r="BJC245" s="490"/>
      <c r="BJD245" s="490"/>
      <c r="BJE245" s="490"/>
      <c r="BJF245" s="490"/>
      <c r="BJG245" s="490"/>
      <c r="BJH245" s="490"/>
      <c r="BJI245" s="490"/>
      <c r="BJJ245" s="490"/>
      <c r="BJK245" s="490"/>
      <c r="BJL245" s="490"/>
      <c r="BJM245" s="490"/>
      <c r="BJN245" s="490"/>
      <c r="BJO245" s="490"/>
      <c r="BJP245" s="490"/>
      <c r="BJQ245" s="490"/>
      <c r="BJR245" s="490"/>
      <c r="BJS245" s="490"/>
      <c r="BJT245" s="490"/>
      <c r="BJU245" s="490"/>
      <c r="BJV245" s="490"/>
      <c r="BJW245" s="490"/>
      <c r="BJX245" s="490"/>
      <c r="BJY245" s="490"/>
      <c r="BJZ245" s="490"/>
      <c r="BKA245" s="490"/>
      <c r="BKB245" s="490"/>
      <c r="BKC245" s="490"/>
      <c r="BKD245" s="490"/>
      <c r="BKE245" s="490"/>
      <c r="BKF245" s="490"/>
      <c r="BKG245" s="490"/>
      <c r="BKH245" s="490"/>
      <c r="BKI245" s="490"/>
      <c r="BKJ245" s="490"/>
      <c r="BKK245" s="490"/>
      <c r="BKL245" s="490"/>
      <c r="BKM245" s="490"/>
      <c r="BKN245" s="490"/>
      <c r="BKO245" s="490"/>
      <c r="BKP245" s="490"/>
      <c r="BKQ245" s="490"/>
      <c r="BKR245" s="490"/>
      <c r="BKS245" s="490"/>
      <c r="BKT245" s="490"/>
      <c r="BKU245" s="490"/>
      <c r="BKV245" s="490"/>
      <c r="BKW245" s="490"/>
      <c r="BKX245" s="490"/>
      <c r="BKY245" s="490"/>
      <c r="BKZ245" s="490"/>
      <c r="BLA245" s="490"/>
      <c r="BLB245" s="490"/>
      <c r="BLC245" s="490"/>
      <c r="BLD245" s="490"/>
      <c r="BLE245" s="490"/>
      <c r="BLF245" s="490"/>
      <c r="BLG245" s="490"/>
      <c r="BLH245" s="490"/>
      <c r="BLI245" s="490"/>
      <c r="BLJ245" s="490"/>
      <c r="BLK245" s="490"/>
      <c r="BLL245" s="490"/>
      <c r="BLM245" s="490"/>
      <c r="BLN245" s="490"/>
      <c r="BLO245" s="490"/>
      <c r="BLP245" s="490"/>
      <c r="BLQ245" s="490"/>
      <c r="BLR245" s="490"/>
      <c r="BLS245" s="490"/>
      <c r="BLT245" s="490"/>
      <c r="BLU245" s="490"/>
      <c r="BLV245" s="490"/>
      <c r="BLW245" s="490"/>
      <c r="BLX245" s="490"/>
      <c r="BLY245" s="490"/>
      <c r="BLZ245" s="490"/>
      <c r="BMA245" s="490"/>
      <c r="BMB245" s="490"/>
      <c r="BMC245" s="490"/>
      <c r="BMD245" s="490"/>
      <c r="BME245" s="490"/>
      <c r="BMF245" s="490"/>
      <c r="BMG245" s="490"/>
      <c r="BMH245" s="490"/>
      <c r="BMI245" s="490"/>
      <c r="BMJ245" s="490"/>
      <c r="BMK245" s="490"/>
      <c r="BML245" s="490"/>
      <c r="BMM245" s="490"/>
      <c r="BMN245" s="490"/>
      <c r="BMO245" s="490"/>
      <c r="BMP245" s="490"/>
      <c r="BMQ245" s="490"/>
      <c r="BMR245" s="490"/>
      <c r="BMS245" s="490"/>
      <c r="BMT245" s="490"/>
      <c r="BMU245" s="490"/>
      <c r="BMV245" s="490"/>
      <c r="BMW245" s="490"/>
      <c r="BMX245" s="490"/>
      <c r="BMY245" s="490"/>
      <c r="BMZ245" s="490"/>
      <c r="BNA245" s="490"/>
      <c r="BNB245" s="490"/>
      <c r="BNC245" s="490"/>
      <c r="BND245" s="490"/>
      <c r="BNE245" s="490"/>
      <c r="BNF245" s="490"/>
      <c r="BNG245" s="490"/>
      <c r="BNH245" s="490"/>
      <c r="BNI245" s="490"/>
      <c r="BNJ245" s="490"/>
      <c r="BNK245" s="490"/>
      <c r="BNL245" s="490"/>
      <c r="BNM245" s="490"/>
      <c r="BNN245" s="490"/>
      <c r="BNO245" s="490"/>
      <c r="BNP245" s="490"/>
      <c r="BNQ245" s="490"/>
      <c r="BNR245" s="490"/>
      <c r="BNS245" s="490"/>
      <c r="BNT245" s="490"/>
      <c r="BNU245" s="490"/>
      <c r="BNV245" s="490"/>
      <c r="BNW245" s="490"/>
      <c r="BNX245" s="490"/>
      <c r="BNY245" s="490"/>
      <c r="BNZ245" s="490"/>
      <c r="BOA245" s="490"/>
      <c r="BOB245" s="490"/>
      <c r="BOC245" s="490"/>
      <c r="BOD245" s="490"/>
      <c r="BOE245" s="490"/>
      <c r="BOF245" s="490"/>
      <c r="BOG245" s="490"/>
      <c r="BOH245" s="490"/>
      <c r="BOI245" s="490"/>
      <c r="BOJ245" s="490"/>
      <c r="BOK245" s="490"/>
      <c r="BOL245" s="490"/>
      <c r="BOM245" s="490"/>
      <c r="BON245" s="490"/>
      <c r="BOO245" s="490"/>
      <c r="BOP245" s="490"/>
      <c r="BOQ245" s="490"/>
      <c r="BOR245" s="490"/>
      <c r="BOS245" s="490"/>
      <c r="BOT245" s="490"/>
      <c r="BOU245" s="490"/>
      <c r="BOV245" s="490"/>
      <c r="BOW245" s="490"/>
      <c r="BOX245" s="490"/>
      <c r="BOY245" s="490"/>
      <c r="BOZ245" s="490"/>
      <c r="BPA245" s="490"/>
      <c r="BPB245" s="490"/>
      <c r="BPC245" s="490"/>
      <c r="BPD245" s="490"/>
      <c r="BPE245" s="490"/>
      <c r="BPF245" s="490"/>
      <c r="BPG245" s="490"/>
      <c r="BPH245" s="490"/>
      <c r="BPI245" s="490"/>
      <c r="BPJ245" s="490"/>
      <c r="BPK245" s="490"/>
      <c r="BPL245" s="490"/>
      <c r="BPM245" s="490"/>
      <c r="BPN245" s="490"/>
      <c r="BPO245" s="490"/>
      <c r="BPP245" s="490"/>
      <c r="BPQ245" s="490"/>
      <c r="BPR245" s="490"/>
      <c r="BPS245" s="490"/>
      <c r="BPT245" s="490"/>
      <c r="BPU245" s="490"/>
      <c r="BPV245" s="490"/>
      <c r="BPW245" s="490"/>
      <c r="BPX245" s="490"/>
      <c r="BPY245" s="490"/>
      <c r="BPZ245" s="490"/>
      <c r="BQA245" s="490"/>
      <c r="BQB245" s="490"/>
      <c r="BQC245" s="490"/>
      <c r="BQD245" s="490"/>
      <c r="BQE245" s="490"/>
      <c r="BQF245" s="490"/>
      <c r="BQG245" s="490"/>
      <c r="BQH245" s="490"/>
      <c r="BQI245" s="490"/>
      <c r="BQJ245" s="490"/>
      <c r="BQK245" s="490"/>
      <c r="BQL245" s="490"/>
      <c r="BQM245" s="490"/>
      <c r="BQN245" s="490"/>
      <c r="BQO245" s="490"/>
      <c r="BQP245" s="490"/>
      <c r="BQQ245" s="490"/>
      <c r="BQR245" s="490"/>
      <c r="BQS245" s="490"/>
      <c r="BQT245" s="490"/>
      <c r="BQU245" s="490"/>
      <c r="BQV245" s="490"/>
      <c r="BQW245" s="490"/>
      <c r="BQX245" s="490"/>
      <c r="BQY245" s="490"/>
      <c r="BQZ245" s="490"/>
      <c r="BRA245" s="490"/>
      <c r="BRB245" s="490"/>
      <c r="BRC245" s="490"/>
      <c r="BRD245" s="490"/>
      <c r="BRE245" s="490"/>
      <c r="BRF245" s="490"/>
      <c r="BRG245" s="490"/>
      <c r="BRH245" s="490"/>
      <c r="BRI245" s="490"/>
      <c r="BRJ245" s="490"/>
      <c r="BRK245" s="490"/>
      <c r="BRL245" s="490"/>
      <c r="BRM245" s="490"/>
      <c r="BRN245" s="490"/>
      <c r="BRO245" s="490"/>
      <c r="BRP245" s="490"/>
      <c r="BRQ245" s="490"/>
      <c r="BRR245" s="490"/>
      <c r="BRS245" s="490"/>
      <c r="BRT245" s="490"/>
      <c r="BRU245" s="490"/>
      <c r="BRV245" s="490"/>
      <c r="BRW245" s="490"/>
      <c r="BRX245" s="490"/>
      <c r="BRY245" s="490"/>
      <c r="BRZ245" s="490"/>
      <c r="BSA245" s="490"/>
      <c r="BSB245" s="490"/>
      <c r="BSC245" s="490"/>
      <c r="BSD245" s="490"/>
      <c r="BSE245" s="490"/>
      <c r="BSF245" s="490"/>
      <c r="BSG245" s="490"/>
      <c r="BSH245" s="490"/>
      <c r="BSI245" s="490"/>
      <c r="BSJ245" s="490"/>
      <c r="BSK245" s="490"/>
      <c r="BSL245" s="490"/>
      <c r="BSM245" s="490"/>
      <c r="BSN245" s="490"/>
      <c r="BSO245" s="490"/>
      <c r="BSP245" s="490"/>
      <c r="BSQ245" s="490"/>
      <c r="BSR245" s="490"/>
      <c r="BSS245" s="490"/>
      <c r="BST245" s="490"/>
      <c r="BSU245" s="490"/>
      <c r="BSV245" s="490"/>
      <c r="BSW245" s="490"/>
      <c r="BSX245" s="490"/>
      <c r="BSY245" s="490"/>
      <c r="BSZ245" s="490"/>
      <c r="BTA245" s="490"/>
      <c r="BTB245" s="490"/>
      <c r="BTC245" s="490"/>
      <c r="BTD245" s="490"/>
      <c r="BTE245" s="490"/>
      <c r="BTF245" s="490"/>
      <c r="BTG245" s="490"/>
      <c r="BTH245" s="490"/>
      <c r="BTI245" s="490"/>
    </row>
    <row r="246" spans="1:1881" s="489" customFormat="1" ht="65.25" customHeight="1" x14ac:dyDescent="0.25">
      <c r="A246" s="455">
        <v>948</v>
      </c>
      <c r="B246" s="451"/>
      <c r="C246" s="452"/>
      <c r="D246" s="854" t="s">
        <v>1082</v>
      </c>
      <c r="E246" s="454" t="s">
        <v>952</v>
      </c>
      <c r="F246" s="916"/>
      <c r="G246" s="563" t="str">
        <f t="shared" si="3"/>
        <v>Please do not leave blank</v>
      </c>
      <c r="H246" s="491"/>
      <c r="I246"/>
      <c r="J246"/>
      <c r="K246"/>
      <c r="L246"/>
      <c r="M246"/>
      <c r="N246"/>
      <c r="O246"/>
      <c r="P246" s="490"/>
      <c r="Q246" s="490"/>
      <c r="R246" s="490"/>
      <c r="S246" s="490"/>
      <c r="T246" s="490"/>
      <c r="U246" s="490"/>
      <c r="V246" s="490"/>
      <c r="W246" s="490"/>
      <c r="X246" s="490"/>
      <c r="Y246" s="490"/>
      <c r="Z246" s="490"/>
      <c r="AA246" s="490"/>
      <c r="AB246" s="490"/>
      <c r="AC246" s="490"/>
      <c r="AD246" s="490"/>
      <c r="AE246" s="490"/>
      <c r="AF246" s="490"/>
      <c r="AG246" s="490"/>
      <c r="AH246" s="490"/>
      <c r="AI246" s="490"/>
      <c r="AJ246" s="490"/>
      <c r="AK246" s="490"/>
      <c r="AL246" s="490"/>
      <c r="AM246" s="490"/>
      <c r="AN246" s="490"/>
      <c r="AO246" s="490"/>
      <c r="AP246" s="490"/>
      <c r="AQ246" s="490"/>
      <c r="AR246" s="490"/>
      <c r="AS246" s="490"/>
      <c r="AT246" s="490"/>
      <c r="AU246" s="490"/>
      <c r="AV246" s="490"/>
      <c r="AW246" s="490"/>
      <c r="AX246" s="490"/>
      <c r="AY246" s="490"/>
      <c r="AZ246" s="490"/>
      <c r="BA246" s="490"/>
      <c r="BB246" s="490"/>
      <c r="BC246" s="490"/>
      <c r="BD246" s="490"/>
      <c r="BE246" s="490"/>
      <c r="BF246" s="490"/>
      <c r="BG246" s="490"/>
      <c r="BH246" s="490"/>
      <c r="BI246" s="490"/>
      <c r="BJ246" s="490"/>
      <c r="BK246" s="490"/>
      <c r="BL246" s="490"/>
      <c r="BM246" s="490"/>
      <c r="BN246" s="490"/>
      <c r="BO246" s="490"/>
      <c r="BP246" s="490"/>
      <c r="BQ246" s="490"/>
      <c r="BR246" s="490"/>
      <c r="BS246" s="490"/>
      <c r="BT246" s="490"/>
      <c r="BU246" s="490"/>
      <c r="BV246" s="490"/>
      <c r="BW246" s="490"/>
      <c r="BX246" s="490"/>
      <c r="BY246" s="490"/>
      <c r="BZ246" s="490"/>
      <c r="CA246" s="490"/>
      <c r="CB246" s="490"/>
      <c r="CC246" s="490"/>
      <c r="CD246" s="490"/>
      <c r="CE246" s="490"/>
      <c r="CF246" s="490"/>
      <c r="CG246" s="490"/>
      <c r="CH246" s="490"/>
      <c r="CI246" s="490"/>
      <c r="CJ246" s="490"/>
      <c r="CK246" s="490"/>
      <c r="CL246" s="490"/>
      <c r="CM246" s="490"/>
      <c r="CN246" s="490"/>
      <c r="CO246" s="490"/>
      <c r="CP246" s="490"/>
      <c r="CQ246" s="490"/>
      <c r="CR246" s="490"/>
      <c r="CS246" s="490"/>
      <c r="CT246" s="490"/>
      <c r="CU246" s="490"/>
      <c r="CV246" s="490"/>
      <c r="CW246" s="490"/>
      <c r="CX246" s="490"/>
      <c r="CY246" s="490"/>
      <c r="CZ246" s="490"/>
      <c r="DA246" s="490"/>
      <c r="DB246" s="490"/>
      <c r="DC246" s="490"/>
      <c r="DD246" s="490"/>
      <c r="DE246" s="490"/>
      <c r="DF246" s="490"/>
      <c r="DG246" s="490"/>
      <c r="DH246" s="490"/>
      <c r="DI246" s="490"/>
      <c r="DJ246" s="490"/>
      <c r="DK246" s="490"/>
      <c r="DL246" s="490"/>
      <c r="DM246" s="490"/>
      <c r="DN246" s="490"/>
      <c r="DO246" s="490"/>
      <c r="DP246" s="490"/>
      <c r="DQ246" s="490"/>
      <c r="DR246" s="490"/>
      <c r="DS246" s="490"/>
      <c r="DT246" s="490"/>
      <c r="DU246" s="490"/>
      <c r="DV246" s="490"/>
      <c r="DW246" s="490"/>
      <c r="DX246" s="490"/>
      <c r="DY246" s="490"/>
      <c r="DZ246" s="490"/>
      <c r="EA246" s="490"/>
      <c r="EB246" s="490"/>
      <c r="EC246" s="490"/>
      <c r="ED246" s="490"/>
      <c r="EE246" s="490"/>
      <c r="EF246" s="490"/>
      <c r="EG246" s="490"/>
      <c r="EH246" s="490"/>
      <c r="EI246" s="490"/>
      <c r="EJ246" s="490"/>
      <c r="EK246" s="490"/>
      <c r="EL246" s="490"/>
      <c r="EM246" s="490"/>
      <c r="EN246" s="490"/>
      <c r="EO246" s="490"/>
      <c r="EP246" s="490"/>
      <c r="EQ246" s="490"/>
      <c r="ER246" s="490"/>
      <c r="ES246" s="490"/>
      <c r="ET246" s="490"/>
      <c r="EU246" s="490"/>
      <c r="EV246" s="490"/>
      <c r="EW246" s="490"/>
      <c r="EX246" s="490"/>
      <c r="EY246" s="490"/>
      <c r="EZ246" s="490"/>
      <c r="FA246" s="490"/>
      <c r="FB246" s="490"/>
      <c r="FC246" s="490"/>
      <c r="FD246" s="490"/>
      <c r="FE246" s="490"/>
      <c r="FF246" s="490"/>
      <c r="FG246" s="490"/>
      <c r="FH246" s="490"/>
      <c r="FI246" s="490"/>
      <c r="FJ246" s="490"/>
      <c r="FK246" s="490"/>
      <c r="FL246" s="490"/>
      <c r="FM246" s="490"/>
      <c r="FN246" s="490"/>
      <c r="FO246" s="490"/>
      <c r="FP246" s="490"/>
      <c r="FQ246" s="490"/>
      <c r="FR246" s="490"/>
      <c r="FS246" s="490"/>
      <c r="FT246" s="490"/>
      <c r="FU246" s="490"/>
      <c r="FV246" s="490"/>
      <c r="FW246" s="490"/>
      <c r="FX246" s="490"/>
      <c r="FY246" s="490"/>
      <c r="FZ246" s="490"/>
      <c r="GA246" s="490"/>
      <c r="GB246" s="490"/>
      <c r="GC246" s="490"/>
      <c r="GD246" s="490"/>
      <c r="GE246" s="490"/>
      <c r="GF246" s="490"/>
      <c r="GG246" s="490"/>
      <c r="GH246" s="490"/>
      <c r="GI246" s="490"/>
      <c r="GJ246" s="490"/>
      <c r="GK246" s="490"/>
      <c r="GL246" s="490"/>
      <c r="GM246" s="490"/>
      <c r="GN246" s="490"/>
      <c r="GO246" s="490"/>
      <c r="GP246" s="490"/>
      <c r="GQ246" s="490"/>
      <c r="GR246" s="490"/>
      <c r="GS246" s="490"/>
      <c r="GT246" s="490"/>
      <c r="GU246" s="490"/>
      <c r="GV246" s="490"/>
      <c r="GW246" s="490"/>
      <c r="GX246" s="490"/>
      <c r="GY246" s="490"/>
      <c r="GZ246" s="490"/>
      <c r="HA246" s="490"/>
      <c r="HB246" s="490"/>
      <c r="HC246" s="490"/>
      <c r="HD246" s="490"/>
      <c r="HE246" s="490"/>
      <c r="HF246" s="490"/>
      <c r="HG246" s="490"/>
      <c r="HH246" s="490"/>
      <c r="HI246" s="490"/>
      <c r="HJ246" s="490"/>
      <c r="HK246" s="490"/>
      <c r="HL246" s="490"/>
      <c r="HM246" s="490"/>
      <c r="HN246" s="490"/>
      <c r="HO246" s="490"/>
      <c r="HP246" s="490"/>
      <c r="HQ246" s="490"/>
      <c r="HR246" s="490"/>
      <c r="HS246" s="490"/>
      <c r="HT246" s="490"/>
      <c r="HU246" s="490"/>
      <c r="HV246" s="490"/>
      <c r="HW246" s="490"/>
      <c r="HX246" s="490"/>
      <c r="HY246" s="490"/>
      <c r="HZ246" s="490"/>
      <c r="IA246" s="490"/>
      <c r="IB246" s="490"/>
      <c r="IC246" s="490"/>
      <c r="ID246" s="490"/>
      <c r="IE246" s="490"/>
      <c r="IF246" s="490"/>
      <c r="IG246" s="490"/>
      <c r="IH246" s="490"/>
      <c r="II246" s="490"/>
      <c r="IJ246" s="490"/>
      <c r="IK246" s="490"/>
      <c r="IL246" s="490"/>
      <c r="IM246" s="490"/>
      <c r="IN246" s="490"/>
      <c r="IO246" s="490"/>
      <c r="IP246" s="490"/>
      <c r="IQ246" s="490"/>
      <c r="IR246" s="490"/>
      <c r="IS246" s="490"/>
      <c r="IT246" s="490"/>
      <c r="IU246" s="490"/>
      <c r="IV246" s="490"/>
      <c r="IW246" s="490"/>
      <c r="IX246" s="490"/>
      <c r="IY246" s="490"/>
      <c r="IZ246" s="490"/>
      <c r="JA246" s="490"/>
      <c r="JB246" s="490"/>
      <c r="JC246" s="490"/>
      <c r="JD246" s="490"/>
      <c r="JE246" s="490"/>
      <c r="JF246" s="490"/>
      <c r="JG246" s="490"/>
      <c r="JH246" s="490"/>
      <c r="JI246" s="490"/>
      <c r="JJ246" s="490"/>
      <c r="JK246" s="490"/>
      <c r="JL246" s="490"/>
      <c r="JM246" s="490"/>
      <c r="JN246" s="490"/>
      <c r="JO246" s="490"/>
      <c r="JP246" s="490"/>
      <c r="JQ246" s="490"/>
      <c r="JR246" s="490"/>
      <c r="JS246" s="490"/>
      <c r="JT246" s="490"/>
      <c r="JU246" s="490"/>
      <c r="JV246" s="490"/>
      <c r="JW246" s="490"/>
      <c r="JX246" s="490"/>
      <c r="JY246" s="490"/>
      <c r="JZ246" s="490"/>
      <c r="KA246" s="490"/>
      <c r="KB246" s="490"/>
      <c r="KC246" s="490"/>
      <c r="KD246" s="490"/>
      <c r="KE246" s="490"/>
      <c r="KF246" s="490"/>
      <c r="KG246" s="490"/>
      <c r="KH246" s="490"/>
      <c r="KI246" s="490"/>
      <c r="KJ246" s="490"/>
      <c r="KK246" s="490"/>
      <c r="KL246" s="490"/>
      <c r="KM246" s="490"/>
      <c r="KN246" s="490"/>
      <c r="KO246" s="490"/>
      <c r="KP246" s="490"/>
      <c r="KQ246" s="490"/>
      <c r="KR246" s="490"/>
      <c r="KS246" s="490"/>
      <c r="KT246" s="490"/>
      <c r="KU246" s="490"/>
      <c r="KV246" s="490"/>
      <c r="KW246" s="490"/>
      <c r="KX246" s="490"/>
      <c r="KY246" s="490"/>
      <c r="KZ246" s="490"/>
      <c r="LA246" s="490"/>
      <c r="LB246" s="490"/>
      <c r="LC246" s="490"/>
      <c r="LD246" s="490"/>
      <c r="LE246" s="490"/>
      <c r="LF246" s="490"/>
      <c r="LG246" s="490"/>
      <c r="LH246" s="490"/>
      <c r="LI246" s="490"/>
      <c r="LJ246" s="490"/>
      <c r="LK246" s="490"/>
      <c r="LL246" s="490"/>
      <c r="LM246" s="490"/>
      <c r="LN246" s="490"/>
      <c r="LO246" s="490"/>
      <c r="LP246" s="490"/>
      <c r="LQ246" s="490"/>
      <c r="LR246" s="490"/>
      <c r="LS246" s="490"/>
      <c r="LT246" s="490"/>
      <c r="LU246" s="490"/>
      <c r="LV246" s="490"/>
      <c r="LW246" s="490"/>
      <c r="LX246" s="490"/>
      <c r="LY246" s="490"/>
      <c r="LZ246" s="490"/>
      <c r="MA246" s="490"/>
      <c r="MB246" s="490"/>
      <c r="MC246" s="490"/>
      <c r="MD246" s="490"/>
      <c r="ME246" s="490"/>
      <c r="MF246" s="490"/>
      <c r="MG246" s="490"/>
      <c r="MH246" s="490"/>
      <c r="MI246" s="490"/>
      <c r="MJ246" s="490"/>
      <c r="MK246" s="490"/>
      <c r="ML246" s="490"/>
      <c r="MM246" s="490"/>
      <c r="MN246" s="490"/>
      <c r="MO246" s="490"/>
      <c r="MP246" s="490"/>
      <c r="MQ246" s="490"/>
      <c r="MR246" s="490"/>
      <c r="MS246" s="490"/>
      <c r="MT246" s="490"/>
      <c r="MU246" s="490"/>
      <c r="MV246" s="490"/>
      <c r="MW246" s="490"/>
      <c r="MX246" s="490"/>
      <c r="MY246" s="490"/>
      <c r="MZ246" s="490"/>
      <c r="NA246" s="490"/>
      <c r="NB246" s="490"/>
      <c r="NC246" s="490"/>
      <c r="ND246" s="490"/>
      <c r="NE246" s="490"/>
      <c r="NF246" s="490"/>
      <c r="NG246" s="490"/>
      <c r="NH246" s="490"/>
      <c r="NI246" s="490"/>
      <c r="NJ246" s="490"/>
      <c r="NK246" s="490"/>
      <c r="NL246" s="490"/>
      <c r="NM246" s="490"/>
      <c r="NN246" s="490"/>
      <c r="NO246" s="490"/>
      <c r="NP246" s="490"/>
      <c r="NQ246" s="490"/>
      <c r="NR246" s="490"/>
      <c r="NS246" s="490"/>
      <c r="NT246" s="490"/>
      <c r="NU246" s="490"/>
      <c r="NV246" s="490"/>
      <c r="NW246" s="490"/>
      <c r="NX246" s="490"/>
      <c r="NY246" s="490"/>
      <c r="NZ246" s="490"/>
      <c r="OA246" s="490"/>
      <c r="OB246" s="490"/>
      <c r="OC246" s="490"/>
      <c r="OD246" s="490"/>
      <c r="OE246" s="490"/>
      <c r="OF246" s="490"/>
      <c r="OG246" s="490"/>
      <c r="OH246" s="490"/>
      <c r="OI246" s="490"/>
      <c r="OJ246" s="490"/>
      <c r="OK246" s="490"/>
      <c r="OL246" s="490"/>
      <c r="OM246" s="490"/>
      <c r="ON246" s="490"/>
      <c r="OO246" s="490"/>
      <c r="OP246" s="490"/>
      <c r="OQ246" s="490"/>
      <c r="OR246" s="490"/>
      <c r="OS246" s="490"/>
      <c r="OT246" s="490"/>
      <c r="OU246" s="490"/>
      <c r="OV246" s="490"/>
      <c r="OW246" s="490"/>
      <c r="OX246" s="490"/>
      <c r="OY246" s="490"/>
      <c r="OZ246" s="490"/>
      <c r="PA246" s="490"/>
      <c r="PB246" s="490"/>
      <c r="PC246" s="490"/>
      <c r="PD246" s="490"/>
      <c r="PE246" s="490"/>
      <c r="PF246" s="490"/>
      <c r="PG246" s="490"/>
      <c r="PH246" s="490"/>
      <c r="PI246" s="490"/>
      <c r="PJ246" s="490"/>
      <c r="PK246" s="490"/>
      <c r="PL246" s="490"/>
      <c r="PM246" s="490"/>
      <c r="PN246" s="490"/>
      <c r="PO246" s="490"/>
      <c r="PP246" s="490"/>
      <c r="PQ246" s="490"/>
      <c r="PR246" s="490"/>
      <c r="PS246" s="490"/>
      <c r="PT246" s="490"/>
      <c r="PU246" s="490"/>
      <c r="PV246" s="490"/>
      <c r="PW246" s="490"/>
      <c r="PX246" s="490"/>
      <c r="PY246" s="490"/>
      <c r="PZ246" s="490"/>
      <c r="QA246" s="490"/>
      <c r="QB246" s="490"/>
      <c r="QC246" s="490"/>
      <c r="QD246" s="490"/>
      <c r="QE246" s="490"/>
      <c r="QF246" s="490"/>
      <c r="QG246" s="490"/>
      <c r="QH246" s="490"/>
      <c r="QI246" s="490"/>
      <c r="QJ246" s="490"/>
      <c r="QK246" s="490"/>
      <c r="QL246" s="490"/>
      <c r="QM246" s="490"/>
      <c r="QN246" s="490"/>
      <c r="QO246" s="490"/>
      <c r="QP246" s="490"/>
      <c r="QQ246" s="490"/>
      <c r="QR246" s="490"/>
      <c r="QS246" s="490"/>
      <c r="QT246" s="490"/>
      <c r="QU246" s="490"/>
      <c r="QV246" s="490"/>
      <c r="QW246" s="490"/>
      <c r="QX246" s="490"/>
      <c r="QY246" s="490"/>
      <c r="QZ246" s="490"/>
      <c r="RA246" s="490"/>
      <c r="RB246" s="490"/>
      <c r="RC246" s="490"/>
      <c r="RD246" s="490"/>
      <c r="RE246" s="490"/>
      <c r="RF246" s="490"/>
      <c r="RG246" s="490"/>
      <c r="RH246" s="490"/>
      <c r="RI246" s="490"/>
      <c r="RJ246" s="490"/>
      <c r="RK246" s="490"/>
      <c r="RL246" s="490"/>
      <c r="RM246" s="490"/>
      <c r="RN246" s="490"/>
      <c r="RO246" s="490"/>
      <c r="RP246" s="490"/>
      <c r="RQ246" s="490"/>
      <c r="RR246" s="490"/>
      <c r="RS246" s="490"/>
      <c r="RT246" s="490"/>
      <c r="RU246" s="490"/>
      <c r="RV246" s="490"/>
      <c r="RW246" s="490"/>
      <c r="RX246" s="490"/>
      <c r="RY246" s="490"/>
      <c r="RZ246" s="490"/>
      <c r="SA246" s="490"/>
      <c r="SB246" s="490"/>
      <c r="SC246" s="490"/>
      <c r="SD246" s="490"/>
      <c r="SE246" s="490"/>
      <c r="SF246" s="490"/>
      <c r="SG246" s="490"/>
      <c r="SH246" s="490"/>
      <c r="SI246" s="490"/>
      <c r="SJ246" s="490"/>
      <c r="SK246" s="490"/>
      <c r="SL246" s="490"/>
      <c r="SM246" s="490"/>
      <c r="SN246" s="490"/>
      <c r="SO246" s="490"/>
      <c r="SP246" s="490"/>
      <c r="SQ246" s="490"/>
      <c r="SR246" s="490"/>
      <c r="SS246" s="490"/>
      <c r="ST246" s="490"/>
      <c r="SU246" s="490"/>
      <c r="SV246" s="490"/>
      <c r="SW246" s="490"/>
      <c r="SX246" s="490"/>
      <c r="SY246" s="490"/>
      <c r="SZ246" s="490"/>
      <c r="TA246" s="490"/>
      <c r="TB246" s="490"/>
      <c r="TC246" s="490"/>
      <c r="TD246" s="490"/>
      <c r="TE246" s="490"/>
      <c r="TF246" s="490"/>
      <c r="TG246" s="490"/>
      <c r="TH246" s="490"/>
      <c r="TI246" s="490"/>
      <c r="TJ246" s="490"/>
      <c r="TK246" s="490"/>
      <c r="TL246" s="490"/>
      <c r="TM246" s="490"/>
      <c r="TN246" s="490"/>
      <c r="TO246" s="490"/>
      <c r="TP246" s="490"/>
      <c r="TQ246" s="490"/>
      <c r="TR246" s="490"/>
      <c r="TS246" s="490"/>
      <c r="TT246" s="490"/>
      <c r="TU246" s="490"/>
      <c r="TV246" s="490"/>
      <c r="TW246" s="490"/>
      <c r="TX246" s="490"/>
      <c r="TY246" s="490"/>
      <c r="TZ246" s="490"/>
      <c r="UA246" s="490"/>
      <c r="UB246" s="490"/>
      <c r="UC246" s="490"/>
      <c r="UD246" s="490"/>
      <c r="UE246" s="490"/>
      <c r="UF246" s="490"/>
      <c r="UG246" s="490"/>
      <c r="UH246" s="490"/>
      <c r="UI246" s="490"/>
      <c r="UJ246" s="490"/>
      <c r="UK246" s="490"/>
      <c r="UL246" s="490"/>
      <c r="UM246" s="490"/>
      <c r="UN246" s="490"/>
      <c r="UO246" s="490"/>
      <c r="UP246" s="490"/>
      <c r="UQ246" s="490"/>
      <c r="UR246" s="490"/>
      <c r="US246" s="490"/>
      <c r="UT246" s="490"/>
      <c r="UU246" s="490"/>
      <c r="UV246" s="490"/>
      <c r="UW246" s="490"/>
      <c r="UX246" s="490"/>
      <c r="UY246" s="490"/>
      <c r="UZ246" s="490"/>
      <c r="VA246" s="490"/>
      <c r="VB246" s="490"/>
      <c r="VC246" s="490"/>
      <c r="VD246" s="490"/>
      <c r="VE246" s="490"/>
      <c r="VF246" s="490"/>
      <c r="VG246" s="490"/>
      <c r="VH246" s="490"/>
      <c r="VI246" s="490"/>
      <c r="VJ246" s="490"/>
      <c r="VK246" s="490"/>
      <c r="VL246" s="490"/>
      <c r="VM246" s="490"/>
      <c r="VN246" s="490"/>
      <c r="VO246" s="490"/>
      <c r="VP246" s="490"/>
      <c r="VQ246" s="490"/>
      <c r="VR246" s="490"/>
      <c r="VS246" s="490"/>
      <c r="VT246" s="490"/>
      <c r="VU246" s="490"/>
      <c r="VV246" s="490"/>
      <c r="VW246" s="490"/>
      <c r="VX246" s="490"/>
      <c r="VY246" s="490"/>
      <c r="VZ246" s="490"/>
      <c r="WA246" s="490"/>
      <c r="WB246" s="490"/>
      <c r="WC246" s="490"/>
      <c r="WD246" s="490"/>
      <c r="WE246" s="490"/>
      <c r="WF246" s="490"/>
      <c r="WG246" s="490"/>
      <c r="WH246" s="490"/>
      <c r="WI246" s="490"/>
      <c r="WJ246" s="490"/>
      <c r="WK246" s="490"/>
      <c r="WL246" s="490"/>
      <c r="WM246" s="490"/>
      <c r="WN246" s="490"/>
      <c r="WO246" s="490"/>
      <c r="WP246" s="490"/>
      <c r="WQ246" s="490"/>
      <c r="WR246" s="490"/>
      <c r="WS246" s="490"/>
      <c r="WT246" s="490"/>
      <c r="WU246" s="490"/>
      <c r="WV246" s="490"/>
      <c r="WW246" s="490"/>
      <c r="WX246" s="490"/>
      <c r="WY246" s="490"/>
      <c r="WZ246" s="490"/>
      <c r="XA246" s="490"/>
      <c r="XB246" s="490"/>
      <c r="XC246" s="490"/>
      <c r="XD246" s="490"/>
      <c r="XE246" s="490"/>
      <c r="XF246" s="490"/>
      <c r="XG246" s="490"/>
      <c r="XH246" s="490"/>
      <c r="XI246" s="490"/>
      <c r="XJ246" s="490"/>
      <c r="XK246" s="490"/>
      <c r="XL246" s="490"/>
      <c r="XM246" s="490"/>
      <c r="XN246" s="490"/>
      <c r="XO246" s="490"/>
      <c r="XP246" s="490"/>
      <c r="XQ246" s="490"/>
      <c r="XR246" s="490"/>
      <c r="XS246" s="490"/>
      <c r="XT246" s="490"/>
      <c r="XU246" s="490"/>
      <c r="XV246" s="490"/>
      <c r="XW246" s="490"/>
      <c r="XX246" s="490"/>
      <c r="XY246" s="490"/>
      <c r="XZ246" s="490"/>
      <c r="YA246" s="490"/>
      <c r="YB246" s="490"/>
      <c r="YC246" s="490"/>
      <c r="YD246" s="490"/>
      <c r="YE246" s="490"/>
      <c r="YF246" s="490"/>
      <c r="YG246" s="490"/>
      <c r="YH246" s="490"/>
      <c r="YI246" s="490"/>
      <c r="YJ246" s="490"/>
      <c r="YK246" s="490"/>
      <c r="YL246" s="490"/>
      <c r="YM246" s="490"/>
      <c r="YN246" s="490"/>
      <c r="YO246" s="490"/>
      <c r="YP246" s="490"/>
      <c r="YQ246" s="490"/>
      <c r="YR246" s="490"/>
      <c r="YS246" s="490"/>
      <c r="YT246" s="490"/>
      <c r="YU246" s="490"/>
      <c r="YV246" s="490"/>
      <c r="YW246" s="490"/>
      <c r="YX246" s="490"/>
      <c r="YY246" s="490"/>
      <c r="YZ246" s="490"/>
      <c r="ZA246" s="490"/>
      <c r="ZB246" s="490"/>
      <c r="ZC246" s="490"/>
      <c r="ZD246" s="490"/>
      <c r="ZE246" s="490"/>
      <c r="ZF246" s="490"/>
      <c r="ZG246" s="490"/>
      <c r="ZH246" s="490"/>
      <c r="ZI246" s="490"/>
      <c r="ZJ246" s="490"/>
      <c r="ZK246" s="490"/>
      <c r="ZL246" s="490"/>
      <c r="ZM246" s="490"/>
      <c r="ZN246" s="490"/>
      <c r="ZO246" s="490"/>
      <c r="ZP246" s="490"/>
      <c r="ZQ246" s="490"/>
      <c r="ZR246" s="490"/>
      <c r="ZS246" s="490"/>
      <c r="ZT246" s="490"/>
      <c r="ZU246" s="490"/>
      <c r="ZV246" s="490"/>
      <c r="ZW246" s="490"/>
      <c r="ZX246" s="490"/>
      <c r="ZY246" s="490"/>
      <c r="ZZ246" s="490"/>
      <c r="AAA246" s="490"/>
      <c r="AAB246" s="490"/>
      <c r="AAC246" s="490"/>
      <c r="AAD246" s="490"/>
      <c r="AAE246" s="490"/>
      <c r="AAF246" s="490"/>
      <c r="AAG246" s="490"/>
      <c r="AAH246" s="490"/>
      <c r="AAI246" s="490"/>
      <c r="AAJ246" s="490"/>
      <c r="AAK246" s="490"/>
      <c r="AAL246" s="490"/>
      <c r="AAM246" s="490"/>
      <c r="AAN246" s="490"/>
      <c r="AAO246" s="490"/>
      <c r="AAP246" s="490"/>
      <c r="AAQ246" s="490"/>
      <c r="AAR246" s="490"/>
      <c r="AAS246" s="490"/>
      <c r="AAT246" s="490"/>
      <c r="AAU246" s="490"/>
      <c r="AAV246" s="490"/>
      <c r="AAW246" s="490"/>
      <c r="AAX246" s="490"/>
      <c r="AAY246" s="490"/>
      <c r="AAZ246" s="490"/>
      <c r="ABA246" s="490"/>
      <c r="ABB246" s="490"/>
      <c r="ABC246" s="490"/>
      <c r="ABD246" s="490"/>
      <c r="ABE246" s="490"/>
      <c r="ABF246" s="490"/>
      <c r="ABG246" s="490"/>
      <c r="ABH246" s="490"/>
      <c r="ABI246" s="490"/>
      <c r="ABJ246" s="490"/>
      <c r="ABK246" s="490"/>
      <c r="ABL246" s="490"/>
      <c r="ABM246" s="490"/>
      <c r="ABN246" s="490"/>
      <c r="ABO246" s="490"/>
      <c r="ABP246" s="490"/>
      <c r="ABQ246" s="490"/>
      <c r="ABR246" s="490"/>
      <c r="ABS246" s="490"/>
      <c r="ABT246" s="490"/>
      <c r="ABU246" s="490"/>
      <c r="ABV246" s="490"/>
      <c r="ABW246" s="490"/>
      <c r="ABX246" s="490"/>
      <c r="ABY246" s="490"/>
      <c r="ABZ246" s="490"/>
      <c r="ACA246" s="490"/>
      <c r="ACB246" s="490"/>
      <c r="ACC246" s="490"/>
      <c r="ACD246" s="490"/>
      <c r="ACE246" s="490"/>
      <c r="ACF246" s="490"/>
      <c r="ACG246" s="490"/>
      <c r="ACH246" s="490"/>
      <c r="ACI246" s="490"/>
      <c r="ACJ246" s="490"/>
      <c r="ACK246" s="490"/>
      <c r="ACL246" s="490"/>
      <c r="ACM246" s="490"/>
      <c r="ACN246" s="490"/>
      <c r="ACO246" s="490"/>
      <c r="ACP246" s="490"/>
      <c r="ACQ246" s="490"/>
      <c r="ACR246" s="490"/>
      <c r="ACS246" s="490"/>
      <c r="ACT246" s="490"/>
      <c r="ACU246" s="490"/>
      <c r="ACV246" s="490"/>
      <c r="ACW246" s="490"/>
      <c r="ACX246" s="490"/>
      <c r="ACY246" s="490"/>
      <c r="ACZ246" s="490"/>
      <c r="ADA246" s="490"/>
      <c r="ADB246" s="490"/>
      <c r="ADC246" s="490"/>
      <c r="ADD246" s="490"/>
      <c r="ADE246" s="490"/>
      <c r="ADF246" s="490"/>
      <c r="ADG246" s="490"/>
      <c r="ADH246" s="490"/>
      <c r="ADI246" s="490"/>
      <c r="ADJ246" s="490"/>
      <c r="ADK246" s="490"/>
      <c r="ADL246" s="490"/>
      <c r="ADM246" s="490"/>
      <c r="ADN246" s="490"/>
      <c r="ADO246" s="490"/>
      <c r="ADP246" s="490"/>
      <c r="ADQ246" s="490"/>
      <c r="ADR246" s="490"/>
      <c r="ADS246" s="490"/>
      <c r="ADT246" s="490"/>
      <c r="ADU246" s="490"/>
      <c r="ADV246" s="490"/>
      <c r="ADW246" s="490"/>
      <c r="ADX246" s="490"/>
      <c r="ADY246" s="490"/>
      <c r="ADZ246" s="490"/>
      <c r="AEA246" s="490"/>
      <c r="AEB246" s="490"/>
      <c r="AEC246" s="490"/>
      <c r="AED246" s="490"/>
      <c r="AEE246" s="490"/>
      <c r="AEF246" s="490"/>
      <c r="AEG246" s="490"/>
      <c r="AEH246" s="490"/>
      <c r="AEI246" s="490"/>
      <c r="AEJ246" s="490"/>
      <c r="AEK246" s="490"/>
      <c r="AEL246" s="490"/>
      <c r="AEM246" s="490"/>
      <c r="AEN246" s="490"/>
      <c r="AEO246" s="490"/>
      <c r="AEP246" s="490"/>
      <c r="AEQ246" s="490"/>
      <c r="AER246" s="490"/>
      <c r="AES246" s="490"/>
      <c r="AET246" s="490"/>
      <c r="AEU246" s="490"/>
      <c r="AEV246" s="490"/>
      <c r="AEW246" s="490"/>
      <c r="AEX246" s="490"/>
      <c r="AEY246" s="490"/>
      <c r="AEZ246" s="490"/>
      <c r="AFA246" s="490"/>
      <c r="AFB246" s="490"/>
      <c r="AFC246" s="490"/>
      <c r="AFD246" s="490"/>
      <c r="AFE246" s="490"/>
      <c r="AFF246" s="490"/>
      <c r="AFG246" s="490"/>
      <c r="AFH246" s="490"/>
      <c r="AFI246" s="490"/>
      <c r="AFJ246" s="490"/>
      <c r="AFK246" s="490"/>
      <c r="AFL246" s="490"/>
      <c r="AFM246" s="490"/>
      <c r="AFN246" s="490"/>
      <c r="AFO246" s="490"/>
      <c r="AFP246" s="490"/>
      <c r="AFQ246" s="490"/>
      <c r="AFR246" s="490"/>
      <c r="AFS246" s="490"/>
      <c r="AFT246" s="490"/>
      <c r="AFU246" s="490"/>
      <c r="AFV246" s="490"/>
      <c r="AFW246" s="490"/>
      <c r="AFX246" s="490"/>
      <c r="AFY246" s="490"/>
      <c r="AFZ246" s="490"/>
      <c r="AGA246" s="490"/>
      <c r="AGB246" s="490"/>
      <c r="AGC246" s="490"/>
      <c r="AGD246" s="490"/>
      <c r="AGE246" s="490"/>
      <c r="AGF246" s="490"/>
      <c r="AGG246" s="490"/>
      <c r="AGH246" s="490"/>
      <c r="AGI246" s="490"/>
      <c r="AGJ246" s="490"/>
      <c r="AGK246" s="490"/>
      <c r="AGL246" s="490"/>
      <c r="AGM246" s="490"/>
      <c r="AGN246" s="490"/>
      <c r="AGO246" s="490"/>
      <c r="AGP246" s="490"/>
      <c r="AGQ246" s="490"/>
      <c r="AGR246" s="490"/>
      <c r="AGS246" s="490"/>
      <c r="AGT246" s="490"/>
      <c r="AGU246" s="490"/>
      <c r="AGV246" s="490"/>
      <c r="AGW246" s="490"/>
      <c r="AGX246" s="490"/>
      <c r="AGY246" s="490"/>
      <c r="AGZ246" s="490"/>
      <c r="AHA246" s="490"/>
      <c r="AHB246" s="490"/>
      <c r="AHC246" s="490"/>
      <c r="AHD246" s="490"/>
      <c r="AHE246" s="490"/>
      <c r="AHF246" s="490"/>
      <c r="AHG246" s="490"/>
      <c r="AHH246" s="490"/>
      <c r="AHI246" s="490"/>
      <c r="AHJ246" s="490"/>
      <c r="AHK246" s="490"/>
      <c r="AHL246" s="490"/>
      <c r="AHM246" s="490"/>
      <c r="AHN246" s="490"/>
      <c r="AHO246" s="490"/>
      <c r="AHP246" s="490"/>
      <c r="AHQ246" s="490"/>
      <c r="AHR246" s="490"/>
      <c r="AHS246" s="490"/>
      <c r="AHT246" s="490"/>
      <c r="AHU246" s="490"/>
      <c r="AHV246" s="490"/>
      <c r="AHW246" s="490"/>
      <c r="AHX246" s="490"/>
      <c r="AHY246" s="490"/>
      <c r="AHZ246" s="490"/>
      <c r="AIA246" s="490"/>
      <c r="AIB246" s="490"/>
      <c r="AIC246" s="490"/>
      <c r="AID246" s="490"/>
      <c r="AIE246" s="490"/>
      <c r="AIF246" s="490"/>
      <c r="AIG246" s="490"/>
      <c r="AIH246" s="490"/>
      <c r="AII246" s="490"/>
      <c r="AIJ246" s="490"/>
      <c r="AIK246" s="490"/>
      <c r="AIL246" s="490"/>
      <c r="AIM246" s="490"/>
      <c r="AIN246" s="490"/>
      <c r="AIO246" s="490"/>
      <c r="AIP246" s="490"/>
      <c r="AIQ246" s="490"/>
      <c r="AIR246" s="490"/>
      <c r="AIS246" s="490"/>
      <c r="AIT246" s="490"/>
      <c r="AIU246" s="490"/>
      <c r="AIV246" s="490"/>
      <c r="AIW246" s="490"/>
      <c r="AIX246" s="490"/>
      <c r="AIY246" s="490"/>
      <c r="AIZ246" s="490"/>
      <c r="AJA246" s="490"/>
      <c r="AJB246" s="490"/>
      <c r="AJC246" s="490"/>
      <c r="AJD246" s="490"/>
      <c r="AJE246" s="490"/>
      <c r="AJF246" s="490"/>
      <c r="AJG246" s="490"/>
      <c r="AJH246" s="490"/>
      <c r="AJI246" s="490"/>
      <c r="AJJ246" s="490"/>
      <c r="AJK246" s="490"/>
      <c r="AJL246" s="490"/>
      <c r="AJM246" s="490"/>
      <c r="AJN246" s="490"/>
      <c r="AJO246" s="490"/>
      <c r="AJP246" s="490"/>
      <c r="AJQ246" s="490"/>
      <c r="AJR246" s="490"/>
      <c r="AJS246" s="490"/>
      <c r="AJT246" s="490"/>
      <c r="AJU246" s="490"/>
      <c r="AJV246" s="490"/>
      <c r="AJW246" s="490"/>
      <c r="AJX246" s="490"/>
      <c r="AJY246" s="490"/>
      <c r="AJZ246" s="490"/>
      <c r="AKA246" s="490"/>
      <c r="AKB246" s="490"/>
      <c r="AKC246" s="490"/>
      <c r="AKD246" s="490"/>
      <c r="AKE246" s="490"/>
      <c r="AKF246" s="490"/>
      <c r="AKG246" s="490"/>
      <c r="AKH246" s="490"/>
      <c r="AKI246" s="490"/>
      <c r="AKJ246" s="490"/>
      <c r="AKK246" s="490"/>
      <c r="AKL246" s="490"/>
      <c r="AKM246" s="490"/>
      <c r="AKN246" s="490"/>
      <c r="AKO246" s="490"/>
      <c r="AKP246" s="490"/>
      <c r="AKQ246" s="490"/>
      <c r="AKR246" s="490"/>
      <c r="AKS246" s="490"/>
      <c r="AKT246" s="490"/>
      <c r="AKU246" s="490"/>
      <c r="AKV246" s="490"/>
      <c r="AKW246" s="490"/>
      <c r="AKX246" s="490"/>
      <c r="AKY246" s="490"/>
      <c r="AKZ246" s="490"/>
      <c r="ALA246" s="490"/>
      <c r="ALB246" s="490"/>
      <c r="ALC246" s="490"/>
      <c r="ALD246" s="490"/>
      <c r="ALE246" s="490"/>
      <c r="ALF246" s="490"/>
      <c r="ALG246" s="490"/>
      <c r="ALH246" s="490"/>
      <c r="ALI246" s="490"/>
      <c r="ALJ246" s="490"/>
      <c r="ALK246" s="490"/>
      <c r="ALL246" s="490"/>
      <c r="ALM246" s="490"/>
      <c r="ALN246" s="490"/>
      <c r="ALO246" s="490"/>
      <c r="ALP246" s="490"/>
      <c r="ALQ246" s="490"/>
      <c r="ALR246" s="490"/>
      <c r="ALS246" s="490"/>
      <c r="ALT246" s="490"/>
      <c r="ALU246" s="490"/>
      <c r="ALV246" s="490"/>
      <c r="ALW246" s="490"/>
      <c r="ALX246" s="490"/>
      <c r="ALY246" s="490"/>
      <c r="ALZ246" s="490"/>
      <c r="AMA246" s="490"/>
      <c r="AMB246" s="490"/>
      <c r="AMC246" s="490"/>
      <c r="AMD246" s="490"/>
      <c r="AME246" s="490"/>
      <c r="AMF246" s="490"/>
      <c r="AMG246" s="490"/>
      <c r="AMH246" s="490"/>
      <c r="AMI246" s="490"/>
      <c r="AMJ246" s="490"/>
      <c r="AMK246" s="490"/>
      <c r="AML246" s="490"/>
      <c r="AMM246" s="490"/>
      <c r="AMN246" s="490"/>
      <c r="AMO246" s="490"/>
      <c r="AMP246" s="490"/>
      <c r="AMQ246" s="490"/>
      <c r="AMR246" s="490"/>
      <c r="AMS246" s="490"/>
      <c r="AMT246" s="490"/>
      <c r="AMU246" s="490"/>
      <c r="AMV246" s="490"/>
      <c r="AMW246" s="490"/>
      <c r="AMX246" s="490"/>
      <c r="AMY246" s="490"/>
      <c r="AMZ246" s="490"/>
      <c r="ANA246" s="490"/>
      <c r="ANB246" s="490"/>
      <c r="ANC246" s="490"/>
      <c r="AND246" s="490"/>
      <c r="ANE246" s="490"/>
      <c r="ANF246" s="490"/>
      <c r="ANG246" s="490"/>
      <c r="ANH246" s="490"/>
      <c r="ANI246" s="490"/>
      <c r="ANJ246" s="490"/>
      <c r="ANK246" s="490"/>
      <c r="ANL246" s="490"/>
      <c r="ANM246" s="490"/>
      <c r="ANN246" s="490"/>
      <c r="ANO246" s="490"/>
      <c r="ANP246" s="490"/>
      <c r="ANQ246" s="490"/>
      <c r="ANR246" s="490"/>
      <c r="ANS246" s="490"/>
      <c r="ANT246" s="490"/>
      <c r="ANU246" s="490"/>
      <c r="ANV246" s="490"/>
      <c r="ANW246" s="490"/>
      <c r="ANX246" s="490"/>
      <c r="ANY246" s="490"/>
      <c r="ANZ246" s="490"/>
      <c r="AOA246" s="490"/>
      <c r="AOB246" s="490"/>
      <c r="AOC246" s="490"/>
      <c r="AOD246" s="490"/>
      <c r="AOE246" s="490"/>
      <c r="AOF246" s="490"/>
      <c r="AOG246" s="490"/>
      <c r="AOH246" s="490"/>
      <c r="AOI246" s="490"/>
      <c r="AOJ246" s="490"/>
      <c r="AOK246" s="490"/>
      <c r="AOL246" s="490"/>
      <c r="AOM246" s="490"/>
      <c r="AON246" s="490"/>
      <c r="AOO246" s="490"/>
      <c r="AOP246" s="490"/>
      <c r="AOQ246" s="490"/>
      <c r="AOR246" s="490"/>
      <c r="AOS246" s="490"/>
      <c r="AOT246" s="490"/>
      <c r="AOU246" s="490"/>
      <c r="AOV246" s="490"/>
      <c r="AOW246" s="490"/>
      <c r="AOX246" s="490"/>
      <c r="AOY246" s="490"/>
      <c r="AOZ246" s="490"/>
      <c r="APA246" s="490"/>
      <c r="APB246" s="490"/>
      <c r="APC246" s="490"/>
      <c r="APD246" s="490"/>
      <c r="APE246" s="490"/>
      <c r="APF246" s="490"/>
      <c r="APG246" s="490"/>
      <c r="APH246" s="490"/>
      <c r="API246" s="490"/>
      <c r="APJ246" s="490"/>
      <c r="APK246" s="490"/>
      <c r="APL246" s="490"/>
      <c r="APM246" s="490"/>
      <c r="APN246" s="490"/>
      <c r="APO246" s="490"/>
      <c r="APP246" s="490"/>
      <c r="APQ246" s="490"/>
      <c r="APR246" s="490"/>
      <c r="APS246" s="490"/>
      <c r="APT246" s="490"/>
      <c r="APU246" s="490"/>
      <c r="APV246" s="490"/>
      <c r="APW246" s="490"/>
      <c r="APX246" s="490"/>
      <c r="APY246" s="490"/>
      <c r="APZ246" s="490"/>
      <c r="AQA246" s="490"/>
      <c r="AQB246" s="490"/>
      <c r="AQC246" s="490"/>
      <c r="AQD246" s="490"/>
      <c r="AQE246" s="490"/>
      <c r="AQF246" s="490"/>
      <c r="AQG246" s="490"/>
      <c r="AQH246" s="490"/>
      <c r="AQI246" s="490"/>
      <c r="AQJ246" s="490"/>
      <c r="AQK246" s="490"/>
      <c r="AQL246" s="490"/>
      <c r="AQM246" s="490"/>
      <c r="AQN246" s="490"/>
      <c r="AQO246" s="490"/>
      <c r="AQP246" s="490"/>
      <c r="AQQ246" s="490"/>
      <c r="AQR246" s="490"/>
      <c r="AQS246" s="490"/>
      <c r="AQT246" s="490"/>
      <c r="AQU246" s="490"/>
      <c r="AQV246" s="490"/>
      <c r="AQW246" s="490"/>
      <c r="AQX246" s="490"/>
      <c r="AQY246" s="490"/>
      <c r="AQZ246" s="490"/>
      <c r="ARA246" s="490"/>
      <c r="ARB246" s="490"/>
      <c r="ARC246" s="490"/>
      <c r="ARD246" s="490"/>
      <c r="ARE246" s="490"/>
      <c r="ARF246" s="490"/>
      <c r="ARG246" s="490"/>
      <c r="ARH246" s="490"/>
      <c r="ARI246" s="490"/>
      <c r="ARJ246" s="490"/>
      <c r="ARK246" s="490"/>
      <c r="ARL246" s="490"/>
      <c r="ARM246" s="490"/>
      <c r="ARN246" s="490"/>
      <c r="ARO246" s="490"/>
      <c r="ARP246" s="490"/>
      <c r="ARQ246" s="490"/>
      <c r="ARR246" s="490"/>
      <c r="ARS246" s="490"/>
      <c r="ART246" s="490"/>
      <c r="ARU246" s="490"/>
      <c r="ARV246" s="490"/>
      <c r="ARW246" s="490"/>
      <c r="ARX246" s="490"/>
      <c r="ARY246" s="490"/>
      <c r="ARZ246" s="490"/>
      <c r="ASA246" s="490"/>
      <c r="ASB246" s="490"/>
      <c r="ASC246" s="490"/>
      <c r="ASD246" s="490"/>
      <c r="ASE246" s="490"/>
      <c r="ASF246" s="490"/>
      <c r="ASG246" s="490"/>
      <c r="ASH246" s="490"/>
      <c r="ASI246" s="490"/>
      <c r="ASJ246" s="490"/>
      <c r="ASK246" s="490"/>
      <c r="ASL246" s="490"/>
      <c r="ASM246" s="490"/>
      <c r="ASN246" s="490"/>
      <c r="ASO246" s="490"/>
      <c r="ASP246" s="490"/>
      <c r="ASQ246" s="490"/>
      <c r="ASR246" s="490"/>
      <c r="ASS246" s="490"/>
      <c r="AST246" s="490"/>
      <c r="ASU246" s="490"/>
      <c r="ASV246" s="490"/>
      <c r="ASW246" s="490"/>
      <c r="ASX246" s="490"/>
      <c r="ASY246" s="490"/>
      <c r="ASZ246" s="490"/>
      <c r="ATA246" s="490"/>
      <c r="ATB246" s="490"/>
      <c r="ATC246" s="490"/>
      <c r="ATD246" s="490"/>
      <c r="ATE246" s="490"/>
      <c r="ATF246" s="490"/>
      <c r="ATG246" s="490"/>
      <c r="ATH246" s="490"/>
      <c r="ATI246" s="490"/>
      <c r="ATJ246" s="490"/>
      <c r="ATK246" s="490"/>
      <c r="ATL246" s="490"/>
      <c r="ATM246" s="490"/>
      <c r="ATN246" s="490"/>
      <c r="ATO246" s="490"/>
      <c r="ATP246" s="490"/>
      <c r="ATQ246" s="490"/>
      <c r="ATR246" s="490"/>
      <c r="ATS246" s="490"/>
      <c r="ATT246" s="490"/>
      <c r="ATU246" s="490"/>
      <c r="ATV246" s="490"/>
      <c r="ATW246" s="490"/>
      <c r="ATX246" s="490"/>
      <c r="ATY246" s="490"/>
      <c r="ATZ246" s="490"/>
      <c r="AUA246" s="490"/>
      <c r="AUB246" s="490"/>
      <c r="AUC246" s="490"/>
      <c r="AUD246" s="490"/>
      <c r="AUE246" s="490"/>
      <c r="AUF246" s="490"/>
      <c r="AUG246" s="490"/>
      <c r="AUH246" s="490"/>
      <c r="AUI246" s="490"/>
      <c r="AUJ246" s="490"/>
      <c r="AUK246" s="490"/>
      <c r="AUL246" s="490"/>
      <c r="AUM246" s="490"/>
      <c r="AUN246" s="490"/>
      <c r="AUO246" s="490"/>
      <c r="AUP246" s="490"/>
      <c r="AUQ246" s="490"/>
      <c r="AUR246" s="490"/>
      <c r="AUS246" s="490"/>
      <c r="AUT246" s="490"/>
      <c r="AUU246" s="490"/>
      <c r="AUV246" s="490"/>
      <c r="AUW246" s="490"/>
      <c r="AUX246" s="490"/>
      <c r="AUY246" s="490"/>
      <c r="AUZ246" s="490"/>
      <c r="AVA246" s="490"/>
      <c r="AVB246" s="490"/>
      <c r="AVC246" s="490"/>
      <c r="AVD246" s="490"/>
      <c r="AVE246" s="490"/>
      <c r="AVF246" s="490"/>
      <c r="AVG246" s="490"/>
      <c r="AVH246" s="490"/>
      <c r="AVI246" s="490"/>
      <c r="AVJ246" s="490"/>
      <c r="AVK246" s="490"/>
      <c r="AVL246" s="490"/>
      <c r="AVM246" s="490"/>
      <c r="AVN246" s="490"/>
      <c r="AVO246" s="490"/>
      <c r="AVP246" s="490"/>
      <c r="AVQ246" s="490"/>
      <c r="AVR246" s="490"/>
      <c r="AVS246" s="490"/>
      <c r="AVT246" s="490"/>
      <c r="AVU246" s="490"/>
      <c r="AVV246" s="490"/>
      <c r="AVW246" s="490"/>
      <c r="AVX246" s="490"/>
      <c r="AVY246" s="490"/>
      <c r="AVZ246" s="490"/>
      <c r="AWA246" s="490"/>
      <c r="AWB246" s="490"/>
      <c r="AWC246" s="490"/>
      <c r="AWD246" s="490"/>
      <c r="AWE246" s="490"/>
      <c r="AWF246" s="490"/>
      <c r="AWG246" s="490"/>
      <c r="AWH246" s="490"/>
      <c r="AWI246" s="490"/>
      <c r="AWJ246" s="490"/>
      <c r="AWK246" s="490"/>
      <c r="AWL246" s="490"/>
      <c r="AWM246" s="490"/>
      <c r="AWN246" s="490"/>
      <c r="AWO246" s="490"/>
      <c r="AWP246" s="490"/>
      <c r="AWQ246" s="490"/>
      <c r="AWR246" s="490"/>
      <c r="AWS246" s="490"/>
      <c r="AWT246" s="490"/>
      <c r="AWU246" s="490"/>
      <c r="AWV246" s="490"/>
      <c r="AWW246" s="490"/>
      <c r="AWX246" s="490"/>
      <c r="AWY246" s="490"/>
      <c r="AWZ246" s="490"/>
      <c r="AXA246" s="490"/>
      <c r="AXB246" s="490"/>
      <c r="AXC246" s="490"/>
      <c r="AXD246" s="490"/>
      <c r="AXE246" s="490"/>
      <c r="AXF246" s="490"/>
      <c r="AXG246" s="490"/>
      <c r="AXH246" s="490"/>
      <c r="AXI246" s="490"/>
      <c r="AXJ246" s="490"/>
      <c r="AXK246" s="490"/>
      <c r="AXL246" s="490"/>
      <c r="AXM246" s="490"/>
      <c r="AXN246" s="490"/>
      <c r="AXO246" s="490"/>
      <c r="AXP246" s="490"/>
      <c r="AXQ246" s="490"/>
      <c r="AXR246" s="490"/>
      <c r="AXS246" s="490"/>
      <c r="AXT246" s="490"/>
      <c r="AXU246" s="490"/>
      <c r="AXV246" s="490"/>
      <c r="AXW246" s="490"/>
      <c r="AXX246" s="490"/>
      <c r="AXY246" s="490"/>
      <c r="AXZ246" s="490"/>
      <c r="AYA246" s="490"/>
      <c r="AYB246" s="490"/>
      <c r="AYC246" s="490"/>
      <c r="AYD246" s="490"/>
      <c r="AYE246" s="490"/>
      <c r="AYF246" s="490"/>
      <c r="AYG246" s="490"/>
      <c r="AYH246" s="490"/>
      <c r="AYI246" s="490"/>
      <c r="AYJ246" s="490"/>
      <c r="AYK246" s="490"/>
      <c r="AYL246" s="490"/>
      <c r="AYM246" s="490"/>
      <c r="AYN246" s="490"/>
      <c r="AYO246" s="490"/>
      <c r="AYP246" s="490"/>
      <c r="AYQ246" s="490"/>
      <c r="AYR246" s="490"/>
      <c r="AYS246" s="490"/>
      <c r="AYT246" s="490"/>
      <c r="AYU246" s="490"/>
      <c r="AYV246" s="490"/>
      <c r="AYW246" s="490"/>
      <c r="AYX246" s="490"/>
      <c r="AYY246" s="490"/>
      <c r="AYZ246" s="490"/>
      <c r="AZA246" s="490"/>
      <c r="AZB246" s="490"/>
      <c r="AZC246" s="490"/>
      <c r="AZD246" s="490"/>
      <c r="AZE246" s="490"/>
      <c r="AZF246" s="490"/>
      <c r="AZG246" s="490"/>
      <c r="AZH246" s="490"/>
      <c r="AZI246" s="490"/>
      <c r="AZJ246" s="490"/>
      <c r="AZK246" s="490"/>
      <c r="AZL246" s="490"/>
      <c r="AZM246" s="490"/>
      <c r="AZN246" s="490"/>
      <c r="AZO246" s="490"/>
      <c r="AZP246" s="490"/>
      <c r="AZQ246" s="490"/>
      <c r="AZR246" s="490"/>
      <c r="AZS246" s="490"/>
      <c r="AZT246" s="490"/>
      <c r="AZU246" s="490"/>
      <c r="AZV246" s="490"/>
      <c r="AZW246" s="490"/>
      <c r="AZX246" s="490"/>
      <c r="AZY246" s="490"/>
      <c r="AZZ246" s="490"/>
      <c r="BAA246" s="490"/>
      <c r="BAB246" s="490"/>
      <c r="BAC246" s="490"/>
      <c r="BAD246" s="490"/>
      <c r="BAE246" s="490"/>
      <c r="BAF246" s="490"/>
      <c r="BAG246" s="490"/>
      <c r="BAH246" s="490"/>
      <c r="BAI246" s="490"/>
      <c r="BAJ246" s="490"/>
      <c r="BAK246" s="490"/>
      <c r="BAL246" s="490"/>
      <c r="BAM246" s="490"/>
      <c r="BAN246" s="490"/>
      <c r="BAO246" s="490"/>
      <c r="BAP246" s="490"/>
      <c r="BAQ246" s="490"/>
      <c r="BAR246" s="490"/>
      <c r="BAS246" s="490"/>
      <c r="BAT246" s="490"/>
      <c r="BAU246" s="490"/>
      <c r="BAV246" s="490"/>
      <c r="BAW246" s="490"/>
      <c r="BAX246" s="490"/>
      <c r="BAY246" s="490"/>
      <c r="BAZ246" s="490"/>
      <c r="BBA246" s="490"/>
      <c r="BBB246" s="490"/>
      <c r="BBC246" s="490"/>
      <c r="BBD246" s="490"/>
      <c r="BBE246" s="490"/>
      <c r="BBF246" s="490"/>
      <c r="BBG246" s="490"/>
      <c r="BBH246" s="490"/>
      <c r="BBI246" s="490"/>
      <c r="BBJ246" s="490"/>
      <c r="BBK246" s="490"/>
      <c r="BBL246" s="490"/>
      <c r="BBM246" s="490"/>
      <c r="BBN246" s="490"/>
      <c r="BBO246" s="490"/>
      <c r="BBP246" s="490"/>
      <c r="BBQ246" s="490"/>
      <c r="BBR246" s="490"/>
      <c r="BBS246" s="490"/>
      <c r="BBT246" s="490"/>
      <c r="BBU246" s="490"/>
      <c r="BBV246" s="490"/>
      <c r="BBW246" s="490"/>
      <c r="BBX246" s="490"/>
      <c r="BBY246" s="490"/>
      <c r="BBZ246" s="490"/>
      <c r="BCA246" s="490"/>
      <c r="BCB246" s="490"/>
      <c r="BCC246" s="490"/>
      <c r="BCD246" s="490"/>
      <c r="BCE246" s="490"/>
      <c r="BCF246" s="490"/>
      <c r="BCG246" s="490"/>
      <c r="BCH246" s="490"/>
      <c r="BCI246" s="490"/>
      <c r="BCJ246" s="490"/>
      <c r="BCK246" s="490"/>
      <c r="BCL246" s="490"/>
      <c r="BCM246" s="490"/>
      <c r="BCN246" s="490"/>
      <c r="BCO246" s="490"/>
      <c r="BCP246" s="490"/>
      <c r="BCQ246" s="490"/>
      <c r="BCR246" s="490"/>
      <c r="BCS246" s="490"/>
      <c r="BCT246" s="490"/>
      <c r="BCU246" s="490"/>
      <c r="BCV246" s="490"/>
      <c r="BCW246" s="490"/>
      <c r="BCX246" s="490"/>
      <c r="BCY246" s="490"/>
      <c r="BCZ246" s="490"/>
      <c r="BDA246" s="490"/>
      <c r="BDB246" s="490"/>
      <c r="BDC246" s="490"/>
      <c r="BDD246" s="490"/>
      <c r="BDE246" s="490"/>
      <c r="BDF246" s="490"/>
      <c r="BDG246" s="490"/>
      <c r="BDH246" s="490"/>
      <c r="BDI246" s="490"/>
      <c r="BDJ246" s="490"/>
      <c r="BDK246" s="490"/>
      <c r="BDL246" s="490"/>
      <c r="BDM246" s="490"/>
      <c r="BDN246" s="490"/>
      <c r="BDO246" s="490"/>
      <c r="BDP246" s="490"/>
      <c r="BDQ246" s="490"/>
      <c r="BDR246" s="490"/>
      <c r="BDS246" s="490"/>
      <c r="BDT246" s="490"/>
      <c r="BDU246" s="490"/>
      <c r="BDV246" s="490"/>
      <c r="BDW246" s="490"/>
      <c r="BDX246" s="490"/>
      <c r="BDY246" s="490"/>
      <c r="BDZ246" s="490"/>
      <c r="BEA246" s="490"/>
      <c r="BEB246" s="490"/>
      <c r="BEC246" s="490"/>
      <c r="BED246" s="490"/>
      <c r="BEE246" s="490"/>
      <c r="BEF246" s="490"/>
      <c r="BEG246" s="490"/>
      <c r="BEH246" s="490"/>
      <c r="BEI246" s="490"/>
      <c r="BEJ246" s="490"/>
      <c r="BEK246" s="490"/>
      <c r="BEL246" s="490"/>
      <c r="BEM246" s="490"/>
      <c r="BEN246" s="490"/>
      <c r="BEO246" s="490"/>
      <c r="BEP246" s="490"/>
      <c r="BEQ246" s="490"/>
      <c r="BER246" s="490"/>
      <c r="BES246" s="490"/>
      <c r="BET246" s="490"/>
      <c r="BEU246" s="490"/>
      <c r="BEV246" s="490"/>
      <c r="BEW246" s="490"/>
      <c r="BEX246" s="490"/>
      <c r="BEY246" s="490"/>
      <c r="BEZ246" s="490"/>
      <c r="BFA246" s="490"/>
      <c r="BFB246" s="490"/>
      <c r="BFC246" s="490"/>
      <c r="BFD246" s="490"/>
      <c r="BFE246" s="490"/>
      <c r="BFF246" s="490"/>
      <c r="BFG246" s="490"/>
      <c r="BFH246" s="490"/>
      <c r="BFI246" s="490"/>
      <c r="BFJ246" s="490"/>
      <c r="BFK246" s="490"/>
      <c r="BFL246" s="490"/>
      <c r="BFM246" s="490"/>
      <c r="BFN246" s="490"/>
      <c r="BFO246" s="490"/>
      <c r="BFP246" s="490"/>
      <c r="BFQ246" s="490"/>
      <c r="BFR246" s="490"/>
      <c r="BFS246" s="490"/>
      <c r="BFT246" s="490"/>
      <c r="BFU246" s="490"/>
      <c r="BFV246" s="490"/>
      <c r="BFW246" s="490"/>
      <c r="BFX246" s="490"/>
      <c r="BFY246" s="490"/>
      <c r="BFZ246" s="490"/>
      <c r="BGA246" s="490"/>
      <c r="BGB246" s="490"/>
      <c r="BGC246" s="490"/>
      <c r="BGD246" s="490"/>
      <c r="BGE246" s="490"/>
      <c r="BGF246" s="490"/>
      <c r="BGG246" s="490"/>
      <c r="BGH246" s="490"/>
      <c r="BGI246" s="490"/>
      <c r="BGJ246" s="490"/>
      <c r="BGK246" s="490"/>
      <c r="BGL246" s="490"/>
      <c r="BGM246" s="490"/>
      <c r="BGN246" s="490"/>
      <c r="BGO246" s="490"/>
      <c r="BGP246" s="490"/>
      <c r="BGQ246" s="490"/>
      <c r="BGR246" s="490"/>
      <c r="BGS246" s="490"/>
      <c r="BGT246" s="490"/>
      <c r="BGU246" s="490"/>
      <c r="BGV246" s="490"/>
      <c r="BGW246" s="490"/>
      <c r="BGX246" s="490"/>
      <c r="BGY246" s="490"/>
      <c r="BGZ246" s="490"/>
      <c r="BHA246" s="490"/>
      <c r="BHB246" s="490"/>
      <c r="BHC246" s="490"/>
      <c r="BHD246" s="490"/>
      <c r="BHE246" s="490"/>
      <c r="BHF246" s="490"/>
      <c r="BHG246" s="490"/>
      <c r="BHH246" s="490"/>
      <c r="BHI246" s="490"/>
      <c r="BHJ246" s="490"/>
      <c r="BHK246" s="490"/>
      <c r="BHL246" s="490"/>
      <c r="BHM246" s="490"/>
      <c r="BHN246" s="490"/>
      <c r="BHO246" s="490"/>
      <c r="BHP246" s="490"/>
      <c r="BHQ246" s="490"/>
      <c r="BHR246" s="490"/>
      <c r="BHS246" s="490"/>
      <c r="BHT246" s="490"/>
      <c r="BHU246" s="490"/>
      <c r="BHV246" s="490"/>
      <c r="BHW246" s="490"/>
      <c r="BHX246" s="490"/>
      <c r="BHY246" s="490"/>
      <c r="BHZ246" s="490"/>
      <c r="BIA246" s="490"/>
      <c r="BIB246" s="490"/>
      <c r="BIC246" s="490"/>
      <c r="BID246" s="490"/>
      <c r="BIE246" s="490"/>
      <c r="BIF246" s="490"/>
      <c r="BIG246" s="490"/>
      <c r="BIH246" s="490"/>
      <c r="BII246" s="490"/>
      <c r="BIJ246" s="490"/>
      <c r="BIK246" s="490"/>
      <c r="BIL246" s="490"/>
      <c r="BIM246" s="490"/>
      <c r="BIN246" s="490"/>
      <c r="BIO246" s="490"/>
      <c r="BIP246" s="490"/>
      <c r="BIQ246" s="490"/>
      <c r="BIR246" s="490"/>
      <c r="BIS246" s="490"/>
      <c r="BIT246" s="490"/>
      <c r="BIU246" s="490"/>
      <c r="BIV246" s="490"/>
      <c r="BIW246" s="490"/>
      <c r="BIX246" s="490"/>
      <c r="BIY246" s="490"/>
      <c r="BIZ246" s="490"/>
      <c r="BJA246" s="490"/>
      <c r="BJB246" s="490"/>
      <c r="BJC246" s="490"/>
      <c r="BJD246" s="490"/>
      <c r="BJE246" s="490"/>
      <c r="BJF246" s="490"/>
      <c r="BJG246" s="490"/>
      <c r="BJH246" s="490"/>
      <c r="BJI246" s="490"/>
      <c r="BJJ246" s="490"/>
      <c r="BJK246" s="490"/>
      <c r="BJL246" s="490"/>
      <c r="BJM246" s="490"/>
      <c r="BJN246" s="490"/>
      <c r="BJO246" s="490"/>
      <c r="BJP246" s="490"/>
      <c r="BJQ246" s="490"/>
      <c r="BJR246" s="490"/>
      <c r="BJS246" s="490"/>
      <c r="BJT246" s="490"/>
      <c r="BJU246" s="490"/>
      <c r="BJV246" s="490"/>
      <c r="BJW246" s="490"/>
      <c r="BJX246" s="490"/>
      <c r="BJY246" s="490"/>
      <c r="BJZ246" s="490"/>
      <c r="BKA246" s="490"/>
      <c r="BKB246" s="490"/>
      <c r="BKC246" s="490"/>
      <c r="BKD246" s="490"/>
      <c r="BKE246" s="490"/>
      <c r="BKF246" s="490"/>
      <c r="BKG246" s="490"/>
      <c r="BKH246" s="490"/>
      <c r="BKI246" s="490"/>
      <c r="BKJ246" s="490"/>
      <c r="BKK246" s="490"/>
      <c r="BKL246" s="490"/>
      <c r="BKM246" s="490"/>
      <c r="BKN246" s="490"/>
      <c r="BKO246" s="490"/>
      <c r="BKP246" s="490"/>
      <c r="BKQ246" s="490"/>
      <c r="BKR246" s="490"/>
      <c r="BKS246" s="490"/>
      <c r="BKT246" s="490"/>
      <c r="BKU246" s="490"/>
      <c r="BKV246" s="490"/>
      <c r="BKW246" s="490"/>
      <c r="BKX246" s="490"/>
      <c r="BKY246" s="490"/>
      <c r="BKZ246" s="490"/>
      <c r="BLA246" s="490"/>
      <c r="BLB246" s="490"/>
      <c r="BLC246" s="490"/>
      <c r="BLD246" s="490"/>
      <c r="BLE246" s="490"/>
      <c r="BLF246" s="490"/>
      <c r="BLG246" s="490"/>
      <c r="BLH246" s="490"/>
      <c r="BLI246" s="490"/>
      <c r="BLJ246" s="490"/>
      <c r="BLK246" s="490"/>
      <c r="BLL246" s="490"/>
      <c r="BLM246" s="490"/>
      <c r="BLN246" s="490"/>
      <c r="BLO246" s="490"/>
      <c r="BLP246" s="490"/>
      <c r="BLQ246" s="490"/>
      <c r="BLR246" s="490"/>
      <c r="BLS246" s="490"/>
      <c r="BLT246" s="490"/>
      <c r="BLU246" s="490"/>
      <c r="BLV246" s="490"/>
      <c r="BLW246" s="490"/>
      <c r="BLX246" s="490"/>
      <c r="BLY246" s="490"/>
      <c r="BLZ246" s="490"/>
      <c r="BMA246" s="490"/>
      <c r="BMB246" s="490"/>
      <c r="BMC246" s="490"/>
      <c r="BMD246" s="490"/>
      <c r="BME246" s="490"/>
      <c r="BMF246" s="490"/>
      <c r="BMG246" s="490"/>
      <c r="BMH246" s="490"/>
      <c r="BMI246" s="490"/>
      <c r="BMJ246" s="490"/>
      <c r="BMK246" s="490"/>
      <c r="BML246" s="490"/>
      <c r="BMM246" s="490"/>
      <c r="BMN246" s="490"/>
      <c r="BMO246" s="490"/>
      <c r="BMP246" s="490"/>
      <c r="BMQ246" s="490"/>
      <c r="BMR246" s="490"/>
      <c r="BMS246" s="490"/>
      <c r="BMT246" s="490"/>
      <c r="BMU246" s="490"/>
      <c r="BMV246" s="490"/>
      <c r="BMW246" s="490"/>
      <c r="BMX246" s="490"/>
      <c r="BMY246" s="490"/>
      <c r="BMZ246" s="490"/>
      <c r="BNA246" s="490"/>
      <c r="BNB246" s="490"/>
      <c r="BNC246" s="490"/>
      <c r="BND246" s="490"/>
      <c r="BNE246" s="490"/>
      <c r="BNF246" s="490"/>
      <c r="BNG246" s="490"/>
      <c r="BNH246" s="490"/>
      <c r="BNI246" s="490"/>
      <c r="BNJ246" s="490"/>
      <c r="BNK246" s="490"/>
      <c r="BNL246" s="490"/>
      <c r="BNM246" s="490"/>
      <c r="BNN246" s="490"/>
      <c r="BNO246" s="490"/>
      <c r="BNP246" s="490"/>
      <c r="BNQ246" s="490"/>
      <c r="BNR246" s="490"/>
      <c r="BNS246" s="490"/>
      <c r="BNT246" s="490"/>
      <c r="BNU246" s="490"/>
      <c r="BNV246" s="490"/>
      <c r="BNW246" s="490"/>
      <c r="BNX246" s="490"/>
      <c r="BNY246" s="490"/>
      <c r="BNZ246" s="490"/>
      <c r="BOA246" s="490"/>
      <c r="BOB246" s="490"/>
      <c r="BOC246" s="490"/>
      <c r="BOD246" s="490"/>
      <c r="BOE246" s="490"/>
      <c r="BOF246" s="490"/>
      <c r="BOG246" s="490"/>
      <c r="BOH246" s="490"/>
      <c r="BOI246" s="490"/>
      <c r="BOJ246" s="490"/>
      <c r="BOK246" s="490"/>
      <c r="BOL246" s="490"/>
      <c r="BOM246" s="490"/>
      <c r="BON246" s="490"/>
      <c r="BOO246" s="490"/>
      <c r="BOP246" s="490"/>
      <c r="BOQ246" s="490"/>
      <c r="BOR246" s="490"/>
      <c r="BOS246" s="490"/>
      <c r="BOT246" s="490"/>
      <c r="BOU246" s="490"/>
      <c r="BOV246" s="490"/>
      <c r="BOW246" s="490"/>
      <c r="BOX246" s="490"/>
      <c r="BOY246" s="490"/>
      <c r="BOZ246" s="490"/>
      <c r="BPA246" s="490"/>
      <c r="BPB246" s="490"/>
      <c r="BPC246" s="490"/>
      <c r="BPD246" s="490"/>
      <c r="BPE246" s="490"/>
      <c r="BPF246" s="490"/>
      <c r="BPG246" s="490"/>
      <c r="BPH246" s="490"/>
      <c r="BPI246" s="490"/>
      <c r="BPJ246" s="490"/>
      <c r="BPK246" s="490"/>
      <c r="BPL246" s="490"/>
      <c r="BPM246" s="490"/>
      <c r="BPN246" s="490"/>
      <c r="BPO246" s="490"/>
      <c r="BPP246" s="490"/>
      <c r="BPQ246" s="490"/>
      <c r="BPR246" s="490"/>
      <c r="BPS246" s="490"/>
      <c r="BPT246" s="490"/>
      <c r="BPU246" s="490"/>
      <c r="BPV246" s="490"/>
      <c r="BPW246" s="490"/>
      <c r="BPX246" s="490"/>
      <c r="BPY246" s="490"/>
      <c r="BPZ246" s="490"/>
      <c r="BQA246" s="490"/>
      <c r="BQB246" s="490"/>
      <c r="BQC246" s="490"/>
      <c r="BQD246" s="490"/>
      <c r="BQE246" s="490"/>
      <c r="BQF246" s="490"/>
      <c r="BQG246" s="490"/>
      <c r="BQH246" s="490"/>
      <c r="BQI246" s="490"/>
      <c r="BQJ246" s="490"/>
      <c r="BQK246" s="490"/>
      <c r="BQL246" s="490"/>
      <c r="BQM246" s="490"/>
      <c r="BQN246" s="490"/>
      <c r="BQO246" s="490"/>
      <c r="BQP246" s="490"/>
      <c r="BQQ246" s="490"/>
      <c r="BQR246" s="490"/>
      <c r="BQS246" s="490"/>
      <c r="BQT246" s="490"/>
      <c r="BQU246" s="490"/>
      <c r="BQV246" s="490"/>
      <c r="BQW246" s="490"/>
      <c r="BQX246" s="490"/>
      <c r="BQY246" s="490"/>
      <c r="BQZ246" s="490"/>
      <c r="BRA246" s="490"/>
      <c r="BRB246" s="490"/>
      <c r="BRC246" s="490"/>
      <c r="BRD246" s="490"/>
      <c r="BRE246" s="490"/>
      <c r="BRF246" s="490"/>
      <c r="BRG246" s="490"/>
      <c r="BRH246" s="490"/>
      <c r="BRI246" s="490"/>
      <c r="BRJ246" s="490"/>
      <c r="BRK246" s="490"/>
      <c r="BRL246" s="490"/>
      <c r="BRM246" s="490"/>
      <c r="BRN246" s="490"/>
      <c r="BRO246" s="490"/>
      <c r="BRP246" s="490"/>
      <c r="BRQ246" s="490"/>
      <c r="BRR246" s="490"/>
      <c r="BRS246" s="490"/>
      <c r="BRT246" s="490"/>
      <c r="BRU246" s="490"/>
      <c r="BRV246" s="490"/>
      <c r="BRW246" s="490"/>
      <c r="BRX246" s="490"/>
      <c r="BRY246" s="490"/>
      <c r="BRZ246" s="490"/>
      <c r="BSA246" s="490"/>
      <c r="BSB246" s="490"/>
      <c r="BSC246" s="490"/>
      <c r="BSD246" s="490"/>
      <c r="BSE246" s="490"/>
      <c r="BSF246" s="490"/>
      <c r="BSG246" s="490"/>
      <c r="BSH246" s="490"/>
      <c r="BSI246" s="490"/>
      <c r="BSJ246" s="490"/>
      <c r="BSK246" s="490"/>
      <c r="BSL246" s="490"/>
      <c r="BSM246" s="490"/>
      <c r="BSN246" s="490"/>
      <c r="BSO246" s="490"/>
      <c r="BSP246" s="490"/>
      <c r="BSQ246" s="490"/>
      <c r="BSR246" s="490"/>
      <c r="BSS246" s="490"/>
      <c r="BST246" s="490"/>
      <c r="BSU246" s="490"/>
      <c r="BSV246" s="490"/>
      <c r="BSW246" s="490"/>
      <c r="BSX246" s="490"/>
      <c r="BSY246" s="490"/>
      <c r="BSZ246" s="490"/>
      <c r="BTA246" s="490"/>
      <c r="BTB246" s="490"/>
      <c r="BTC246" s="490"/>
      <c r="BTD246" s="490"/>
      <c r="BTE246" s="490"/>
      <c r="BTF246" s="490"/>
      <c r="BTG246" s="490"/>
      <c r="BTH246" s="490"/>
      <c r="BTI246" s="490"/>
    </row>
    <row r="247" spans="1:1881" s="489" customFormat="1" ht="45" x14ac:dyDescent="0.25">
      <c r="A247" s="455">
        <v>949</v>
      </c>
      <c r="B247" s="451"/>
      <c r="C247" s="452"/>
      <c r="D247" s="854" t="s">
        <v>1083</v>
      </c>
      <c r="E247" s="454" t="s">
        <v>952</v>
      </c>
      <c r="F247" s="916"/>
      <c r="G247" s="563" t="str">
        <f t="shared" si="3"/>
        <v>Please do not leave blank</v>
      </c>
      <c r="H247" s="491"/>
      <c r="I247"/>
      <c r="J247"/>
      <c r="K247"/>
      <c r="L247"/>
      <c r="M247"/>
      <c r="N247"/>
      <c r="O247"/>
      <c r="P247" s="490"/>
      <c r="Q247" s="490"/>
      <c r="R247" s="490"/>
      <c r="S247" s="490"/>
      <c r="T247" s="490"/>
      <c r="U247" s="490"/>
      <c r="V247" s="490"/>
      <c r="W247" s="490"/>
      <c r="X247" s="490"/>
      <c r="Y247" s="490"/>
      <c r="Z247" s="490"/>
      <c r="AA247" s="490"/>
      <c r="AB247" s="490"/>
      <c r="AC247" s="490"/>
      <c r="AD247" s="490"/>
      <c r="AE247" s="490"/>
      <c r="AF247" s="490"/>
      <c r="AG247" s="490"/>
      <c r="AH247" s="490"/>
      <c r="AI247" s="490"/>
      <c r="AJ247" s="490"/>
      <c r="AK247" s="490"/>
      <c r="AL247" s="490"/>
      <c r="AM247" s="490"/>
      <c r="AN247" s="490"/>
      <c r="AO247" s="490"/>
      <c r="AP247" s="490"/>
      <c r="AQ247" s="490"/>
      <c r="AR247" s="490"/>
      <c r="AS247" s="490"/>
      <c r="AT247" s="490"/>
      <c r="AU247" s="490"/>
      <c r="AV247" s="490"/>
      <c r="AW247" s="490"/>
      <c r="AX247" s="490"/>
      <c r="AY247" s="490"/>
      <c r="AZ247" s="490"/>
      <c r="BA247" s="490"/>
      <c r="BB247" s="490"/>
      <c r="BC247" s="490"/>
      <c r="BD247" s="490"/>
      <c r="BE247" s="490"/>
      <c r="BF247" s="490"/>
      <c r="BG247" s="490"/>
      <c r="BH247" s="490"/>
      <c r="BI247" s="490"/>
      <c r="BJ247" s="490"/>
      <c r="BK247" s="490"/>
      <c r="BL247" s="490"/>
      <c r="BM247" s="490"/>
      <c r="BN247" s="490"/>
      <c r="BO247" s="490"/>
      <c r="BP247" s="490"/>
      <c r="BQ247" s="490"/>
      <c r="BR247" s="490"/>
      <c r="BS247" s="490"/>
      <c r="BT247" s="490"/>
      <c r="BU247" s="490"/>
      <c r="BV247" s="490"/>
      <c r="BW247" s="490"/>
      <c r="BX247" s="490"/>
      <c r="BY247" s="490"/>
      <c r="BZ247" s="490"/>
      <c r="CA247" s="490"/>
      <c r="CB247" s="490"/>
      <c r="CC247" s="490"/>
      <c r="CD247" s="490"/>
      <c r="CE247" s="490"/>
      <c r="CF247" s="490"/>
      <c r="CG247" s="490"/>
      <c r="CH247" s="490"/>
      <c r="CI247" s="490"/>
      <c r="CJ247" s="490"/>
      <c r="CK247" s="490"/>
      <c r="CL247" s="490"/>
      <c r="CM247" s="490"/>
      <c r="CN247" s="490"/>
      <c r="CO247" s="490"/>
      <c r="CP247" s="490"/>
      <c r="CQ247" s="490"/>
      <c r="CR247" s="490"/>
      <c r="CS247" s="490"/>
      <c r="CT247" s="490"/>
      <c r="CU247" s="490"/>
      <c r="CV247" s="490"/>
      <c r="CW247" s="490"/>
      <c r="CX247" s="490"/>
      <c r="CY247" s="490"/>
      <c r="CZ247" s="490"/>
      <c r="DA247" s="490"/>
      <c r="DB247" s="490"/>
      <c r="DC247" s="490"/>
      <c r="DD247" s="490"/>
      <c r="DE247" s="490"/>
      <c r="DF247" s="490"/>
      <c r="DG247" s="490"/>
      <c r="DH247" s="490"/>
      <c r="DI247" s="490"/>
      <c r="DJ247" s="490"/>
      <c r="DK247" s="490"/>
      <c r="DL247" s="490"/>
      <c r="DM247" s="490"/>
      <c r="DN247" s="490"/>
      <c r="DO247" s="490"/>
      <c r="DP247" s="490"/>
      <c r="DQ247" s="490"/>
      <c r="DR247" s="490"/>
      <c r="DS247" s="490"/>
      <c r="DT247" s="490"/>
      <c r="DU247" s="490"/>
      <c r="DV247" s="490"/>
      <c r="DW247" s="490"/>
      <c r="DX247" s="490"/>
      <c r="DY247" s="490"/>
      <c r="DZ247" s="490"/>
      <c r="EA247" s="490"/>
      <c r="EB247" s="490"/>
      <c r="EC247" s="490"/>
      <c r="ED247" s="490"/>
      <c r="EE247" s="490"/>
      <c r="EF247" s="490"/>
      <c r="EG247" s="490"/>
      <c r="EH247" s="490"/>
      <c r="EI247" s="490"/>
      <c r="EJ247" s="490"/>
      <c r="EK247" s="490"/>
      <c r="EL247" s="490"/>
      <c r="EM247" s="490"/>
      <c r="EN247" s="490"/>
      <c r="EO247" s="490"/>
      <c r="EP247" s="490"/>
      <c r="EQ247" s="490"/>
      <c r="ER247" s="490"/>
      <c r="ES247" s="490"/>
      <c r="ET247" s="490"/>
      <c r="EU247" s="490"/>
      <c r="EV247" s="490"/>
      <c r="EW247" s="490"/>
      <c r="EX247" s="490"/>
      <c r="EY247" s="490"/>
      <c r="EZ247" s="490"/>
      <c r="FA247" s="490"/>
      <c r="FB247" s="490"/>
      <c r="FC247" s="490"/>
      <c r="FD247" s="490"/>
      <c r="FE247" s="490"/>
      <c r="FF247" s="490"/>
      <c r="FG247" s="490"/>
      <c r="FH247" s="490"/>
      <c r="FI247" s="490"/>
      <c r="FJ247" s="490"/>
      <c r="FK247" s="490"/>
      <c r="FL247" s="490"/>
      <c r="FM247" s="490"/>
      <c r="FN247" s="490"/>
      <c r="FO247" s="490"/>
      <c r="FP247" s="490"/>
      <c r="FQ247" s="490"/>
      <c r="FR247" s="490"/>
      <c r="FS247" s="490"/>
      <c r="FT247" s="490"/>
      <c r="FU247" s="490"/>
      <c r="FV247" s="490"/>
      <c r="FW247" s="490"/>
      <c r="FX247" s="490"/>
      <c r="FY247" s="490"/>
      <c r="FZ247" s="490"/>
      <c r="GA247" s="490"/>
      <c r="GB247" s="490"/>
      <c r="GC247" s="490"/>
      <c r="GD247" s="490"/>
      <c r="GE247" s="490"/>
      <c r="GF247" s="490"/>
      <c r="GG247" s="490"/>
      <c r="GH247" s="490"/>
      <c r="GI247" s="490"/>
      <c r="GJ247" s="490"/>
      <c r="GK247" s="490"/>
      <c r="GL247" s="490"/>
      <c r="GM247" s="490"/>
      <c r="GN247" s="490"/>
      <c r="GO247" s="490"/>
      <c r="GP247" s="490"/>
      <c r="GQ247" s="490"/>
      <c r="GR247" s="490"/>
      <c r="GS247" s="490"/>
      <c r="GT247" s="490"/>
      <c r="GU247" s="490"/>
      <c r="GV247" s="490"/>
      <c r="GW247" s="490"/>
      <c r="GX247" s="490"/>
      <c r="GY247" s="490"/>
      <c r="GZ247" s="490"/>
      <c r="HA247" s="490"/>
      <c r="HB247" s="490"/>
      <c r="HC247" s="490"/>
      <c r="HD247" s="490"/>
      <c r="HE247" s="490"/>
      <c r="HF247" s="490"/>
      <c r="HG247" s="490"/>
      <c r="HH247" s="490"/>
      <c r="HI247" s="490"/>
      <c r="HJ247" s="490"/>
      <c r="HK247" s="490"/>
      <c r="HL247" s="490"/>
      <c r="HM247" s="490"/>
      <c r="HN247" s="490"/>
      <c r="HO247" s="490"/>
      <c r="HP247" s="490"/>
      <c r="HQ247" s="490"/>
      <c r="HR247" s="490"/>
      <c r="HS247" s="490"/>
      <c r="HT247" s="490"/>
      <c r="HU247" s="490"/>
      <c r="HV247" s="490"/>
      <c r="HW247" s="490"/>
      <c r="HX247" s="490"/>
      <c r="HY247" s="490"/>
      <c r="HZ247" s="490"/>
      <c r="IA247" s="490"/>
      <c r="IB247" s="490"/>
      <c r="IC247" s="490"/>
      <c r="ID247" s="490"/>
      <c r="IE247" s="490"/>
      <c r="IF247" s="490"/>
      <c r="IG247" s="490"/>
      <c r="IH247" s="490"/>
      <c r="II247" s="490"/>
      <c r="IJ247" s="490"/>
      <c r="IK247" s="490"/>
      <c r="IL247" s="490"/>
      <c r="IM247" s="490"/>
      <c r="IN247" s="490"/>
      <c r="IO247" s="490"/>
      <c r="IP247" s="490"/>
      <c r="IQ247" s="490"/>
      <c r="IR247" s="490"/>
      <c r="IS247" s="490"/>
      <c r="IT247" s="490"/>
      <c r="IU247" s="490"/>
      <c r="IV247" s="490"/>
      <c r="IW247" s="490"/>
      <c r="IX247" s="490"/>
      <c r="IY247" s="490"/>
      <c r="IZ247" s="490"/>
      <c r="JA247" s="490"/>
      <c r="JB247" s="490"/>
      <c r="JC247" s="490"/>
      <c r="JD247" s="490"/>
      <c r="JE247" s="490"/>
      <c r="JF247" s="490"/>
      <c r="JG247" s="490"/>
      <c r="JH247" s="490"/>
      <c r="JI247" s="490"/>
      <c r="JJ247" s="490"/>
      <c r="JK247" s="490"/>
      <c r="JL247" s="490"/>
      <c r="JM247" s="490"/>
      <c r="JN247" s="490"/>
      <c r="JO247" s="490"/>
      <c r="JP247" s="490"/>
      <c r="JQ247" s="490"/>
      <c r="JR247" s="490"/>
      <c r="JS247" s="490"/>
      <c r="JT247" s="490"/>
      <c r="JU247" s="490"/>
      <c r="JV247" s="490"/>
      <c r="JW247" s="490"/>
      <c r="JX247" s="490"/>
      <c r="JY247" s="490"/>
      <c r="JZ247" s="490"/>
      <c r="KA247" s="490"/>
      <c r="KB247" s="490"/>
      <c r="KC247" s="490"/>
      <c r="KD247" s="490"/>
      <c r="KE247" s="490"/>
      <c r="KF247" s="490"/>
      <c r="KG247" s="490"/>
      <c r="KH247" s="490"/>
      <c r="KI247" s="490"/>
      <c r="KJ247" s="490"/>
      <c r="KK247" s="490"/>
      <c r="KL247" s="490"/>
      <c r="KM247" s="490"/>
      <c r="KN247" s="490"/>
      <c r="KO247" s="490"/>
      <c r="KP247" s="490"/>
      <c r="KQ247" s="490"/>
      <c r="KR247" s="490"/>
      <c r="KS247" s="490"/>
      <c r="KT247" s="490"/>
      <c r="KU247" s="490"/>
      <c r="KV247" s="490"/>
      <c r="KW247" s="490"/>
      <c r="KX247" s="490"/>
      <c r="KY247" s="490"/>
      <c r="KZ247" s="490"/>
      <c r="LA247" s="490"/>
      <c r="LB247" s="490"/>
      <c r="LC247" s="490"/>
      <c r="LD247" s="490"/>
      <c r="LE247" s="490"/>
      <c r="LF247" s="490"/>
      <c r="LG247" s="490"/>
      <c r="LH247" s="490"/>
      <c r="LI247" s="490"/>
      <c r="LJ247" s="490"/>
      <c r="LK247" s="490"/>
      <c r="LL247" s="490"/>
      <c r="LM247" s="490"/>
      <c r="LN247" s="490"/>
      <c r="LO247" s="490"/>
      <c r="LP247" s="490"/>
      <c r="LQ247" s="490"/>
      <c r="LR247" s="490"/>
      <c r="LS247" s="490"/>
      <c r="LT247" s="490"/>
      <c r="LU247" s="490"/>
      <c r="LV247" s="490"/>
      <c r="LW247" s="490"/>
      <c r="LX247" s="490"/>
      <c r="LY247" s="490"/>
      <c r="LZ247" s="490"/>
      <c r="MA247" s="490"/>
      <c r="MB247" s="490"/>
      <c r="MC247" s="490"/>
      <c r="MD247" s="490"/>
      <c r="ME247" s="490"/>
      <c r="MF247" s="490"/>
      <c r="MG247" s="490"/>
      <c r="MH247" s="490"/>
      <c r="MI247" s="490"/>
      <c r="MJ247" s="490"/>
      <c r="MK247" s="490"/>
      <c r="ML247" s="490"/>
      <c r="MM247" s="490"/>
      <c r="MN247" s="490"/>
      <c r="MO247" s="490"/>
      <c r="MP247" s="490"/>
      <c r="MQ247" s="490"/>
      <c r="MR247" s="490"/>
      <c r="MS247" s="490"/>
      <c r="MT247" s="490"/>
      <c r="MU247" s="490"/>
      <c r="MV247" s="490"/>
      <c r="MW247" s="490"/>
      <c r="MX247" s="490"/>
      <c r="MY247" s="490"/>
      <c r="MZ247" s="490"/>
      <c r="NA247" s="490"/>
      <c r="NB247" s="490"/>
      <c r="NC247" s="490"/>
      <c r="ND247" s="490"/>
      <c r="NE247" s="490"/>
      <c r="NF247" s="490"/>
      <c r="NG247" s="490"/>
      <c r="NH247" s="490"/>
      <c r="NI247" s="490"/>
      <c r="NJ247" s="490"/>
      <c r="NK247" s="490"/>
      <c r="NL247" s="490"/>
      <c r="NM247" s="490"/>
      <c r="NN247" s="490"/>
      <c r="NO247" s="490"/>
      <c r="NP247" s="490"/>
      <c r="NQ247" s="490"/>
      <c r="NR247" s="490"/>
      <c r="NS247" s="490"/>
      <c r="NT247" s="490"/>
      <c r="NU247" s="490"/>
      <c r="NV247" s="490"/>
      <c r="NW247" s="490"/>
      <c r="NX247" s="490"/>
      <c r="NY247" s="490"/>
      <c r="NZ247" s="490"/>
      <c r="OA247" s="490"/>
      <c r="OB247" s="490"/>
      <c r="OC247" s="490"/>
      <c r="OD247" s="490"/>
      <c r="OE247" s="490"/>
      <c r="OF247" s="490"/>
      <c r="OG247" s="490"/>
      <c r="OH247" s="490"/>
      <c r="OI247" s="490"/>
      <c r="OJ247" s="490"/>
      <c r="OK247" s="490"/>
      <c r="OL247" s="490"/>
      <c r="OM247" s="490"/>
      <c r="ON247" s="490"/>
      <c r="OO247" s="490"/>
      <c r="OP247" s="490"/>
      <c r="OQ247" s="490"/>
      <c r="OR247" s="490"/>
      <c r="OS247" s="490"/>
      <c r="OT247" s="490"/>
      <c r="OU247" s="490"/>
      <c r="OV247" s="490"/>
      <c r="OW247" s="490"/>
      <c r="OX247" s="490"/>
      <c r="OY247" s="490"/>
      <c r="OZ247" s="490"/>
      <c r="PA247" s="490"/>
      <c r="PB247" s="490"/>
      <c r="PC247" s="490"/>
      <c r="PD247" s="490"/>
      <c r="PE247" s="490"/>
      <c r="PF247" s="490"/>
      <c r="PG247" s="490"/>
      <c r="PH247" s="490"/>
      <c r="PI247" s="490"/>
      <c r="PJ247" s="490"/>
      <c r="PK247" s="490"/>
      <c r="PL247" s="490"/>
      <c r="PM247" s="490"/>
      <c r="PN247" s="490"/>
      <c r="PO247" s="490"/>
      <c r="PP247" s="490"/>
      <c r="PQ247" s="490"/>
      <c r="PR247" s="490"/>
      <c r="PS247" s="490"/>
      <c r="PT247" s="490"/>
      <c r="PU247" s="490"/>
      <c r="PV247" s="490"/>
      <c r="PW247" s="490"/>
      <c r="PX247" s="490"/>
      <c r="PY247" s="490"/>
      <c r="PZ247" s="490"/>
      <c r="QA247" s="490"/>
      <c r="QB247" s="490"/>
      <c r="QC247" s="490"/>
      <c r="QD247" s="490"/>
      <c r="QE247" s="490"/>
      <c r="QF247" s="490"/>
      <c r="QG247" s="490"/>
      <c r="QH247" s="490"/>
      <c r="QI247" s="490"/>
      <c r="QJ247" s="490"/>
      <c r="QK247" s="490"/>
      <c r="QL247" s="490"/>
      <c r="QM247" s="490"/>
      <c r="QN247" s="490"/>
      <c r="QO247" s="490"/>
      <c r="QP247" s="490"/>
      <c r="QQ247" s="490"/>
      <c r="QR247" s="490"/>
      <c r="QS247" s="490"/>
      <c r="QT247" s="490"/>
      <c r="QU247" s="490"/>
      <c r="QV247" s="490"/>
      <c r="QW247" s="490"/>
      <c r="QX247" s="490"/>
      <c r="QY247" s="490"/>
      <c r="QZ247" s="490"/>
      <c r="RA247" s="490"/>
      <c r="RB247" s="490"/>
      <c r="RC247" s="490"/>
      <c r="RD247" s="490"/>
      <c r="RE247" s="490"/>
      <c r="RF247" s="490"/>
      <c r="RG247" s="490"/>
      <c r="RH247" s="490"/>
      <c r="RI247" s="490"/>
      <c r="RJ247" s="490"/>
      <c r="RK247" s="490"/>
      <c r="RL247" s="490"/>
      <c r="RM247" s="490"/>
      <c r="RN247" s="490"/>
      <c r="RO247" s="490"/>
      <c r="RP247" s="490"/>
      <c r="RQ247" s="490"/>
      <c r="RR247" s="490"/>
      <c r="RS247" s="490"/>
      <c r="RT247" s="490"/>
      <c r="RU247" s="490"/>
      <c r="RV247" s="490"/>
      <c r="RW247" s="490"/>
      <c r="RX247" s="490"/>
      <c r="RY247" s="490"/>
      <c r="RZ247" s="490"/>
      <c r="SA247" s="490"/>
      <c r="SB247" s="490"/>
      <c r="SC247" s="490"/>
      <c r="SD247" s="490"/>
      <c r="SE247" s="490"/>
      <c r="SF247" s="490"/>
      <c r="SG247" s="490"/>
      <c r="SH247" s="490"/>
      <c r="SI247" s="490"/>
      <c r="SJ247" s="490"/>
      <c r="SK247" s="490"/>
      <c r="SL247" s="490"/>
      <c r="SM247" s="490"/>
      <c r="SN247" s="490"/>
      <c r="SO247" s="490"/>
      <c r="SP247" s="490"/>
      <c r="SQ247" s="490"/>
      <c r="SR247" s="490"/>
      <c r="SS247" s="490"/>
      <c r="ST247" s="490"/>
      <c r="SU247" s="490"/>
      <c r="SV247" s="490"/>
      <c r="SW247" s="490"/>
      <c r="SX247" s="490"/>
      <c r="SY247" s="490"/>
      <c r="SZ247" s="490"/>
      <c r="TA247" s="490"/>
      <c r="TB247" s="490"/>
      <c r="TC247" s="490"/>
      <c r="TD247" s="490"/>
      <c r="TE247" s="490"/>
      <c r="TF247" s="490"/>
      <c r="TG247" s="490"/>
      <c r="TH247" s="490"/>
      <c r="TI247" s="490"/>
      <c r="TJ247" s="490"/>
      <c r="TK247" s="490"/>
      <c r="TL247" s="490"/>
      <c r="TM247" s="490"/>
      <c r="TN247" s="490"/>
      <c r="TO247" s="490"/>
      <c r="TP247" s="490"/>
      <c r="TQ247" s="490"/>
      <c r="TR247" s="490"/>
      <c r="TS247" s="490"/>
      <c r="TT247" s="490"/>
      <c r="TU247" s="490"/>
      <c r="TV247" s="490"/>
      <c r="TW247" s="490"/>
      <c r="TX247" s="490"/>
      <c r="TY247" s="490"/>
      <c r="TZ247" s="490"/>
      <c r="UA247" s="490"/>
      <c r="UB247" s="490"/>
      <c r="UC247" s="490"/>
      <c r="UD247" s="490"/>
      <c r="UE247" s="490"/>
      <c r="UF247" s="490"/>
      <c r="UG247" s="490"/>
      <c r="UH247" s="490"/>
      <c r="UI247" s="490"/>
      <c r="UJ247" s="490"/>
      <c r="UK247" s="490"/>
      <c r="UL247" s="490"/>
      <c r="UM247" s="490"/>
      <c r="UN247" s="490"/>
      <c r="UO247" s="490"/>
      <c r="UP247" s="490"/>
      <c r="UQ247" s="490"/>
      <c r="UR247" s="490"/>
      <c r="US247" s="490"/>
      <c r="UT247" s="490"/>
      <c r="UU247" s="490"/>
      <c r="UV247" s="490"/>
      <c r="UW247" s="490"/>
      <c r="UX247" s="490"/>
      <c r="UY247" s="490"/>
      <c r="UZ247" s="490"/>
      <c r="VA247" s="490"/>
      <c r="VB247" s="490"/>
      <c r="VC247" s="490"/>
      <c r="VD247" s="490"/>
      <c r="VE247" s="490"/>
      <c r="VF247" s="490"/>
      <c r="VG247" s="490"/>
      <c r="VH247" s="490"/>
      <c r="VI247" s="490"/>
      <c r="VJ247" s="490"/>
      <c r="VK247" s="490"/>
      <c r="VL247" s="490"/>
      <c r="VM247" s="490"/>
      <c r="VN247" s="490"/>
      <c r="VO247" s="490"/>
      <c r="VP247" s="490"/>
      <c r="VQ247" s="490"/>
      <c r="VR247" s="490"/>
      <c r="VS247" s="490"/>
      <c r="VT247" s="490"/>
      <c r="VU247" s="490"/>
      <c r="VV247" s="490"/>
      <c r="VW247" s="490"/>
      <c r="VX247" s="490"/>
      <c r="VY247" s="490"/>
      <c r="VZ247" s="490"/>
      <c r="WA247" s="490"/>
      <c r="WB247" s="490"/>
      <c r="WC247" s="490"/>
      <c r="WD247" s="490"/>
      <c r="WE247" s="490"/>
      <c r="WF247" s="490"/>
      <c r="WG247" s="490"/>
      <c r="WH247" s="490"/>
      <c r="WI247" s="490"/>
      <c r="WJ247" s="490"/>
      <c r="WK247" s="490"/>
      <c r="WL247" s="490"/>
      <c r="WM247" s="490"/>
      <c r="WN247" s="490"/>
      <c r="WO247" s="490"/>
      <c r="WP247" s="490"/>
      <c r="WQ247" s="490"/>
      <c r="WR247" s="490"/>
      <c r="WS247" s="490"/>
      <c r="WT247" s="490"/>
      <c r="WU247" s="490"/>
      <c r="WV247" s="490"/>
      <c r="WW247" s="490"/>
      <c r="WX247" s="490"/>
      <c r="WY247" s="490"/>
      <c r="WZ247" s="490"/>
      <c r="XA247" s="490"/>
      <c r="XB247" s="490"/>
      <c r="XC247" s="490"/>
      <c r="XD247" s="490"/>
      <c r="XE247" s="490"/>
      <c r="XF247" s="490"/>
      <c r="XG247" s="490"/>
      <c r="XH247" s="490"/>
      <c r="XI247" s="490"/>
      <c r="XJ247" s="490"/>
      <c r="XK247" s="490"/>
      <c r="XL247" s="490"/>
      <c r="XM247" s="490"/>
      <c r="XN247" s="490"/>
      <c r="XO247" s="490"/>
      <c r="XP247" s="490"/>
      <c r="XQ247" s="490"/>
      <c r="XR247" s="490"/>
      <c r="XS247" s="490"/>
      <c r="XT247" s="490"/>
      <c r="XU247" s="490"/>
      <c r="XV247" s="490"/>
      <c r="XW247" s="490"/>
      <c r="XX247" s="490"/>
      <c r="XY247" s="490"/>
      <c r="XZ247" s="490"/>
      <c r="YA247" s="490"/>
      <c r="YB247" s="490"/>
      <c r="YC247" s="490"/>
      <c r="YD247" s="490"/>
      <c r="YE247" s="490"/>
      <c r="YF247" s="490"/>
      <c r="YG247" s="490"/>
      <c r="YH247" s="490"/>
      <c r="YI247" s="490"/>
      <c r="YJ247" s="490"/>
      <c r="YK247" s="490"/>
      <c r="YL247" s="490"/>
      <c r="YM247" s="490"/>
      <c r="YN247" s="490"/>
      <c r="YO247" s="490"/>
      <c r="YP247" s="490"/>
      <c r="YQ247" s="490"/>
      <c r="YR247" s="490"/>
      <c r="YS247" s="490"/>
      <c r="YT247" s="490"/>
      <c r="YU247" s="490"/>
      <c r="YV247" s="490"/>
      <c r="YW247" s="490"/>
      <c r="YX247" s="490"/>
      <c r="YY247" s="490"/>
      <c r="YZ247" s="490"/>
      <c r="ZA247" s="490"/>
      <c r="ZB247" s="490"/>
      <c r="ZC247" s="490"/>
      <c r="ZD247" s="490"/>
      <c r="ZE247" s="490"/>
      <c r="ZF247" s="490"/>
      <c r="ZG247" s="490"/>
      <c r="ZH247" s="490"/>
      <c r="ZI247" s="490"/>
      <c r="ZJ247" s="490"/>
      <c r="ZK247" s="490"/>
      <c r="ZL247" s="490"/>
      <c r="ZM247" s="490"/>
      <c r="ZN247" s="490"/>
      <c r="ZO247" s="490"/>
      <c r="ZP247" s="490"/>
      <c r="ZQ247" s="490"/>
      <c r="ZR247" s="490"/>
      <c r="ZS247" s="490"/>
      <c r="ZT247" s="490"/>
      <c r="ZU247" s="490"/>
      <c r="ZV247" s="490"/>
      <c r="ZW247" s="490"/>
      <c r="ZX247" s="490"/>
      <c r="ZY247" s="490"/>
      <c r="ZZ247" s="490"/>
      <c r="AAA247" s="490"/>
      <c r="AAB247" s="490"/>
      <c r="AAC247" s="490"/>
      <c r="AAD247" s="490"/>
      <c r="AAE247" s="490"/>
      <c r="AAF247" s="490"/>
      <c r="AAG247" s="490"/>
      <c r="AAH247" s="490"/>
      <c r="AAI247" s="490"/>
      <c r="AAJ247" s="490"/>
      <c r="AAK247" s="490"/>
      <c r="AAL247" s="490"/>
      <c r="AAM247" s="490"/>
      <c r="AAN247" s="490"/>
      <c r="AAO247" s="490"/>
      <c r="AAP247" s="490"/>
      <c r="AAQ247" s="490"/>
      <c r="AAR247" s="490"/>
      <c r="AAS247" s="490"/>
      <c r="AAT247" s="490"/>
      <c r="AAU247" s="490"/>
      <c r="AAV247" s="490"/>
      <c r="AAW247" s="490"/>
      <c r="AAX247" s="490"/>
      <c r="AAY247" s="490"/>
      <c r="AAZ247" s="490"/>
      <c r="ABA247" s="490"/>
      <c r="ABB247" s="490"/>
      <c r="ABC247" s="490"/>
      <c r="ABD247" s="490"/>
      <c r="ABE247" s="490"/>
      <c r="ABF247" s="490"/>
      <c r="ABG247" s="490"/>
      <c r="ABH247" s="490"/>
      <c r="ABI247" s="490"/>
      <c r="ABJ247" s="490"/>
      <c r="ABK247" s="490"/>
      <c r="ABL247" s="490"/>
      <c r="ABM247" s="490"/>
      <c r="ABN247" s="490"/>
      <c r="ABO247" s="490"/>
      <c r="ABP247" s="490"/>
      <c r="ABQ247" s="490"/>
      <c r="ABR247" s="490"/>
      <c r="ABS247" s="490"/>
      <c r="ABT247" s="490"/>
      <c r="ABU247" s="490"/>
      <c r="ABV247" s="490"/>
      <c r="ABW247" s="490"/>
      <c r="ABX247" s="490"/>
      <c r="ABY247" s="490"/>
      <c r="ABZ247" s="490"/>
      <c r="ACA247" s="490"/>
      <c r="ACB247" s="490"/>
      <c r="ACC247" s="490"/>
      <c r="ACD247" s="490"/>
      <c r="ACE247" s="490"/>
      <c r="ACF247" s="490"/>
      <c r="ACG247" s="490"/>
      <c r="ACH247" s="490"/>
      <c r="ACI247" s="490"/>
      <c r="ACJ247" s="490"/>
      <c r="ACK247" s="490"/>
      <c r="ACL247" s="490"/>
      <c r="ACM247" s="490"/>
      <c r="ACN247" s="490"/>
      <c r="ACO247" s="490"/>
      <c r="ACP247" s="490"/>
      <c r="ACQ247" s="490"/>
      <c r="ACR247" s="490"/>
      <c r="ACS247" s="490"/>
      <c r="ACT247" s="490"/>
      <c r="ACU247" s="490"/>
      <c r="ACV247" s="490"/>
      <c r="ACW247" s="490"/>
      <c r="ACX247" s="490"/>
      <c r="ACY247" s="490"/>
      <c r="ACZ247" s="490"/>
      <c r="ADA247" s="490"/>
      <c r="ADB247" s="490"/>
      <c r="ADC247" s="490"/>
      <c r="ADD247" s="490"/>
      <c r="ADE247" s="490"/>
      <c r="ADF247" s="490"/>
      <c r="ADG247" s="490"/>
      <c r="ADH247" s="490"/>
      <c r="ADI247" s="490"/>
      <c r="ADJ247" s="490"/>
      <c r="ADK247" s="490"/>
      <c r="ADL247" s="490"/>
      <c r="ADM247" s="490"/>
      <c r="ADN247" s="490"/>
      <c r="ADO247" s="490"/>
      <c r="ADP247" s="490"/>
      <c r="ADQ247" s="490"/>
      <c r="ADR247" s="490"/>
      <c r="ADS247" s="490"/>
      <c r="ADT247" s="490"/>
      <c r="ADU247" s="490"/>
      <c r="ADV247" s="490"/>
      <c r="ADW247" s="490"/>
      <c r="ADX247" s="490"/>
      <c r="ADY247" s="490"/>
      <c r="ADZ247" s="490"/>
      <c r="AEA247" s="490"/>
      <c r="AEB247" s="490"/>
      <c r="AEC247" s="490"/>
      <c r="AED247" s="490"/>
      <c r="AEE247" s="490"/>
      <c r="AEF247" s="490"/>
      <c r="AEG247" s="490"/>
      <c r="AEH247" s="490"/>
      <c r="AEI247" s="490"/>
      <c r="AEJ247" s="490"/>
      <c r="AEK247" s="490"/>
      <c r="AEL247" s="490"/>
      <c r="AEM247" s="490"/>
      <c r="AEN247" s="490"/>
      <c r="AEO247" s="490"/>
      <c r="AEP247" s="490"/>
      <c r="AEQ247" s="490"/>
      <c r="AER247" s="490"/>
      <c r="AES247" s="490"/>
      <c r="AET247" s="490"/>
      <c r="AEU247" s="490"/>
      <c r="AEV247" s="490"/>
      <c r="AEW247" s="490"/>
      <c r="AEX247" s="490"/>
      <c r="AEY247" s="490"/>
      <c r="AEZ247" s="490"/>
      <c r="AFA247" s="490"/>
      <c r="AFB247" s="490"/>
      <c r="AFC247" s="490"/>
      <c r="AFD247" s="490"/>
      <c r="AFE247" s="490"/>
      <c r="AFF247" s="490"/>
      <c r="AFG247" s="490"/>
      <c r="AFH247" s="490"/>
      <c r="AFI247" s="490"/>
      <c r="AFJ247" s="490"/>
      <c r="AFK247" s="490"/>
      <c r="AFL247" s="490"/>
      <c r="AFM247" s="490"/>
      <c r="AFN247" s="490"/>
      <c r="AFO247" s="490"/>
      <c r="AFP247" s="490"/>
      <c r="AFQ247" s="490"/>
      <c r="AFR247" s="490"/>
      <c r="AFS247" s="490"/>
      <c r="AFT247" s="490"/>
      <c r="AFU247" s="490"/>
      <c r="AFV247" s="490"/>
      <c r="AFW247" s="490"/>
      <c r="AFX247" s="490"/>
      <c r="AFY247" s="490"/>
      <c r="AFZ247" s="490"/>
      <c r="AGA247" s="490"/>
      <c r="AGB247" s="490"/>
      <c r="AGC247" s="490"/>
      <c r="AGD247" s="490"/>
      <c r="AGE247" s="490"/>
      <c r="AGF247" s="490"/>
      <c r="AGG247" s="490"/>
      <c r="AGH247" s="490"/>
      <c r="AGI247" s="490"/>
      <c r="AGJ247" s="490"/>
      <c r="AGK247" s="490"/>
      <c r="AGL247" s="490"/>
      <c r="AGM247" s="490"/>
      <c r="AGN247" s="490"/>
      <c r="AGO247" s="490"/>
      <c r="AGP247" s="490"/>
      <c r="AGQ247" s="490"/>
      <c r="AGR247" s="490"/>
      <c r="AGS247" s="490"/>
      <c r="AGT247" s="490"/>
      <c r="AGU247" s="490"/>
      <c r="AGV247" s="490"/>
      <c r="AGW247" s="490"/>
      <c r="AGX247" s="490"/>
      <c r="AGY247" s="490"/>
      <c r="AGZ247" s="490"/>
      <c r="AHA247" s="490"/>
      <c r="AHB247" s="490"/>
      <c r="AHC247" s="490"/>
      <c r="AHD247" s="490"/>
      <c r="AHE247" s="490"/>
      <c r="AHF247" s="490"/>
      <c r="AHG247" s="490"/>
      <c r="AHH247" s="490"/>
      <c r="AHI247" s="490"/>
      <c r="AHJ247" s="490"/>
      <c r="AHK247" s="490"/>
      <c r="AHL247" s="490"/>
      <c r="AHM247" s="490"/>
      <c r="AHN247" s="490"/>
      <c r="AHO247" s="490"/>
      <c r="AHP247" s="490"/>
      <c r="AHQ247" s="490"/>
      <c r="AHR247" s="490"/>
      <c r="AHS247" s="490"/>
      <c r="AHT247" s="490"/>
      <c r="AHU247" s="490"/>
      <c r="AHV247" s="490"/>
      <c r="AHW247" s="490"/>
      <c r="AHX247" s="490"/>
      <c r="AHY247" s="490"/>
      <c r="AHZ247" s="490"/>
      <c r="AIA247" s="490"/>
      <c r="AIB247" s="490"/>
      <c r="AIC247" s="490"/>
      <c r="AID247" s="490"/>
      <c r="AIE247" s="490"/>
      <c r="AIF247" s="490"/>
      <c r="AIG247" s="490"/>
      <c r="AIH247" s="490"/>
      <c r="AII247" s="490"/>
      <c r="AIJ247" s="490"/>
      <c r="AIK247" s="490"/>
      <c r="AIL247" s="490"/>
      <c r="AIM247" s="490"/>
      <c r="AIN247" s="490"/>
      <c r="AIO247" s="490"/>
      <c r="AIP247" s="490"/>
      <c r="AIQ247" s="490"/>
      <c r="AIR247" s="490"/>
      <c r="AIS247" s="490"/>
      <c r="AIT247" s="490"/>
      <c r="AIU247" s="490"/>
      <c r="AIV247" s="490"/>
      <c r="AIW247" s="490"/>
      <c r="AIX247" s="490"/>
      <c r="AIY247" s="490"/>
      <c r="AIZ247" s="490"/>
      <c r="AJA247" s="490"/>
      <c r="AJB247" s="490"/>
      <c r="AJC247" s="490"/>
      <c r="AJD247" s="490"/>
      <c r="AJE247" s="490"/>
      <c r="AJF247" s="490"/>
      <c r="AJG247" s="490"/>
      <c r="AJH247" s="490"/>
      <c r="AJI247" s="490"/>
      <c r="AJJ247" s="490"/>
      <c r="AJK247" s="490"/>
      <c r="AJL247" s="490"/>
      <c r="AJM247" s="490"/>
      <c r="AJN247" s="490"/>
      <c r="AJO247" s="490"/>
      <c r="AJP247" s="490"/>
      <c r="AJQ247" s="490"/>
      <c r="AJR247" s="490"/>
      <c r="AJS247" s="490"/>
      <c r="AJT247" s="490"/>
      <c r="AJU247" s="490"/>
      <c r="AJV247" s="490"/>
      <c r="AJW247" s="490"/>
      <c r="AJX247" s="490"/>
      <c r="AJY247" s="490"/>
      <c r="AJZ247" s="490"/>
      <c r="AKA247" s="490"/>
      <c r="AKB247" s="490"/>
      <c r="AKC247" s="490"/>
      <c r="AKD247" s="490"/>
      <c r="AKE247" s="490"/>
      <c r="AKF247" s="490"/>
      <c r="AKG247" s="490"/>
      <c r="AKH247" s="490"/>
      <c r="AKI247" s="490"/>
      <c r="AKJ247" s="490"/>
      <c r="AKK247" s="490"/>
      <c r="AKL247" s="490"/>
      <c r="AKM247" s="490"/>
      <c r="AKN247" s="490"/>
      <c r="AKO247" s="490"/>
      <c r="AKP247" s="490"/>
      <c r="AKQ247" s="490"/>
      <c r="AKR247" s="490"/>
      <c r="AKS247" s="490"/>
      <c r="AKT247" s="490"/>
      <c r="AKU247" s="490"/>
      <c r="AKV247" s="490"/>
      <c r="AKW247" s="490"/>
      <c r="AKX247" s="490"/>
      <c r="AKY247" s="490"/>
      <c r="AKZ247" s="490"/>
      <c r="ALA247" s="490"/>
      <c r="ALB247" s="490"/>
      <c r="ALC247" s="490"/>
      <c r="ALD247" s="490"/>
      <c r="ALE247" s="490"/>
      <c r="ALF247" s="490"/>
      <c r="ALG247" s="490"/>
      <c r="ALH247" s="490"/>
      <c r="ALI247" s="490"/>
      <c r="ALJ247" s="490"/>
      <c r="ALK247" s="490"/>
      <c r="ALL247" s="490"/>
      <c r="ALM247" s="490"/>
      <c r="ALN247" s="490"/>
      <c r="ALO247" s="490"/>
      <c r="ALP247" s="490"/>
      <c r="ALQ247" s="490"/>
      <c r="ALR247" s="490"/>
      <c r="ALS247" s="490"/>
      <c r="ALT247" s="490"/>
      <c r="ALU247" s="490"/>
      <c r="ALV247" s="490"/>
      <c r="ALW247" s="490"/>
      <c r="ALX247" s="490"/>
      <c r="ALY247" s="490"/>
      <c r="ALZ247" s="490"/>
      <c r="AMA247" s="490"/>
      <c r="AMB247" s="490"/>
      <c r="AMC247" s="490"/>
      <c r="AMD247" s="490"/>
      <c r="AME247" s="490"/>
      <c r="AMF247" s="490"/>
      <c r="AMG247" s="490"/>
      <c r="AMH247" s="490"/>
      <c r="AMI247" s="490"/>
      <c r="AMJ247" s="490"/>
      <c r="AMK247" s="490"/>
      <c r="AML247" s="490"/>
      <c r="AMM247" s="490"/>
      <c r="AMN247" s="490"/>
      <c r="AMO247" s="490"/>
      <c r="AMP247" s="490"/>
      <c r="AMQ247" s="490"/>
      <c r="AMR247" s="490"/>
      <c r="AMS247" s="490"/>
      <c r="AMT247" s="490"/>
      <c r="AMU247" s="490"/>
      <c r="AMV247" s="490"/>
      <c r="AMW247" s="490"/>
      <c r="AMX247" s="490"/>
      <c r="AMY247" s="490"/>
      <c r="AMZ247" s="490"/>
      <c r="ANA247" s="490"/>
      <c r="ANB247" s="490"/>
      <c r="ANC247" s="490"/>
      <c r="AND247" s="490"/>
      <c r="ANE247" s="490"/>
      <c r="ANF247" s="490"/>
      <c r="ANG247" s="490"/>
      <c r="ANH247" s="490"/>
      <c r="ANI247" s="490"/>
      <c r="ANJ247" s="490"/>
      <c r="ANK247" s="490"/>
      <c r="ANL247" s="490"/>
      <c r="ANM247" s="490"/>
      <c r="ANN247" s="490"/>
      <c r="ANO247" s="490"/>
      <c r="ANP247" s="490"/>
      <c r="ANQ247" s="490"/>
      <c r="ANR247" s="490"/>
      <c r="ANS247" s="490"/>
      <c r="ANT247" s="490"/>
      <c r="ANU247" s="490"/>
      <c r="ANV247" s="490"/>
      <c r="ANW247" s="490"/>
      <c r="ANX247" s="490"/>
      <c r="ANY247" s="490"/>
      <c r="ANZ247" s="490"/>
      <c r="AOA247" s="490"/>
      <c r="AOB247" s="490"/>
      <c r="AOC247" s="490"/>
      <c r="AOD247" s="490"/>
      <c r="AOE247" s="490"/>
      <c r="AOF247" s="490"/>
      <c r="AOG247" s="490"/>
      <c r="AOH247" s="490"/>
      <c r="AOI247" s="490"/>
      <c r="AOJ247" s="490"/>
      <c r="AOK247" s="490"/>
      <c r="AOL247" s="490"/>
      <c r="AOM247" s="490"/>
      <c r="AON247" s="490"/>
      <c r="AOO247" s="490"/>
      <c r="AOP247" s="490"/>
      <c r="AOQ247" s="490"/>
      <c r="AOR247" s="490"/>
      <c r="AOS247" s="490"/>
      <c r="AOT247" s="490"/>
      <c r="AOU247" s="490"/>
      <c r="AOV247" s="490"/>
      <c r="AOW247" s="490"/>
      <c r="AOX247" s="490"/>
      <c r="AOY247" s="490"/>
      <c r="AOZ247" s="490"/>
      <c r="APA247" s="490"/>
      <c r="APB247" s="490"/>
      <c r="APC247" s="490"/>
      <c r="APD247" s="490"/>
      <c r="APE247" s="490"/>
      <c r="APF247" s="490"/>
      <c r="APG247" s="490"/>
      <c r="APH247" s="490"/>
      <c r="API247" s="490"/>
      <c r="APJ247" s="490"/>
      <c r="APK247" s="490"/>
      <c r="APL247" s="490"/>
      <c r="APM247" s="490"/>
      <c r="APN247" s="490"/>
      <c r="APO247" s="490"/>
      <c r="APP247" s="490"/>
      <c r="APQ247" s="490"/>
      <c r="APR247" s="490"/>
      <c r="APS247" s="490"/>
      <c r="APT247" s="490"/>
      <c r="APU247" s="490"/>
      <c r="APV247" s="490"/>
      <c r="APW247" s="490"/>
      <c r="APX247" s="490"/>
      <c r="APY247" s="490"/>
      <c r="APZ247" s="490"/>
      <c r="AQA247" s="490"/>
      <c r="AQB247" s="490"/>
      <c r="AQC247" s="490"/>
      <c r="AQD247" s="490"/>
      <c r="AQE247" s="490"/>
      <c r="AQF247" s="490"/>
      <c r="AQG247" s="490"/>
      <c r="AQH247" s="490"/>
      <c r="AQI247" s="490"/>
      <c r="AQJ247" s="490"/>
      <c r="AQK247" s="490"/>
      <c r="AQL247" s="490"/>
      <c r="AQM247" s="490"/>
      <c r="AQN247" s="490"/>
      <c r="AQO247" s="490"/>
      <c r="AQP247" s="490"/>
      <c r="AQQ247" s="490"/>
      <c r="AQR247" s="490"/>
      <c r="AQS247" s="490"/>
      <c r="AQT247" s="490"/>
      <c r="AQU247" s="490"/>
      <c r="AQV247" s="490"/>
      <c r="AQW247" s="490"/>
      <c r="AQX247" s="490"/>
      <c r="AQY247" s="490"/>
      <c r="AQZ247" s="490"/>
      <c r="ARA247" s="490"/>
      <c r="ARB247" s="490"/>
      <c r="ARC247" s="490"/>
      <c r="ARD247" s="490"/>
      <c r="ARE247" s="490"/>
      <c r="ARF247" s="490"/>
      <c r="ARG247" s="490"/>
      <c r="ARH247" s="490"/>
      <c r="ARI247" s="490"/>
      <c r="ARJ247" s="490"/>
      <c r="ARK247" s="490"/>
      <c r="ARL247" s="490"/>
      <c r="ARM247" s="490"/>
      <c r="ARN247" s="490"/>
      <c r="ARO247" s="490"/>
      <c r="ARP247" s="490"/>
      <c r="ARQ247" s="490"/>
      <c r="ARR247" s="490"/>
      <c r="ARS247" s="490"/>
      <c r="ART247" s="490"/>
      <c r="ARU247" s="490"/>
      <c r="ARV247" s="490"/>
      <c r="ARW247" s="490"/>
      <c r="ARX247" s="490"/>
      <c r="ARY247" s="490"/>
      <c r="ARZ247" s="490"/>
      <c r="ASA247" s="490"/>
      <c r="ASB247" s="490"/>
      <c r="ASC247" s="490"/>
      <c r="ASD247" s="490"/>
      <c r="ASE247" s="490"/>
      <c r="ASF247" s="490"/>
      <c r="ASG247" s="490"/>
      <c r="ASH247" s="490"/>
      <c r="ASI247" s="490"/>
      <c r="ASJ247" s="490"/>
      <c r="ASK247" s="490"/>
      <c r="ASL247" s="490"/>
      <c r="ASM247" s="490"/>
      <c r="ASN247" s="490"/>
      <c r="ASO247" s="490"/>
      <c r="ASP247" s="490"/>
      <c r="ASQ247" s="490"/>
      <c r="ASR247" s="490"/>
      <c r="ASS247" s="490"/>
      <c r="AST247" s="490"/>
      <c r="ASU247" s="490"/>
      <c r="ASV247" s="490"/>
      <c r="ASW247" s="490"/>
      <c r="ASX247" s="490"/>
      <c r="ASY247" s="490"/>
      <c r="ASZ247" s="490"/>
      <c r="ATA247" s="490"/>
      <c r="ATB247" s="490"/>
      <c r="ATC247" s="490"/>
      <c r="ATD247" s="490"/>
      <c r="ATE247" s="490"/>
      <c r="ATF247" s="490"/>
      <c r="ATG247" s="490"/>
      <c r="ATH247" s="490"/>
      <c r="ATI247" s="490"/>
      <c r="ATJ247" s="490"/>
      <c r="ATK247" s="490"/>
      <c r="ATL247" s="490"/>
      <c r="ATM247" s="490"/>
      <c r="ATN247" s="490"/>
      <c r="ATO247" s="490"/>
      <c r="ATP247" s="490"/>
      <c r="ATQ247" s="490"/>
      <c r="ATR247" s="490"/>
      <c r="ATS247" s="490"/>
      <c r="ATT247" s="490"/>
      <c r="ATU247" s="490"/>
      <c r="ATV247" s="490"/>
      <c r="ATW247" s="490"/>
      <c r="ATX247" s="490"/>
      <c r="ATY247" s="490"/>
      <c r="ATZ247" s="490"/>
      <c r="AUA247" s="490"/>
      <c r="AUB247" s="490"/>
      <c r="AUC247" s="490"/>
      <c r="AUD247" s="490"/>
      <c r="AUE247" s="490"/>
      <c r="AUF247" s="490"/>
      <c r="AUG247" s="490"/>
      <c r="AUH247" s="490"/>
      <c r="AUI247" s="490"/>
      <c r="AUJ247" s="490"/>
      <c r="AUK247" s="490"/>
      <c r="AUL247" s="490"/>
      <c r="AUM247" s="490"/>
      <c r="AUN247" s="490"/>
      <c r="AUO247" s="490"/>
      <c r="AUP247" s="490"/>
      <c r="AUQ247" s="490"/>
      <c r="AUR247" s="490"/>
      <c r="AUS247" s="490"/>
      <c r="AUT247" s="490"/>
      <c r="AUU247" s="490"/>
      <c r="AUV247" s="490"/>
      <c r="AUW247" s="490"/>
      <c r="AUX247" s="490"/>
      <c r="AUY247" s="490"/>
      <c r="AUZ247" s="490"/>
      <c r="AVA247" s="490"/>
      <c r="AVB247" s="490"/>
      <c r="AVC247" s="490"/>
      <c r="AVD247" s="490"/>
      <c r="AVE247" s="490"/>
      <c r="AVF247" s="490"/>
      <c r="AVG247" s="490"/>
      <c r="AVH247" s="490"/>
      <c r="AVI247" s="490"/>
      <c r="AVJ247" s="490"/>
      <c r="AVK247" s="490"/>
      <c r="AVL247" s="490"/>
      <c r="AVM247" s="490"/>
      <c r="AVN247" s="490"/>
      <c r="AVO247" s="490"/>
      <c r="AVP247" s="490"/>
      <c r="AVQ247" s="490"/>
      <c r="AVR247" s="490"/>
      <c r="AVS247" s="490"/>
      <c r="AVT247" s="490"/>
      <c r="AVU247" s="490"/>
      <c r="AVV247" s="490"/>
      <c r="AVW247" s="490"/>
      <c r="AVX247" s="490"/>
      <c r="AVY247" s="490"/>
      <c r="AVZ247" s="490"/>
      <c r="AWA247" s="490"/>
      <c r="AWB247" s="490"/>
      <c r="AWC247" s="490"/>
      <c r="AWD247" s="490"/>
      <c r="AWE247" s="490"/>
      <c r="AWF247" s="490"/>
      <c r="AWG247" s="490"/>
      <c r="AWH247" s="490"/>
      <c r="AWI247" s="490"/>
      <c r="AWJ247" s="490"/>
      <c r="AWK247" s="490"/>
      <c r="AWL247" s="490"/>
      <c r="AWM247" s="490"/>
      <c r="AWN247" s="490"/>
      <c r="AWO247" s="490"/>
      <c r="AWP247" s="490"/>
      <c r="AWQ247" s="490"/>
      <c r="AWR247" s="490"/>
      <c r="AWS247" s="490"/>
      <c r="AWT247" s="490"/>
      <c r="AWU247" s="490"/>
      <c r="AWV247" s="490"/>
      <c r="AWW247" s="490"/>
      <c r="AWX247" s="490"/>
      <c r="AWY247" s="490"/>
      <c r="AWZ247" s="490"/>
      <c r="AXA247" s="490"/>
      <c r="AXB247" s="490"/>
      <c r="AXC247" s="490"/>
      <c r="AXD247" s="490"/>
      <c r="AXE247" s="490"/>
      <c r="AXF247" s="490"/>
      <c r="AXG247" s="490"/>
      <c r="AXH247" s="490"/>
      <c r="AXI247" s="490"/>
      <c r="AXJ247" s="490"/>
      <c r="AXK247" s="490"/>
      <c r="AXL247" s="490"/>
      <c r="AXM247" s="490"/>
      <c r="AXN247" s="490"/>
      <c r="AXO247" s="490"/>
      <c r="AXP247" s="490"/>
      <c r="AXQ247" s="490"/>
      <c r="AXR247" s="490"/>
      <c r="AXS247" s="490"/>
      <c r="AXT247" s="490"/>
      <c r="AXU247" s="490"/>
      <c r="AXV247" s="490"/>
      <c r="AXW247" s="490"/>
      <c r="AXX247" s="490"/>
      <c r="AXY247" s="490"/>
      <c r="AXZ247" s="490"/>
      <c r="AYA247" s="490"/>
      <c r="AYB247" s="490"/>
      <c r="AYC247" s="490"/>
      <c r="AYD247" s="490"/>
      <c r="AYE247" s="490"/>
      <c r="AYF247" s="490"/>
      <c r="AYG247" s="490"/>
      <c r="AYH247" s="490"/>
      <c r="AYI247" s="490"/>
      <c r="AYJ247" s="490"/>
      <c r="AYK247" s="490"/>
      <c r="AYL247" s="490"/>
      <c r="AYM247" s="490"/>
      <c r="AYN247" s="490"/>
      <c r="AYO247" s="490"/>
      <c r="AYP247" s="490"/>
      <c r="AYQ247" s="490"/>
      <c r="AYR247" s="490"/>
      <c r="AYS247" s="490"/>
      <c r="AYT247" s="490"/>
      <c r="AYU247" s="490"/>
      <c r="AYV247" s="490"/>
      <c r="AYW247" s="490"/>
      <c r="AYX247" s="490"/>
      <c r="AYY247" s="490"/>
      <c r="AYZ247" s="490"/>
      <c r="AZA247" s="490"/>
      <c r="AZB247" s="490"/>
      <c r="AZC247" s="490"/>
      <c r="AZD247" s="490"/>
      <c r="AZE247" s="490"/>
      <c r="AZF247" s="490"/>
      <c r="AZG247" s="490"/>
      <c r="AZH247" s="490"/>
      <c r="AZI247" s="490"/>
      <c r="AZJ247" s="490"/>
      <c r="AZK247" s="490"/>
      <c r="AZL247" s="490"/>
      <c r="AZM247" s="490"/>
      <c r="AZN247" s="490"/>
      <c r="AZO247" s="490"/>
      <c r="AZP247" s="490"/>
      <c r="AZQ247" s="490"/>
      <c r="AZR247" s="490"/>
      <c r="AZS247" s="490"/>
      <c r="AZT247" s="490"/>
      <c r="AZU247" s="490"/>
      <c r="AZV247" s="490"/>
      <c r="AZW247" s="490"/>
      <c r="AZX247" s="490"/>
      <c r="AZY247" s="490"/>
      <c r="AZZ247" s="490"/>
      <c r="BAA247" s="490"/>
      <c r="BAB247" s="490"/>
      <c r="BAC247" s="490"/>
      <c r="BAD247" s="490"/>
      <c r="BAE247" s="490"/>
      <c r="BAF247" s="490"/>
      <c r="BAG247" s="490"/>
      <c r="BAH247" s="490"/>
      <c r="BAI247" s="490"/>
      <c r="BAJ247" s="490"/>
      <c r="BAK247" s="490"/>
      <c r="BAL247" s="490"/>
      <c r="BAM247" s="490"/>
      <c r="BAN247" s="490"/>
      <c r="BAO247" s="490"/>
      <c r="BAP247" s="490"/>
      <c r="BAQ247" s="490"/>
      <c r="BAR247" s="490"/>
      <c r="BAS247" s="490"/>
      <c r="BAT247" s="490"/>
      <c r="BAU247" s="490"/>
      <c r="BAV247" s="490"/>
      <c r="BAW247" s="490"/>
      <c r="BAX247" s="490"/>
      <c r="BAY247" s="490"/>
      <c r="BAZ247" s="490"/>
      <c r="BBA247" s="490"/>
      <c r="BBB247" s="490"/>
      <c r="BBC247" s="490"/>
      <c r="BBD247" s="490"/>
      <c r="BBE247" s="490"/>
      <c r="BBF247" s="490"/>
      <c r="BBG247" s="490"/>
      <c r="BBH247" s="490"/>
      <c r="BBI247" s="490"/>
      <c r="BBJ247" s="490"/>
      <c r="BBK247" s="490"/>
      <c r="BBL247" s="490"/>
      <c r="BBM247" s="490"/>
      <c r="BBN247" s="490"/>
      <c r="BBO247" s="490"/>
      <c r="BBP247" s="490"/>
      <c r="BBQ247" s="490"/>
      <c r="BBR247" s="490"/>
      <c r="BBS247" s="490"/>
      <c r="BBT247" s="490"/>
      <c r="BBU247" s="490"/>
      <c r="BBV247" s="490"/>
      <c r="BBW247" s="490"/>
      <c r="BBX247" s="490"/>
      <c r="BBY247" s="490"/>
      <c r="BBZ247" s="490"/>
      <c r="BCA247" s="490"/>
      <c r="BCB247" s="490"/>
      <c r="BCC247" s="490"/>
      <c r="BCD247" s="490"/>
      <c r="BCE247" s="490"/>
      <c r="BCF247" s="490"/>
      <c r="BCG247" s="490"/>
      <c r="BCH247" s="490"/>
      <c r="BCI247" s="490"/>
      <c r="BCJ247" s="490"/>
      <c r="BCK247" s="490"/>
      <c r="BCL247" s="490"/>
      <c r="BCM247" s="490"/>
      <c r="BCN247" s="490"/>
      <c r="BCO247" s="490"/>
      <c r="BCP247" s="490"/>
      <c r="BCQ247" s="490"/>
      <c r="BCR247" s="490"/>
      <c r="BCS247" s="490"/>
      <c r="BCT247" s="490"/>
      <c r="BCU247" s="490"/>
      <c r="BCV247" s="490"/>
      <c r="BCW247" s="490"/>
      <c r="BCX247" s="490"/>
      <c r="BCY247" s="490"/>
      <c r="BCZ247" s="490"/>
      <c r="BDA247" s="490"/>
      <c r="BDB247" s="490"/>
      <c r="BDC247" s="490"/>
      <c r="BDD247" s="490"/>
      <c r="BDE247" s="490"/>
      <c r="BDF247" s="490"/>
      <c r="BDG247" s="490"/>
      <c r="BDH247" s="490"/>
      <c r="BDI247" s="490"/>
      <c r="BDJ247" s="490"/>
      <c r="BDK247" s="490"/>
      <c r="BDL247" s="490"/>
      <c r="BDM247" s="490"/>
      <c r="BDN247" s="490"/>
      <c r="BDO247" s="490"/>
      <c r="BDP247" s="490"/>
      <c r="BDQ247" s="490"/>
      <c r="BDR247" s="490"/>
      <c r="BDS247" s="490"/>
      <c r="BDT247" s="490"/>
      <c r="BDU247" s="490"/>
      <c r="BDV247" s="490"/>
      <c r="BDW247" s="490"/>
      <c r="BDX247" s="490"/>
      <c r="BDY247" s="490"/>
      <c r="BDZ247" s="490"/>
      <c r="BEA247" s="490"/>
      <c r="BEB247" s="490"/>
      <c r="BEC247" s="490"/>
      <c r="BED247" s="490"/>
      <c r="BEE247" s="490"/>
      <c r="BEF247" s="490"/>
      <c r="BEG247" s="490"/>
      <c r="BEH247" s="490"/>
      <c r="BEI247" s="490"/>
      <c r="BEJ247" s="490"/>
      <c r="BEK247" s="490"/>
      <c r="BEL247" s="490"/>
      <c r="BEM247" s="490"/>
      <c r="BEN247" s="490"/>
      <c r="BEO247" s="490"/>
      <c r="BEP247" s="490"/>
      <c r="BEQ247" s="490"/>
      <c r="BER247" s="490"/>
      <c r="BES247" s="490"/>
      <c r="BET247" s="490"/>
      <c r="BEU247" s="490"/>
      <c r="BEV247" s="490"/>
      <c r="BEW247" s="490"/>
      <c r="BEX247" s="490"/>
      <c r="BEY247" s="490"/>
      <c r="BEZ247" s="490"/>
      <c r="BFA247" s="490"/>
      <c r="BFB247" s="490"/>
      <c r="BFC247" s="490"/>
      <c r="BFD247" s="490"/>
      <c r="BFE247" s="490"/>
      <c r="BFF247" s="490"/>
      <c r="BFG247" s="490"/>
      <c r="BFH247" s="490"/>
      <c r="BFI247" s="490"/>
      <c r="BFJ247" s="490"/>
      <c r="BFK247" s="490"/>
      <c r="BFL247" s="490"/>
      <c r="BFM247" s="490"/>
      <c r="BFN247" s="490"/>
      <c r="BFO247" s="490"/>
      <c r="BFP247" s="490"/>
      <c r="BFQ247" s="490"/>
      <c r="BFR247" s="490"/>
      <c r="BFS247" s="490"/>
      <c r="BFT247" s="490"/>
      <c r="BFU247" s="490"/>
      <c r="BFV247" s="490"/>
      <c r="BFW247" s="490"/>
      <c r="BFX247" s="490"/>
      <c r="BFY247" s="490"/>
      <c r="BFZ247" s="490"/>
      <c r="BGA247" s="490"/>
      <c r="BGB247" s="490"/>
      <c r="BGC247" s="490"/>
      <c r="BGD247" s="490"/>
      <c r="BGE247" s="490"/>
      <c r="BGF247" s="490"/>
      <c r="BGG247" s="490"/>
      <c r="BGH247" s="490"/>
      <c r="BGI247" s="490"/>
      <c r="BGJ247" s="490"/>
      <c r="BGK247" s="490"/>
      <c r="BGL247" s="490"/>
      <c r="BGM247" s="490"/>
      <c r="BGN247" s="490"/>
      <c r="BGO247" s="490"/>
      <c r="BGP247" s="490"/>
      <c r="BGQ247" s="490"/>
      <c r="BGR247" s="490"/>
      <c r="BGS247" s="490"/>
      <c r="BGT247" s="490"/>
      <c r="BGU247" s="490"/>
      <c r="BGV247" s="490"/>
      <c r="BGW247" s="490"/>
      <c r="BGX247" s="490"/>
      <c r="BGY247" s="490"/>
      <c r="BGZ247" s="490"/>
      <c r="BHA247" s="490"/>
      <c r="BHB247" s="490"/>
      <c r="BHC247" s="490"/>
      <c r="BHD247" s="490"/>
      <c r="BHE247" s="490"/>
      <c r="BHF247" s="490"/>
      <c r="BHG247" s="490"/>
      <c r="BHH247" s="490"/>
      <c r="BHI247" s="490"/>
      <c r="BHJ247" s="490"/>
      <c r="BHK247" s="490"/>
      <c r="BHL247" s="490"/>
      <c r="BHM247" s="490"/>
      <c r="BHN247" s="490"/>
      <c r="BHO247" s="490"/>
      <c r="BHP247" s="490"/>
      <c r="BHQ247" s="490"/>
      <c r="BHR247" s="490"/>
      <c r="BHS247" s="490"/>
      <c r="BHT247" s="490"/>
      <c r="BHU247" s="490"/>
      <c r="BHV247" s="490"/>
      <c r="BHW247" s="490"/>
      <c r="BHX247" s="490"/>
      <c r="BHY247" s="490"/>
      <c r="BHZ247" s="490"/>
      <c r="BIA247" s="490"/>
      <c r="BIB247" s="490"/>
      <c r="BIC247" s="490"/>
      <c r="BID247" s="490"/>
      <c r="BIE247" s="490"/>
      <c r="BIF247" s="490"/>
      <c r="BIG247" s="490"/>
      <c r="BIH247" s="490"/>
      <c r="BII247" s="490"/>
      <c r="BIJ247" s="490"/>
      <c r="BIK247" s="490"/>
      <c r="BIL247" s="490"/>
      <c r="BIM247" s="490"/>
      <c r="BIN247" s="490"/>
      <c r="BIO247" s="490"/>
      <c r="BIP247" s="490"/>
      <c r="BIQ247" s="490"/>
      <c r="BIR247" s="490"/>
      <c r="BIS247" s="490"/>
      <c r="BIT247" s="490"/>
      <c r="BIU247" s="490"/>
      <c r="BIV247" s="490"/>
      <c r="BIW247" s="490"/>
      <c r="BIX247" s="490"/>
      <c r="BIY247" s="490"/>
      <c r="BIZ247" s="490"/>
      <c r="BJA247" s="490"/>
      <c r="BJB247" s="490"/>
      <c r="BJC247" s="490"/>
      <c r="BJD247" s="490"/>
      <c r="BJE247" s="490"/>
      <c r="BJF247" s="490"/>
      <c r="BJG247" s="490"/>
      <c r="BJH247" s="490"/>
      <c r="BJI247" s="490"/>
      <c r="BJJ247" s="490"/>
      <c r="BJK247" s="490"/>
      <c r="BJL247" s="490"/>
      <c r="BJM247" s="490"/>
      <c r="BJN247" s="490"/>
      <c r="BJO247" s="490"/>
      <c r="BJP247" s="490"/>
      <c r="BJQ247" s="490"/>
      <c r="BJR247" s="490"/>
      <c r="BJS247" s="490"/>
      <c r="BJT247" s="490"/>
      <c r="BJU247" s="490"/>
      <c r="BJV247" s="490"/>
      <c r="BJW247" s="490"/>
      <c r="BJX247" s="490"/>
      <c r="BJY247" s="490"/>
      <c r="BJZ247" s="490"/>
      <c r="BKA247" s="490"/>
      <c r="BKB247" s="490"/>
      <c r="BKC247" s="490"/>
      <c r="BKD247" s="490"/>
      <c r="BKE247" s="490"/>
      <c r="BKF247" s="490"/>
      <c r="BKG247" s="490"/>
      <c r="BKH247" s="490"/>
      <c r="BKI247" s="490"/>
      <c r="BKJ247" s="490"/>
      <c r="BKK247" s="490"/>
      <c r="BKL247" s="490"/>
      <c r="BKM247" s="490"/>
      <c r="BKN247" s="490"/>
      <c r="BKO247" s="490"/>
      <c r="BKP247" s="490"/>
      <c r="BKQ247" s="490"/>
      <c r="BKR247" s="490"/>
      <c r="BKS247" s="490"/>
      <c r="BKT247" s="490"/>
      <c r="BKU247" s="490"/>
      <c r="BKV247" s="490"/>
      <c r="BKW247" s="490"/>
      <c r="BKX247" s="490"/>
      <c r="BKY247" s="490"/>
      <c r="BKZ247" s="490"/>
      <c r="BLA247" s="490"/>
      <c r="BLB247" s="490"/>
      <c r="BLC247" s="490"/>
      <c r="BLD247" s="490"/>
      <c r="BLE247" s="490"/>
      <c r="BLF247" s="490"/>
      <c r="BLG247" s="490"/>
      <c r="BLH247" s="490"/>
      <c r="BLI247" s="490"/>
      <c r="BLJ247" s="490"/>
      <c r="BLK247" s="490"/>
      <c r="BLL247" s="490"/>
      <c r="BLM247" s="490"/>
      <c r="BLN247" s="490"/>
      <c r="BLO247" s="490"/>
      <c r="BLP247" s="490"/>
      <c r="BLQ247" s="490"/>
      <c r="BLR247" s="490"/>
      <c r="BLS247" s="490"/>
      <c r="BLT247" s="490"/>
      <c r="BLU247" s="490"/>
      <c r="BLV247" s="490"/>
      <c r="BLW247" s="490"/>
      <c r="BLX247" s="490"/>
      <c r="BLY247" s="490"/>
      <c r="BLZ247" s="490"/>
      <c r="BMA247" s="490"/>
      <c r="BMB247" s="490"/>
      <c r="BMC247" s="490"/>
      <c r="BMD247" s="490"/>
      <c r="BME247" s="490"/>
      <c r="BMF247" s="490"/>
      <c r="BMG247" s="490"/>
      <c r="BMH247" s="490"/>
      <c r="BMI247" s="490"/>
      <c r="BMJ247" s="490"/>
      <c r="BMK247" s="490"/>
      <c r="BML247" s="490"/>
      <c r="BMM247" s="490"/>
      <c r="BMN247" s="490"/>
      <c r="BMO247" s="490"/>
      <c r="BMP247" s="490"/>
      <c r="BMQ247" s="490"/>
      <c r="BMR247" s="490"/>
      <c r="BMS247" s="490"/>
      <c r="BMT247" s="490"/>
      <c r="BMU247" s="490"/>
      <c r="BMV247" s="490"/>
      <c r="BMW247" s="490"/>
      <c r="BMX247" s="490"/>
      <c r="BMY247" s="490"/>
      <c r="BMZ247" s="490"/>
      <c r="BNA247" s="490"/>
      <c r="BNB247" s="490"/>
      <c r="BNC247" s="490"/>
      <c r="BND247" s="490"/>
      <c r="BNE247" s="490"/>
      <c r="BNF247" s="490"/>
      <c r="BNG247" s="490"/>
      <c r="BNH247" s="490"/>
      <c r="BNI247" s="490"/>
      <c r="BNJ247" s="490"/>
      <c r="BNK247" s="490"/>
      <c r="BNL247" s="490"/>
      <c r="BNM247" s="490"/>
      <c r="BNN247" s="490"/>
      <c r="BNO247" s="490"/>
      <c r="BNP247" s="490"/>
      <c r="BNQ247" s="490"/>
      <c r="BNR247" s="490"/>
      <c r="BNS247" s="490"/>
      <c r="BNT247" s="490"/>
      <c r="BNU247" s="490"/>
      <c r="BNV247" s="490"/>
      <c r="BNW247" s="490"/>
      <c r="BNX247" s="490"/>
      <c r="BNY247" s="490"/>
      <c r="BNZ247" s="490"/>
      <c r="BOA247" s="490"/>
      <c r="BOB247" s="490"/>
      <c r="BOC247" s="490"/>
      <c r="BOD247" s="490"/>
      <c r="BOE247" s="490"/>
      <c r="BOF247" s="490"/>
      <c r="BOG247" s="490"/>
      <c r="BOH247" s="490"/>
      <c r="BOI247" s="490"/>
      <c r="BOJ247" s="490"/>
      <c r="BOK247" s="490"/>
      <c r="BOL247" s="490"/>
      <c r="BOM247" s="490"/>
      <c r="BON247" s="490"/>
      <c r="BOO247" s="490"/>
      <c r="BOP247" s="490"/>
      <c r="BOQ247" s="490"/>
      <c r="BOR247" s="490"/>
      <c r="BOS247" s="490"/>
      <c r="BOT247" s="490"/>
      <c r="BOU247" s="490"/>
      <c r="BOV247" s="490"/>
      <c r="BOW247" s="490"/>
      <c r="BOX247" s="490"/>
      <c r="BOY247" s="490"/>
      <c r="BOZ247" s="490"/>
      <c r="BPA247" s="490"/>
      <c r="BPB247" s="490"/>
      <c r="BPC247" s="490"/>
      <c r="BPD247" s="490"/>
      <c r="BPE247" s="490"/>
      <c r="BPF247" s="490"/>
      <c r="BPG247" s="490"/>
      <c r="BPH247" s="490"/>
      <c r="BPI247" s="490"/>
      <c r="BPJ247" s="490"/>
      <c r="BPK247" s="490"/>
      <c r="BPL247" s="490"/>
      <c r="BPM247" s="490"/>
      <c r="BPN247" s="490"/>
      <c r="BPO247" s="490"/>
      <c r="BPP247" s="490"/>
      <c r="BPQ247" s="490"/>
      <c r="BPR247" s="490"/>
      <c r="BPS247" s="490"/>
      <c r="BPT247" s="490"/>
      <c r="BPU247" s="490"/>
      <c r="BPV247" s="490"/>
      <c r="BPW247" s="490"/>
      <c r="BPX247" s="490"/>
      <c r="BPY247" s="490"/>
      <c r="BPZ247" s="490"/>
      <c r="BQA247" s="490"/>
      <c r="BQB247" s="490"/>
      <c r="BQC247" s="490"/>
      <c r="BQD247" s="490"/>
      <c r="BQE247" s="490"/>
      <c r="BQF247" s="490"/>
      <c r="BQG247" s="490"/>
      <c r="BQH247" s="490"/>
      <c r="BQI247" s="490"/>
      <c r="BQJ247" s="490"/>
      <c r="BQK247" s="490"/>
      <c r="BQL247" s="490"/>
      <c r="BQM247" s="490"/>
      <c r="BQN247" s="490"/>
      <c r="BQO247" s="490"/>
      <c r="BQP247" s="490"/>
      <c r="BQQ247" s="490"/>
      <c r="BQR247" s="490"/>
      <c r="BQS247" s="490"/>
      <c r="BQT247" s="490"/>
      <c r="BQU247" s="490"/>
      <c r="BQV247" s="490"/>
      <c r="BQW247" s="490"/>
      <c r="BQX247" s="490"/>
      <c r="BQY247" s="490"/>
      <c r="BQZ247" s="490"/>
      <c r="BRA247" s="490"/>
      <c r="BRB247" s="490"/>
      <c r="BRC247" s="490"/>
      <c r="BRD247" s="490"/>
      <c r="BRE247" s="490"/>
      <c r="BRF247" s="490"/>
      <c r="BRG247" s="490"/>
      <c r="BRH247" s="490"/>
      <c r="BRI247" s="490"/>
      <c r="BRJ247" s="490"/>
      <c r="BRK247" s="490"/>
      <c r="BRL247" s="490"/>
      <c r="BRM247" s="490"/>
      <c r="BRN247" s="490"/>
      <c r="BRO247" s="490"/>
      <c r="BRP247" s="490"/>
      <c r="BRQ247" s="490"/>
      <c r="BRR247" s="490"/>
      <c r="BRS247" s="490"/>
      <c r="BRT247" s="490"/>
      <c r="BRU247" s="490"/>
      <c r="BRV247" s="490"/>
      <c r="BRW247" s="490"/>
      <c r="BRX247" s="490"/>
      <c r="BRY247" s="490"/>
      <c r="BRZ247" s="490"/>
      <c r="BSA247" s="490"/>
      <c r="BSB247" s="490"/>
      <c r="BSC247" s="490"/>
      <c r="BSD247" s="490"/>
      <c r="BSE247" s="490"/>
      <c r="BSF247" s="490"/>
      <c r="BSG247" s="490"/>
      <c r="BSH247" s="490"/>
      <c r="BSI247" s="490"/>
      <c r="BSJ247" s="490"/>
      <c r="BSK247" s="490"/>
      <c r="BSL247" s="490"/>
      <c r="BSM247" s="490"/>
      <c r="BSN247" s="490"/>
      <c r="BSO247" s="490"/>
      <c r="BSP247" s="490"/>
      <c r="BSQ247" s="490"/>
      <c r="BSR247" s="490"/>
      <c r="BSS247" s="490"/>
      <c r="BST247" s="490"/>
      <c r="BSU247" s="490"/>
      <c r="BSV247" s="490"/>
      <c r="BSW247" s="490"/>
      <c r="BSX247" s="490"/>
      <c r="BSY247" s="490"/>
      <c r="BSZ247" s="490"/>
      <c r="BTA247" s="490"/>
      <c r="BTB247" s="490"/>
      <c r="BTC247" s="490"/>
      <c r="BTD247" s="490"/>
      <c r="BTE247" s="490"/>
      <c r="BTF247" s="490"/>
      <c r="BTG247" s="490"/>
      <c r="BTH247" s="490"/>
      <c r="BTI247" s="490"/>
    </row>
    <row r="248" spans="1:1881" s="489" customFormat="1" ht="60" customHeight="1" x14ac:dyDescent="0.25">
      <c r="A248" s="455">
        <v>950</v>
      </c>
      <c r="B248" s="451"/>
      <c r="C248" s="452"/>
      <c r="D248" s="854" t="s">
        <v>954</v>
      </c>
      <c r="E248" s="454" t="s">
        <v>952</v>
      </c>
      <c r="F248" s="916"/>
      <c r="G248" s="563" t="str">
        <f t="shared" si="3"/>
        <v>Please do not leave blank</v>
      </c>
      <c r="H248" s="491"/>
      <c r="I248"/>
      <c r="J248"/>
      <c r="K248"/>
      <c r="L248"/>
      <c r="M248"/>
      <c r="N248"/>
      <c r="O248"/>
      <c r="P248" s="490"/>
      <c r="Q248" s="490"/>
      <c r="R248" s="490"/>
      <c r="S248" s="490"/>
      <c r="T248" s="490"/>
      <c r="U248" s="490"/>
      <c r="V248" s="490"/>
      <c r="W248" s="490"/>
      <c r="X248" s="490"/>
      <c r="Y248" s="490"/>
      <c r="Z248" s="490"/>
      <c r="AA248" s="490"/>
      <c r="AB248" s="490"/>
      <c r="AC248" s="490"/>
      <c r="AD248" s="490"/>
      <c r="AE248" s="490"/>
      <c r="AF248" s="490"/>
      <c r="AG248" s="490"/>
      <c r="AH248" s="490"/>
      <c r="AI248" s="490"/>
      <c r="AJ248" s="490"/>
      <c r="AK248" s="490"/>
      <c r="AL248" s="490"/>
      <c r="AM248" s="490"/>
      <c r="AN248" s="490"/>
      <c r="AO248" s="490"/>
      <c r="AP248" s="490"/>
      <c r="AQ248" s="490"/>
      <c r="AR248" s="490"/>
      <c r="AS248" s="490"/>
      <c r="AT248" s="490"/>
      <c r="AU248" s="490"/>
      <c r="AV248" s="490"/>
      <c r="AW248" s="490"/>
      <c r="AX248" s="490"/>
      <c r="AY248" s="490"/>
      <c r="AZ248" s="490"/>
      <c r="BA248" s="490"/>
      <c r="BB248" s="490"/>
      <c r="BC248" s="490"/>
      <c r="BD248" s="490"/>
      <c r="BE248" s="490"/>
      <c r="BF248" s="490"/>
      <c r="BG248" s="490"/>
      <c r="BH248" s="490"/>
      <c r="BI248" s="490"/>
      <c r="BJ248" s="490"/>
      <c r="BK248" s="490"/>
      <c r="BL248" s="490"/>
      <c r="BM248" s="490"/>
      <c r="BN248" s="490"/>
      <c r="BO248" s="490"/>
      <c r="BP248" s="490"/>
      <c r="BQ248" s="490"/>
      <c r="BR248" s="490"/>
      <c r="BS248" s="490"/>
      <c r="BT248" s="490"/>
      <c r="BU248" s="490"/>
      <c r="BV248" s="490"/>
      <c r="BW248" s="490"/>
      <c r="BX248" s="490"/>
      <c r="BY248" s="490"/>
      <c r="BZ248" s="490"/>
      <c r="CA248" s="490"/>
      <c r="CB248" s="490"/>
      <c r="CC248" s="490"/>
      <c r="CD248" s="490"/>
      <c r="CE248" s="490"/>
      <c r="CF248" s="490"/>
      <c r="CG248" s="490"/>
      <c r="CH248" s="490"/>
      <c r="CI248" s="490"/>
      <c r="CJ248" s="490"/>
      <c r="CK248" s="490"/>
      <c r="CL248" s="490"/>
      <c r="CM248" s="490"/>
      <c r="CN248" s="490"/>
      <c r="CO248" s="490"/>
      <c r="CP248" s="490"/>
      <c r="CQ248" s="490"/>
      <c r="CR248" s="490"/>
      <c r="CS248" s="490"/>
      <c r="CT248" s="490"/>
      <c r="CU248" s="490"/>
      <c r="CV248" s="490"/>
      <c r="CW248" s="490"/>
      <c r="CX248" s="490"/>
      <c r="CY248" s="490"/>
      <c r="CZ248" s="490"/>
      <c r="DA248" s="490"/>
      <c r="DB248" s="490"/>
      <c r="DC248" s="490"/>
      <c r="DD248" s="490"/>
      <c r="DE248" s="490"/>
      <c r="DF248" s="490"/>
      <c r="DG248" s="490"/>
      <c r="DH248" s="490"/>
      <c r="DI248" s="490"/>
      <c r="DJ248" s="490"/>
      <c r="DK248" s="490"/>
      <c r="DL248" s="490"/>
      <c r="DM248" s="490"/>
      <c r="DN248" s="490"/>
      <c r="DO248" s="490"/>
      <c r="DP248" s="490"/>
      <c r="DQ248" s="490"/>
      <c r="DR248" s="490"/>
      <c r="DS248" s="490"/>
      <c r="DT248" s="490"/>
      <c r="DU248" s="490"/>
      <c r="DV248" s="490"/>
      <c r="DW248" s="490"/>
      <c r="DX248" s="490"/>
      <c r="DY248" s="490"/>
      <c r="DZ248" s="490"/>
      <c r="EA248" s="490"/>
      <c r="EB248" s="490"/>
      <c r="EC248" s="490"/>
      <c r="ED248" s="490"/>
      <c r="EE248" s="490"/>
      <c r="EF248" s="490"/>
      <c r="EG248" s="490"/>
      <c r="EH248" s="490"/>
      <c r="EI248" s="490"/>
      <c r="EJ248" s="490"/>
      <c r="EK248" s="490"/>
      <c r="EL248" s="490"/>
      <c r="EM248" s="490"/>
      <c r="EN248" s="490"/>
      <c r="EO248" s="490"/>
      <c r="EP248" s="490"/>
      <c r="EQ248" s="490"/>
      <c r="ER248" s="490"/>
      <c r="ES248" s="490"/>
      <c r="ET248" s="490"/>
      <c r="EU248" s="490"/>
      <c r="EV248" s="490"/>
      <c r="EW248" s="490"/>
      <c r="EX248" s="490"/>
      <c r="EY248" s="490"/>
      <c r="EZ248" s="490"/>
      <c r="FA248" s="490"/>
      <c r="FB248" s="490"/>
      <c r="FC248" s="490"/>
      <c r="FD248" s="490"/>
      <c r="FE248" s="490"/>
      <c r="FF248" s="490"/>
      <c r="FG248" s="490"/>
      <c r="FH248" s="490"/>
      <c r="FI248" s="490"/>
      <c r="FJ248" s="490"/>
      <c r="FK248" s="490"/>
      <c r="FL248" s="490"/>
      <c r="FM248" s="490"/>
      <c r="FN248" s="490"/>
      <c r="FO248" s="490"/>
      <c r="FP248" s="490"/>
      <c r="FQ248" s="490"/>
      <c r="FR248" s="490"/>
      <c r="FS248" s="490"/>
      <c r="FT248" s="490"/>
      <c r="FU248" s="490"/>
      <c r="FV248" s="490"/>
      <c r="FW248" s="490"/>
      <c r="FX248" s="490"/>
      <c r="FY248" s="490"/>
      <c r="FZ248" s="490"/>
      <c r="GA248" s="490"/>
      <c r="GB248" s="490"/>
      <c r="GC248" s="490"/>
      <c r="GD248" s="490"/>
      <c r="GE248" s="490"/>
      <c r="GF248" s="490"/>
      <c r="GG248" s="490"/>
      <c r="GH248" s="490"/>
      <c r="GI248" s="490"/>
      <c r="GJ248" s="490"/>
      <c r="GK248" s="490"/>
      <c r="GL248" s="490"/>
      <c r="GM248" s="490"/>
      <c r="GN248" s="490"/>
      <c r="GO248" s="490"/>
      <c r="GP248" s="490"/>
      <c r="GQ248" s="490"/>
      <c r="GR248" s="490"/>
      <c r="GS248" s="490"/>
      <c r="GT248" s="490"/>
      <c r="GU248" s="490"/>
      <c r="GV248" s="490"/>
      <c r="GW248" s="490"/>
      <c r="GX248" s="490"/>
      <c r="GY248" s="490"/>
      <c r="GZ248" s="490"/>
      <c r="HA248" s="490"/>
      <c r="HB248" s="490"/>
      <c r="HC248" s="490"/>
      <c r="HD248" s="490"/>
      <c r="HE248" s="490"/>
      <c r="HF248" s="490"/>
      <c r="HG248" s="490"/>
      <c r="HH248" s="490"/>
      <c r="HI248" s="490"/>
      <c r="HJ248" s="490"/>
      <c r="HK248" s="490"/>
      <c r="HL248" s="490"/>
      <c r="HM248" s="490"/>
      <c r="HN248" s="490"/>
      <c r="HO248" s="490"/>
      <c r="HP248" s="490"/>
      <c r="HQ248" s="490"/>
      <c r="HR248" s="490"/>
      <c r="HS248" s="490"/>
      <c r="HT248" s="490"/>
      <c r="HU248" s="490"/>
      <c r="HV248" s="490"/>
      <c r="HW248" s="490"/>
      <c r="HX248" s="490"/>
      <c r="HY248" s="490"/>
      <c r="HZ248" s="490"/>
      <c r="IA248" s="490"/>
      <c r="IB248" s="490"/>
      <c r="IC248" s="490"/>
      <c r="ID248" s="490"/>
      <c r="IE248" s="490"/>
      <c r="IF248" s="490"/>
      <c r="IG248" s="490"/>
      <c r="IH248" s="490"/>
      <c r="II248" s="490"/>
      <c r="IJ248" s="490"/>
      <c r="IK248" s="490"/>
      <c r="IL248" s="490"/>
      <c r="IM248" s="490"/>
      <c r="IN248" s="490"/>
      <c r="IO248" s="490"/>
      <c r="IP248" s="490"/>
      <c r="IQ248" s="490"/>
      <c r="IR248" s="490"/>
      <c r="IS248" s="490"/>
      <c r="IT248" s="490"/>
      <c r="IU248" s="490"/>
      <c r="IV248" s="490"/>
      <c r="IW248" s="490"/>
      <c r="IX248" s="490"/>
      <c r="IY248" s="490"/>
      <c r="IZ248" s="490"/>
      <c r="JA248" s="490"/>
      <c r="JB248" s="490"/>
      <c r="JC248" s="490"/>
      <c r="JD248" s="490"/>
      <c r="JE248" s="490"/>
      <c r="JF248" s="490"/>
      <c r="JG248" s="490"/>
      <c r="JH248" s="490"/>
      <c r="JI248" s="490"/>
      <c r="JJ248" s="490"/>
      <c r="JK248" s="490"/>
      <c r="JL248" s="490"/>
      <c r="JM248" s="490"/>
      <c r="JN248" s="490"/>
      <c r="JO248" s="490"/>
      <c r="JP248" s="490"/>
      <c r="JQ248" s="490"/>
      <c r="JR248" s="490"/>
      <c r="JS248" s="490"/>
      <c r="JT248" s="490"/>
      <c r="JU248" s="490"/>
      <c r="JV248" s="490"/>
      <c r="JW248" s="490"/>
      <c r="JX248" s="490"/>
      <c r="JY248" s="490"/>
      <c r="JZ248" s="490"/>
      <c r="KA248" s="490"/>
      <c r="KB248" s="490"/>
      <c r="KC248" s="490"/>
      <c r="KD248" s="490"/>
      <c r="KE248" s="490"/>
      <c r="KF248" s="490"/>
      <c r="KG248" s="490"/>
      <c r="KH248" s="490"/>
      <c r="KI248" s="490"/>
      <c r="KJ248" s="490"/>
      <c r="KK248" s="490"/>
      <c r="KL248" s="490"/>
      <c r="KM248" s="490"/>
      <c r="KN248" s="490"/>
      <c r="KO248" s="490"/>
      <c r="KP248" s="490"/>
      <c r="KQ248" s="490"/>
      <c r="KR248" s="490"/>
      <c r="KS248" s="490"/>
      <c r="KT248" s="490"/>
      <c r="KU248" s="490"/>
      <c r="KV248" s="490"/>
      <c r="KW248" s="490"/>
      <c r="KX248" s="490"/>
      <c r="KY248" s="490"/>
      <c r="KZ248" s="490"/>
      <c r="LA248" s="490"/>
      <c r="LB248" s="490"/>
      <c r="LC248" s="490"/>
      <c r="LD248" s="490"/>
      <c r="LE248" s="490"/>
      <c r="LF248" s="490"/>
      <c r="LG248" s="490"/>
      <c r="LH248" s="490"/>
      <c r="LI248" s="490"/>
      <c r="LJ248" s="490"/>
      <c r="LK248" s="490"/>
      <c r="LL248" s="490"/>
      <c r="LM248" s="490"/>
      <c r="LN248" s="490"/>
      <c r="LO248" s="490"/>
      <c r="LP248" s="490"/>
      <c r="LQ248" s="490"/>
      <c r="LR248" s="490"/>
      <c r="LS248" s="490"/>
      <c r="LT248" s="490"/>
      <c r="LU248" s="490"/>
      <c r="LV248" s="490"/>
      <c r="LW248" s="490"/>
      <c r="LX248" s="490"/>
      <c r="LY248" s="490"/>
      <c r="LZ248" s="490"/>
      <c r="MA248" s="490"/>
      <c r="MB248" s="490"/>
      <c r="MC248" s="490"/>
      <c r="MD248" s="490"/>
      <c r="ME248" s="490"/>
      <c r="MF248" s="490"/>
      <c r="MG248" s="490"/>
      <c r="MH248" s="490"/>
      <c r="MI248" s="490"/>
      <c r="MJ248" s="490"/>
      <c r="MK248" s="490"/>
      <c r="ML248" s="490"/>
      <c r="MM248" s="490"/>
      <c r="MN248" s="490"/>
      <c r="MO248" s="490"/>
      <c r="MP248" s="490"/>
      <c r="MQ248" s="490"/>
      <c r="MR248" s="490"/>
      <c r="MS248" s="490"/>
      <c r="MT248" s="490"/>
      <c r="MU248" s="490"/>
      <c r="MV248" s="490"/>
      <c r="MW248" s="490"/>
      <c r="MX248" s="490"/>
      <c r="MY248" s="490"/>
      <c r="MZ248" s="490"/>
      <c r="NA248" s="490"/>
      <c r="NB248" s="490"/>
      <c r="NC248" s="490"/>
      <c r="ND248" s="490"/>
      <c r="NE248" s="490"/>
      <c r="NF248" s="490"/>
      <c r="NG248" s="490"/>
      <c r="NH248" s="490"/>
      <c r="NI248" s="490"/>
      <c r="NJ248" s="490"/>
      <c r="NK248" s="490"/>
      <c r="NL248" s="490"/>
      <c r="NM248" s="490"/>
      <c r="NN248" s="490"/>
      <c r="NO248" s="490"/>
      <c r="NP248" s="490"/>
      <c r="NQ248" s="490"/>
      <c r="NR248" s="490"/>
      <c r="NS248" s="490"/>
      <c r="NT248" s="490"/>
      <c r="NU248" s="490"/>
      <c r="NV248" s="490"/>
      <c r="NW248" s="490"/>
      <c r="NX248" s="490"/>
      <c r="NY248" s="490"/>
      <c r="NZ248" s="490"/>
      <c r="OA248" s="490"/>
      <c r="OB248" s="490"/>
      <c r="OC248" s="490"/>
      <c r="OD248" s="490"/>
      <c r="OE248" s="490"/>
      <c r="OF248" s="490"/>
      <c r="OG248" s="490"/>
      <c r="OH248" s="490"/>
      <c r="OI248" s="490"/>
      <c r="OJ248" s="490"/>
      <c r="OK248" s="490"/>
      <c r="OL248" s="490"/>
      <c r="OM248" s="490"/>
      <c r="ON248" s="490"/>
      <c r="OO248" s="490"/>
      <c r="OP248" s="490"/>
      <c r="OQ248" s="490"/>
      <c r="OR248" s="490"/>
      <c r="OS248" s="490"/>
      <c r="OT248" s="490"/>
      <c r="OU248" s="490"/>
      <c r="OV248" s="490"/>
      <c r="OW248" s="490"/>
      <c r="OX248" s="490"/>
      <c r="OY248" s="490"/>
      <c r="OZ248" s="490"/>
      <c r="PA248" s="490"/>
      <c r="PB248" s="490"/>
      <c r="PC248" s="490"/>
      <c r="PD248" s="490"/>
      <c r="PE248" s="490"/>
      <c r="PF248" s="490"/>
      <c r="PG248" s="490"/>
      <c r="PH248" s="490"/>
      <c r="PI248" s="490"/>
      <c r="PJ248" s="490"/>
      <c r="PK248" s="490"/>
      <c r="PL248" s="490"/>
      <c r="PM248" s="490"/>
      <c r="PN248" s="490"/>
      <c r="PO248" s="490"/>
      <c r="PP248" s="490"/>
      <c r="PQ248" s="490"/>
      <c r="PR248" s="490"/>
      <c r="PS248" s="490"/>
      <c r="PT248" s="490"/>
      <c r="PU248" s="490"/>
      <c r="PV248" s="490"/>
      <c r="PW248" s="490"/>
      <c r="PX248" s="490"/>
      <c r="PY248" s="490"/>
      <c r="PZ248" s="490"/>
      <c r="QA248" s="490"/>
      <c r="QB248" s="490"/>
      <c r="QC248" s="490"/>
      <c r="QD248" s="490"/>
      <c r="QE248" s="490"/>
      <c r="QF248" s="490"/>
      <c r="QG248" s="490"/>
      <c r="QH248" s="490"/>
      <c r="QI248" s="490"/>
      <c r="QJ248" s="490"/>
      <c r="QK248" s="490"/>
      <c r="QL248" s="490"/>
      <c r="QM248" s="490"/>
      <c r="QN248" s="490"/>
      <c r="QO248" s="490"/>
      <c r="QP248" s="490"/>
      <c r="QQ248" s="490"/>
      <c r="QR248" s="490"/>
      <c r="QS248" s="490"/>
      <c r="QT248" s="490"/>
      <c r="QU248" s="490"/>
      <c r="QV248" s="490"/>
      <c r="QW248" s="490"/>
      <c r="QX248" s="490"/>
      <c r="QY248" s="490"/>
      <c r="QZ248" s="490"/>
      <c r="RA248" s="490"/>
      <c r="RB248" s="490"/>
      <c r="RC248" s="490"/>
      <c r="RD248" s="490"/>
      <c r="RE248" s="490"/>
      <c r="RF248" s="490"/>
      <c r="RG248" s="490"/>
      <c r="RH248" s="490"/>
      <c r="RI248" s="490"/>
      <c r="RJ248" s="490"/>
      <c r="RK248" s="490"/>
      <c r="RL248" s="490"/>
      <c r="RM248" s="490"/>
      <c r="RN248" s="490"/>
      <c r="RO248" s="490"/>
      <c r="RP248" s="490"/>
      <c r="RQ248" s="490"/>
      <c r="RR248" s="490"/>
      <c r="RS248" s="490"/>
      <c r="RT248" s="490"/>
      <c r="RU248" s="490"/>
      <c r="RV248" s="490"/>
      <c r="RW248" s="490"/>
      <c r="RX248" s="490"/>
      <c r="RY248" s="490"/>
      <c r="RZ248" s="490"/>
      <c r="SA248" s="490"/>
      <c r="SB248" s="490"/>
      <c r="SC248" s="490"/>
      <c r="SD248" s="490"/>
      <c r="SE248" s="490"/>
      <c r="SF248" s="490"/>
      <c r="SG248" s="490"/>
      <c r="SH248" s="490"/>
      <c r="SI248" s="490"/>
      <c r="SJ248" s="490"/>
      <c r="SK248" s="490"/>
      <c r="SL248" s="490"/>
      <c r="SM248" s="490"/>
      <c r="SN248" s="490"/>
      <c r="SO248" s="490"/>
      <c r="SP248" s="490"/>
      <c r="SQ248" s="490"/>
      <c r="SR248" s="490"/>
      <c r="SS248" s="490"/>
      <c r="ST248" s="490"/>
      <c r="SU248" s="490"/>
      <c r="SV248" s="490"/>
      <c r="SW248" s="490"/>
      <c r="SX248" s="490"/>
      <c r="SY248" s="490"/>
      <c r="SZ248" s="490"/>
      <c r="TA248" s="490"/>
      <c r="TB248" s="490"/>
      <c r="TC248" s="490"/>
      <c r="TD248" s="490"/>
      <c r="TE248" s="490"/>
      <c r="TF248" s="490"/>
      <c r="TG248" s="490"/>
      <c r="TH248" s="490"/>
      <c r="TI248" s="490"/>
      <c r="TJ248" s="490"/>
      <c r="TK248" s="490"/>
      <c r="TL248" s="490"/>
      <c r="TM248" s="490"/>
      <c r="TN248" s="490"/>
      <c r="TO248" s="490"/>
      <c r="TP248" s="490"/>
      <c r="TQ248" s="490"/>
      <c r="TR248" s="490"/>
      <c r="TS248" s="490"/>
      <c r="TT248" s="490"/>
      <c r="TU248" s="490"/>
      <c r="TV248" s="490"/>
      <c r="TW248" s="490"/>
      <c r="TX248" s="490"/>
      <c r="TY248" s="490"/>
      <c r="TZ248" s="490"/>
      <c r="UA248" s="490"/>
      <c r="UB248" s="490"/>
      <c r="UC248" s="490"/>
      <c r="UD248" s="490"/>
      <c r="UE248" s="490"/>
      <c r="UF248" s="490"/>
      <c r="UG248" s="490"/>
      <c r="UH248" s="490"/>
      <c r="UI248" s="490"/>
      <c r="UJ248" s="490"/>
      <c r="UK248" s="490"/>
      <c r="UL248" s="490"/>
      <c r="UM248" s="490"/>
      <c r="UN248" s="490"/>
      <c r="UO248" s="490"/>
      <c r="UP248" s="490"/>
      <c r="UQ248" s="490"/>
      <c r="UR248" s="490"/>
      <c r="US248" s="490"/>
      <c r="UT248" s="490"/>
      <c r="UU248" s="490"/>
      <c r="UV248" s="490"/>
      <c r="UW248" s="490"/>
      <c r="UX248" s="490"/>
      <c r="UY248" s="490"/>
      <c r="UZ248" s="490"/>
      <c r="VA248" s="490"/>
      <c r="VB248" s="490"/>
      <c r="VC248" s="490"/>
      <c r="VD248" s="490"/>
      <c r="VE248" s="490"/>
      <c r="VF248" s="490"/>
      <c r="VG248" s="490"/>
      <c r="VH248" s="490"/>
      <c r="VI248" s="490"/>
      <c r="VJ248" s="490"/>
      <c r="VK248" s="490"/>
      <c r="VL248" s="490"/>
      <c r="VM248" s="490"/>
      <c r="VN248" s="490"/>
      <c r="VO248" s="490"/>
      <c r="VP248" s="490"/>
      <c r="VQ248" s="490"/>
      <c r="VR248" s="490"/>
      <c r="VS248" s="490"/>
      <c r="VT248" s="490"/>
      <c r="VU248" s="490"/>
      <c r="VV248" s="490"/>
      <c r="VW248" s="490"/>
      <c r="VX248" s="490"/>
      <c r="VY248" s="490"/>
      <c r="VZ248" s="490"/>
      <c r="WA248" s="490"/>
      <c r="WB248" s="490"/>
      <c r="WC248" s="490"/>
      <c r="WD248" s="490"/>
      <c r="WE248" s="490"/>
      <c r="WF248" s="490"/>
      <c r="WG248" s="490"/>
      <c r="WH248" s="490"/>
      <c r="WI248" s="490"/>
      <c r="WJ248" s="490"/>
      <c r="WK248" s="490"/>
      <c r="WL248" s="490"/>
      <c r="WM248" s="490"/>
      <c r="WN248" s="490"/>
      <c r="WO248" s="490"/>
      <c r="WP248" s="490"/>
      <c r="WQ248" s="490"/>
      <c r="WR248" s="490"/>
      <c r="WS248" s="490"/>
      <c r="WT248" s="490"/>
      <c r="WU248" s="490"/>
      <c r="WV248" s="490"/>
      <c r="WW248" s="490"/>
      <c r="WX248" s="490"/>
      <c r="WY248" s="490"/>
      <c r="WZ248" s="490"/>
      <c r="XA248" s="490"/>
      <c r="XB248" s="490"/>
      <c r="XC248" s="490"/>
      <c r="XD248" s="490"/>
      <c r="XE248" s="490"/>
      <c r="XF248" s="490"/>
      <c r="XG248" s="490"/>
      <c r="XH248" s="490"/>
      <c r="XI248" s="490"/>
      <c r="XJ248" s="490"/>
      <c r="XK248" s="490"/>
      <c r="XL248" s="490"/>
      <c r="XM248" s="490"/>
      <c r="XN248" s="490"/>
      <c r="XO248" s="490"/>
      <c r="XP248" s="490"/>
      <c r="XQ248" s="490"/>
      <c r="XR248" s="490"/>
      <c r="XS248" s="490"/>
      <c r="XT248" s="490"/>
      <c r="XU248" s="490"/>
      <c r="XV248" s="490"/>
      <c r="XW248" s="490"/>
      <c r="XX248" s="490"/>
      <c r="XY248" s="490"/>
      <c r="XZ248" s="490"/>
      <c r="YA248" s="490"/>
      <c r="YB248" s="490"/>
      <c r="YC248" s="490"/>
      <c r="YD248" s="490"/>
      <c r="YE248" s="490"/>
      <c r="YF248" s="490"/>
      <c r="YG248" s="490"/>
      <c r="YH248" s="490"/>
      <c r="YI248" s="490"/>
      <c r="YJ248" s="490"/>
      <c r="YK248" s="490"/>
      <c r="YL248" s="490"/>
      <c r="YM248" s="490"/>
      <c r="YN248" s="490"/>
      <c r="YO248" s="490"/>
      <c r="YP248" s="490"/>
      <c r="YQ248" s="490"/>
      <c r="YR248" s="490"/>
      <c r="YS248" s="490"/>
      <c r="YT248" s="490"/>
      <c r="YU248" s="490"/>
      <c r="YV248" s="490"/>
      <c r="YW248" s="490"/>
      <c r="YX248" s="490"/>
      <c r="YY248" s="490"/>
      <c r="YZ248" s="490"/>
      <c r="ZA248" s="490"/>
      <c r="ZB248" s="490"/>
      <c r="ZC248" s="490"/>
      <c r="ZD248" s="490"/>
      <c r="ZE248" s="490"/>
      <c r="ZF248" s="490"/>
      <c r="ZG248" s="490"/>
      <c r="ZH248" s="490"/>
      <c r="ZI248" s="490"/>
      <c r="ZJ248" s="490"/>
      <c r="ZK248" s="490"/>
      <c r="ZL248" s="490"/>
      <c r="ZM248" s="490"/>
      <c r="ZN248" s="490"/>
      <c r="ZO248" s="490"/>
      <c r="ZP248" s="490"/>
      <c r="ZQ248" s="490"/>
      <c r="ZR248" s="490"/>
      <c r="ZS248" s="490"/>
      <c r="ZT248" s="490"/>
      <c r="ZU248" s="490"/>
      <c r="ZV248" s="490"/>
      <c r="ZW248" s="490"/>
      <c r="ZX248" s="490"/>
      <c r="ZY248" s="490"/>
      <c r="ZZ248" s="490"/>
      <c r="AAA248" s="490"/>
      <c r="AAB248" s="490"/>
      <c r="AAC248" s="490"/>
      <c r="AAD248" s="490"/>
      <c r="AAE248" s="490"/>
      <c r="AAF248" s="490"/>
      <c r="AAG248" s="490"/>
      <c r="AAH248" s="490"/>
      <c r="AAI248" s="490"/>
      <c r="AAJ248" s="490"/>
      <c r="AAK248" s="490"/>
      <c r="AAL248" s="490"/>
      <c r="AAM248" s="490"/>
      <c r="AAN248" s="490"/>
      <c r="AAO248" s="490"/>
      <c r="AAP248" s="490"/>
      <c r="AAQ248" s="490"/>
      <c r="AAR248" s="490"/>
      <c r="AAS248" s="490"/>
      <c r="AAT248" s="490"/>
      <c r="AAU248" s="490"/>
      <c r="AAV248" s="490"/>
      <c r="AAW248" s="490"/>
      <c r="AAX248" s="490"/>
      <c r="AAY248" s="490"/>
      <c r="AAZ248" s="490"/>
      <c r="ABA248" s="490"/>
      <c r="ABB248" s="490"/>
      <c r="ABC248" s="490"/>
      <c r="ABD248" s="490"/>
      <c r="ABE248" s="490"/>
      <c r="ABF248" s="490"/>
      <c r="ABG248" s="490"/>
      <c r="ABH248" s="490"/>
      <c r="ABI248" s="490"/>
      <c r="ABJ248" s="490"/>
      <c r="ABK248" s="490"/>
      <c r="ABL248" s="490"/>
      <c r="ABM248" s="490"/>
      <c r="ABN248" s="490"/>
      <c r="ABO248" s="490"/>
      <c r="ABP248" s="490"/>
      <c r="ABQ248" s="490"/>
      <c r="ABR248" s="490"/>
      <c r="ABS248" s="490"/>
      <c r="ABT248" s="490"/>
      <c r="ABU248" s="490"/>
      <c r="ABV248" s="490"/>
      <c r="ABW248" s="490"/>
      <c r="ABX248" s="490"/>
      <c r="ABY248" s="490"/>
      <c r="ABZ248" s="490"/>
      <c r="ACA248" s="490"/>
      <c r="ACB248" s="490"/>
      <c r="ACC248" s="490"/>
      <c r="ACD248" s="490"/>
      <c r="ACE248" s="490"/>
      <c r="ACF248" s="490"/>
      <c r="ACG248" s="490"/>
      <c r="ACH248" s="490"/>
      <c r="ACI248" s="490"/>
      <c r="ACJ248" s="490"/>
      <c r="ACK248" s="490"/>
      <c r="ACL248" s="490"/>
      <c r="ACM248" s="490"/>
      <c r="ACN248" s="490"/>
      <c r="ACO248" s="490"/>
      <c r="ACP248" s="490"/>
      <c r="ACQ248" s="490"/>
      <c r="ACR248" s="490"/>
      <c r="ACS248" s="490"/>
      <c r="ACT248" s="490"/>
      <c r="ACU248" s="490"/>
      <c r="ACV248" s="490"/>
      <c r="ACW248" s="490"/>
      <c r="ACX248" s="490"/>
      <c r="ACY248" s="490"/>
      <c r="ACZ248" s="490"/>
      <c r="ADA248" s="490"/>
      <c r="ADB248" s="490"/>
      <c r="ADC248" s="490"/>
      <c r="ADD248" s="490"/>
      <c r="ADE248" s="490"/>
      <c r="ADF248" s="490"/>
      <c r="ADG248" s="490"/>
      <c r="ADH248" s="490"/>
      <c r="ADI248" s="490"/>
      <c r="ADJ248" s="490"/>
      <c r="ADK248" s="490"/>
      <c r="ADL248" s="490"/>
      <c r="ADM248" s="490"/>
      <c r="ADN248" s="490"/>
      <c r="ADO248" s="490"/>
      <c r="ADP248" s="490"/>
      <c r="ADQ248" s="490"/>
      <c r="ADR248" s="490"/>
      <c r="ADS248" s="490"/>
      <c r="ADT248" s="490"/>
      <c r="ADU248" s="490"/>
      <c r="ADV248" s="490"/>
      <c r="ADW248" s="490"/>
      <c r="ADX248" s="490"/>
      <c r="ADY248" s="490"/>
      <c r="ADZ248" s="490"/>
      <c r="AEA248" s="490"/>
      <c r="AEB248" s="490"/>
      <c r="AEC248" s="490"/>
      <c r="AED248" s="490"/>
      <c r="AEE248" s="490"/>
      <c r="AEF248" s="490"/>
      <c r="AEG248" s="490"/>
      <c r="AEH248" s="490"/>
      <c r="AEI248" s="490"/>
      <c r="AEJ248" s="490"/>
      <c r="AEK248" s="490"/>
      <c r="AEL248" s="490"/>
      <c r="AEM248" s="490"/>
      <c r="AEN248" s="490"/>
      <c r="AEO248" s="490"/>
      <c r="AEP248" s="490"/>
      <c r="AEQ248" s="490"/>
      <c r="AER248" s="490"/>
      <c r="AES248" s="490"/>
      <c r="AET248" s="490"/>
      <c r="AEU248" s="490"/>
      <c r="AEV248" s="490"/>
      <c r="AEW248" s="490"/>
      <c r="AEX248" s="490"/>
      <c r="AEY248" s="490"/>
      <c r="AEZ248" s="490"/>
      <c r="AFA248" s="490"/>
      <c r="AFB248" s="490"/>
      <c r="AFC248" s="490"/>
      <c r="AFD248" s="490"/>
      <c r="AFE248" s="490"/>
      <c r="AFF248" s="490"/>
      <c r="AFG248" s="490"/>
      <c r="AFH248" s="490"/>
      <c r="AFI248" s="490"/>
      <c r="AFJ248" s="490"/>
      <c r="AFK248" s="490"/>
      <c r="AFL248" s="490"/>
      <c r="AFM248" s="490"/>
      <c r="AFN248" s="490"/>
      <c r="AFO248" s="490"/>
      <c r="AFP248" s="490"/>
      <c r="AFQ248" s="490"/>
      <c r="AFR248" s="490"/>
      <c r="AFS248" s="490"/>
      <c r="AFT248" s="490"/>
      <c r="AFU248" s="490"/>
      <c r="AFV248" s="490"/>
      <c r="AFW248" s="490"/>
      <c r="AFX248" s="490"/>
      <c r="AFY248" s="490"/>
      <c r="AFZ248" s="490"/>
      <c r="AGA248" s="490"/>
      <c r="AGB248" s="490"/>
      <c r="AGC248" s="490"/>
      <c r="AGD248" s="490"/>
      <c r="AGE248" s="490"/>
      <c r="AGF248" s="490"/>
      <c r="AGG248" s="490"/>
      <c r="AGH248" s="490"/>
      <c r="AGI248" s="490"/>
      <c r="AGJ248" s="490"/>
      <c r="AGK248" s="490"/>
      <c r="AGL248" s="490"/>
      <c r="AGM248" s="490"/>
      <c r="AGN248" s="490"/>
      <c r="AGO248" s="490"/>
      <c r="AGP248" s="490"/>
      <c r="AGQ248" s="490"/>
      <c r="AGR248" s="490"/>
      <c r="AGS248" s="490"/>
      <c r="AGT248" s="490"/>
      <c r="AGU248" s="490"/>
      <c r="AGV248" s="490"/>
      <c r="AGW248" s="490"/>
      <c r="AGX248" s="490"/>
      <c r="AGY248" s="490"/>
      <c r="AGZ248" s="490"/>
      <c r="AHA248" s="490"/>
      <c r="AHB248" s="490"/>
      <c r="AHC248" s="490"/>
      <c r="AHD248" s="490"/>
      <c r="AHE248" s="490"/>
      <c r="AHF248" s="490"/>
      <c r="AHG248" s="490"/>
      <c r="AHH248" s="490"/>
      <c r="AHI248" s="490"/>
      <c r="AHJ248" s="490"/>
      <c r="AHK248" s="490"/>
      <c r="AHL248" s="490"/>
      <c r="AHM248" s="490"/>
      <c r="AHN248" s="490"/>
      <c r="AHO248" s="490"/>
      <c r="AHP248" s="490"/>
      <c r="AHQ248" s="490"/>
      <c r="AHR248" s="490"/>
      <c r="AHS248" s="490"/>
      <c r="AHT248" s="490"/>
      <c r="AHU248" s="490"/>
      <c r="AHV248" s="490"/>
      <c r="AHW248" s="490"/>
      <c r="AHX248" s="490"/>
      <c r="AHY248" s="490"/>
      <c r="AHZ248" s="490"/>
      <c r="AIA248" s="490"/>
      <c r="AIB248" s="490"/>
      <c r="AIC248" s="490"/>
      <c r="AID248" s="490"/>
      <c r="AIE248" s="490"/>
      <c r="AIF248" s="490"/>
      <c r="AIG248" s="490"/>
      <c r="AIH248" s="490"/>
      <c r="AII248" s="490"/>
      <c r="AIJ248" s="490"/>
      <c r="AIK248" s="490"/>
      <c r="AIL248" s="490"/>
      <c r="AIM248" s="490"/>
      <c r="AIN248" s="490"/>
      <c r="AIO248" s="490"/>
      <c r="AIP248" s="490"/>
      <c r="AIQ248" s="490"/>
      <c r="AIR248" s="490"/>
      <c r="AIS248" s="490"/>
      <c r="AIT248" s="490"/>
      <c r="AIU248" s="490"/>
      <c r="AIV248" s="490"/>
      <c r="AIW248" s="490"/>
      <c r="AIX248" s="490"/>
      <c r="AIY248" s="490"/>
      <c r="AIZ248" s="490"/>
      <c r="AJA248" s="490"/>
      <c r="AJB248" s="490"/>
      <c r="AJC248" s="490"/>
      <c r="AJD248" s="490"/>
      <c r="AJE248" s="490"/>
      <c r="AJF248" s="490"/>
      <c r="AJG248" s="490"/>
      <c r="AJH248" s="490"/>
      <c r="AJI248" s="490"/>
      <c r="AJJ248" s="490"/>
      <c r="AJK248" s="490"/>
      <c r="AJL248" s="490"/>
      <c r="AJM248" s="490"/>
      <c r="AJN248" s="490"/>
      <c r="AJO248" s="490"/>
      <c r="AJP248" s="490"/>
      <c r="AJQ248" s="490"/>
      <c r="AJR248" s="490"/>
      <c r="AJS248" s="490"/>
      <c r="AJT248" s="490"/>
      <c r="AJU248" s="490"/>
      <c r="AJV248" s="490"/>
      <c r="AJW248" s="490"/>
      <c r="AJX248" s="490"/>
      <c r="AJY248" s="490"/>
      <c r="AJZ248" s="490"/>
      <c r="AKA248" s="490"/>
      <c r="AKB248" s="490"/>
      <c r="AKC248" s="490"/>
      <c r="AKD248" s="490"/>
      <c r="AKE248" s="490"/>
      <c r="AKF248" s="490"/>
      <c r="AKG248" s="490"/>
      <c r="AKH248" s="490"/>
      <c r="AKI248" s="490"/>
      <c r="AKJ248" s="490"/>
      <c r="AKK248" s="490"/>
      <c r="AKL248" s="490"/>
      <c r="AKM248" s="490"/>
      <c r="AKN248" s="490"/>
      <c r="AKO248" s="490"/>
      <c r="AKP248" s="490"/>
      <c r="AKQ248" s="490"/>
      <c r="AKR248" s="490"/>
      <c r="AKS248" s="490"/>
      <c r="AKT248" s="490"/>
      <c r="AKU248" s="490"/>
      <c r="AKV248" s="490"/>
      <c r="AKW248" s="490"/>
      <c r="AKX248" s="490"/>
      <c r="AKY248" s="490"/>
      <c r="AKZ248" s="490"/>
      <c r="ALA248" s="490"/>
      <c r="ALB248" s="490"/>
      <c r="ALC248" s="490"/>
      <c r="ALD248" s="490"/>
      <c r="ALE248" s="490"/>
      <c r="ALF248" s="490"/>
      <c r="ALG248" s="490"/>
      <c r="ALH248" s="490"/>
      <c r="ALI248" s="490"/>
      <c r="ALJ248" s="490"/>
      <c r="ALK248" s="490"/>
      <c r="ALL248" s="490"/>
      <c r="ALM248" s="490"/>
      <c r="ALN248" s="490"/>
      <c r="ALO248" s="490"/>
      <c r="ALP248" s="490"/>
      <c r="ALQ248" s="490"/>
      <c r="ALR248" s="490"/>
      <c r="ALS248" s="490"/>
      <c r="ALT248" s="490"/>
      <c r="ALU248" s="490"/>
      <c r="ALV248" s="490"/>
      <c r="ALW248" s="490"/>
      <c r="ALX248" s="490"/>
      <c r="ALY248" s="490"/>
      <c r="ALZ248" s="490"/>
      <c r="AMA248" s="490"/>
      <c r="AMB248" s="490"/>
      <c r="AMC248" s="490"/>
      <c r="AMD248" s="490"/>
      <c r="AME248" s="490"/>
      <c r="AMF248" s="490"/>
      <c r="AMG248" s="490"/>
      <c r="AMH248" s="490"/>
      <c r="AMI248" s="490"/>
      <c r="AMJ248" s="490"/>
      <c r="AMK248" s="490"/>
      <c r="AML248" s="490"/>
      <c r="AMM248" s="490"/>
      <c r="AMN248" s="490"/>
      <c r="AMO248" s="490"/>
      <c r="AMP248" s="490"/>
      <c r="AMQ248" s="490"/>
      <c r="AMR248" s="490"/>
      <c r="AMS248" s="490"/>
      <c r="AMT248" s="490"/>
      <c r="AMU248" s="490"/>
      <c r="AMV248" s="490"/>
      <c r="AMW248" s="490"/>
      <c r="AMX248" s="490"/>
      <c r="AMY248" s="490"/>
      <c r="AMZ248" s="490"/>
      <c r="ANA248" s="490"/>
      <c r="ANB248" s="490"/>
      <c r="ANC248" s="490"/>
      <c r="AND248" s="490"/>
      <c r="ANE248" s="490"/>
      <c r="ANF248" s="490"/>
      <c r="ANG248" s="490"/>
      <c r="ANH248" s="490"/>
      <c r="ANI248" s="490"/>
      <c r="ANJ248" s="490"/>
      <c r="ANK248" s="490"/>
      <c r="ANL248" s="490"/>
      <c r="ANM248" s="490"/>
      <c r="ANN248" s="490"/>
      <c r="ANO248" s="490"/>
      <c r="ANP248" s="490"/>
      <c r="ANQ248" s="490"/>
      <c r="ANR248" s="490"/>
      <c r="ANS248" s="490"/>
      <c r="ANT248" s="490"/>
      <c r="ANU248" s="490"/>
      <c r="ANV248" s="490"/>
      <c r="ANW248" s="490"/>
      <c r="ANX248" s="490"/>
      <c r="ANY248" s="490"/>
      <c r="ANZ248" s="490"/>
      <c r="AOA248" s="490"/>
      <c r="AOB248" s="490"/>
      <c r="AOC248" s="490"/>
      <c r="AOD248" s="490"/>
      <c r="AOE248" s="490"/>
      <c r="AOF248" s="490"/>
      <c r="AOG248" s="490"/>
      <c r="AOH248" s="490"/>
      <c r="AOI248" s="490"/>
      <c r="AOJ248" s="490"/>
      <c r="AOK248" s="490"/>
      <c r="AOL248" s="490"/>
      <c r="AOM248" s="490"/>
      <c r="AON248" s="490"/>
      <c r="AOO248" s="490"/>
      <c r="AOP248" s="490"/>
      <c r="AOQ248" s="490"/>
      <c r="AOR248" s="490"/>
      <c r="AOS248" s="490"/>
      <c r="AOT248" s="490"/>
      <c r="AOU248" s="490"/>
      <c r="AOV248" s="490"/>
      <c r="AOW248" s="490"/>
      <c r="AOX248" s="490"/>
      <c r="AOY248" s="490"/>
      <c r="AOZ248" s="490"/>
      <c r="APA248" s="490"/>
      <c r="APB248" s="490"/>
      <c r="APC248" s="490"/>
      <c r="APD248" s="490"/>
      <c r="APE248" s="490"/>
      <c r="APF248" s="490"/>
      <c r="APG248" s="490"/>
      <c r="APH248" s="490"/>
      <c r="API248" s="490"/>
      <c r="APJ248" s="490"/>
      <c r="APK248" s="490"/>
      <c r="APL248" s="490"/>
      <c r="APM248" s="490"/>
      <c r="APN248" s="490"/>
      <c r="APO248" s="490"/>
      <c r="APP248" s="490"/>
      <c r="APQ248" s="490"/>
      <c r="APR248" s="490"/>
      <c r="APS248" s="490"/>
      <c r="APT248" s="490"/>
      <c r="APU248" s="490"/>
      <c r="APV248" s="490"/>
      <c r="APW248" s="490"/>
      <c r="APX248" s="490"/>
      <c r="APY248" s="490"/>
      <c r="APZ248" s="490"/>
      <c r="AQA248" s="490"/>
      <c r="AQB248" s="490"/>
      <c r="AQC248" s="490"/>
      <c r="AQD248" s="490"/>
      <c r="AQE248" s="490"/>
      <c r="AQF248" s="490"/>
      <c r="AQG248" s="490"/>
      <c r="AQH248" s="490"/>
      <c r="AQI248" s="490"/>
      <c r="AQJ248" s="490"/>
      <c r="AQK248" s="490"/>
      <c r="AQL248" s="490"/>
      <c r="AQM248" s="490"/>
      <c r="AQN248" s="490"/>
      <c r="AQO248" s="490"/>
      <c r="AQP248" s="490"/>
      <c r="AQQ248" s="490"/>
      <c r="AQR248" s="490"/>
      <c r="AQS248" s="490"/>
      <c r="AQT248" s="490"/>
      <c r="AQU248" s="490"/>
      <c r="AQV248" s="490"/>
      <c r="AQW248" s="490"/>
      <c r="AQX248" s="490"/>
      <c r="AQY248" s="490"/>
      <c r="AQZ248" s="490"/>
      <c r="ARA248" s="490"/>
      <c r="ARB248" s="490"/>
      <c r="ARC248" s="490"/>
      <c r="ARD248" s="490"/>
      <c r="ARE248" s="490"/>
      <c r="ARF248" s="490"/>
      <c r="ARG248" s="490"/>
      <c r="ARH248" s="490"/>
      <c r="ARI248" s="490"/>
      <c r="ARJ248" s="490"/>
      <c r="ARK248" s="490"/>
      <c r="ARL248" s="490"/>
      <c r="ARM248" s="490"/>
      <c r="ARN248" s="490"/>
      <c r="ARO248" s="490"/>
      <c r="ARP248" s="490"/>
      <c r="ARQ248" s="490"/>
      <c r="ARR248" s="490"/>
      <c r="ARS248" s="490"/>
      <c r="ART248" s="490"/>
      <c r="ARU248" s="490"/>
      <c r="ARV248" s="490"/>
      <c r="ARW248" s="490"/>
      <c r="ARX248" s="490"/>
      <c r="ARY248" s="490"/>
      <c r="ARZ248" s="490"/>
      <c r="ASA248" s="490"/>
      <c r="ASB248" s="490"/>
      <c r="ASC248" s="490"/>
      <c r="ASD248" s="490"/>
      <c r="ASE248" s="490"/>
      <c r="ASF248" s="490"/>
      <c r="ASG248" s="490"/>
      <c r="ASH248" s="490"/>
      <c r="ASI248" s="490"/>
      <c r="ASJ248" s="490"/>
      <c r="ASK248" s="490"/>
      <c r="ASL248" s="490"/>
      <c r="ASM248" s="490"/>
      <c r="ASN248" s="490"/>
      <c r="ASO248" s="490"/>
      <c r="ASP248" s="490"/>
      <c r="ASQ248" s="490"/>
      <c r="ASR248" s="490"/>
      <c r="ASS248" s="490"/>
      <c r="AST248" s="490"/>
      <c r="ASU248" s="490"/>
      <c r="ASV248" s="490"/>
      <c r="ASW248" s="490"/>
      <c r="ASX248" s="490"/>
      <c r="ASY248" s="490"/>
      <c r="ASZ248" s="490"/>
      <c r="ATA248" s="490"/>
      <c r="ATB248" s="490"/>
      <c r="ATC248" s="490"/>
      <c r="ATD248" s="490"/>
      <c r="ATE248" s="490"/>
      <c r="ATF248" s="490"/>
      <c r="ATG248" s="490"/>
      <c r="ATH248" s="490"/>
      <c r="ATI248" s="490"/>
      <c r="ATJ248" s="490"/>
      <c r="ATK248" s="490"/>
      <c r="ATL248" s="490"/>
      <c r="ATM248" s="490"/>
      <c r="ATN248" s="490"/>
      <c r="ATO248" s="490"/>
      <c r="ATP248" s="490"/>
      <c r="ATQ248" s="490"/>
      <c r="ATR248" s="490"/>
      <c r="ATS248" s="490"/>
      <c r="ATT248" s="490"/>
      <c r="ATU248" s="490"/>
      <c r="ATV248" s="490"/>
      <c r="ATW248" s="490"/>
      <c r="ATX248" s="490"/>
      <c r="ATY248" s="490"/>
      <c r="ATZ248" s="490"/>
      <c r="AUA248" s="490"/>
      <c r="AUB248" s="490"/>
      <c r="AUC248" s="490"/>
      <c r="AUD248" s="490"/>
      <c r="AUE248" s="490"/>
      <c r="AUF248" s="490"/>
      <c r="AUG248" s="490"/>
      <c r="AUH248" s="490"/>
      <c r="AUI248" s="490"/>
      <c r="AUJ248" s="490"/>
      <c r="AUK248" s="490"/>
      <c r="AUL248" s="490"/>
      <c r="AUM248" s="490"/>
      <c r="AUN248" s="490"/>
      <c r="AUO248" s="490"/>
      <c r="AUP248" s="490"/>
      <c r="AUQ248" s="490"/>
      <c r="AUR248" s="490"/>
      <c r="AUS248" s="490"/>
      <c r="AUT248" s="490"/>
      <c r="AUU248" s="490"/>
      <c r="AUV248" s="490"/>
      <c r="AUW248" s="490"/>
      <c r="AUX248" s="490"/>
      <c r="AUY248" s="490"/>
      <c r="AUZ248" s="490"/>
      <c r="AVA248" s="490"/>
      <c r="AVB248" s="490"/>
      <c r="AVC248" s="490"/>
      <c r="AVD248" s="490"/>
      <c r="AVE248" s="490"/>
      <c r="AVF248" s="490"/>
      <c r="AVG248" s="490"/>
      <c r="AVH248" s="490"/>
      <c r="AVI248" s="490"/>
      <c r="AVJ248" s="490"/>
      <c r="AVK248" s="490"/>
      <c r="AVL248" s="490"/>
      <c r="AVM248" s="490"/>
      <c r="AVN248" s="490"/>
      <c r="AVO248" s="490"/>
      <c r="AVP248" s="490"/>
      <c r="AVQ248" s="490"/>
      <c r="AVR248" s="490"/>
      <c r="AVS248" s="490"/>
      <c r="AVT248" s="490"/>
      <c r="AVU248" s="490"/>
      <c r="AVV248" s="490"/>
      <c r="AVW248" s="490"/>
      <c r="AVX248" s="490"/>
      <c r="AVY248" s="490"/>
      <c r="AVZ248" s="490"/>
      <c r="AWA248" s="490"/>
      <c r="AWB248" s="490"/>
      <c r="AWC248" s="490"/>
      <c r="AWD248" s="490"/>
      <c r="AWE248" s="490"/>
      <c r="AWF248" s="490"/>
      <c r="AWG248" s="490"/>
      <c r="AWH248" s="490"/>
      <c r="AWI248" s="490"/>
      <c r="AWJ248" s="490"/>
      <c r="AWK248" s="490"/>
      <c r="AWL248" s="490"/>
      <c r="AWM248" s="490"/>
      <c r="AWN248" s="490"/>
      <c r="AWO248" s="490"/>
      <c r="AWP248" s="490"/>
      <c r="AWQ248" s="490"/>
      <c r="AWR248" s="490"/>
      <c r="AWS248" s="490"/>
      <c r="AWT248" s="490"/>
      <c r="AWU248" s="490"/>
      <c r="AWV248" s="490"/>
      <c r="AWW248" s="490"/>
      <c r="AWX248" s="490"/>
      <c r="AWY248" s="490"/>
      <c r="AWZ248" s="490"/>
      <c r="AXA248" s="490"/>
      <c r="AXB248" s="490"/>
      <c r="AXC248" s="490"/>
      <c r="AXD248" s="490"/>
      <c r="AXE248" s="490"/>
      <c r="AXF248" s="490"/>
      <c r="AXG248" s="490"/>
      <c r="AXH248" s="490"/>
      <c r="AXI248" s="490"/>
      <c r="AXJ248" s="490"/>
      <c r="AXK248" s="490"/>
      <c r="AXL248" s="490"/>
      <c r="AXM248" s="490"/>
      <c r="AXN248" s="490"/>
      <c r="AXO248" s="490"/>
      <c r="AXP248" s="490"/>
      <c r="AXQ248" s="490"/>
      <c r="AXR248" s="490"/>
      <c r="AXS248" s="490"/>
      <c r="AXT248" s="490"/>
      <c r="AXU248" s="490"/>
      <c r="AXV248" s="490"/>
      <c r="AXW248" s="490"/>
      <c r="AXX248" s="490"/>
      <c r="AXY248" s="490"/>
      <c r="AXZ248" s="490"/>
      <c r="AYA248" s="490"/>
      <c r="AYB248" s="490"/>
      <c r="AYC248" s="490"/>
      <c r="AYD248" s="490"/>
      <c r="AYE248" s="490"/>
      <c r="AYF248" s="490"/>
      <c r="AYG248" s="490"/>
      <c r="AYH248" s="490"/>
      <c r="AYI248" s="490"/>
      <c r="AYJ248" s="490"/>
      <c r="AYK248" s="490"/>
      <c r="AYL248" s="490"/>
      <c r="AYM248" s="490"/>
      <c r="AYN248" s="490"/>
      <c r="AYO248" s="490"/>
      <c r="AYP248" s="490"/>
      <c r="AYQ248" s="490"/>
      <c r="AYR248" s="490"/>
      <c r="AYS248" s="490"/>
      <c r="AYT248" s="490"/>
      <c r="AYU248" s="490"/>
      <c r="AYV248" s="490"/>
      <c r="AYW248" s="490"/>
      <c r="AYX248" s="490"/>
      <c r="AYY248" s="490"/>
      <c r="AYZ248" s="490"/>
      <c r="AZA248" s="490"/>
      <c r="AZB248" s="490"/>
      <c r="AZC248" s="490"/>
      <c r="AZD248" s="490"/>
      <c r="AZE248" s="490"/>
      <c r="AZF248" s="490"/>
      <c r="AZG248" s="490"/>
      <c r="AZH248" s="490"/>
      <c r="AZI248" s="490"/>
      <c r="AZJ248" s="490"/>
      <c r="AZK248" s="490"/>
      <c r="AZL248" s="490"/>
      <c r="AZM248" s="490"/>
      <c r="AZN248" s="490"/>
      <c r="AZO248" s="490"/>
      <c r="AZP248" s="490"/>
      <c r="AZQ248" s="490"/>
      <c r="AZR248" s="490"/>
      <c r="AZS248" s="490"/>
      <c r="AZT248" s="490"/>
      <c r="AZU248" s="490"/>
      <c r="AZV248" s="490"/>
      <c r="AZW248" s="490"/>
      <c r="AZX248" s="490"/>
      <c r="AZY248" s="490"/>
      <c r="AZZ248" s="490"/>
      <c r="BAA248" s="490"/>
      <c r="BAB248" s="490"/>
      <c r="BAC248" s="490"/>
      <c r="BAD248" s="490"/>
      <c r="BAE248" s="490"/>
      <c r="BAF248" s="490"/>
      <c r="BAG248" s="490"/>
      <c r="BAH248" s="490"/>
      <c r="BAI248" s="490"/>
      <c r="BAJ248" s="490"/>
      <c r="BAK248" s="490"/>
      <c r="BAL248" s="490"/>
      <c r="BAM248" s="490"/>
      <c r="BAN248" s="490"/>
      <c r="BAO248" s="490"/>
      <c r="BAP248" s="490"/>
      <c r="BAQ248" s="490"/>
      <c r="BAR248" s="490"/>
      <c r="BAS248" s="490"/>
      <c r="BAT248" s="490"/>
      <c r="BAU248" s="490"/>
      <c r="BAV248" s="490"/>
      <c r="BAW248" s="490"/>
      <c r="BAX248" s="490"/>
      <c r="BAY248" s="490"/>
      <c r="BAZ248" s="490"/>
      <c r="BBA248" s="490"/>
      <c r="BBB248" s="490"/>
      <c r="BBC248" s="490"/>
      <c r="BBD248" s="490"/>
      <c r="BBE248" s="490"/>
      <c r="BBF248" s="490"/>
      <c r="BBG248" s="490"/>
      <c r="BBH248" s="490"/>
      <c r="BBI248" s="490"/>
      <c r="BBJ248" s="490"/>
      <c r="BBK248" s="490"/>
      <c r="BBL248" s="490"/>
      <c r="BBM248" s="490"/>
      <c r="BBN248" s="490"/>
      <c r="BBO248" s="490"/>
      <c r="BBP248" s="490"/>
      <c r="BBQ248" s="490"/>
      <c r="BBR248" s="490"/>
      <c r="BBS248" s="490"/>
      <c r="BBT248" s="490"/>
      <c r="BBU248" s="490"/>
      <c r="BBV248" s="490"/>
      <c r="BBW248" s="490"/>
      <c r="BBX248" s="490"/>
      <c r="BBY248" s="490"/>
      <c r="BBZ248" s="490"/>
      <c r="BCA248" s="490"/>
      <c r="BCB248" s="490"/>
      <c r="BCC248" s="490"/>
      <c r="BCD248" s="490"/>
      <c r="BCE248" s="490"/>
      <c r="BCF248" s="490"/>
      <c r="BCG248" s="490"/>
      <c r="BCH248" s="490"/>
      <c r="BCI248" s="490"/>
      <c r="BCJ248" s="490"/>
      <c r="BCK248" s="490"/>
      <c r="BCL248" s="490"/>
      <c r="BCM248" s="490"/>
      <c r="BCN248" s="490"/>
      <c r="BCO248" s="490"/>
      <c r="BCP248" s="490"/>
      <c r="BCQ248" s="490"/>
      <c r="BCR248" s="490"/>
      <c r="BCS248" s="490"/>
      <c r="BCT248" s="490"/>
      <c r="BCU248" s="490"/>
      <c r="BCV248" s="490"/>
      <c r="BCW248" s="490"/>
      <c r="BCX248" s="490"/>
      <c r="BCY248" s="490"/>
      <c r="BCZ248" s="490"/>
      <c r="BDA248" s="490"/>
      <c r="BDB248" s="490"/>
      <c r="BDC248" s="490"/>
      <c r="BDD248" s="490"/>
      <c r="BDE248" s="490"/>
      <c r="BDF248" s="490"/>
      <c r="BDG248" s="490"/>
      <c r="BDH248" s="490"/>
      <c r="BDI248" s="490"/>
      <c r="BDJ248" s="490"/>
      <c r="BDK248" s="490"/>
      <c r="BDL248" s="490"/>
      <c r="BDM248" s="490"/>
      <c r="BDN248" s="490"/>
      <c r="BDO248" s="490"/>
      <c r="BDP248" s="490"/>
      <c r="BDQ248" s="490"/>
      <c r="BDR248" s="490"/>
      <c r="BDS248" s="490"/>
      <c r="BDT248" s="490"/>
      <c r="BDU248" s="490"/>
      <c r="BDV248" s="490"/>
      <c r="BDW248" s="490"/>
      <c r="BDX248" s="490"/>
      <c r="BDY248" s="490"/>
      <c r="BDZ248" s="490"/>
      <c r="BEA248" s="490"/>
      <c r="BEB248" s="490"/>
      <c r="BEC248" s="490"/>
      <c r="BED248" s="490"/>
      <c r="BEE248" s="490"/>
      <c r="BEF248" s="490"/>
      <c r="BEG248" s="490"/>
      <c r="BEH248" s="490"/>
      <c r="BEI248" s="490"/>
      <c r="BEJ248" s="490"/>
      <c r="BEK248" s="490"/>
      <c r="BEL248" s="490"/>
      <c r="BEM248" s="490"/>
      <c r="BEN248" s="490"/>
      <c r="BEO248" s="490"/>
      <c r="BEP248" s="490"/>
      <c r="BEQ248" s="490"/>
      <c r="BER248" s="490"/>
      <c r="BES248" s="490"/>
      <c r="BET248" s="490"/>
      <c r="BEU248" s="490"/>
      <c r="BEV248" s="490"/>
      <c r="BEW248" s="490"/>
      <c r="BEX248" s="490"/>
      <c r="BEY248" s="490"/>
      <c r="BEZ248" s="490"/>
      <c r="BFA248" s="490"/>
      <c r="BFB248" s="490"/>
      <c r="BFC248" s="490"/>
      <c r="BFD248" s="490"/>
      <c r="BFE248" s="490"/>
      <c r="BFF248" s="490"/>
      <c r="BFG248" s="490"/>
      <c r="BFH248" s="490"/>
      <c r="BFI248" s="490"/>
      <c r="BFJ248" s="490"/>
      <c r="BFK248" s="490"/>
      <c r="BFL248" s="490"/>
      <c r="BFM248" s="490"/>
      <c r="BFN248" s="490"/>
      <c r="BFO248" s="490"/>
      <c r="BFP248" s="490"/>
      <c r="BFQ248" s="490"/>
      <c r="BFR248" s="490"/>
      <c r="BFS248" s="490"/>
      <c r="BFT248" s="490"/>
      <c r="BFU248" s="490"/>
      <c r="BFV248" s="490"/>
      <c r="BFW248" s="490"/>
      <c r="BFX248" s="490"/>
      <c r="BFY248" s="490"/>
      <c r="BFZ248" s="490"/>
      <c r="BGA248" s="490"/>
      <c r="BGB248" s="490"/>
      <c r="BGC248" s="490"/>
      <c r="BGD248" s="490"/>
      <c r="BGE248" s="490"/>
      <c r="BGF248" s="490"/>
      <c r="BGG248" s="490"/>
      <c r="BGH248" s="490"/>
      <c r="BGI248" s="490"/>
      <c r="BGJ248" s="490"/>
      <c r="BGK248" s="490"/>
      <c r="BGL248" s="490"/>
      <c r="BGM248" s="490"/>
      <c r="BGN248" s="490"/>
      <c r="BGO248" s="490"/>
      <c r="BGP248" s="490"/>
      <c r="BGQ248" s="490"/>
      <c r="BGR248" s="490"/>
      <c r="BGS248" s="490"/>
      <c r="BGT248" s="490"/>
      <c r="BGU248" s="490"/>
      <c r="BGV248" s="490"/>
      <c r="BGW248" s="490"/>
      <c r="BGX248" s="490"/>
      <c r="BGY248" s="490"/>
      <c r="BGZ248" s="490"/>
      <c r="BHA248" s="490"/>
      <c r="BHB248" s="490"/>
      <c r="BHC248" s="490"/>
      <c r="BHD248" s="490"/>
      <c r="BHE248" s="490"/>
      <c r="BHF248" s="490"/>
      <c r="BHG248" s="490"/>
      <c r="BHH248" s="490"/>
      <c r="BHI248" s="490"/>
      <c r="BHJ248" s="490"/>
      <c r="BHK248" s="490"/>
      <c r="BHL248" s="490"/>
      <c r="BHM248" s="490"/>
      <c r="BHN248" s="490"/>
      <c r="BHO248" s="490"/>
      <c r="BHP248" s="490"/>
      <c r="BHQ248" s="490"/>
      <c r="BHR248" s="490"/>
      <c r="BHS248" s="490"/>
      <c r="BHT248" s="490"/>
      <c r="BHU248" s="490"/>
      <c r="BHV248" s="490"/>
      <c r="BHW248" s="490"/>
      <c r="BHX248" s="490"/>
      <c r="BHY248" s="490"/>
      <c r="BHZ248" s="490"/>
      <c r="BIA248" s="490"/>
      <c r="BIB248" s="490"/>
      <c r="BIC248" s="490"/>
      <c r="BID248" s="490"/>
      <c r="BIE248" s="490"/>
      <c r="BIF248" s="490"/>
      <c r="BIG248" s="490"/>
      <c r="BIH248" s="490"/>
      <c r="BII248" s="490"/>
      <c r="BIJ248" s="490"/>
      <c r="BIK248" s="490"/>
      <c r="BIL248" s="490"/>
      <c r="BIM248" s="490"/>
      <c r="BIN248" s="490"/>
      <c r="BIO248" s="490"/>
      <c r="BIP248" s="490"/>
      <c r="BIQ248" s="490"/>
      <c r="BIR248" s="490"/>
      <c r="BIS248" s="490"/>
      <c r="BIT248" s="490"/>
      <c r="BIU248" s="490"/>
      <c r="BIV248" s="490"/>
      <c r="BIW248" s="490"/>
      <c r="BIX248" s="490"/>
      <c r="BIY248" s="490"/>
      <c r="BIZ248" s="490"/>
      <c r="BJA248" s="490"/>
      <c r="BJB248" s="490"/>
      <c r="BJC248" s="490"/>
      <c r="BJD248" s="490"/>
      <c r="BJE248" s="490"/>
      <c r="BJF248" s="490"/>
      <c r="BJG248" s="490"/>
      <c r="BJH248" s="490"/>
      <c r="BJI248" s="490"/>
      <c r="BJJ248" s="490"/>
      <c r="BJK248" s="490"/>
      <c r="BJL248" s="490"/>
      <c r="BJM248" s="490"/>
      <c r="BJN248" s="490"/>
      <c r="BJO248" s="490"/>
      <c r="BJP248" s="490"/>
      <c r="BJQ248" s="490"/>
      <c r="BJR248" s="490"/>
      <c r="BJS248" s="490"/>
      <c r="BJT248" s="490"/>
      <c r="BJU248" s="490"/>
      <c r="BJV248" s="490"/>
      <c r="BJW248" s="490"/>
      <c r="BJX248" s="490"/>
      <c r="BJY248" s="490"/>
      <c r="BJZ248" s="490"/>
      <c r="BKA248" s="490"/>
      <c r="BKB248" s="490"/>
      <c r="BKC248" s="490"/>
      <c r="BKD248" s="490"/>
      <c r="BKE248" s="490"/>
      <c r="BKF248" s="490"/>
      <c r="BKG248" s="490"/>
      <c r="BKH248" s="490"/>
      <c r="BKI248" s="490"/>
      <c r="BKJ248" s="490"/>
      <c r="BKK248" s="490"/>
      <c r="BKL248" s="490"/>
      <c r="BKM248" s="490"/>
      <c r="BKN248" s="490"/>
      <c r="BKO248" s="490"/>
      <c r="BKP248" s="490"/>
      <c r="BKQ248" s="490"/>
      <c r="BKR248" s="490"/>
      <c r="BKS248" s="490"/>
      <c r="BKT248" s="490"/>
      <c r="BKU248" s="490"/>
      <c r="BKV248" s="490"/>
      <c r="BKW248" s="490"/>
      <c r="BKX248" s="490"/>
      <c r="BKY248" s="490"/>
      <c r="BKZ248" s="490"/>
      <c r="BLA248" s="490"/>
      <c r="BLB248" s="490"/>
      <c r="BLC248" s="490"/>
      <c r="BLD248" s="490"/>
      <c r="BLE248" s="490"/>
      <c r="BLF248" s="490"/>
      <c r="BLG248" s="490"/>
      <c r="BLH248" s="490"/>
      <c r="BLI248" s="490"/>
      <c r="BLJ248" s="490"/>
      <c r="BLK248" s="490"/>
      <c r="BLL248" s="490"/>
      <c r="BLM248" s="490"/>
      <c r="BLN248" s="490"/>
      <c r="BLO248" s="490"/>
      <c r="BLP248" s="490"/>
      <c r="BLQ248" s="490"/>
      <c r="BLR248" s="490"/>
      <c r="BLS248" s="490"/>
      <c r="BLT248" s="490"/>
      <c r="BLU248" s="490"/>
      <c r="BLV248" s="490"/>
      <c r="BLW248" s="490"/>
      <c r="BLX248" s="490"/>
      <c r="BLY248" s="490"/>
      <c r="BLZ248" s="490"/>
      <c r="BMA248" s="490"/>
      <c r="BMB248" s="490"/>
      <c r="BMC248" s="490"/>
      <c r="BMD248" s="490"/>
      <c r="BME248" s="490"/>
      <c r="BMF248" s="490"/>
      <c r="BMG248" s="490"/>
      <c r="BMH248" s="490"/>
      <c r="BMI248" s="490"/>
      <c r="BMJ248" s="490"/>
      <c r="BMK248" s="490"/>
      <c r="BML248" s="490"/>
      <c r="BMM248" s="490"/>
      <c r="BMN248" s="490"/>
      <c r="BMO248" s="490"/>
      <c r="BMP248" s="490"/>
      <c r="BMQ248" s="490"/>
      <c r="BMR248" s="490"/>
      <c r="BMS248" s="490"/>
      <c r="BMT248" s="490"/>
      <c r="BMU248" s="490"/>
      <c r="BMV248" s="490"/>
      <c r="BMW248" s="490"/>
      <c r="BMX248" s="490"/>
      <c r="BMY248" s="490"/>
      <c r="BMZ248" s="490"/>
      <c r="BNA248" s="490"/>
      <c r="BNB248" s="490"/>
      <c r="BNC248" s="490"/>
      <c r="BND248" s="490"/>
      <c r="BNE248" s="490"/>
      <c r="BNF248" s="490"/>
      <c r="BNG248" s="490"/>
      <c r="BNH248" s="490"/>
      <c r="BNI248" s="490"/>
      <c r="BNJ248" s="490"/>
      <c r="BNK248" s="490"/>
      <c r="BNL248" s="490"/>
      <c r="BNM248" s="490"/>
      <c r="BNN248" s="490"/>
      <c r="BNO248" s="490"/>
      <c r="BNP248" s="490"/>
      <c r="BNQ248" s="490"/>
      <c r="BNR248" s="490"/>
      <c r="BNS248" s="490"/>
      <c r="BNT248" s="490"/>
      <c r="BNU248" s="490"/>
      <c r="BNV248" s="490"/>
      <c r="BNW248" s="490"/>
      <c r="BNX248" s="490"/>
      <c r="BNY248" s="490"/>
      <c r="BNZ248" s="490"/>
      <c r="BOA248" s="490"/>
      <c r="BOB248" s="490"/>
      <c r="BOC248" s="490"/>
      <c r="BOD248" s="490"/>
      <c r="BOE248" s="490"/>
      <c r="BOF248" s="490"/>
      <c r="BOG248" s="490"/>
      <c r="BOH248" s="490"/>
      <c r="BOI248" s="490"/>
      <c r="BOJ248" s="490"/>
      <c r="BOK248" s="490"/>
      <c r="BOL248" s="490"/>
      <c r="BOM248" s="490"/>
      <c r="BON248" s="490"/>
      <c r="BOO248" s="490"/>
      <c r="BOP248" s="490"/>
      <c r="BOQ248" s="490"/>
      <c r="BOR248" s="490"/>
      <c r="BOS248" s="490"/>
      <c r="BOT248" s="490"/>
      <c r="BOU248" s="490"/>
      <c r="BOV248" s="490"/>
      <c r="BOW248" s="490"/>
      <c r="BOX248" s="490"/>
      <c r="BOY248" s="490"/>
      <c r="BOZ248" s="490"/>
      <c r="BPA248" s="490"/>
      <c r="BPB248" s="490"/>
      <c r="BPC248" s="490"/>
      <c r="BPD248" s="490"/>
      <c r="BPE248" s="490"/>
      <c r="BPF248" s="490"/>
      <c r="BPG248" s="490"/>
      <c r="BPH248" s="490"/>
      <c r="BPI248" s="490"/>
      <c r="BPJ248" s="490"/>
      <c r="BPK248" s="490"/>
      <c r="BPL248" s="490"/>
      <c r="BPM248" s="490"/>
      <c r="BPN248" s="490"/>
      <c r="BPO248" s="490"/>
      <c r="BPP248" s="490"/>
      <c r="BPQ248" s="490"/>
      <c r="BPR248" s="490"/>
      <c r="BPS248" s="490"/>
      <c r="BPT248" s="490"/>
      <c r="BPU248" s="490"/>
      <c r="BPV248" s="490"/>
      <c r="BPW248" s="490"/>
      <c r="BPX248" s="490"/>
      <c r="BPY248" s="490"/>
      <c r="BPZ248" s="490"/>
      <c r="BQA248" s="490"/>
      <c r="BQB248" s="490"/>
      <c r="BQC248" s="490"/>
      <c r="BQD248" s="490"/>
      <c r="BQE248" s="490"/>
      <c r="BQF248" s="490"/>
      <c r="BQG248" s="490"/>
      <c r="BQH248" s="490"/>
      <c r="BQI248" s="490"/>
      <c r="BQJ248" s="490"/>
      <c r="BQK248" s="490"/>
      <c r="BQL248" s="490"/>
      <c r="BQM248" s="490"/>
      <c r="BQN248" s="490"/>
      <c r="BQO248" s="490"/>
      <c r="BQP248" s="490"/>
      <c r="BQQ248" s="490"/>
      <c r="BQR248" s="490"/>
      <c r="BQS248" s="490"/>
      <c r="BQT248" s="490"/>
      <c r="BQU248" s="490"/>
      <c r="BQV248" s="490"/>
      <c r="BQW248" s="490"/>
      <c r="BQX248" s="490"/>
      <c r="BQY248" s="490"/>
      <c r="BQZ248" s="490"/>
      <c r="BRA248" s="490"/>
      <c r="BRB248" s="490"/>
      <c r="BRC248" s="490"/>
      <c r="BRD248" s="490"/>
      <c r="BRE248" s="490"/>
      <c r="BRF248" s="490"/>
      <c r="BRG248" s="490"/>
      <c r="BRH248" s="490"/>
      <c r="BRI248" s="490"/>
      <c r="BRJ248" s="490"/>
      <c r="BRK248" s="490"/>
      <c r="BRL248" s="490"/>
      <c r="BRM248" s="490"/>
      <c r="BRN248" s="490"/>
      <c r="BRO248" s="490"/>
      <c r="BRP248" s="490"/>
      <c r="BRQ248" s="490"/>
      <c r="BRR248" s="490"/>
      <c r="BRS248" s="490"/>
      <c r="BRT248" s="490"/>
      <c r="BRU248" s="490"/>
      <c r="BRV248" s="490"/>
      <c r="BRW248" s="490"/>
      <c r="BRX248" s="490"/>
      <c r="BRY248" s="490"/>
      <c r="BRZ248" s="490"/>
      <c r="BSA248" s="490"/>
      <c r="BSB248" s="490"/>
      <c r="BSC248" s="490"/>
      <c r="BSD248" s="490"/>
      <c r="BSE248" s="490"/>
      <c r="BSF248" s="490"/>
      <c r="BSG248" s="490"/>
      <c r="BSH248" s="490"/>
      <c r="BSI248" s="490"/>
      <c r="BSJ248" s="490"/>
      <c r="BSK248" s="490"/>
      <c r="BSL248" s="490"/>
      <c r="BSM248" s="490"/>
      <c r="BSN248" s="490"/>
      <c r="BSO248" s="490"/>
      <c r="BSP248" s="490"/>
      <c r="BSQ248" s="490"/>
      <c r="BSR248" s="490"/>
      <c r="BSS248" s="490"/>
      <c r="BST248" s="490"/>
      <c r="BSU248" s="490"/>
      <c r="BSV248" s="490"/>
      <c r="BSW248" s="490"/>
      <c r="BSX248" s="490"/>
      <c r="BSY248" s="490"/>
      <c r="BSZ248" s="490"/>
      <c r="BTA248" s="490"/>
      <c r="BTB248" s="490"/>
      <c r="BTC248" s="490"/>
      <c r="BTD248" s="490"/>
      <c r="BTE248" s="490"/>
      <c r="BTF248" s="490"/>
      <c r="BTG248" s="490"/>
      <c r="BTH248" s="490"/>
      <c r="BTI248" s="490"/>
    </row>
    <row r="249" spans="1:1881" s="489" customFormat="1" ht="90" x14ac:dyDescent="0.25">
      <c r="A249" s="455">
        <v>952</v>
      </c>
      <c r="B249" s="451"/>
      <c r="C249" s="452"/>
      <c r="D249" s="459" t="s">
        <v>1210</v>
      </c>
      <c r="E249" s="454" t="s">
        <v>952</v>
      </c>
      <c r="F249" s="746"/>
      <c r="G249" s="563" t="str">
        <f t="shared" si="3"/>
        <v>Please do not leave blank</v>
      </c>
      <c r="H249" s="491"/>
      <c r="I249"/>
      <c r="J249"/>
      <c r="K249"/>
      <c r="L249"/>
      <c r="M249"/>
      <c r="N249"/>
      <c r="O249"/>
      <c r="P249" s="490"/>
      <c r="Q249" s="490"/>
      <c r="R249" s="490"/>
      <c r="S249" s="490"/>
      <c r="T249" s="490"/>
      <c r="U249" s="490"/>
      <c r="V249" s="490"/>
      <c r="W249" s="490"/>
      <c r="X249" s="490"/>
      <c r="Y249" s="490"/>
      <c r="Z249" s="490"/>
      <c r="AA249" s="490"/>
      <c r="AB249" s="490"/>
      <c r="AC249" s="490"/>
      <c r="AD249" s="490"/>
      <c r="AE249" s="490"/>
      <c r="AF249" s="490"/>
      <c r="AG249" s="490"/>
      <c r="AH249" s="490"/>
      <c r="AI249" s="490"/>
      <c r="AJ249" s="490"/>
      <c r="AK249" s="490"/>
      <c r="AL249" s="490"/>
      <c r="AM249" s="490"/>
      <c r="AN249" s="490"/>
      <c r="AO249" s="490"/>
      <c r="AP249" s="490"/>
      <c r="AQ249" s="490"/>
      <c r="AR249" s="490"/>
      <c r="AS249" s="490"/>
      <c r="AT249" s="490"/>
      <c r="AU249" s="490"/>
      <c r="AV249" s="490"/>
      <c r="AW249" s="490"/>
      <c r="AX249" s="490"/>
      <c r="AY249" s="490"/>
      <c r="AZ249" s="490"/>
      <c r="BA249" s="490"/>
      <c r="BB249" s="490"/>
      <c r="BC249" s="490"/>
      <c r="BD249" s="490"/>
      <c r="BE249" s="490"/>
      <c r="BF249" s="490"/>
      <c r="BG249" s="490"/>
      <c r="BH249" s="490"/>
      <c r="BI249" s="490"/>
      <c r="BJ249" s="490"/>
      <c r="BK249" s="490"/>
      <c r="BL249" s="490"/>
      <c r="BM249" s="490"/>
      <c r="BN249" s="490"/>
      <c r="BO249" s="490"/>
      <c r="BP249" s="490"/>
      <c r="BQ249" s="490"/>
      <c r="BR249" s="490"/>
      <c r="BS249" s="490"/>
      <c r="BT249" s="490"/>
      <c r="BU249" s="490"/>
      <c r="BV249" s="490"/>
      <c r="BW249" s="490"/>
      <c r="BX249" s="490"/>
      <c r="BY249" s="490"/>
      <c r="BZ249" s="490"/>
      <c r="CA249" s="490"/>
      <c r="CB249" s="490"/>
      <c r="CC249" s="490"/>
      <c r="CD249" s="490"/>
      <c r="CE249" s="490"/>
      <c r="CF249" s="490"/>
      <c r="CG249" s="490"/>
      <c r="CH249" s="490"/>
      <c r="CI249" s="490"/>
      <c r="CJ249" s="490"/>
      <c r="CK249" s="490"/>
      <c r="CL249" s="490"/>
      <c r="CM249" s="490"/>
      <c r="CN249" s="490"/>
      <c r="CO249" s="490"/>
      <c r="CP249" s="490"/>
      <c r="CQ249" s="490"/>
      <c r="CR249" s="490"/>
      <c r="CS249" s="490"/>
      <c r="CT249" s="490"/>
      <c r="CU249" s="490"/>
      <c r="CV249" s="490"/>
      <c r="CW249" s="490"/>
      <c r="CX249" s="490"/>
      <c r="CY249" s="490"/>
      <c r="CZ249" s="490"/>
      <c r="DA249" s="490"/>
      <c r="DB249" s="490"/>
      <c r="DC249" s="490"/>
      <c r="DD249" s="490"/>
      <c r="DE249" s="490"/>
      <c r="DF249" s="490"/>
      <c r="DG249" s="490"/>
      <c r="DH249" s="490"/>
      <c r="DI249" s="490"/>
      <c r="DJ249" s="490"/>
      <c r="DK249" s="490"/>
      <c r="DL249" s="490"/>
      <c r="DM249" s="490"/>
      <c r="DN249" s="490"/>
      <c r="DO249" s="490"/>
      <c r="DP249" s="490"/>
      <c r="DQ249" s="490"/>
      <c r="DR249" s="490"/>
      <c r="DS249" s="490"/>
      <c r="DT249" s="490"/>
      <c r="DU249" s="490"/>
      <c r="DV249" s="490"/>
      <c r="DW249" s="490"/>
      <c r="DX249" s="490"/>
      <c r="DY249" s="490"/>
      <c r="DZ249" s="490"/>
      <c r="EA249" s="490"/>
      <c r="EB249" s="490"/>
      <c r="EC249" s="490"/>
      <c r="ED249" s="490"/>
      <c r="EE249" s="490"/>
      <c r="EF249" s="490"/>
      <c r="EG249" s="490"/>
      <c r="EH249" s="490"/>
      <c r="EI249" s="490"/>
      <c r="EJ249" s="490"/>
      <c r="EK249" s="490"/>
      <c r="EL249" s="490"/>
      <c r="EM249" s="490"/>
      <c r="EN249" s="490"/>
      <c r="EO249" s="490"/>
      <c r="EP249" s="490"/>
      <c r="EQ249" s="490"/>
      <c r="ER249" s="490"/>
      <c r="ES249" s="490"/>
      <c r="ET249" s="490"/>
      <c r="EU249" s="490"/>
      <c r="EV249" s="490"/>
      <c r="EW249" s="490"/>
      <c r="EX249" s="490"/>
      <c r="EY249" s="490"/>
      <c r="EZ249" s="490"/>
      <c r="FA249" s="490"/>
      <c r="FB249" s="490"/>
      <c r="FC249" s="490"/>
      <c r="FD249" s="490"/>
      <c r="FE249" s="490"/>
      <c r="FF249" s="490"/>
      <c r="FG249" s="490"/>
      <c r="FH249" s="490"/>
      <c r="FI249" s="490"/>
      <c r="FJ249" s="490"/>
      <c r="FK249" s="490"/>
      <c r="FL249" s="490"/>
      <c r="FM249" s="490"/>
      <c r="FN249" s="490"/>
      <c r="FO249" s="490"/>
      <c r="FP249" s="490"/>
      <c r="FQ249" s="490"/>
      <c r="FR249" s="490"/>
      <c r="FS249" s="490"/>
      <c r="FT249" s="490"/>
      <c r="FU249" s="490"/>
      <c r="FV249" s="490"/>
      <c r="FW249" s="490"/>
      <c r="FX249" s="490"/>
      <c r="FY249" s="490"/>
      <c r="FZ249" s="490"/>
      <c r="GA249" s="490"/>
      <c r="GB249" s="490"/>
      <c r="GC249" s="490"/>
      <c r="GD249" s="490"/>
      <c r="GE249" s="490"/>
      <c r="GF249" s="490"/>
      <c r="GG249" s="490"/>
      <c r="GH249" s="490"/>
      <c r="GI249" s="490"/>
      <c r="GJ249" s="490"/>
      <c r="GK249" s="490"/>
      <c r="GL249" s="490"/>
      <c r="GM249" s="490"/>
      <c r="GN249" s="490"/>
      <c r="GO249" s="490"/>
      <c r="GP249" s="490"/>
      <c r="GQ249" s="490"/>
      <c r="GR249" s="490"/>
      <c r="GS249" s="490"/>
      <c r="GT249" s="490"/>
      <c r="GU249" s="490"/>
      <c r="GV249" s="490"/>
      <c r="GW249" s="490"/>
      <c r="GX249" s="490"/>
      <c r="GY249" s="490"/>
      <c r="GZ249" s="490"/>
      <c r="HA249" s="490"/>
      <c r="HB249" s="490"/>
      <c r="HC249" s="490"/>
      <c r="HD249" s="490"/>
      <c r="HE249" s="490"/>
      <c r="HF249" s="490"/>
      <c r="HG249" s="490"/>
      <c r="HH249" s="490"/>
      <c r="HI249" s="490"/>
      <c r="HJ249" s="490"/>
      <c r="HK249" s="490"/>
      <c r="HL249" s="490"/>
      <c r="HM249" s="490"/>
      <c r="HN249" s="490"/>
      <c r="HO249" s="490"/>
      <c r="HP249" s="490"/>
      <c r="HQ249" s="490"/>
      <c r="HR249" s="490"/>
      <c r="HS249" s="490"/>
      <c r="HT249" s="490"/>
      <c r="HU249" s="490"/>
      <c r="HV249" s="490"/>
      <c r="HW249" s="490"/>
      <c r="HX249" s="490"/>
      <c r="HY249" s="490"/>
      <c r="HZ249" s="490"/>
      <c r="IA249" s="490"/>
      <c r="IB249" s="490"/>
      <c r="IC249" s="490"/>
      <c r="ID249" s="490"/>
      <c r="IE249" s="490"/>
      <c r="IF249" s="490"/>
      <c r="IG249" s="490"/>
      <c r="IH249" s="490"/>
      <c r="II249" s="490"/>
      <c r="IJ249" s="490"/>
      <c r="IK249" s="490"/>
      <c r="IL249" s="490"/>
      <c r="IM249" s="490"/>
      <c r="IN249" s="490"/>
      <c r="IO249" s="490"/>
      <c r="IP249" s="490"/>
      <c r="IQ249" s="490"/>
      <c r="IR249" s="490"/>
      <c r="IS249" s="490"/>
      <c r="IT249" s="490"/>
      <c r="IU249" s="490"/>
      <c r="IV249" s="490"/>
      <c r="IW249" s="490"/>
      <c r="IX249" s="490"/>
      <c r="IY249" s="490"/>
      <c r="IZ249" s="490"/>
      <c r="JA249" s="490"/>
      <c r="JB249" s="490"/>
      <c r="JC249" s="490"/>
      <c r="JD249" s="490"/>
      <c r="JE249" s="490"/>
      <c r="JF249" s="490"/>
      <c r="JG249" s="490"/>
      <c r="JH249" s="490"/>
      <c r="JI249" s="490"/>
      <c r="JJ249" s="490"/>
      <c r="JK249" s="490"/>
      <c r="JL249" s="490"/>
      <c r="JM249" s="490"/>
      <c r="JN249" s="490"/>
      <c r="JO249" s="490"/>
      <c r="JP249" s="490"/>
      <c r="JQ249" s="490"/>
      <c r="JR249" s="490"/>
      <c r="JS249" s="490"/>
      <c r="JT249" s="490"/>
      <c r="JU249" s="490"/>
      <c r="JV249" s="490"/>
      <c r="JW249" s="490"/>
      <c r="JX249" s="490"/>
      <c r="JY249" s="490"/>
      <c r="JZ249" s="490"/>
      <c r="KA249" s="490"/>
      <c r="KB249" s="490"/>
      <c r="KC249" s="490"/>
      <c r="KD249" s="490"/>
      <c r="KE249" s="490"/>
      <c r="KF249" s="490"/>
      <c r="KG249" s="490"/>
      <c r="KH249" s="490"/>
      <c r="KI249" s="490"/>
      <c r="KJ249" s="490"/>
      <c r="KK249" s="490"/>
      <c r="KL249" s="490"/>
      <c r="KM249" s="490"/>
      <c r="KN249" s="490"/>
      <c r="KO249" s="490"/>
      <c r="KP249" s="490"/>
      <c r="KQ249" s="490"/>
      <c r="KR249" s="490"/>
      <c r="KS249" s="490"/>
      <c r="KT249" s="490"/>
      <c r="KU249" s="490"/>
      <c r="KV249" s="490"/>
      <c r="KW249" s="490"/>
      <c r="KX249" s="490"/>
      <c r="KY249" s="490"/>
      <c r="KZ249" s="490"/>
      <c r="LA249" s="490"/>
      <c r="LB249" s="490"/>
      <c r="LC249" s="490"/>
      <c r="LD249" s="490"/>
      <c r="LE249" s="490"/>
      <c r="LF249" s="490"/>
      <c r="LG249" s="490"/>
      <c r="LH249" s="490"/>
      <c r="LI249" s="490"/>
      <c r="LJ249" s="490"/>
      <c r="LK249" s="490"/>
      <c r="LL249" s="490"/>
      <c r="LM249" s="490"/>
      <c r="LN249" s="490"/>
      <c r="LO249" s="490"/>
      <c r="LP249" s="490"/>
      <c r="LQ249" s="490"/>
      <c r="LR249" s="490"/>
      <c r="LS249" s="490"/>
      <c r="LT249" s="490"/>
      <c r="LU249" s="490"/>
      <c r="LV249" s="490"/>
      <c r="LW249" s="490"/>
      <c r="LX249" s="490"/>
      <c r="LY249" s="490"/>
      <c r="LZ249" s="490"/>
      <c r="MA249" s="490"/>
      <c r="MB249" s="490"/>
      <c r="MC249" s="490"/>
      <c r="MD249" s="490"/>
      <c r="ME249" s="490"/>
      <c r="MF249" s="490"/>
      <c r="MG249" s="490"/>
      <c r="MH249" s="490"/>
      <c r="MI249" s="490"/>
      <c r="MJ249" s="490"/>
      <c r="MK249" s="490"/>
      <c r="ML249" s="490"/>
      <c r="MM249" s="490"/>
      <c r="MN249" s="490"/>
      <c r="MO249" s="490"/>
      <c r="MP249" s="490"/>
      <c r="MQ249" s="490"/>
      <c r="MR249" s="490"/>
      <c r="MS249" s="490"/>
      <c r="MT249" s="490"/>
      <c r="MU249" s="490"/>
      <c r="MV249" s="490"/>
      <c r="MW249" s="490"/>
      <c r="MX249" s="490"/>
      <c r="MY249" s="490"/>
      <c r="MZ249" s="490"/>
      <c r="NA249" s="490"/>
      <c r="NB249" s="490"/>
      <c r="NC249" s="490"/>
      <c r="ND249" s="490"/>
      <c r="NE249" s="490"/>
      <c r="NF249" s="490"/>
      <c r="NG249" s="490"/>
      <c r="NH249" s="490"/>
      <c r="NI249" s="490"/>
      <c r="NJ249" s="490"/>
      <c r="NK249" s="490"/>
      <c r="NL249" s="490"/>
      <c r="NM249" s="490"/>
      <c r="NN249" s="490"/>
      <c r="NO249" s="490"/>
      <c r="NP249" s="490"/>
      <c r="NQ249" s="490"/>
      <c r="NR249" s="490"/>
      <c r="NS249" s="490"/>
      <c r="NT249" s="490"/>
      <c r="NU249" s="490"/>
      <c r="NV249" s="490"/>
      <c r="NW249" s="490"/>
      <c r="NX249" s="490"/>
      <c r="NY249" s="490"/>
      <c r="NZ249" s="490"/>
      <c r="OA249" s="490"/>
      <c r="OB249" s="490"/>
      <c r="OC249" s="490"/>
      <c r="OD249" s="490"/>
      <c r="OE249" s="490"/>
      <c r="OF249" s="490"/>
      <c r="OG249" s="490"/>
      <c r="OH249" s="490"/>
      <c r="OI249" s="490"/>
      <c r="OJ249" s="490"/>
      <c r="OK249" s="490"/>
      <c r="OL249" s="490"/>
      <c r="OM249" s="490"/>
      <c r="ON249" s="490"/>
      <c r="OO249" s="490"/>
      <c r="OP249" s="490"/>
      <c r="OQ249" s="490"/>
      <c r="OR249" s="490"/>
      <c r="OS249" s="490"/>
      <c r="OT249" s="490"/>
      <c r="OU249" s="490"/>
      <c r="OV249" s="490"/>
      <c r="OW249" s="490"/>
      <c r="OX249" s="490"/>
      <c r="OY249" s="490"/>
      <c r="OZ249" s="490"/>
      <c r="PA249" s="490"/>
      <c r="PB249" s="490"/>
      <c r="PC249" s="490"/>
      <c r="PD249" s="490"/>
      <c r="PE249" s="490"/>
      <c r="PF249" s="490"/>
      <c r="PG249" s="490"/>
      <c r="PH249" s="490"/>
      <c r="PI249" s="490"/>
      <c r="PJ249" s="490"/>
      <c r="PK249" s="490"/>
      <c r="PL249" s="490"/>
      <c r="PM249" s="490"/>
      <c r="PN249" s="490"/>
      <c r="PO249" s="490"/>
      <c r="PP249" s="490"/>
      <c r="PQ249" s="490"/>
      <c r="PR249" s="490"/>
      <c r="PS249" s="490"/>
      <c r="PT249" s="490"/>
      <c r="PU249" s="490"/>
      <c r="PV249" s="490"/>
      <c r="PW249" s="490"/>
      <c r="PX249" s="490"/>
      <c r="PY249" s="490"/>
      <c r="PZ249" s="490"/>
      <c r="QA249" s="490"/>
      <c r="QB249" s="490"/>
      <c r="QC249" s="490"/>
      <c r="QD249" s="490"/>
      <c r="QE249" s="490"/>
      <c r="QF249" s="490"/>
      <c r="QG249" s="490"/>
      <c r="QH249" s="490"/>
      <c r="QI249" s="490"/>
      <c r="QJ249" s="490"/>
      <c r="QK249" s="490"/>
      <c r="QL249" s="490"/>
      <c r="QM249" s="490"/>
      <c r="QN249" s="490"/>
      <c r="QO249" s="490"/>
      <c r="QP249" s="490"/>
      <c r="QQ249" s="490"/>
      <c r="QR249" s="490"/>
      <c r="QS249" s="490"/>
      <c r="QT249" s="490"/>
      <c r="QU249" s="490"/>
      <c r="QV249" s="490"/>
      <c r="QW249" s="490"/>
      <c r="QX249" s="490"/>
      <c r="QY249" s="490"/>
      <c r="QZ249" s="490"/>
      <c r="RA249" s="490"/>
      <c r="RB249" s="490"/>
      <c r="RC249" s="490"/>
      <c r="RD249" s="490"/>
      <c r="RE249" s="490"/>
      <c r="RF249" s="490"/>
      <c r="RG249" s="490"/>
      <c r="RH249" s="490"/>
      <c r="RI249" s="490"/>
      <c r="RJ249" s="490"/>
      <c r="RK249" s="490"/>
      <c r="RL249" s="490"/>
      <c r="RM249" s="490"/>
      <c r="RN249" s="490"/>
      <c r="RO249" s="490"/>
      <c r="RP249" s="490"/>
      <c r="RQ249" s="490"/>
      <c r="RR249" s="490"/>
      <c r="RS249" s="490"/>
      <c r="RT249" s="490"/>
      <c r="RU249" s="490"/>
      <c r="RV249" s="490"/>
      <c r="RW249" s="490"/>
      <c r="RX249" s="490"/>
      <c r="RY249" s="490"/>
      <c r="RZ249" s="490"/>
      <c r="SA249" s="490"/>
      <c r="SB249" s="490"/>
      <c r="SC249" s="490"/>
      <c r="SD249" s="490"/>
      <c r="SE249" s="490"/>
      <c r="SF249" s="490"/>
      <c r="SG249" s="490"/>
      <c r="SH249" s="490"/>
      <c r="SI249" s="490"/>
      <c r="SJ249" s="490"/>
      <c r="SK249" s="490"/>
      <c r="SL249" s="490"/>
      <c r="SM249" s="490"/>
      <c r="SN249" s="490"/>
      <c r="SO249" s="490"/>
      <c r="SP249" s="490"/>
      <c r="SQ249" s="490"/>
      <c r="SR249" s="490"/>
      <c r="SS249" s="490"/>
      <c r="ST249" s="490"/>
      <c r="SU249" s="490"/>
      <c r="SV249" s="490"/>
      <c r="SW249" s="490"/>
      <c r="SX249" s="490"/>
      <c r="SY249" s="490"/>
      <c r="SZ249" s="490"/>
      <c r="TA249" s="490"/>
      <c r="TB249" s="490"/>
      <c r="TC249" s="490"/>
      <c r="TD249" s="490"/>
      <c r="TE249" s="490"/>
      <c r="TF249" s="490"/>
      <c r="TG249" s="490"/>
      <c r="TH249" s="490"/>
      <c r="TI249" s="490"/>
      <c r="TJ249" s="490"/>
      <c r="TK249" s="490"/>
      <c r="TL249" s="490"/>
      <c r="TM249" s="490"/>
      <c r="TN249" s="490"/>
      <c r="TO249" s="490"/>
      <c r="TP249" s="490"/>
      <c r="TQ249" s="490"/>
      <c r="TR249" s="490"/>
      <c r="TS249" s="490"/>
      <c r="TT249" s="490"/>
      <c r="TU249" s="490"/>
      <c r="TV249" s="490"/>
      <c r="TW249" s="490"/>
      <c r="TX249" s="490"/>
      <c r="TY249" s="490"/>
      <c r="TZ249" s="490"/>
      <c r="UA249" s="490"/>
      <c r="UB249" s="490"/>
      <c r="UC249" s="490"/>
      <c r="UD249" s="490"/>
      <c r="UE249" s="490"/>
      <c r="UF249" s="490"/>
      <c r="UG249" s="490"/>
      <c r="UH249" s="490"/>
      <c r="UI249" s="490"/>
      <c r="UJ249" s="490"/>
      <c r="UK249" s="490"/>
      <c r="UL249" s="490"/>
      <c r="UM249" s="490"/>
      <c r="UN249" s="490"/>
      <c r="UO249" s="490"/>
      <c r="UP249" s="490"/>
      <c r="UQ249" s="490"/>
      <c r="UR249" s="490"/>
      <c r="US249" s="490"/>
      <c r="UT249" s="490"/>
      <c r="UU249" s="490"/>
      <c r="UV249" s="490"/>
      <c r="UW249" s="490"/>
      <c r="UX249" s="490"/>
      <c r="UY249" s="490"/>
      <c r="UZ249" s="490"/>
      <c r="VA249" s="490"/>
      <c r="VB249" s="490"/>
      <c r="VC249" s="490"/>
      <c r="VD249" s="490"/>
      <c r="VE249" s="490"/>
      <c r="VF249" s="490"/>
      <c r="VG249" s="490"/>
      <c r="VH249" s="490"/>
      <c r="VI249" s="490"/>
      <c r="VJ249" s="490"/>
      <c r="VK249" s="490"/>
      <c r="VL249" s="490"/>
      <c r="VM249" s="490"/>
      <c r="VN249" s="490"/>
      <c r="VO249" s="490"/>
      <c r="VP249" s="490"/>
      <c r="VQ249" s="490"/>
      <c r="VR249" s="490"/>
      <c r="VS249" s="490"/>
      <c r="VT249" s="490"/>
      <c r="VU249" s="490"/>
      <c r="VV249" s="490"/>
      <c r="VW249" s="490"/>
      <c r="VX249" s="490"/>
      <c r="VY249" s="490"/>
      <c r="VZ249" s="490"/>
      <c r="WA249" s="490"/>
      <c r="WB249" s="490"/>
      <c r="WC249" s="490"/>
      <c r="WD249" s="490"/>
      <c r="WE249" s="490"/>
      <c r="WF249" s="490"/>
      <c r="WG249" s="490"/>
      <c r="WH249" s="490"/>
      <c r="WI249" s="490"/>
      <c r="WJ249" s="490"/>
      <c r="WK249" s="490"/>
      <c r="WL249" s="490"/>
      <c r="WM249" s="490"/>
      <c r="WN249" s="490"/>
      <c r="WO249" s="490"/>
      <c r="WP249" s="490"/>
      <c r="WQ249" s="490"/>
      <c r="WR249" s="490"/>
      <c r="WS249" s="490"/>
      <c r="WT249" s="490"/>
      <c r="WU249" s="490"/>
      <c r="WV249" s="490"/>
      <c r="WW249" s="490"/>
      <c r="WX249" s="490"/>
      <c r="WY249" s="490"/>
      <c r="WZ249" s="490"/>
      <c r="XA249" s="490"/>
      <c r="XB249" s="490"/>
      <c r="XC249" s="490"/>
      <c r="XD249" s="490"/>
      <c r="XE249" s="490"/>
      <c r="XF249" s="490"/>
      <c r="XG249" s="490"/>
      <c r="XH249" s="490"/>
      <c r="XI249" s="490"/>
      <c r="XJ249" s="490"/>
      <c r="XK249" s="490"/>
      <c r="XL249" s="490"/>
      <c r="XM249" s="490"/>
      <c r="XN249" s="490"/>
      <c r="XO249" s="490"/>
      <c r="XP249" s="490"/>
      <c r="XQ249" s="490"/>
      <c r="XR249" s="490"/>
      <c r="XS249" s="490"/>
      <c r="XT249" s="490"/>
      <c r="XU249" s="490"/>
      <c r="XV249" s="490"/>
      <c r="XW249" s="490"/>
      <c r="XX249" s="490"/>
      <c r="XY249" s="490"/>
      <c r="XZ249" s="490"/>
      <c r="YA249" s="490"/>
      <c r="YB249" s="490"/>
      <c r="YC249" s="490"/>
      <c r="YD249" s="490"/>
      <c r="YE249" s="490"/>
      <c r="YF249" s="490"/>
      <c r="YG249" s="490"/>
      <c r="YH249" s="490"/>
      <c r="YI249" s="490"/>
      <c r="YJ249" s="490"/>
      <c r="YK249" s="490"/>
      <c r="YL249" s="490"/>
      <c r="YM249" s="490"/>
      <c r="YN249" s="490"/>
      <c r="YO249" s="490"/>
      <c r="YP249" s="490"/>
      <c r="YQ249" s="490"/>
      <c r="YR249" s="490"/>
      <c r="YS249" s="490"/>
      <c r="YT249" s="490"/>
      <c r="YU249" s="490"/>
      <c r="YV249" s="490"/>
      <c r="YW249" s="490"/>
      <c r="YX249" s="490"/>
      <c r="YY249" s="490"/>
      <c r="YZ249" s="490"/>
      <c r="ZA249" s="490"/>
      <c r="ZB249" s="490"/>
      <c r="ZC249" s="490"/>
      <c r="ZD249" s="490"/>
      <c r="ZE249" s="490"/>
      <c r="ZF249" s="490"/>
      <c r="ZG249" s="490"/>
      <c r="ZH249" s="490"/>
      <c r="ZI249" s="490"/>
      <c r="ZJ249" s="490"/>
      <c r="ZK249" s="490"/>
      <c r="ZL249" s="490"/>
      <c r="ZM249" s="490"/>
      <c r="ZN249" s="490"/>
      <c r="ZO249" s="490"/>
      <c r="ZP249" s="490"/>
      <c r="ZQ249" s="490"/>
      <c r="ZR249" s="490"/>
      <c r="ZS249" s="490"/>
      <c r="ZT249" s="490"/>
      <c r="ZU249" s="490"/>
      <c r="ZV249" s="490"/>
      <c r="ZW249" s="490"/>
      <c r="ZX249" s="490"/>
      <c r="ZY249" s="490"/>
      <c r="ZZ249" s="490"/>
      <c r="AAA249" s="490"/>
      <c r="AAB249" s="490"/>
      <c r="AAC249" s="490"/>
      <c r="AAD249" s="490"/>
      <c r="AAE249" s="490"/>
      <c r="AAF249" s="490"/>
      <c r="AAG249" s="490"/>
      <c r="AAH249" s="490"/>
      <c r="AAI249" s="490"/>
      <c r="AAJ249" s="490"/>
      <c r="AAK249" s="490"/>
      <c r="AAL249" s="490"/>
      <c r="AAM249" s="490"/>
      <c r="AAN249" s="490"/>
      <c r="AAO249" s="490"/>
      <c r="AAP249" s="490"/>
      <c r="AAQ249" s="490"/>
      <c r="AAR249" s="490"/>
      <c r="AAS249" s="490"/>
      <c r="AAT249" s="490"/>
      <c r="AAU249" s="490"/>
      <c r="AAV249" s="490"/>
      <c r="AAW249" s="490"/>
      <c r="AAX249" s="490"/>
      <c r="AAY249" s="490"/>
      <c r="AAZ249" s="490"/>
      <c r="ABA249" s="490"/>
      <c r="ABB249" s="490"/>
      <c r="ABC249" s="490"/>
      <c r="ABD249" s="490"/>
      <c r="ABE249" s="490"/>
      <c r="ABF249" s="490"/>
      <c r="ABG249" s="490"/>
      <c r="ABH249" s="490"/>
      <c r="ABI249" s="490"/>
      <c r="ABJ249" s="490"/>
      <c r="ABK249" s="490"/>
      <c r="ABL249" s="490"/>
      <c r="ABM249" s="490"/>
      <c r="ABN249" s="490"/>
      <c r="ABO249" s="490"/>
      <c r="ABP249" s="490"/>
      <c r="ABQ249" s="490"/>
      <c r="ABR249" s="490"/>
      <c r="ABS249" s="490"/>
      <c r="ABT249" s="490"/>
      <c r="ABU249" s="490"/>
      <c r="ABV249" s="490"/>
      <c r="ABW249" s="490"/>
      <c r="ABX249" s="490"/>
      <c r="ABY249" s="490"/>
      <c r="ABZ249" s="490"/>
      <c r="ACA249" s="490"/>
      <c r="ACB249" s="490"/>
      <c r="ACC249" s="490"/>
      <c r="ACD249" s="490"/>
      <c r="ACE249" s="490"/>
      <c r="ACF249" s="490"/>
      <c r="ACG249" s="490"/>
      <c r="ACH249" s="490"/>
      <c r="ACI249" s="490"/>
      <c r="ACJ249" s="490"/>
      <c r="ACK249" s="490"/>
      <c r="ACL249" s="490"/>
      <c r="ACM249" s="490"/>
      <c r="ACN249" s="490"/>
      <c r="ACO249" s="490"/>
      <c r="ACP249" s="490"/>
      <c r="ACQ249" s="490"/>
      <c r="ACR249" s="490"/>
      <c r="ACS249" s="490"/>
      <c r="ACT249" s="490"/>
      <c r="ACU249" s="490"/>
      <c r="ACV249" s="490"/>
      <c r="ACW249" s="490"/>
      <c r="ACX249" s="490"/>
      <c r="ACY249" s="490"/>
      <c r="ACZ249" s="490"/>
      <c r="ADA249" s="490"/>
      <c r="ADB249" s="490"/>
      <c r="ADC249" s="490"/>
      <c r="ADD249" s="490"/>
      <c r="ADE249" s="490"/>
      <c r="ADF249" s="490"/>
      <c r="ADG249" s="490"/>
      <c r="ADH249" s="490"/>
      <c r="ADI249" s="490"/>
      <c r="ADJ249" s="490"/>
      <c r="ADK249" s="490"/>
      <c r="ADL249" s="490"/>
      <c r="ADM249" s="490"/>
      <c r="ADN249" s="490"/>
      <c r="ADO249" s="490"/>
      <c r="ADP249" s="490"/>
      <c r="ADQ249" s="490"/>
      <c r="ADR249" s="490"/>
      <c r="ADS249" s="490"/>
      <c r="ADT249" s="490"/>
      <c r="ADU249" s="490"/>
      <c r="ADV249" s="490"/>
      <c r="ADW249" s="490"/>
      <c r="ADX249" s="490"/>
      <c r="ADY249" s="490"/>
      <c r="ADZ249" s="490"/>
      <c r="AEA249" s="490"/>
      <c r="AEB249" s="490"/>
      <c r="AEC249" s="490"/>
      <c r="AED249" s="490"/>
      <c r="AEE249" s="490"/>
      <c r="AEF249" s="490"/>
      <c r="AEG249" s="490"/>
      <c r="AEH249" s="490"/>
      <c r="AEI249" s="490"/>
      <c r="AEJ249" s="490"/>
      <c r="AEK249" s="490"/>
      <c r="AEL249" s="490"/>
      <c r="AEM249" s="490"/>
      <c r="AEN249" s="490"/>
      <c r="AEO249" s="490"/>
      <c r="AEP249" s="490"/>
      <c r="AEQ249" s="490"/>
      <c r="AER249" s="490"/>
      <c r="AES249" s="490"/>
      <c r="AET249" s="490"/>
      <c r="AEU249" s="490"/>
      <c r="AEV249" s="490"/>
      <c r="AEW249" s="490"/>
      <c r="AEX249" s="490"/>
      <c r="AEY249" s="490"/>
      <c r="AEZ249" s="490"/>
      <c r="AFA249" s="490"/>
      <c r="AFB249" s="490"/>
      <c r="AFC249" s="490"/>
      <c r="AFD249" s="490"/>
      <c r="AFE249" s="490"/>
      <c r="AFF249" s="490"/>
      <c r="AFG249" s="490"/>
      <c r="AFH249" s="490"/>
      <c r="AFI249" s="490"/>
      <c r="AFJ249" s="490"/>
      <c r="AFK249" s="490"/>
      <c r="AFL249" s="490"/>
      <c r="AFM249" s="490"/>
      <c r="AFN249" s="490"/>
      <c r="AFO249" s="490"/>
      <c r="AFP249" s="490"/>
      <c r="AFQ249" s="490"/>
      <c r="AFR249" s="490"/>
      <c r="AFS249" s="490"/>
      <c r="AFT249" s="490"/>
      <c r="AFU249" s="490"/>
      <c r="AFV249" s="490"/>
      <c r="AFW249" s="490"/>
      <c r="AFX249" s="490"/>
      <c r="AFY249" s="490"/>
      <c r="AFZ249" s="490"/>
      <c r="AGA249" s="490"/>
      <c r="AGB249" s="490"/>
      <c r="AGC249" s="490"/>
      <c r="AGD249" s="490"/>
      <c r="AGE249" s="490"/>
      <c r="AGF249" s="490"/>
      <c r="AGG249" s="490"/>
      <c r="AGH249" s="490"/>
      <c r="AGI249" s="490"/>
      <c r="AGJ249" s="490"/>
      <c r="AGK249" s="490"/>
      <c r="AGL249" s="490"/>
      <c r="AGM249" s="490"/>
      <c r="AGN249" s="490"/>
      <c r="AGO249" s="490"/>
      <c r="AGP249" s="490"/>
      <c r="AGQ249" s="490"/>
      <c r="AGR249" s="490"/>
      <c r="AGS249" s="490"/>
      <c r="AGT249" s="490"/>
      <c r="AGU249" s="490"/>
      <c r="AGV249" s="490"/>
      <c r="AGW249" s="490"/>
      <c r="AGX249" s="490"/>
      <c r="AGY249" s="490"/>
      <c r="AGZ249" s="490"/>
      <c r="AHA249" s="490"/>
      <c r="AHB249" s="490"/>
      <c r="AHC249" s="490"/>
      <c r="AHD249" s="490"/>
      <c r="AHE249" s="490"/>
      <c r="AHF249" s="490"/>
      <c r="AHG249" s="490"/>
      <c r="AHH249" s="490"/>
      <c r="AHI249" s="490"/>
      <c r="AHJ249" s="490"/>
      <c r="AHK249" s="490"/>
      <c r="AHL249" s="490"/>
      <c r="AHM249" s="490"/>
      <c r="AHN249" s="490"/>
      <c r="AHO249" s="490"/>
      <c r="AHP249" s="490"/>
      <c r="AHQ249" s="490"/>
      <c r="AHR249" s="490"/>
      <c r="AHS249" s="490"/>
      <c r="AHT249" s="490"/>
      <c r="AHU249" s="490"/>
      <c r="AHV249" s="490"/>
      <c r="AHW249" s="490"/>
      <c r="AHX249" s="490"/>
      <c r="AHY249" s="490"/>
      <c r="AHZ249" s="490"/>
      <c r="AIA249" s="490"/>
      <c r="AIB249" s="490"/>
      <c r="AIC249" s="490"/>
      <c r="AID249" s="490"/>
      <c r="AIE249" s="490"/>
      <c r="AIF249" s="490"/>
      <c r="AIG249" s="490"/>
      <c r="AIH249" s="490"/>
      <c r="AII249" s="490"/>
      <c r="AIJ249" s="490"/>
      <c r="AIK249" s="490"/>
      <c r="AIL249" s="490"/>
      <c r="AIM249" s="490"/>
      <c r="AIN249" s="490"/>
      <c r="AIO249" s="490"/>
      <c r="AIP249" s="490"/>
      <c r="AIQ249" s="490"/>
      <c r="AIR249" s="490"/>
      <c r="AIS249" s="490"/>
      <c r="AIT249" s="490"/>
      <c r="AIU249" s="490"/>
      <c r="AIV249" s="490"/>
      <c r="AIW249" s="490"/>
      <c r="AIX249" s="490"/>
      <c r="AIY249" s="490"/>
      <c r="AIZ249" s="490"/>
      <c r="AJA249" s="490"/>
      <c r="AJB249" s="490"/>
      <c r="AJC249" s="490"/>
      <c r="AJD249" s="490"/>
      <c r="AJE249" s="490"/>
      <c r="AJF249" s="490"/>
      <c r="AJG249" s="490"/>
      <c r="AJH249" s="490"/>
      <c r="AJI249" s="490"/>
      <c r="AJJ249" s="490"/>
      <c r="AJK249" s="490"/>
      <c r="AJL249" s="490"/>
      <c r="AJM249" s="490"/>
      <c r="AJN249" s="490"/>
      <c r="AJO249" s="490"/>
      <c r="AJP249" s="490"/>
      <c r="AJQ249" s="490"/>
      <c r="AJR249" s="490"/>
      <c r="AJS249" s="490"/>
      <c r="AJT249" s="490"/>
      <c r="AJU249" s="490"/>
      <c r="AJV249" s="490"/>
      <c r="AJW249" s="490"/>
      <c r="AJX249" s="490"/>
      <c r="AJY249" s="490"/>
      <c r="AJZ249" s="490"/>
      <c r="AKA249" s="490"/>
      <c r="AKB249" s="490"/>
      <c r="AKC249" s="490"/>
      <c r="AKD249" s="490"/>
      <c r="AKE249" s="490"/>
      <c r="AKF249" s="490"/>
      <c r="AKG249" s="490"/>
      <c r="AKH249" s="490"/>
      <c r="AKI249" s="490"/>
      <c r="AKJ249" s="490"/>
      <c r="AKK249" s="490"/>
      <c r="AKL249" s="490"/>
      <c r="AKM249" s="490"/>
      <c r="AKN249" s="490"/>
      <c r="AKO249" s="490"/>
      <c r="AKP249" s="490"/>
      <c r="AKQ249" s="490"/>
      <c r="AKR249" s="490"/>
      <c r="AKS249" s="490"/>
      <c r="AKT249" s="490"/>
      <c r="AKU249" s="490"/>
      <c r="AKV249" s="490"/>
      <c r="AKW249" s="490"/>
      <c r="AKX249" s="490"/>
      <c r="AKY249" s="490"/>
      <c r="AKZ249" s="490"/>
      <c r="ALA249" s="490"/>
      <c r="ALB249" s="490"/>
      <c r="ALC249" s="490"/>
      <c r="ALD249" s="490"/>
      <c r="ALE249" s="490"/>
      <c r="ALF249" s="490"/>
      <c r="ALG249" s="490"/>
      <c r="ALH249" s="490"/>
      <c r="ALI249" s="490"/>
      <c r="ALJ249" s="490"/>
      <c r="ALK249" s="490"/>
      <c r="ALL249" s="490"/>
      <c r="ALM249" s="490"/>
      <c r="ALN249" s="490"/>
      <c r="ALO249" s="490"/>
      <c r="ALP249" s="490"/>
      <c r="ALQ249" s="490"/>
      <c r="ALR249" s="490"/>
      <c r="ALS249" s="490"/>
      <c r="ALT249" s="490"/>
      <c r="ALU249" s="490"/>
      <c r="ALV249" s="490"/>
      <c r="ALW249" s="490"/>
      <c r="ALX249" s="490"/>
      <c r="ALY249" s="490"/>
      <c r="ALZ249" s="490"/>
      <c r="AMA249" s="490"/>
      <c r="AMB249" s="490"/>
      <c r="AMC249" s="490"/>
      <c r="AMD249" s="490"/>
      <c r="AME249" s="490"/>
      <c r="AMF249" s="490"/>
      <c r="AMG249" s="490"/>
      <c r="AMH249" s="490"/>
      <c r="AMI249" s="490"/>
      <c r="AMJ249" s="490"/>
      <c r="AMK249" s="490"/>
      <c r="AML249" s="490"/>
      <c r="AMM249" s="490"/>
      <c r="AMN249" s="490"/>
      <c r="AMO249" s="490"/>
      <c r="AMP249" s="490"/>
      <c r="AMQ249" s="490"/>
      <c r="AMR249" s="490"/>
      <c r="AMS249" s="490"/>
      <c r="AMT249" s="490"/>
      <c r="AMU249" s="490"/>
      <c r="AMV249" s="490"/>
      <c r="AMW249" s="490"/>
      <c r="AMX249" s="490"/>
      <c r="AMY249" s="490"/>
      <c r="AMZ249" s="490"/>
      <c r="ANA249" s="490"/>
      <c r="ANB249" s="490"/>
      <c r="ANC249" s="490"/>
      <c r="AND249" s="490"/>
      <c r="ANE249" s="490"/>
      <c r="ANF249" s="490"/>
      <c r="ANG249" s="490"/>
      <c r="ANH249" s="490"/>
      <c r="ANI249" s="490"/>
      <c r="ANJ249" s="490"/>
      <c r="ANK249" s="490"/>
      <c r="ANL249" s="490"/>
      <c r="ANM249" s="490"/>
      <c r="ANN249" s="490"/>
      <c r="ANO249" s="490"/>
      <c r="ANP249" s="490"/>
      <c r="ANQ249" s="490"/>
      <c r="ANR249" s="490"/>
      <c r="ANS249" s="490"/>
      <c r="ANT249" s="490"/>
      <c r="ANU249" s="490"/>
      <c r="ANV249" s="490"/>
      <c r="ANW249" s="490"/>
      <c r="ANX249" s="490"/>
      <c r="ANY249" s="490"/>
      <c r="ANZ249" s="490"/>
      <c r="AOA249" s="490"/>
      <c r="AOB249" s="490"/>
      <c r="AOC249" s="490"/>
      <c r="AOD249" s="490"/>
      <c r="AOE249" s="490"/>
      <c r="AOF249" s="490"/>
      <c r="AOG249" s="490"/>
      <c r="AOH249" s="490"/>
      <c r="AOI249" s="490"/>
      <c r="AOJ249" s="490"/>
      <c r="AOK249" s="490"/>
      <c r="AOL249" s="490"/>
      <c r="AOM249" s="490"/>
      <c r="AON249" s="490"/>
      <c r="AOO249" s="490"/>
      <c r="AOP249" s="490"/>
      <c r="AOQ249" s="490"/>
      <c r="AOR249" s="490"/>
      <c r="AOS249" s="490"/>
      <c r="AOT249" s="490"/>
      <c r="AOU249" s="490"/>
      <c r="AOV249" s="490"/>
      <c r="AOW249" s="490"/>
      <c r="AOX249" s="490"/>
      <c r="AOY249" s="490"/>
      <c r="AOZ249" s="490"/>
      <c r="APA249" s="490"/>
      <c r="APB249" s="490"/>
      <c r="APC249" s="490"/>
      <c r="APD249" s="490"/>
      <c r="APE249" s="490"/>
      <c r="APF249" s="490"/>
      <c r="APG249" s="490"/>
      <c r="APH249" s="490"/>
      <c r="API249" s="490"/>
      <c r="APJ249" s="490"/>
      <c r="APK249" s="490"/>
      <c r="APL249" s="490"/>
      <c r="APM249" s="490"/>
      <c r="APN249" s="490"/>
      <c r="APO249" s="490"/>
      <c r="APP249" s="490"/>
      <c r="APQ249" s="490"/>
      <c r="APR249" s="490"/>
      <c r="APS249" s="490"/>
      <c r="APT249" s="490"/>
      <c r="APU249" s="490"/>
      <c r="APV249" s="490"/>
      <c r="APW249" s="490"/>
      <c r="APX249" s="490"/>
      <c r="APY249" s="490"/>
      <c r="APZ249" s="490"/>
      <c r="AQA249" s="490"/>
      <c r="AQB249" s="490"/>
      <c r="AQC249" s="490"/>
      <c r="AQD249" s="490"/>
      <c r="AQE249" s="490"/>
      <c r="AQF249" s="490"/>
      <c r="AQG249" s="490"/>
      <c r="AQH249" s="490"/>
      <c r="AQI249" s="490"/>
      <c r="AQJ249" s="490"/>
      <c r="AQK249" s="490"/>
      <c r="AQL249" s="490"/>
      <c r="AQM249" s="490"/>
      <c r="AQN249" s="490"/>
      <c r="AQO249" s="490"/>
      <c r="AQP249" s="490"/>
      <c r="AQQ249" s="490"/>
      <c r="AQR249" s="490"/>
      <c r="AQS249" s="490"/>
      <c r="AQT249" s="490"/>
      <c r="AQU249" s="490"/>
      <c r="AQV249" s="490"/>
      <c r="AQW249" s="490"/>
      <c r="AQX249" s="490"/>
      <c r="AQY249" s="490"/>
      <c r="AQZ249" s="490"/>
      <c r="ARA249" s="490"/>
      <c r="ARB249" s="490"/>
      <c r="ARC249" s="490"/>
      <c r="ARD249" s="490"/>
      <c r="ARE249" s="490"/>
      <c r="ARF249" s="490"/>
      <c r="ARG249" s="490"/>
      <c r="ARH249" s="490"/>
      <c r="ARI249" s="490"/>
      <c r="ARJ249" s="490"/>
      <c r="ARK249" s="490"/>
      <c r="ARL249" s="490"/>
      <c r="ARM249" s="490"/>
      <c r="ARN249" s="490"/>
      <c r="ARO249" s="490"/>
      <c r="ARP249" s="490"/>
      <c r="ARQ249" s="490"/>
      <c r="ARR249" s="490"/>
      <c r="ARS249" s="490"/>
      <c r="ART249" s="490"/>
      <c r="ARU249" s="490"/>
      <c r="ARV249" s="490"/>
      <c r="ARW249" s="490"/>
      <c r="ARX249" s="490"/>
      <c r="ARY249" s="490"/>
      <c r="ARZ249" s="490"/>
      <c r="ASA249" s="490"/>
      <c r="ASB249" s="490"/>
      <c r="ASC249" s="490"/>
      <c r="ASD249" s="490"/>
      <c r="ASE249" s="490"/>
      <c r="ASF249" s="490"/>
      <c r="ASG249" s="490"/>
      <c r="ASH249" s="490"/>
      <c r="ASI249" s="490"/>
      <c r="ASJ249" s="490"/>
      <c r="ASK249" s="490"/>
      <c r="ASL249" s="490"/>
      <c r="ASM249" s="490"/>
      <c r="ASN249" s="490"/>
      <c r="ASO249" s="490"/>
      <c r="ASP249" s="490"/>
      <c r="ASQ249" s="490"/>
      <c r="ASR249" s="490"/>
      <c r="ASS249" s="490"/>
      <c r="AST249" s="490"/>
      <c r="ASU249" s="490"/>
      <c r="ASV249" s="490"/>
      <c r="ASW249" s="490"/>
      <c r="ASX249" s="490"/>
      <c r="ASY249" s="490"/>
      <c r="ASZ249" s="490"/>
      <c r="ATA249" s="490"/>
      <c r="ATB249" s="490"/>
      <c r="ATC249" s="490"/>
      <c r="ATD249" s="490"/>
      <c r="ATE249" s="490"/>
      <c r="ATF249" s="490"/>
      <c r="ATG249" s="490"/>
      <c r="ATH249" s="490"/>
      <c r="ATI249" s="490"/>
      <c r="ATJ249" s="490"/>
      <c r="ATK249" s="490"/>
      <c r="ATL249" s="490"/>
      <c r="ATM249" s="490"/>
      <c r="ATN249" s="490"/>
      <c r="ATO249" s="490"/>
      <c r="ATP249" s="490"/>
      <c r="ATQ249" s="490"/>
      <c r="ATR249" s="490"/>
      <c r="ATS249" s="490"/>
      <c r="ATT249" s="490"/>
      <c r="ATU249" s="490"/>
      <c r="ATV249" s="490"/>
      <c r="ATW249" s="490"/>
      <c r="ATX249" s="490"/>
      <c r="ATY249" s="490"/>
      <c r="ATZ249" s="490"/>
      <c r="AUA249" s="490"/>
      <c r="AUB249" s="490"/>
      <c r="AUC249" s="490"/>
      <c r="AUD249" s="490"/>
      <c r="AUE249" s="490"/>
      <c r="AUF249" s="490"/>
      <c r="AUG249" s="490"/>
      <c r="AUH249" s="490"/>
      <c r="AUI249" s="490"/>
      <c r="AUJ249" s="490"/>
      <c r="AUK249" s="490"/>
      <c r="AUL249" s="490"/>
      <c r="AUM249" s="490"/>
      <c r="AUN249" s="490"/>
      <c r="AUO249" s="490"/>
      <c r="AUP249" s="490"/>
      <c r="AUQ249" s="490"/>
      <c r="AUR249" s="490"/>
      <c r="AUS249" s="490"/>
      <c r="AUT249" s="490"/>
      <c r="AUU249" s="490"/>
      <c r="AUV249" s="490"/>
      <c r="AUW249" s="490"/>
      <c r="AUX249" s="490"/>
      <c r="AUY249" s="490"/>
      <c r="AUZ249" s="490"/>
      <c r="AVA249" s="490"/>
      <c r="AVB249" s="490"/>
      <c r="AVC249" s="490"/>
      <c r="AVD249" s="490"/>
      <c r="AVE249" s="490"/>
      <c r="AVF249" s="490"/>
      <c r="AVG249" s="490"/>
      <c r="AVH249" s="490"/>
      <c r="AVI249" s="490"/>
      <c r="AVJ249" s="490"/>
      <c r="AVK249" s="490"/>
      <c r="AVL249" s="490"/>
      <c r="AVM249" s="490"/>
      <c r="AVN249" s="490"/>
      <c r="AVO249" s="490"/>
      <c r="AVP249" s="490"/>
      <c r="AVQ249" s="490"/>
      <c r="AVR249" s="490"/>
      <c r="AVS249" s="490"/>
      <c r="AVT249" s="490"/>
      <c r="AVU249" s="490"/>
      <c r="AVV249" s="490"/>
      <c r="AVW249" s="490"/>
      <c r="AVX249" s="490"/>
      <c r="AVY249" s="490"/>
      <c r="AVZ249" s="490"/>
      <c r="AWA249" s="490"/>
      <c r="AWB249" s="490"/>
      <c r="AWC249" s="490"/>
      <c r="AWD249" s="490"/>
      <c r="AWE249" s="490"/>
      <c r="AWF249" s="490"/>
      <c r="AWG249" s="490"/>
      <c r="AWH249" s="490"/>
      <c r="AWI249" s="490"/>
      <c r="AWJ249" s="490"/>
      <c r="AWK249" s="490"/>
      <c r="AWL249" s="490"/>
      <c r="AWM249" s="490"/>
      <c r="AWN249" s="490"/>
      <c r="AWO249" s="490"/>
      <c r="AWP249" s="490"/>
      <c r="AWQ249" s="490"/>
      <c r="AWR249" s="490"/>
      <c r="AWS249" s="490"/>
      <c r="AWT249" s="490"/>
      <c r="AWU249" s="490"/>
      <c r="AWV249" s="490"/>
      <c r="AWW249" s="490"/>
      <c r="AWX249" s="490"/>
      <c r="AWY249" s="490"/>
      <c r="AWZ249" s="490"/>
      <c r="AXA249" s="490"/>
      <c r="AXB249" s="490"/>
      <c r="AXC249" s="490"/>
      <c r="AXD249" s="490"/>
      <c r="AXE249" s="490"/>
      <c r="AXF249" s="490"/>
      <c r="AXG249" s="490"/>
      <c r="AXH249" s="490"/>
      <c r="AXI249" s="490"/>
      <c r="AXJ249" s="490"/>
      <c r="AXK249" s="490"/>
      <c r="AXL249" s="490"/>
      <c r="AXM249" s="490"/>
      <c r="AXN249" s="490"/>
      <c r="AXO249" s="490"/>
      <c r="AXP249" s="490"/>
      <c r="AXQ249" s="490"/>
      <c r="AXR249" s="490"/>
      <c r="AXS249" s="490"/>
      <c r="AXT249" s="490"/>
      <c r="AXU249" s="490"/>
      <c r="AXV249" s="490"/>
      <c r="AXW249" s="490"/>
      <c r="AXX249" s="490"/>
      <c r="AXY249" s="490"/>
      <c r="AXZ249" s="490"/>
      <c r="AYA249" s="490"/>
      <c r="AYB249" s="490"/>
      <c r="AYC249" s="490"/>
      <c r="AYD249" s="490"/>
      <c r="AYE249" s="490"/>
      <c r="AYF249" s="490"/>
      <c r="AYG249" s="490"/>
      <c r="AYH249" s="490"/>
      <c r="AYI249" s="490"/>
      <c r="AYJ249" s="490"/>
      <c r="AYK249" s="490"/>
      <c r="AYL249" s="490"/>
      <c r="AYM249" s="490"/>
      <c r="AYN249" s="490"/>
      <c r="AYO249" s="490"/>
      <c r="AYP249" s="490"/>
      <c r="AYQ249" s="490"/>
      <c r="AYR249" s="490"/>
      <c r="AYS249" s="490"/>
      <c r="AYT249" s="490"/>
      <c r="AYU249" s="490"/>
      <c r="AYV249" s="490"/>
      <c r="AYW249" s="490"/>
      <c r="AYX249" s="490"/>
      <c r="AYY249" s="490"/>
      <c r="AYZ249" s="490"/>
      <c r="AZA249" s="490"/>
      <c r="AZB249" s="490"/>
      <c r="AZC249" s="490"/>
      <c r="AZD249" s="490"/>
      <c r="AZE249" s="490"/>
      <c r="AZF249" s="490"/>
      <c r="AZG249" s="490"/>
      <c r="AZH249" s="490"/>
      <c r="AZI249" s="490"/>
      <c r="AZJ249" s="490"/>
      <c r="AZK249" s="490"/>
      <c r="AZL249" s="490"/>
      <c r="AZM249" s="490"/>
      <c r="AZN249" s="490"/>
      <c r="AZO249" s="490"/>
      <c r="AZP249" s="490"/>
      <c r="AZQ249" s="490"/>
      <c r="AZR249" s="490"/>
      <c r="AZS249" s="490"/>
      <c r="AZT249" s="490"/>
      <c r="AZU249" s="490"/>
      <c r="AZV249" s="490"/>
      <c r="AZW249" s="490"/>
      <c r="AZX249" s="490"/>
      <c r="AZY249" s="490"/>
      <c r="AZZ249" s="490"/>
      <c r="BAA249" s="490"/>
      <c r="BAB249" s="490"/>
      <c r="BAC249" s="490"/>
      <c r="BAD249" s="490"/>
      <c r="BAE249" s="490"/>
      <c r="BAF249" s="490"/>
      <c r="BAG249" s="490"/>
      <c r="BAH249" s="490"/>
      <c r="BAI249" s="490"/>
      <c r="BAJ249" s="490"/>
      <c r="BAK249" s="490"/>
      <c r="BAL249" s="490"/>
      <c r="BAM249" s="490"/>
      <c r="BAN249" s="490"/>
      <c r="BAO249" s="490"/>
      <c r="BAP249" s="490"/>
      <c r="BAQ249" s="490"/>
      <c r="BAR249" s="490"/>
      <c r="BAS249" s="490"/>
      <c r="BAT249" s="490"/>
      <c r="BAU249" s="490"/>
      <c r="BAV249" s="490"/>
      <c r="BAW249" s="490"/>
      <c r="BAX249" s="490"/>
      <c r="BAY249" s="490"/>
      <c r="BAZ249" s="490"/>
      <c r="BBA249" s="490"/>
      <c r="BBB249" s="490"/>
      <c r="BBC249" s="490"/>
      <c r="BBD249" s="490"/>
      <c r="BBE249" s="490"/>
      <c r="BBF249" s="490"/>
      <c r="BBG249" s="490"/>
      <c r="BBH249" s="490"/>
      <c r="BBI249" s="490"/>
      <c r="BBJ249" s="490"/>
      <c r="BBK249" s="490"/>
      <c r="BBL249" s="490"/>
      <c r="BBM249" s="490"/>
      <c r="BBN249" s="490"/>
      <c r="BBO249" s="490"/>
      <c r="BBP249" s="490"/>
      <c r="BBQ249" s="490"/>
      <c r="BBR249" s="490"/>
      <c r="BBS249" s="490"/>
      <c r="BBT249" s="490"/>
      <c r="BBU249" s="490"/>
      <c r="BBV249" s="490"/>
      <c r="BBW249" s="490"/>
      <c r="BBX249" s="490"/>
      <c r="BBY249" s="490"/>
      <c r="BBZ249" s="490"/>
      <c r="BCA249" s="490"/>
      <c r="BCB249" s="490"/>
      <c r="BCC249" s="490"/>
      <c r="BCD249" s="490"/>
      <c r="BCE249" s="490"/>
      <c r="BCF249" s="490"/>
      <c r="BCG249" s="490"/>
      <c r="BCH249" s="490"/>
      <c r="BCI249" s="490"/>
      <c r="BCJ249" s="490"/>
      <c r="BCK249" s="490"/>
      <c r="BCL249" s="490"/>
      <c r="BCM249" s="490"/>
      <c r="BCN249" s="490"/>
      <c r="BCO249" s="490"/>
      <c r="BCP249" s="490"/>
      <c r="BCQ249" s="490"/>
      <c r="BCR249" s="490"/>
      <c r="BCS249" s="490"/>
      <c r="BCT249" s="490"/>
      <c r="BCU249" s="490"/>
      <c r="BCV249" s="490"/>
      <c r="BCW249" s="490"/>
      <c r="BCX249" s="490"/>
      <c r="BCY249" s="490"/>
      <c r="BCZ249" s="490"/>
      <c r="BDA249" s="490"/>
      <c r="BDB249" s="490"/>
      <c r="BDC249" s="490"/>
      <c r="BDD249" s="490"/>
      <c r="BDE249" s="490"/>
      <c r="BDF249" s="490"/>
      <c r="BDG249" s="490"/>
      <c r="BDH249" s="490"/>
      <c r="BDI249" s="490"/>
      <c r="BDJ249" s="490"/>
      <c r="BDK249" s="490"/>
      <c r="BDL249" s="490"/>
      <c r="BDM249" s="490"/>
      <c r="BDN249" s="490"/>
      <c r="BDO249" s="490"/>
      <c r="BDP249" s="490"/>
      <c r="BDQ249" s="490"/>
      <c r="BDR249" s="490"/>
      <c r="BDS249" s="490"/>
      <c r="BDT249" s="490"/>
      <c r="BDU249" s="490"/>
      <c r="BDV249" s="490"/>
      <c r="BDW249" s="490"/>
      <c r="BDX249" s="490"/>
      <c r="BDY249" s="490"/>
      <c r="BDZ249" s="490"/>
      <c r="BEA249" s="490"/>
      <c r="BEB249" s="490"/>
      <c r="BEC249" s="490"/>
      <c r="BED249" s="490"/>
      <c r="BEE249" s="490"/>
      <c r="BEF249" s="490"/>
      <c r="BEG249" s="490"/>
      <c r="BEH249" s="490"/>
      <c r="BEI249" s="490"/>
      <c r="BEJ249" s="490"/>
      <c r="BEK249" s="490"/>
      <c r="BEL249" s="490"/>
      <c r="BEM249" s="490"/>
      <c r="BEN249" s="490"/>
      <c r="BEO249" s="490"/>
      <c r="BEP249" s="490"/>
      <c r="BEQ249" s="490"/>
      <c r="BER249" s="490"/>
      <c r="BES249" s="490"/>
      <c r="BET249" s="490"/>
      <c r="BEU249" s="490"/>
      <c r="BEV249" s="490"/>
      <c r="BEW249" s="490"/>
      <c r="BEX249" s="490"/>
      <c r="BEY249" s="490"/>
      <c r="BEZ249" s="490"/>
      <c r="BFA249" s="490"/>
      <c r="BFB249" s="490"/>
      <c r="BFC249" s="490"/>
      <c r="BFD249" s="490"/>
      <c r="BFE249" s="490"/>
      <c r="BFF249" s="490"/>
      <c r="BFG249" s="490"/>
      <c r="BFH249" s="490"/>
      <c r="BFI249" s="490"/>
      <c r="BFJ249" s="490"/>
      <c r="BFK249" s="490"/>
      <c r="BFL249" s="490"/>
      <c r="BFM249" s="490"/>
      <c r="BFN249" s="490"/>
      <c r="BFO249" s="490"/>
      <c r="BFP249" s="490"/>
      <c r="BFQ249" s="490"/>
      <c r="BFR249" s="490"/>
      <c r="BFS249" s="490"/>
      <c r="BFT249" s="490"/>
      <c r="BFU249" s="490"/>
      <c r="BFV249" s="490"/>
      <c r="BFW249" s="490"/>
      <c r="BFX249" s="490"/>
      <c r="BFY249" s="490"/>
      <c r="BFZ249" s="490"/>
      <c r="BGA249" s="490"/>
      <c r="BGB249" s="490"/>
      <c r="BGC249" s="490"/>
      <c r="BGD249" s="490"/>
      <c r="BGE249" s="490"/>
      <c r="BGF249" s="490"/>
      <c r="BGG249" s="490"/>
      <c r="BGH249" s="490"/>
      <c r="BGI249" s="490"/>
      <c r="BGJ249" s="490"/>
      <c r="BGK249" s="490"/>
      <c r="BGL249" s="490"/>
      <c r="BGM249" s="490"/>
      <c r="BGN249" s="490"/>
      <c r="BGO249" s="490"/>
      <c r="BGP249" s="490"/>
      <c r="BGQ249" s="490"/>
      <c r="BGR249" s="490"/>
      <c r="BGS249" s="490"/>
      <c r="BGT249" s="490"/>
      <c r="BGU249" s="490"/>
      <c r="BGV249" s="490"/>
      <c r="BGW249" s="490"/>
      <c r="BGX249" s="490"/>
      <c r="BGY249" s="490"/>
      <c r="BGZ249" s="490"/>
      <c r="BHA249" s="490"/>
      <c r="BHB249" s="490"/>
      <c r="BHC249" s="490"/>
      <c r="BHD249" s="490"/>
      <c r="BHE249" s="490"/>
      <c r="BHF249" s="490"/>
      <c r="BHG249" s="490"/>
      <c r="BHH249" s="490"/>
      <c r="BHI249" s="490"/>
      <c r="BHJ249" s="490"/>
      <c r="BHK249" s="490"/>
      <c r="BHL249" s="490"/>
      <c r="BHM249" s="490"/>
      <c r="BHN249" s="490"/>
      <c r="BHO249" s="490"/>
      <c r="BHP249" s="490"/>
      <c r="BHQ249" s="490"/>
      <c r="BHR249" s="490"/>
      <c r="BHS249" s="490"/>
      <c r="BHT249" s="490"/>
      <c r="BHU249" s="490"/>
      <c r="BHV249" s="490"/>
      <c r="BHW249" s="490"/>
      <c r="BHX249" s="490"/>
      <c r="BHY249" s="490"/>
      <c r="BHZ249" s="490"/>
      <c r="BIA249" s="490"/>
      <c r="BIB249" s="490"/>
      <c r="BIC249" s="490"/>
      <c r="BID249" s="490"/>
      <c r="BIE249" s="490"/>
      <c r="BIF249" s="490"/>
      <c r="BIG249" s="490"/>
      <c r="BIH249" s="490"/>
      <c r="BII249" s="490"/>
      <c r="BIJ249" s="490"/>
      <c r="BIK249" s="490"/>
      <c r="BIL249" s="490"/>
      <c r="BIM249" s="490"/>
      <c r="BIN249" s="490"/>
      <c r="BIO249" s="490"/>
      <c r="BIP249" s="490"/>
      <c r="BIQ249" s="490"/>
      <c r="BIR249" s="490"/>
      <c r="BIS249" s="490"/>
      <c r="BIT249" s="490"/>
      <c r="BIU249" s="490"/>
      <c r="BIV249" s="490"/>
      <c r="BIW249" s="490"/>
      <c r="BIX249" s="490"/>
      <c r="BIY249" s="490"/>
      <c r="BIZ249" s="490"/>
      <c r="BJA249" s="490"/>
      <c r="BJB249" s="490"/>
      <c r="BJC249" s="490"/>
      <c r="BJD249" s="490"/>
      <c r="BJE249" s="490"/>
      <c r="BJF249" s="490"/>
      <c r="BJG249" s="490"/>
      <c r="BJH249" s="490"/>
      <c r="BJI249" s="490"/>
      <c r="BJJ249" s="490"/>
      <c r="BJK249" s="490"/>
      <c r="BJL249" s="490"/>
      <c r="BJM249" s="490"/>
      <c r="BJN249" s="490"/>
      <c r="BJO249" s="490"/>
      <c r="BJP249" s="490"/>
      <c r="BJQ249" s="490"/>
      <c r="BJR249" s="490"/>
      <c r="BJS249" s="490"/>
      <c r="BJT249" s="490"/>
      <c r="BJU249" s="490"/>
      <c r="BJV249" s="490"/>
      <c r="BJW249" s="490"/>
      <c r="BJX249" s="490"/>
      <c r="BJY249" s="490"/>
      <c r="BJZ249" s="490"/>
      <c r="BKA249" s="490"/>
      <c r="BKB249" s="490"/>
      <c r="BKC249" s="490"/>
      <c r="BKD249" s="490"/>
      <c r="BKE249" s="490"/>
      <c r="BKF249" s="490"/>
      <c r="BKG249" s="490"/>
      <c r="BKH249" s="490"/>
      <c r="BKI249" s="490"/>
      <c r="BKJ249" s="490"/>
      <c r="BKK249" s="490"/>
      <c r="BKL249" s="490"/>
      <c r="BKM249" s="490"/>
      <c r="BKN249" s="490"/>
      <c r="BKO249" s="490"/>
      <c r="BKP249" s="490"/>
      <c r="BKQ249" s="490"/>
      <c r="BKR249" s="490"/>
      <c r="BKS249" s="490"/>
      <c r="BKT249" s="490"/>
      <c r="BKU249" s="490"/>
      <c r="BKV249" s="490"/>
      <c r="BKW249" s="490"/>
      <c r="BKX249" s="490"/>
      <c r="BKY249" s="490"/>
      <c r="BKZ249" s="490"/>
      <c r="BLA249" s="490"/>
      <c r="BLB249" s="490"/>
      <c r="BLC249" s="490"/>
      <c r="BLD249" s="490"/>
      <c r="BLE249" s="490"/>
      <c r="BLF249" s="490"/>
      <c r="BLG249" s="490"/>
      <c r="BLH249" s="490"/>
      <c r="BLI249" s="490"/>
      <c r="BLJ249" s="490"/>
      <c r="BLK249" s="490"/>
      <c r="BLL249" s="490"/>
      <c r="BLM249" s="490"/>
      <c r="BLN249" s="490"/>
      <c r="BLO249" s="490"/>
      <c r="BLP249" s="490"/>
      <c r="BLQ249" s="490"/>
      <c r="BLR249" s="490"/>
      <c r="BLS249" s="490"/>
      <c r="BLT249" s="490"/>
      <c r="BLU249" s="490"/>
      <c r="BLV249" s="490"/>
      <c r="BLW249" s="490"/>
      <c r="BLX249" s="490"/>
      <c r="BLY249" s="490"/>
      <c r="BLZ249" s="490"/>
      <c r="BMA249" s="490"/>
      <c r="BMB249" s="490"/>
      <c r="BMC249" s="490"/>
      <c r="BMD249" s="490"/>
      <c r="BME249" s="490"/>
      <c r="BMF249" s="490"/>
      <c r="BMG249" s="490"/>
      <c r="BMH249" s="490"/>
      <c r="BMI249" s="490"/>
      <c r="BMJ249" s="490"/>
      <c r="BMK249" s="490"/>
      <c r="BML249" s="490"/>
      <c r="BMM249" s="490"/>
      <c r="BMN249" s="490"/>
      <c r="BMO249" s="490"/>
      <c r="BMP249" s="490"/>
      <c r="BMQ249" s="490"/>
      <c r="BMR249" s="490"/>
      <c r="BMS249" s="490"/>
      <c r="BMT249" s="490"/>
      <c r="BMU249" s="490"/>
      <c r="BMV249" s="490"/>
      <c r="BMW249" s="490"/>
      <c r="BMX249" s="490"/>
      <c r="BMY249" s="490"/>
      <c r="BMZ249" s="490"/>
      <c r="BNA249" s="490"/>
      <c r="BNB249" s="490"/>
      <c r="BNC249" s="490"/>
      <c r="BND249" s="490"/>
      <c r="BNE249" s="490"/>
      <c r="BNF249" s="490"/>
      <c r="BNG249" s="490"/>
      <c r="BNH249" s="490"/>
      <c r="BNI249" s="490"/>
      <c r="BNJ249" s="490"/>
      <c r="BNK249" s="490"/>
      <c r="BNL249" s="490"/>
      <c r="BNM249" s="490"/>
      <c r="BNN249" s="490"/>
      <c r="BNO249" s="490"/>
      <c r="BNP249" s="490"/>
      <c r="BNQ249" s="490"/>
      <c r="BNR249" s="490"/>
      <c r="BNS249" s="490"/>
      <c r="BNT249" s="490"/>
      <c r="BNU249" s="490"/>
      <c r="BNV249" s="490"/>
      <c r="BNW249" s="490"/>
      <c r="BNX249" s="490"/>
      <c r="BNY249" s="490"/>
      <c r="BNZ249" s="490"/>
      <c r="BOA249" s="490"/>
      <c r="BOB249" s="490"/>
      <c r="BOC249" s="490"/>
      <c r="BOD249" s="490"/>
      <c r="BOE249" s="490"/>
      <c r="BOF249" s="490"/>
      <c r="BOG249" s="490"/>
      <c r="BOH249" s="490"/>
      <c r="BOI249" s="490"/>
      <c r="BOJ249" s="490"/>
      <c r="BOK249" s="490"/>
      <c r="BOL249" s="490"/>
      <c r="BOM249" s="490"/>
      <c r="BON249" s="490"/>
      <c r="BOO249" s="490"/>
      <c r="BOP249" s="490"/>
      <c r="BOQ249" s="490"/>
      <c r="BOR249" s="490"/>
      <c r="BOS249" s="490"/>
      <c r="BOT249" s="490"/>
      <c r="BOU249" s="490"/>
      <c r="BOV249" s="490"/>
      <c r="BOW249" s="490"/>
      <c r="BOX249" s="490"/>
      <c r="BOY249" s="490"/>
      <c r="BOZ249" s="490"/>
      <c r="BPA249" s="490"/>
      <c r="BPB249" s="490"/>
      <c r="BPC249" s="490"/>
      <c r="BPD249" s="490"/>
      <c r="BPE249" s="490"/>
      <c r="BPF249" s="490"/>
      <c r="BPG249" s="490"/>
      <c r="BPH249" s="490"/>
      <c r="BPI249" s="490"/>
      <c r="BPJ249" s="490"/>
      <c r="BPK249" s="490"/>
      <c r="BPL249" s="490"/>
      <c r="BPM249" s="490"/>
      <c r="BPN249" s="490"/>
      <c r="BPO249" s="490"/>
      <c r="BPP249" s="490"/>
      <c r="BPQ249" s="490"/>
      <c r="BPR249" s="490"/>
      <c r="BPS249" s="490"/>
      <c r="BPT249" s="490"/>
      <c r="BPU249" s="490"/>
      <c r="BPV249" s="490"/>
      <c r="BPW249" s="490"/>
      <c r="BPX249" s="490"/>
      <c r="BPY249" s="490"/>
      <c r="BPZ249" s="490"/>
      <c r="BQA249" s="490"/>
      <c r="BQB249" s="490"/>
      <c r="BQC249" s="490"/>
      <c r="BQD249" s="490"/>
      <c r="BQE249" s="490"/>
      <c r="BQF249" s="490"/>
      <c r="BQG249" s="490"/>
      <c r="BQH249" s="490"/>
      <c r="BQI249" s="490"/>
      <c r="BQJ249" s="490"/>
      <c r="BQK249" s="490"/>
      <c r="BQL249" s="490"/>
      <c r="BQM249" s="490"/>
      <c r="BQN249" s="490"/>
      <c r="BQO249" s="490"/>
      <c r="BQP249" s="490"/>
      <c r="BQQ249" s="490"/>
      <c r="BQR249" s="490"/>
      <c r="BQS249" s="490"/>
      <c r="BQT249" s="490"/>
      <c r="BQU249" s="490"/>
      <c r="BQV249" s="490"/>
      <c r="BQW249" s="490"/>
      <c r="BQX249" s="490"/>
      <c r="BQY249" s="490"/>
      <c r="BQZ249" s="490"/>
      <c r="BRA249" s="490"/>
      <c r="BRB249" s="490"/>
      <c r="BRC249" s="490"/>
      <c r="BRD249" s="490"/>
      <c r="BRE249" s="490"/>
      <c r="BRF249" s="490"/>
      <c r="BRG249" s="490"/>
      <c r="BRH249" s="490"/>
      <c r="BRI249" s="490"/>
      <c r="BRJ249" s="490"/>
      <c r="BRK249" s="490"/>
      <c r="BRL249" s="490"/>
      <c r="BRM249" s="490"/>
      <c r="BRN249" s="490"/>
      <c r="BRO249" s="490"/>
      <c r="BRP249" s="490"/>
      <c r="BRQ249" s="490"/>
      <c r="BRR249" s="490"/>
      <c r="BRS249" s="490"/>
      <c r="BRT249" s="490"/>
      <c r="BRU249" s="490"/>
      <c r="BRV249" s="490"/>
      <c r="BRW249" s="490"/>
      <c r="BRX249" s="490"/>
      <c r="BRY249" s="490"/>
      <c r="BRZ249" s="490"/>
      <c r="BSA249" s="490"/>
      <c r="BSB249" s="490"/>
      <c r="BSC249" s="490"/>
      <c r="BSD249" s="490"/>
      <c r="BSE249" s="490"/>
      <c r="BSF249" s="490"/>
      <c r="BSG249" s="490"/>
      <c r="BSH249" s="490"/>
      <c r="BSI249" s="490"/>
      <c r="BSJ249" s="490"/>
      <c r="BSK249" s="490"/>
      <c r="BSL249" s="490"/>
      <c r="BSM249" s="490"/>
      <c r="BSN249" s="490"/>
      <c r="BSO249" s="490"/>
      <c r="BSP249" s="490"/>
      <c r="BSQ249" s="490"/>
      <c r="BSR249" s="490"/>
      <c r="BSS249" s="490"/>
      <c r="BST249" s="490"/>
      <c r="BSU249" s="490"/>
      <c r="BSV249" s="490"/>
      <c r="BSW249" s="490"/>
      <c r="BSX249" s="490"/>
      <c r="BSY249" s="490"/>
      <c r="BSZ249" s="490"/>
      <c r="BTA249" s="490"/>
      <c r="BTB249" s="490"/>
      <c r="BTC249" s="490"/>
      <c r="BTD249" s="490"/>
      <c r="BTE249" s="490"/>
      <c r="BTF249" s="490"/>
      <c r="BTG249" s="490"/>
      <c r="BTH249" s="490"/>
      <c r="BTI249" s="490"/>
    </row>
    <row r="250" spans="1:1881" s="489" customFormat="1" ht="93" customHeight="1" x14ac:dyDescent="0.25">
      <c r="A250" s="455">
        <v>954</v>
      </c>
      <c r="B250" s="451"/>
      <c r="C250" s="452"/>
      <c r="D250" s="459" t="s">
        <v>955</v>
      </c>
      <c r="E250" s="454" t="s">
        <v>952</v>
      </c>
      <c r="F250" s="916"/>
      <c r="G250" s="563" t="str">
        <f t="shared" si="3"/>
        <v>Please do not leave blank</v>
      </c>
      <c r="H250" s="491"/>
      <c r="I250"/>
      <c r="J250"/>
      <c r="K250"/>
      <c r="L250"/>
      <c r="M250"/>
      <c r="N250"/>
      <c r="O250"/>
      <c r="P250" s="490"/>
      <c r="Q250" s="490"/>
      <c r="R250" s="490"/>
      <c r="S250" s="490"/>
      <c r="T250" s="490"/>
      <c r="U250" s="490"/>
      <c r="V250" s="490"/>
      <c r="W250" s="490"/>
      <c r="X250" s="490"/>
      <c r="Y250" s="490"/>
      <c r="Z250" s="490"/>
      <c r="AA250" s="490"/>
      <c r="AB250" s="490"/>
      <c r="AC250" s="490"/>
      <c r="AD250" s="490"/>
      <c r="AE250" s="490"/>
      <c r="AF250" s="490"/>
      <c r="AG250" s="490"/>
      <c r="AH250" s="490"/>
      <c r="AI250" s="490"/>
      <c r="AJ250" s="490"/>
      <c r="AK250" s="490"/>
      <c r="AL250" s="490"/>
      <c r="AM250" s="490"/>
      <c r="AN250" s="490"/>
      <c r="AO250" s="490"/>
      <c r="AP250" s="490"/>
      <c r="AQ250" s="490"/>
      <c r="AR250" s="490"/>
      <c r="AS250" s="490"/>
      <c r="AT250" s="490"/>
      <c r="AU250" s="490"/>
      <c r="AV250" s="490"/>
      <c r="AW250" s="490"/>
      <c r="AX250" s="490"/>
      <c r="AY250" s="490"/>
      <c r="AZ250" s="490"/>
      <c r="BA250" s="490"/>
      <c r="BB250" s="490"/>
      <c r="BC250" s="490"/>
      <c r="BD250" s="490"/>
      <c r="BE250" s="490"/>
      <c r="BF250" s="490"/>
      <c r="BG250" s="490"/>
      <c r="BH250" s="490"/>
      <c r="BI250" s="490"/>
      <c r="BJ250" s="490"/>
      <c r="BK250" s="490"/>
      <c r="BL250" s="490"/>
      <c r="BM250" s="490"/>
      <c r="BN250" s="490"/>
      <c r="BO250" s="490"/>
      <c r="BP250" s="490"/>
      <c r="BQ250" s="490"/>
      <c r="BR250" s="490"/>
      <c r="BS250" s="490"/>
      <c r="BT250" s="490"/>
      <c r="BU250" s="490"/>
      <c r="BV250" s="490"/>
      <c r="BW250" s="490"/>
      <c r="BX250" s="490"/>
      <c r="BY250" s="490"/>
      <c r="BZ250" s="490"/>
      <c r="CA250" s="490"/>
      <c r="CB250" s="490"/>
      <c r="CC250" s="490"/>
      <c r="CD250" s="490"/>
      <c r="CE250" s="490"/>
      <c r="CF250" s="490"/>
      <c r="CG250" s="490"/>
      <c r="CH250" s="490"/>
      <c r="CI250" s="490"/>
      <c r="CJ250" s="490"/>
      <c r="CK250" s="490"/>
      <c r="CL250" s="490"/>
      <c r="CM250" s="490"/>
      <c r="CN250" s="490"/>
      <c r="CO250" s="490"/>
      <c r="CP250" s="490"/>
      <c r="CQ250" s="490"/>
      <c r="CR250" s="490"/>
      <c r="CS250" s="490"/>
      <c r="CT250" s="490"/>
      <c r="CU250" s="490"/>
      <c r="CV250" s="490"/>
      <c r="CW250" s="490"/>
      <c r="CX250" s="490"/>
      <c r="CY250" s="490"/>
      <c r="CZ250" s="490"/>
      <c r="DA250" s="490"/>
      <c r="DB250" s="490"/>
      <c r="DC250" s="490"/>
      <c r="DD250" s="490"/>
      <c r="DE250" s="490"/>
      <c r="DF250" s="490"/>
      <c r="DG250" s="490"/>
      <c r="DH250" s="490"/>
      <c r="DI250" s="490"/>
      <c r="DJ250" s="490"/>
      <c r="DK250" s="490"/>
      <c r="DL250" s="490"/>
      <c r="DM250" s="490"/>
      <c r="DN250" s="490"/>
      <c r="DO250" s="490"/>
      <c r="DP250" s="490"/>
      <c r="DQ250" s="490"/>
      <c r="DR250" s="490"/>
      <c r="DS250" s="490"/>
      <c r="DT250" s="490"/>
      <c r="DU250" s="490"/>
      <c r="DV250" s="490"/>
      <c r="DW250" s="490"/>
      <c r="DX250" s="490"/>
      <c r="DY250" s="490"/>
      <c r="DZ250" s="490"/>
      <c r="EA250" s="490"/>
      <c r="EB250" s="490"/>
      <c r="EC250" s="490"/>
      <c r="ED250" s="490"/>
      <c r="EE250" s="490"/>
      <c r="EF250" s="490"/>
      <c r="EG250" s="490"/>
      <c r="EH250" s="490"/>
      <c r="EI250" s="490"/>
      <c r="EJ250" s="490"/>
      <c r="EK250" s="490"/>
      <c r="EL250" s="490"/>
      <c r="EM250" s="490"/>
      <c r="EN250" s="490"/>
      <c r="EO250" s="490"/>
      <c r="EP250" s="490"/>
      <c r="EQ250" s="490"/>
      <c r="ER250" s="490"/>
      <c r="ES250" s="490"/>
      <c r="ET250" s="490"/>
      <c r="EU250" s="490"/>
      <c r="EV250" s="490"/>
      <c r="EW250" s="490"/>
      <c r="EX250" s="490"/>
      <c r="EY250" s="490"/>
      <c r="EZ250" s="490"/>
      <c r="FA250" s="490"/>
      <c r="FB250" s="490"/>
      <c r="FC250" s="490"/>
      <c r="FD250" s="490"/>
      <c r="FE250" s="490"/>
      <c r="FF250" s="490"/>
      <c r="FG250" s="490"/>
      <c r="FH250" s="490"/>
      <c r="FI250" s="490"/>
      <c r="FJ250" s="490"/>
      <c r="FK250" s="490"/>
      <c r="FL250" s="490"/>
      <c r="FM250" s="490"/>
      <c r="FN250" s="490"/>
      <c r="FO250" s="490"/>
      <c r="FP250" s="490"/>
      <c r="FQ250" s="490"/>
      <c r="FR250" s="490"/>
      <c r="FS250" s="490"/>
      <c r="FT250" s="490"/>
      <c r="FU250" s="490"/>
      <c r="FV250" s="490"/>
      <c r="FW250" s="490"/>
      <c r="FX250" s="490"/>
      <c r="FY250" s="490"/>
      <c r="FZ250" s="490"/>
      <c r="GA250" s="490"/>
      <c r="GB250" s="490"/>
      <c r="GC250" s="490"/>
      <c r="GD250" s="490"/>
      <c r="GE250" s="490"/>
      <c r="GF250" s="490"/>
      <c r="GG250" s="490"/>
      <c r="GH250" s="490"/>
      <c r="GI250" s="490"/>
      <c r="GJ250" s="490"/>
      <c r="GK250" s="490"/>
      <c r="GL250" s="490"/>
      <c r="GM250" s="490"/>
      <c r="GN250" s="490"/>
      <c r="GO250" s="490"/>
      <c r="GP250" s="490"/>
      <c r="GQ250" s="490"/>
      <c r="GR250" s="490"/>
      <c r="GS250" s="490"/>
      <c r="GT250" s="490"/>
      <c r="GU250" s="490"/>
      <c r="GV250" s="490"/>
      <c r="GW250" s="490"/>
      <c r="GX250" s="490"/>
      <c r="GY250" s="490"/>
      <c r="GZ250" s="490"/>
      <c r="HA250" s="490"/>
      <c r="HB250" s="490"/>
      <c r="HC250" s="490"/>
      <c r="HD250" s="490"/>
      <c r="HE250" s="490"/>
      <c r="HF250" s="490"/>
      <c r="HG250" s="490"/>
      <c r="HH250" s="490"/>
      <c r="HI250" s="490"/>
      <c r="HJ250" s="490"/>
      <c r="HK250" s="490"/>
      <c r="HL250" s="490"/>
      <c r="HM250" s="490"/>
      <c r="HN250" s="490"/>
      <c r="HO250" s="490"/>
      <c r="HP250" s="490"/>
      <c r="HQ250" s="490"/>
      <c r="HR250" s="490"/>
      <c r="HS250" s="490"/>
      <c r="HT250" s="490"/>
      <c r="HU250" s="490"/>
      <c r="HV250" s="490"/>
      <c r="HW250" s="490"/>
      <c r="HX250" s="490"/>
      <c r="HY250" s="490"/>
      <c r="HZ250" s="490"/>
      <c r="IA250" s="490"/>
      <c r="IB250" s="490"/>
      <c r="IC250" s="490"/>
      <c r="ID250" s="490"/>
      <c r="IE250" s="490"/>
      <c r="IF250" s="490"/>
      <c r="IG250" s="490"/>
      <c r="IH250" s="490"/>
      <c r="II250" s="490"/>
      <c r="IJ250" s="490"/>
      <c r="IK250" s="490"/>
      <c r="IL250" s="490"/>
      <c r="IM250" s="490"/>
      <c r="IN250" s="490"/>
      <c r="IO250" s="490"/>
      <c r="IP250" s="490"/>
      <c r="IQ250" s="490"/>
      <c r="IR250" s="490"/>
      <c r="IS250" s="490"/>
      <c r="IT250" s="490"/>
      <c r="IU250" s="490"/>
      <c r="IV250" s="490"/>
      <c r="IW250" s="490"/>
      <c r="IX250" s="490"/>
      <c r="IY250" s="490"/>
      <c r="IZ250" s="490"/>
      <c r="JA250" s="490"/>
      <c r="JB250" s="490"/>
      <c r="JC250" s="490"/>
      <c r="JD250" s="490"/>
      <c r="JE250" s="490"/>
      <c r="JF250" s="490"/>
      <c r="JG250" s="490"/>
      <c r="JH250" s="490"/>
      <c r="JI250" s="490"/>
      <c r="JJ250" s="490"/>
      <c r="JK250" s="490"/>
      <c r="JL250" s="490"/>
      <c r="JM250" s="490"/>
      <c r="JN250" s="490"/>
      <c r="JO250" s="490"/>
      <c r="JP250" s="490"/>
      <c r="JQ250" s="490"/>
      <c r="JR250" s="490"/>
      <c r="JS250" s="490"/>
      <c r="JT250" s="490"/>
      <c r="JU250" s="490"/>
      <c r="JV250" s="490"/>
      <c r="JW250" s="490"/>
      <c r="JX250" s="490"/>
      <c r="JY250" s="490"/>
      <c r="JZ250" s="490"/>
      <c r="KA250" s="490"/>
      <c r="KB250" s="490"/>
      <c r="KC250" s="490"/>
      <c r="KD250" s="490"/>
      <c r="KE250" s="490"/>
      <c r="KF250" s="490"/>
      <c r="KG250" s="490"/>
      <c r="KH250" s="490"/>
      <c r="KI250" s="490"/>
      <c r="KJ250" s="490"/>
      <c r="KK250" s="490"/>
      <c r="KL250" s="490"/>
      <c r="KM250" s="490"/>
      <c r="KN250" s="490"/>
      <c r="KO250" s="490"/>
      <c r="KP250" s="490"/>
      <c r="KQ250" s="490"/>
      <c r="KR250" s="490"/>
      <c r="KS250" s="490"/>
      <c r="KT250" s="490"/>
      <c r="KU250" s="490"/>
      <c r="KV250" s="490"/>
      <c r="KW250" s="490"/>
      <c r="KX250" s="490"/>
      <c r="KY250" s="490"/>
      <c r="KZ250" s="490"/>
      <c r="LA250" s="490"/>
      <c r="LB250" s="490"/>
      <c r="LC250" s="490"/>
      <c r="LD250" s="490"/>
      <c r="LE250" s="490"/>
      <c r="LF250" s="490"/>
      <c r="LG250" s="490"/>
      <c r="LH250" s="490"/>
      <c r="LI250" s="490"/>
      <c r="LJ250" s="490"/>
      <c r="LK250" s="490"/>
      <c r="LL250" s="490"/>
      <c r="LM250" s="490"/>
      <c r="LN250" s="490"/>
      <c r="LO250" s="490"/>
      <c r="LP250" s="490"/>
      <c r="LQ250" s="490"/>
      <c r="LR250" s="490"/>
      <c r="LS250" s="490"/>
      <c r="LT250" s="490"/>
      <c r="LU250" s="490"/>
      <c r="LV250" s="490"/>
      <c r="LW250" s="490"/>
      <c r="LX250" s="490"/>
      <c r="LY250" s="490"/>
      <c r="LZ250" s="490"/>
      <c r="MA250" s="490"/>
      <c r="MB250" s="490"/>
      <c r="MC250" s="490"/>
      <c r="MD250" s="490"/>
      <c r="ME250" s="490"/>
      <c r="MF250" s="490"/>
      <c r="MG250" s="490"/>
      <c r="MH250" s="490"/>
      <c r="MI250" s="490"/>
      <c r="MJ250" s="490"/>
      <c r="MK250" s="490"/>
      <c r="ML250" s="490"/>
      <c r="MM250" s="490"/>
      <c r="MN250" s="490"/>
      <c r="MO250" s="490"/>
      <c r="MP250" s="490"/>
      <c r="MQ250" s="490"/>
      <c r="MR250" s="490"/>
      <c r="MS250" s="490"/>
      <c r="MT250" s="490"/>
      <c r="MU250" s="490"/>
      <c r="MV250" s="490"/>
      <c r="MW250" s="490"/>
      <c r="MX250" s="490"/>
      <c r="MY250" s="490"/>
      <c r="MZ250" s="490"/>
      <c r="NA250" s="490"/>
      <c r="NB250" s="490"/>
      <c r="NC250" s="490"/>
      <c r="ND250" s="490"/>
      <c r="NE250" s="490"/>
      <c r="NF250" s="490"/>
      <c r="NG250" s="490"/>
      <c r="NH250" s="490"/>
      <c r="NI250" s="490"/>
      <c r="NJ250" s="490"/>
      <c r="NK250" s="490"/>
      <c r="NL250" s="490"/>
      <c r="NM250" s="490"/>
      <c r="NN250" s="490"/>
      <c r="NO250" s="490"/>
      <c r="NP250" s="490"/>
      <c r="NQ250" s="490"/>
      <c r="NR250" s="490"/>
      <c r="NS250" s="490"/>
      <c r="NT250" s="490"/>
      <c r="NU250" s="490"/>
      <c r="NV250" s="490"/>
      <c r="NW250" s="490"/>
      <c r="NX250" s="490"/>
      <c r="NY250" s="490"/>
      <c r="NZ250" s="490"/>
      <c r="OA250" s="490"/>
      <c r="OB250" s="490"/>
      <c r="OC250" s="490"/>
      <c r="OD250" s="490"/>
      <c r="OE250" s="490"/>
      <c r="OF250" s="490"/>
      <c r="OG250" s="490"/>
      <c r="OH250" s="490"/>
      <c r="OI250" s="490"/>
      <c r="OJ250" s="490"/>
      <c r="OK250" s="490"/>
      <c r="OL250" s="490"/>
      <c r="OM250" s="490"/>
      <c r="ON250" s="490"/>
      <c r="OO250" s="490"/>
      <c r="OP250" s="490"/>
      <c r="OQ250" s="490"/>
      <c r="OR250" s="490"/>
      <c r="OS250" s="490"/>
      <c r="OT250" s="490"/>
      <c r="OU250" s="490"/>
      <c r="OV250" s="490"/>
      <c r="OW250" s="490"/>
      <c r="OX250" s="490"/>
      <c r="OY250" s="490"/>
      <c r="OZ250" s="490"/>
      <c r="PA250" s="490"/>
      <c r="PB250" s="490"/>
      <c r="PC250" s="490"/>
      <c r="PD250" s="490"/>
      <c r="PE250" s="490"/>
      <c r="PF250" s="490"/>
      <c r="PG250" s="490"/>
      <c r="PH250" s="490"/>
      <c r="PI250" s="490"/>
      <c r="PJ250" s="490"/>
      <c r="PK250" s="490"/>
      <c r="PL250" s="490"/>
      <c r="PM250" s="490"/>
      <c r="PN250" s="490"/>
      <c r="PO250" s="490"/>
      <c r="PP250" s="490"/>
      <c r="PQ250" s="490"/>
      <c r="PR250" s="490"/>
      <c r="PS250" s="490"/>
      <c r="PT250" s="490"/>
      <c r="PU250" s="490"/>
      <c r="PV250" s="490"/>
      <c r="PW250" s="490"/>
      <c r="PX250" s="490"/>
      <c r="PY250" s="490"/>
      <c r="PZ250" s="490"/>
      <c r="QA250" s="490"/>
      <c r="QB250" s="490"/>
      <c r="QC250" s="490"/>
      <c r="QD250" s="490"/>
      <c r="QE250" s="490"/>
      <c r="QF250" s="490"/>
      <c r="QG250" s="490"/>
      <c r="QH250" s="490"/>
      <c r="QI250" s="490"/>
      <c r="QJ250" s="490"/>
      <c r="QK250" s="490"/>
      <c r="QL250" s="490"/>
      <c r="QM250" s="490"/>
      <c r="QN250" s="490"/>
      <c r="QO250" s="490"/>
      <c r="QP250" s="490"/>
      <c r="QQ250" s="490"/>
      <c r="QR250" s="490"/>
      <c r="QS250" s="490"/>
      <c r="QT250" s="490"/>
      <c r="QU250" s="490"/>
      <c r="QV250" s="490"/>
      <c r="QW250" s="490"/>
      <c r="QX250" s="490"/>
      <c r="QY250" s="490"/>
      <c r="QZ250" s="490"/>
      <c r="RA250" s="490"/>
      <c r="RB250" s="490"/>
      <c r="RC250" s="490"/>
      <c r="RD250" s="490"/>
      <c r="RE250" s="490"/>
      <c r="RF250" s="490"/>
      <c r="RG250" s="490"/>
      <c r="RH250" s="490"/>
      <c r="RI250" s="490"/>
      <c r="RJ250" s="490"/>
      <c r="RK250" s="490"/>
      <c r="RL250" s="490"/>
      <c r="RM250" s="490"/>
      <c r="RN250" s="490"/>
      <c r="RO250" s="490"/>
      <c r="RP250" s="490"/>
      <c r="RQ250" s="490"/>
      <c r="RR250" s="490"/>
      <c r="RS250" s="490"/>
      <c r="RT250" s="490"/>
      <c r="RU250" s="490"/>
      <c r="RV250" s="490"/>
      <c r="RW250" s="490"/>
      <c r="RX250" s="490"/>
      <c r="RY250" s="490"/>
      <c r="RZ250" s="490"/>
      <c r="SA250" s="490"/>
      <c r="SB250" s="490"/>
      <c r="SC250" s="490"/>
      <c r="SD250" s="490"/>
      <c r="SE250" s="490"/>
      <c r="SF250" s="490"/>
      <c r="SG250" s="490"/>
      <c r="SH250" s="490"/>
      <c r="SI250" s="490"/>
      <c r="SJ250" s="490"/>
      <c r="SK250" s="490"/>
      <c r="SL250" s="490"/>
      <c r="SM250" s="490"/>
      <c r="SN250" s="490"/>
      <c r="SO250" s="490"/>
      <c r="SP250" s="490"/>
      <c r="SQ250" s="490"/>
      <c r="SR250" s="490"/>
      <c r="SS250" s="490"/>
      <c r="ST250" s="490"/>
      <c r="SU250" s="490"/>
      <c r="SV250" s="490"/>
      <c r="SW250" s="490"/>
      <c r="SX250" s="490"/>
      <c r="SY250" s="490"/>
      <c r="SZ250" s="490"/>
      <c r="TA250" s="490"/>
      <c r="TB250" s="490"/>
      <c r="TC250" s="490"/>
      <c r="TD250" s="490"/>
      <c r="TE250" s="490"/>
      <c r="TF250" s="490"/>
      <c r="TG250" s="490"/>
      <c r="TH250" s="490"/>
      <c r="TI250" s="490"/>
      <c r="TJ250" s="490"/>
      <c r="TK250" s="490"/>
      <c r="TL250" s="490"/>
      <c r="TM250" s="490"/>
      <c r="TN250" s="490"/>
      <c r="TO250" s="490"/>
      <c r="TP250" s="490"/>
      <c r="TQ250" s="490"/>
      <c r="TR250" s="490"/>
      <c r="TS250" s="490"/>
      <c r="TT250" s="490"/>
      <c r="TU250" s="490"/>
      <c r="TV250" s="490"/>
      <c r="TW250" s="490"/>
      <c r="TX250" s="490"/>
      <c r="TY250" s="490"/>
      <c r="TZ250" s="490"/>
      <c r="UA250" s="490"/>
      <c r="UB250" s="490"/>
      <c r="UC250" s="490"/>
      <c r="UD250" s="490"/>
      <c r="UE250" s="490"/>
      <c r="UF250" s="490"/>
      <c r="UG250" s="490"/>
      <c r="UH250" s="490"/>
      <c r="UI250" s="490"/>
      <c r="UJ250" s="490"/>
      <c r="UK250" s="490"/>
      <c r="UL250" s="490"/>
      <c r="UM250" s="490"/>
      <c r="UN250" s="490"/>
      <c r="UO250" s="490"/>
      <c r="UP250" s="490"/>
      <c r="UQ250" s="490"/>
      <c r="UR250" s="490"/>
      <c r="US250" s="490"/>
      <c r="UT250" s="490"/>
      <c r="UU250" s="490"/>
      <c r="UV250" s="490"/>
      <c r="UW250" s="490"/>
      <c r="UX250" s="490"/>
      <c r="UY250" s="490"/>
      <c r="UZ250" s="490"/>
      <c r="VA250" s="490"/>
      <c r="VB250" s="490"/>
      <c r="VC250" s="490"/>
      <c r="VD250" s="490"/>
      <c r="VE250" s="490"/>
      <c r="VF250" s="490"/>
      <c r="VG250" s="490"/>
      <c r="VH250" s="490"/>
      <c r="VI250" s="490"/>
      <c r="VJ250" s="490"/>
      <c r="VK250" s="490"/>
      <c r="VL250" s="490"/>
      <c r="VM250" s="490"/>
      <c r="VN250" s="490"/>
      <c r="VO250" s="490"/>
      <c r="VP250" s="490"/>
      <c r="VQ250" s="490"/>
      <c r="VR250" s="490"/>
      <c r="VS250" s="490"/>
      <c r="VT250" s="490"/>
      <c r="VU250" s="490"/>
      <c r="VV250" s="490"/>
      <c r="VW250" s="490"/>
      <c r="VX250" s="490"/>
      <c r="VY250" s="490"/>
      <c r="VZ250" s="490"/>
      <c r="WA250" s="490"/>
      <c r="WB250" s="490"/>
      <c r="WC250" s="490"/>
      <c r="WD250" s="490"/>
      <c r="WE250" s="490"/>
      <c r="WF250" s="490"/>
      <c r="WG250" s="490"/>
      <c r="WH250" s="490"/>
      <c r="WI250" s="490"/>
      <c r="WJ250" s="490"/>
      <c r="WK250" s="490"/>
      <c r="WL250" s="490"/>
      <c r="WM250" s="490"/>
      <c r="WN250" s="490"/>
      <c r="WO250" s="490"/>
      <c r="WP250" s="490"/>
      <c r="WQ250" s="490"/>
      <c r="WR250" s="490"/>
      <c r="WS250" s="490"/>
      <c r="WT250" s="490"/>
      <c r="WU250" s="490"/>
      <c r="WV250" s="490"/>
      <c r="WW250" s="490"/>
      <c r="WX250" s="490"/>
      <c r="WY250" s="490"/>
      <c r="WZ250" s="490"/>
      <c r="XA250" s="490"/>
      <c r="XB250" s="490"/>
      <c r="XC250" s="490"/>
      <c r="XD250" s="490"/>
      <c r="XE250" s="490"/>
      <c r="XF250" s="490"/>
      <c r="XG250" s="490"/>
      <c r="XH250" s="490"/>
      <c r="XI250" s="490"/>
      <c r="XJ250" s="490"/>
      <c r="XK250" s="490"/>
      <c r="XL250" s="490"/>
      <c r="XM250" s="490"/>
      <c r="XN250" s="490"/>
      <c r="XO250" s="490"/>
      <c r="XP250" s="490"/>
      <c r="XQ250" s="490"/>
      <c r="XR250" s="490"/>
      <c r="XS250" s="490"/>
      <c r="XT250" s="490"/>
      <c r="XU250" s="490"/>
      <c r="XV250" s="490"/>
      <c r="XW250" s="490"/>
      <c r="XX250" s="490"/>
      <c r="XY250" s="490"/>
      <c r="XZ250" s="490"/>
      <c r="YA250" s="490"/>
      <c r="YB250" s="490"/>
      <c r="YC250" s="490"/>
      <c r="YD250" s="490"/>
      <c r="YE250" s="490"/>
      <c r="YF250" s="490"/>
      <c r="YG250" s="490"/>
      <c r="YH250" s="490"/>
      <c r="YI250" s="490"/>
      <c r="YJ250" s="490"/>
      <c r="YK250" s="490"/>
      <c r="YL250" s="490"/>
      <c r="YM250" s="490"/>
      <c r="YN250" s="490"/>
      <c r="YO250" s="490"/>
      <c r="YP250" s="490"/>
      <c r="YQ250" s="490"/>
      <c r="YR250" s="490"/>
      <c r="YS250" s="490"/>
      <c r="YT250" s="490"/>
      <c r="YU250" s="490"/>
      <c r="YV250" s="490"/>
      <c r="YW250" s="490"/>
      <c r="YX250" s="490"/>
      <c r="YY250" s="490"/>
      <c r="YZ250" s="490"/>
      <c r="ZA250" s="490"/>
      <c r="ZB250" s="490"/>
      <c r="ZC250" s="490"/>
      <c r="ZD250" s="490"/>
      <c r="ZE250" s="490"/>
      <c r="ZF250" s="490"/>
      <c r="ZG250" s="490"/>
      <c r="ZH250" s="490"/>
      <c r="ZI250" s="490"/>
      <c r="ZJ250" s="490"/>
      <c r="ZK250" s="490"/>
      <c r="ZL250" s="490"/>
      <c r="ZM250" s="490"/>
      <c r="ZN250" s="490"/>
      <c r="ZO250" s="490"/>
      <c r="ZP250" s="490"/>
      <c r="ZQ250" s="490"/>
      <c r="ZR250" s="490"/>
      <c r="ZS250" s="490"/>
      <c r="ZT250" s="490"/>
      <c r="ZU250" s="490"/>
      <c r="ZV250" s="490"/>
      <c r="ZW250" s="490"/>
      <c r="ZX250" s="490"/>
      <c r="ZY250" s="490"/>
      <c r="ZZ250" s="490"/>
      <c r="AAA250" s="490"/>
      <c r="AAB250" s="490"/>
      <c r="AAC250" s="490"/>
      <c r="AAD250" s="490"/>
      <c r="AAE250" s="490"/>
      <c r="AAF250" s="490"/>
      <c r="AAG250" s="490"/>
      <c r="AAH250" s="490"/>
      <c r="AAI250" s="490"/>
      <c r="AAJ250" s="490"/>
      <c r="AAK250" s="490"/>
      <c r="AAL250" s="490"/>
      <c r="AAM250" s="490"/>
      <c r="AAN250" s="490"/>
      <c r="AAO250" s="490"/>
      <c r="AAP250" s="490"/>
      <c r="AAQ250" s="490"/>
      <c r="AAR250" s="490"/>
      <c r="AAS250" s="490"/>
      <c r="AAT250" s="490"/>
      <c r="AAU250" s="490"/>
      <c r="AAV250" s="490"/>
      <c r="AAW250" s="490"/>
      <c r="AAX250" s="490"/>
      <c r="AAY250" s="490"/>
      <c r="AAZ250" s="490"/>
      <c r="ABA250" s="490"/>
      <c r="ABB250" s="490"/>
      <c r="ABC250" s="490"/>
      <c r="ABD250" s="490"/>
      <c r="ABE250" s="490"/>
      <c r="ABF250" s="490"/>
      <c r="ABG250" s="490"/>
      <c r="ABH250" s="490"/>
      <c r="ABI250" s="490"/>
      <c r="ABJ250" s="490"/>
      <c r="ABK250" s="490"/>
      <c r="ABL250" s="490"/>
      <c r="ABM250" s="490"/>
      <c r="ABN250" s="490"/>
      <c r="ABO250" s="490"/>
      <c r="ABP250" s="490"/>
      <c r="ABQ250" s="490"/>
      <c r="ABR250" s="490"/>
      <c r="ABS250" s="490"/>
      <c r="ABT250" s="490"/>
      <c r="ABU250" s="490"/>
      <c r="ABV250" s="490"/>
      <c r="ABW250" s="490"/>
      <c r="ABX250" s="490"/>
      <c r="ABY250" s="490"/>
      <c r="ABZ250" s="490"/>
      <c r="ACA250" s="490"/>
      <c r="ACB250" s="490"/>
      <c r="ACC250" s="490"/>
      <c r="ACD250" s="490"/>
      <c r="ACE250" s="490"/>
      <c r="ACF250" s="490"/>
      <c r="ACG250" s="490"/>
      <c r="ACH250" s="490"/>
      <c r="ACI250" s="490"/>
      <c r="ACJ250" s="490"/>
      <c r="ACK250" s="490"/>
      <c r="ACL250" s="490"/>
      <c r="ACM250" s="490"/>
      <c r="ACN250" s="490"/>
      <c r="ACO250" s="490"/>
      <c r="ACP250" s="490"/>
      <c r="ACQ250" s="490"/>
      <c r="ACR250" s="490"/>
      <c r="ACS250" s="490"/>
      <c r="ACT250" s="490"/>
      <c r="ACU250" s="490"/>
      <c r="ACV250" s="490"/>
      <c r="ACW250" s="490"/>
      <c r="ACX250" s="490"/>
      <c r="ACY250" s="490"/>
      <c r="ACZ250" s="490"/>
      <c r="ADA250" s="490"/>
      <c r="ADB250" s="490"/>
      <c r="ADC250" s="490"/>
      <c r="ADD250" s="490"/>
      <c r="ADE250" s="490"/>
      <c r="ADF250" s="490"/>
      <c r="ADG250" s="490"/>
      <c r="ADH250" s="490"/>
      <c r="ADI250" s="490"/>
      <c r="ADJ250" s="490"/>
      <c r="ADK250" s="490"/>
      <c r="ADL250" s="490"/>
      <c r="ADM250" s="490"/>
      <c r="ADN250" s="490"/>
      <c r="ADO250" s="490"/>
      <c r="ADP250" s="490"/>
      <c r="ADQ250" s="490"/>
      <c r="ADR250" s="490"/>
      <c r="ADS250" s="490"/>
      <c r="ADT250" s="490"/>
      <c r="ADU250" s="490"/>
      <c r="ADV250" s="490"/>
      <c r="ADW250" s="490"/>
      <c r="ADX250" s="490"/>
      <c r="ADY250" s="490"/>
      <c r="ADZ250" s="490"/>
      <c r="AEA250" s="490"/>
      <c r="AEB250" s="490"/>
      <c r="AEC250" s="490"/>
      <c r="AED250" s="490"/>
      <c r="AEE250" s="490"/>
      <c r="AEF250" s="490"/>
      <c r="AEG250" s="490"/>
      <c r="AEH250" s="490"/>
      <c r="AEI250" s="490"/>
      <c r="AEJ250" s="490"/>
      <c r="AEK250" s="490"/>
      <c r="AEL250" s="490"/>
      <c r="AEM250" s="490"/>
      <c r="AEN250" s="490"/>
      <c r="AEO250" s="490"/>
      <c r="AEP250" s="490"/>
      <c r="AEQ250" s="490"/>
      <c r="AER250" s="490"/>
      <c r="AES250" s="490"/>
      <c r="AET250" s="490"/>
      <c r="AEU250" s="490"/>
      <c r="AEV250" s="490"/>
      <c r="AEW250" s="490"/>
      <c r="AEX250" s="490"/>
      <c r="AEY250" s="490"/>
      <c r="AEZ250" s="490"/>
      <c r="AFA250" s="490"/>
      <c r="AFB250" s="490"/>
      <c r="AFC250" s="490"/>
      <c r="AFD250" s="490"/>
      <c r="AFE250" s="490"/>
      <c r="AFF250" s="490"/>
      <c r="AFG250" s="490"/>
      <c r="AFH250" s="490"/>
      <c r="AFI250" s="490"/>
      <c r="AFJ250" s="490"/>
      <c r="AFK250" s="490"/>
      <c r="AFL250" s="490"/>
      <c r="AFM250" s="490"/>
      <c r="AFN250" s="490"/>
      <c r="AFO250" s="490"/>
      <c r="AFP250" s="490"/>
      <c r="AFQ250" s="490"/>
      <c r="AFR250" s="490"/>
      <c r="AFS250" s="490"/>
      <c r="AFT250" s="490"/>
      <c r="AFU250" s="490"/>
      <c r="AFV250" s="490"/>
      <c r="AFW250" s="490"/>
      <c r="AFX250" s="490"/>
      <c r="AFY250" s="490"/>
      <c r="AFZ250" s="490"/>
      <c r="AGA250" s="490"/>
      <c r="AGB250" s="490"/>
      <c r="AGC250" s="490"/>
      <c r="AGD250" s="490"/>
      <c r="AGE250" s="490"/>
      <c r="AGF250" s="490"/>
      <c r="AGG250" s="490"/>
      <c r="AGH250" s="490"/>
      <c r="AGI250" s="490"/>
      <c r="AGJ250" s="490"/>
      <c r="AGK250" s="490"/>
      <c r="AGL250" s="490"/>
      <c r="AGM250" s="490"/>
      <c r="AGN250" s="490"/>
      <c r="AGO250" s="490"/>
      <c r="AGP250" s="490"/>
      <c r="AGQ250" s="490"/>
      <c r="AGR250" s="490"/>
      <c r="AGS250" s="490"/>
      <c r="AGT250" s="490"/>
      <c r="AGU250" s="490"/>
      <c r="AGV250" s="490"/>
      <c r="AGW250" s="490"/>
      <c r="AGX250" s="490"/>
      <c r="AGY250" s="490"/>
      <c r="AGZ250" s="490"/>
      <c r="AHA250" s="490"/>
      <c r="AHB250" s="490"/>
      <c r="AHC250" s="490"/>
      <c r="AHD250" s="490"/>
      <c r="AHE250" s="490"/>
      <c r="AHF250" s="490"/>
      <c r="AHG250" s="490"/>
      <c r="AHH250" s="490"/>
      <c r="AHI250" s="490"/>
      <c r="AHJ250" s="490"/>
      <c r="AHK250" s="490"/>
      <c r="AHL250" s="490"/>
      <c r="AHM250" s="490"/>
      <c r="AHN250" s="490"/>
      <c r="AHO250" s="490"/>
      <c r="AHP250" s="490"/>
      <c r="AHQ250" s="490"/>
      <c r="AHR250" s="490"/>
      <c r="AHS250" s="490"/>
      <c r="AHT250" s="490"/>
      <c r="AHU250" s="490"/>
      <c r="AHV250" s="490"/>
      <c r="AHW250" s="490"/>
      <c r="AHX250" s="490"/>
      <c r="AHY250" s="490"/>
      <c r="AHZ250" s="490"/>
      <c r="AIA250" s="490"/>
      <c r="AIB250" s="490"/>
      <c r="AIC250" s="490"/>
      <c r="AID250" s="490"/>
      <c r="AIE250" s="490"/>
      <c r="AIF250" s="490"/>
      <c r="AIG250" s="490"/>
      <c r="AIH250" s="490"/>
      <c r="AII250" s="490"/>
      <c r="AIJ250" s="490"/>
      <c r="AIK250" s="490"/>
      <c r="AIL250" s="490"/>
      <c r="AIM250" s="490"/>
      <c r="AIN250" s="490"/>
      <c r="AIO250" s="490"/>
      <c r="AIP250" s="490"/>
      <c r="AIQ250" s="490"/>
      <c r="AIR250" s="490"/>
      <c r="AIS250" s="490"/>
      <c r="AIT250" s="490"/>
      <c r="AIU250" s="490"/>
      <c r="AIV250" s="490"/>
      <c r="AIW250" s="490"/>
      <c r="AIX250" s="490"/>
      <c r="AIY250" s="490"/>
      <c r="AIZ250" s="490"/>
      <c r="AJA250" s="490"/>
      <c r="AJB250" s="490"/>
      <c r="AJC250" s="490"/>
      <c r="AJD250" s="490"/>
      <c r="AJE250" s="490"/>
      <c r="AJF250" s="490"/>
      <c r="AJG250" s="490"/>
      <c r="AJH250" s="490"/>
      <c r="AJI250" s="490"/>
      <c r="AJJ250" s="490"/>
      <c r="AJK250" s="490"/>
      <c r="AJL250" s="490"/>
      <c r="AJM250" s="490"/>
      <c r="AJN250" s="490"/>
      <c r="AJO250" s="490"/>
      <c r="AJP250" s="490"/>
      <c r="AJQ250" s="490"/>
      <c r="AJR250" s="490"/>
      <c r="AJS250" s="490"/>
      <c r="AJT250" s="490"/>
      <c r="AJU250" s="490"/>
      <c r="AJV250" s="490"/>
      <c r="AJW250" s="490"/>
      <c r="AJX250" s="490"/>
      <c r="AJY250" s="490"/>
      <c r="AJZ250" s="490"/>
      <c r="AKA250" s="490"/>
      <c r="AKB250" s="490"/>
      <c r="AKC250" s="490"/>
      <c r="AKD250" s="490"/>
      <c r="AKE250" s="490"/>
      <c r="AKF250" s="490"/>
      <c r="AKG250" s="490"/>
      <c r="AKH250" s="490"/>
      <c r="AKI250" s="490"/>
      <c r="AKJ250" s="490"/>
      <c r="AKK250" s="490"/>
      <c r="AKL250" s="490"/>
      <c r="AKM250" s="490"/>
      <c r="AKN250" s="490"/>
      <c r="AKO250" s="490"/>
      <c r="AKP250" s="490"/>
      <c r="AKQ250" s="490"/>
      <c r="AKR250" s="490"/>
      <c r="AKS250" s="490"/>
      <c r="AKT250" s="490"/>
      <c r="AKU250" s="490"/>
      <c r="AKV250" s="490"/>
      <c r="AKW250" s="490"/>
      <c r="AKX250" s="490"/>
      <c r="AKY250" s="490"/>
      <c r="AKZ250" s="490"/>
      <c r="ALA250" s="490"/>
      <c r="ALB250" s="490"/>
      <c r="ALC250" s="490"/>
      <c r="ALD250" s="490"/>
      <c r="ALE250" s="490"/>
      <c r="ALF250" s="490"/>
      <c r="ALG250" s="490"/>
      <c r="ALH250" s="490"/>
      <c r="ALI250" s="490"/>
      <c r="ALJ250" s="490"/>
      <c r="ALK250" s="490"/>
      <c r="ALL250" s="490"/>
      <c r="ALM250" s="490"/>
      <c r="ALN250" s="490"/>
      <c r="ALO250" s="490"/>
      <c r="ALP250" s="490"/>
      <c r="ALQ250" s="490"/>
      <c r="ALR250" s="490"/>
      <c r="ALS250" s="490"/>
      <c r="ALT250" s="490"/>
      <c r="ALU250" s="490"/>
      <c r="ALV250" s="490"/>
      <c r="ALW250" s="490"/>
      <c r="ALX250" s="490"/>
      <c r="ALY250" s="490"/>
      <c r="ALZ250" s="490"/>
      <c r="AMA250" s="490"/>
      <c r="AMB250" s="490"/>
      <c r="AMC250" s="490"/>
      <c r="AMD250" s="490"/>
      <c r="AME250" s="490"/>
      <c r="AMF250" s="490"/>
      <c r="AMG250" s="490"/>
      <c r="AMH250" s="490"/>
      <c r="AMI250" s="490"/>
      <c r="AMJ250" s="490"/>
      <c r="AMK250" s="490"/>
      <c r="AML250" s="490"/>
      <c r="AMM250" s="490"/>
      <c r="AMN250" s="490"/>
      <c r="AMO250" s="490"/>
      <c r="AMP250" s="490"/>
      <c r="AMQ250" s="490"/>
      <c r="AMR250" s="490"/>
      <c r="AMS250" s="490"/>
      <c r="AMT250" s="490"/>
      <c r="AMU250" s="490"/>
      <c r="AMV250" s="490"/>
      <c r="AMW250" s="490"/>
      <c r="AMX250" s="490"/>
      <c r="AMY250" s="490"/>
      <c r="AMZ250" s="490"/>
      <c r="ANA250" s="490"/>
      <c r="ANB250" s="490"/>
      <c r="ANC250" s="490"/>
      <c r="AND250" s="490"/>
      <c r="ANE250" s="490"/>
      <c r="ANF250" s="490"/>
      <c r="ANG250" s="490"/>
      <c r="ANH250" s="490"/>
      <c r="ANI250" s="490"/>
      <c r="ANJ250" s="490"/>
      <c r="ANK250" s="490"/>
      <c r="ANL250" s="490"/>
      <c r="ANM250" s="490"/>
      <c r="ANN250" s="490"/>
      <c r="ANO250" s="490"/>
      <c r="ANP250" s="490"/>
      <c r="ANQ250" s="490"/>
      <c r="ANR250" s="490"/>
      <c r="ANS250" s="490"/>
      <c r="ANT250" s="490"/>
      <c r="ANU250" s="490"/>
      <c r="ANV250" s="490"/>
      <c r="ANW250" s="490"/>
      <c r="ANX250" s="490"/>
      <c r="ANY250" s="490"/>
      <c r="ANZ250" s="490"/>
      <c r="AOA250" s="490"/>
      <c r="AOB250" s="490"/>
      <c r="AOC250" s="490"/>
      <c r="AOD250" s="490"/>
      <c r="AOE250" s="490"/>
      <c r="AOF250" s="490"/>
      <c r="AOG250" s="490"/>
      <c r="AOH250" s="490"/>
      <c r="AOI250" s="490"/>
      <c r="AOJ250" s="490"/>
      <c r="AOK250" s="490"/>
      <c r="AOL250" s="490"/>
      <c r="AOM250" s="490"/>
      <c r="AON250" s="490"/>
      <c r="AOO250" s="490"/>
      <c r="AOP250" s="490"/>
      <c r="AOQ250" s="490"/>
      <c r="AOR250" s="490"/>
      <c r="AOS250" s="490"/>
      <c r="AOT250" s="490"/>
      <c r="AOU250" s="490"/>
      <c r="AOV250" s="490"/>
      <c r="AOW250" s="490"/>
      <c r="AOX250" s="490"/>
      <c r="AOY250" s="490"/>
      <c r="AOZ250" s="490"/>
      <c r="APA250" s="490"/>
      <c r="APB250" s="490"/>
      <c r="APC250" s="490"/>
      <c r="APD250" s="490"/>
      <c r="APE250" s="490"/>
      <c r="APF250" s="490"/>
      <c r="APG250" s="490"/>
      <c r="APH250" s="490"/>
      <c r="API250" s="490"/>
      <c r="APJ250" s="490"/>
      <c r="APK250" s="490"/>
      <c r="APL250" s="490"/>
      <c r="APM250" s="490"/>
      <c r="APN250" s="490"/>
      <c r="APO250" s="490"/>
      <c r="APP250" s="490"/>
      <c r="APQ250" s="490"/>
      <c r="APR250" s="490"/>
      <c r="APS250" s="490"/>
      <c r="APT250" s="490"/>
      <c r="APU250" s="490"/>
      <c r="APV250" s="490"/>
      <c r="APW250" s="490"/>
      <c r="APX250" s="490"/>
      <c r="APY250" s="490"/>
      <c r="APZ250" s="490"/>
      <c r="AQA250" s="490"/>
      <c r="AQB250" s="490"/>
      <c r="AQC250" s="490"/>
      <c r="AQD250" s="490"/>
      <c r="AQE250" s="490"/>
      <c r="AQF250" s="490"/>
      <c r="AQG250" s="490"/>
      <c r="AQH250" s="490"/>
      <c r="AQI250" s="490"/>
      <c r="AQJ250" s="490"/>
      <c r="AQK250" s="490"/>
      <c r="AQL250" s="490"/>
      <c r="AQM250" s="490"/>
      <c r="AQN250" s="490"/>
      <c r="AQO250" s="490"/>
      <c r="AQP250" s="490"/>
      <c r="AQQ250" s="490"/>
      <c r="AQR250" s="490"/>
      <c r="AQS250" s="490"/>
      <c r="AQT250" s="490"/>
      <c r="AQU250" s="490"/>
      <c r="AQV250" s="490"/>
      <c r="AQW250" s="490"/>
      <c r="AQX250" s="490"/>
      <c r="AQY250" s="490"/>
      <c r="AQZ250" s="490"/>
      <c r="ARA250" s="490"/>
      <c r="ARB250" s="490"/>
      <c r="ARC250" s="490"/>
      <c r="ARD250" s="490"/>
      <c r="ARE250" s="490"/>
      <c r="ARF250" s="490"/>
      <c r="ARG250" s="490"/>
      <c r="ARH250" s="490"/>
      <c r="ARI250" s="490"/>
      <c r="ARJ250" s="490"/>
      <c r="ARK250" s="490"/>
      <c r="ARL250" s="490"/>
      <c r="ARM250" s="490"/>
      <c r="ARN250" s="490"/>
      <c r="ARO250" s="490"/>
      <c r="ARP250" s="490"/>
      <c r="ARQ250" s="490"/>
      <c r="ARR250" s="490"/>
      <c r="ARS250" s="490"/>
      <c r="ART250" s="490"/>
      <c r="ARU250" s="490"/>
      <c r="ARV250" s="490"/>
      <c r="ARW250" s="490"/>
      <c r="ARX250" s="490"/>
      <c r="ARY250" s="490"/>
      <c r="ARZ250" s="490"/>
      <c r="ASA250" s="490"/>
      <c r="ASB250" s="490"/>
      <c r="ASC250" s="490"/>
      <c r="ASD250" s="490"/>
      <c r="ASE250" s="490"/>
      <c r="ASF250" s="490"/>
      <c r="ASG250" s="490"/>
      <c r="ASH250" s="490"/>
      <c r="ASI250" s="490"/>
      <c r="ASJ250" s="490"/>
      <c r="ASK250" s="490"/>
      <c r="ASL250" s="490"/>
      <c r="ASM250" s="490"/>
      <c r="ASN250" s="490"/>
      <c r="ASO250" s="490"/>
      <c r="ASP250" s="490"/>
      <c r="ASQ250" s="490"/>
      <c r="ASR250" s="490"/>
      <c r="ASS250" s="490"/>
      <c r="AST250" s="490"/>
      <c r="ASU250" s="490"/>
      <c r="ASV250" s="490"/>
      <c r="ASW250" s="490"/>
      <c r="ASX250" s="490"/>
      <c r="ASY250" s="490"/>
      <c r="ASZ250" s="490"/>
      <c r="ATA250" s="490"/>
      <c r="ATB250" s="490"/>
      <c r="ATC250" s="490"/>
      <c r="ATD250" s="490"/>
      <c r="ATE250" s="490"/>
      <c r="ATF250" s="490"/>
      <c r="ATG250" s="490"/>
      <c r="ATH250" s="490"/>
      <c r="ATI250" s="490"/>
      <c r="ATJ250" s="490"/>
      <c r="ATK250" s="490"/>
      <c r="ATL250" s="490"/>
      <c r="ATM250" s="490"/>
      <c r="ATN250" s="490"/>
      <c r="ATO250" s="490"/>
      <c r="ATP250" s="490"/>
      <c r="ATQ250" s="490"/>
      <c r="ATR250" s="490"/>
      <c r="ATS250" s="490"/>
      <c r="ATT250" s="490"/>
      <c r="ATU250" s="490"/>
      <c r="ATV250" s="490"/>
      <c r="ATW250" s="490"/>
      <c r="ATX250" s="490"/>
      <c r="ATY250" s="490"/>
      <c r="ATZ250" s="490"/>
      <c r="AUA250" s="490"/>
      <c r="AUB250" s="490"/>
      <c r="AUC250" s="490"/>
      <c r="AUD250" s="490"/>
      <c r="AUE250" s="490"/>
      <c r="AUF250" s="490"/>
      <c r="AUG250" s="490"/>
      <c r="AUH250" s="490"/>
      <c r="AUI250" s="490"/>
      <c r="AUJ250" s="490"/>
      <c r="AUK250" s="490"/>
      <c r="AUL250" s="490"/>
      <c r="AUM250" s="490"/>
      <c r="AUN250" s="490"/>
      <c r="AUO250" s="490"/>
      <c r="AUP250" s="490"/>
      <c r="AUQ250" s="490"/>
      <c r="AUR250" s="490"/>
      <c r="AUS250" s="490"/>
      <c r="AUT250" s="490"/>
      <c r="AUU250" s="490"/>
      <c r="AUV250" s="490"/>
      <c r="AUW250" s="490"/>
      <c r="AUX250" s="490"/>
      <c r="AUY250" s="490"/>
      <c r="AUZ250" s="490"/>
      <c r="AVA250" s="490"/>
      <c r="AVB250" s="490"/>
      <c r="AVC250" s="490"/>
      <c r="AVD250" s="490"/>
      <c r="AVE250" s="490"/>
      <c r="AVF250" s="490"/>
      <c r="AVG250" s="490"/>
      <c r="AVH250" s="490"/>
      <c r="AVI250" s="490"/>
      <c r="AVJ250" s="490"/>
      <c r="AVK250" s="490"/>
      <c r="AVL250" s="490"/>
      <c r="AVM250" s="490"/>
      <c r="AVN250" s="490"/>
      <c r="AVO250" s="490"/>
      <c r="AVP250" s="490"/>
      <c r="AVQ250" s="490"/>
      <c r="AVR250" s="490"/>
      <c r="AVS250" s="490"/>
      <c r="AVT250" s="490"/>
      <c r="AVU250" s="490"/>
      <c r="AVV250" s="490"/>
      <c r="AVW250" s="490"/>
      <c r="AVX250" s="490"/>
      <c r="AVY250" s="490"/>
      <c r="AVZ250" s="490"/>
      <c r="AWA250" s="490"/>
      <c r="AWB250" s="490"/>
      <c r="AWC250" s="490"/>
      <c r="AWD250" s="490"/>
      <c r="AWE250" s="490"/>
      <c r="AWF250" s="490"/>
      <c r="AWG250" s="490"/>
      <c r="AWH250" s="490"/>
      <c r="AWI250" s="490"/>
      <c r="AWJ250" s="490"/>
      <c r="AWK250" s="490"/>
      <c r="AWL250" s="490"/>
      <c r="AWM250" s="490"/>
      <c r="AWN250" s="490"/>
      <c r="AWO250" s="490"/>
      <c r="AWP250" s="490"/>
      <c r="AWQ250" s="490"/>
      <c r="AWR250" s="490"/>
      <c r="AWS250" s="490"/>
      <c r="AWT250" s="490"/>
      <c r="AWU250" s="490"/>
      <c r="AWV250" s="490"/>
      <c r="AWW250" s="490"/>
      <c r="AWX250" s="490"/>
      <c r="AWY250" s="490"/>
      <c r="AWZ250" s="490"/>
      <c r="AXA250" s="490"/>
      <c r="AXB250" s="490"/>
      <c r="AXC250" s="490"/>
      <c r="AXD250" s="490"/>
      <c r="AXE250" s="490"/>
      <c r="AXF250" s="490"/>
      <c r="AXG250" s="490"/>
      <c r="AXH250" s="490"/>
      <c r="AXI250" s="490"/>
      <c r="AXJ250" s="490"/>
      <c r="AXK250" s="490"/>
      <c r="AXL250" s="490"/>
      <c r="AXM250" s="490"/>
      <c r="AXN250" s="490"/>
      <c r="AXO250" s="490"/>
      <c r="AXP250" s="490"/>
      <c r="AXQ250" s="490"/>
      <c r="AXR250" s="490"/>
      <c r="AXS250" s="490"/>
      <c r="AXT250" s="490"/>
      <c r="AXU250" s="490"/>
      <c r="AXV250" s="490"/>
      <c r="AXW250" s="490"/>
      <c r="AXX250" s="490"/>
      <c r="AXY250" s="490"/>
      <c r="AXZ250" s="490"/>
      <c r="AYA250" s="490"/>
      <c r="AYB250" s="490"/>
      <c r="AYC250" s="490"/>
      <c r="AYD250" s="490"/>
      <c r="AYE250" s="490"/>
      <c r="AYF250" s="490"/>
      <c r="AYG250" s="490"/>
      <c r="AYH250" s="490"/>
      <c r="AYI250" s="490"/>
      <c r="AYJ250" s="490"/>
      <c r="AYK250" s="490"/>
      <c r="AYL250" s="490"/>
      <c r="AYM250" s="490"/>
      <c r="AYN250" s="490"/>
      <c r="AYO250" s="490"/>
      <c r="AYP250" s="490"/>
      <c r="AYQ250" s="490"/>
      <c r="AYR250" s="490"/>
      <c r="AYS250" s="490"/>
      <c r="AYT250" s="490"/>
      <c r="AYU250" s="490"/>
      <c r="AYV250" s="490"/>
      <c r="AYW250" s="490"/>
      <c r="AYX250" s="490"/>
      <c r="AYY250" s="490"/>
      <c r="AYZ250" s="490"/>
      <c r="AZA250" s="490"/>
      <c r="AZB250" s="490"/>
      <c r="AZC250" s="490"/>
      <c r="AZD250" s="490"/>
      <c r="AZE250" s="490"/>
      <c r="AZF250" s="490"/>
      <c r="AZG250" s="490"/>
      <c r="AZH250" s="490"/>
      <c r="AZI250" s="490"/>
      <c r="AZJ250" s="490"/>
      <c r="AZK250" s="490"/>
      <c r="AZL250" s="490"/>
      <c r="AZM250" s="490"/>
      <c r="AZN250" s="490"/>
      <c r="AZO250" s="490"/>
      <c r="AZP250" s="490"/>
      <c r="AZQ250" s="490"/>
      <c r="AZR250" s="490"/>
      <c r="AZS250" s="490"/>
      <c r="AZT250" s="490"/>
      <c r="AZU250" s="490"/>
      <c r="AZV250" s="490"/>
      <c r="AZW250" s="490"/>
      <c r="AZX250" s="490"/>
      <c r="AZY250" s="490"/>
      <c r="AZZ250" s="490"/>
      <c r="BAA250" s="490"/>
      <c r="BAB250" s="490"/>
      <c r="BAC250" s="490"/>
      <c r="BAD250" s="490"/>
      <c r="BAE250" s="490"/>
      <c r="BAF250" s="490"/>
      <c r="BAG250" s="490"/>
      <c r="BAH250" s="490"/>
      <c r="BAI250" s="490"/>
      <c r="BAJ250" s="490"/>
      <c r="BAK250" s="490"/>
      <c r="BAL250" s="490"/>
      <c r="BAM250" s="490"/>
      <c r="BAN250" s="490"/>
      <c r="BAO250" s="490"/>
      <c r="BAP250" s="490"/>
      <c r="BAQ250" s="490"/>
      <c r="BAR250" s="490"/>
      <c r="BAS250" s="490"/>
      <c r="BAT250" s="490"/>
      <c r="BAU250" s="490"/>
      <c r="BAV250" s="490"/>
      <c r="BAW250" s="490"/>
      <c r="BAX250" s="490"/>
      <c r="BAY250" s="490"/>
      <c r="BAZ250" s="490"/>
      <c r="BBA250" s="490"/>
      <c r="BBB250" s="490"/>
      <c r="BBC250" s="490"/>
      <c r="BBD250" s="490"/>
      <c r="BBE250" s="490"/>
      <c r="BBF250" s="490"/>
      <c r="BBG250" s="490"/>
      <c r="BBH250" s="490"/>
      <c r="BBI250" s="490"/>
      <c r="BBJ250" s="490"/>
      <c r="BBK250" s="490"/>
      <c r="BBL250" s="490"/>
      <c r="BBM250" s="490"/>
      <c r="BBN250" s="490"/>
      <c r="BBO250" s="490"/>
      <c r="BBP250" s="490"/>
      <c r="BBQ250" s="490"/>
      <c r="BBR250" s="490"/>
      <c r="BBS250" s="490"/>
      <c r="BBT250" s="490"/>
      <c r="BBU250" s="490"/>
      <c r="BBV250" s="490"/>
      <c r="BBW250" s="490"/>
      <c r="BBX250" s="490"/>
      <c r="BBY250" s="490"/>
      <c r="BBZ250" s="490"/>
      <c r="BCA250" s="490"/>
      <c r="BCB250" s="490"/>
      <c r="BCC250" s="490"/>
      <c r="BCD250" s="490"/>
      <c r="BCE250" s="490"/>
      <c r="BCF250" s="490"/>
      <c r="BCG250" s="490"/>
      <c r="BCH250" s="490"/>
      <c r="BCI250" s="490"/>
      <c r="BCJ250" s="490"/>
      <c r="BCK250" s="490"/>
      <c r="BCL250" s="490"/>
      <c r="BCM250" s="490"/>
      <c r="BCN250" s="490"/>
      <c r="BCO250" s="490"/>
      <c r="BCP250" s="490"/>
      <c r="BCQ250" s="490"/>
      <c r="BCR250" s="490"/>
      <c r="BCS250" s="490"/>
      <c r="BCT250" s="490"/>
      <c r="BCU250" s="490"/>
      <c r="BCV250" s="490"/>
      <c r="BCW250" s="490"/>
      <c r="BCX250" s="490"/>
      <c r="BCY250" s="490"/>
      <c r="BCZ250" s="490"/>
      <c r="BDA250" s="490"/>
      <c r="BDB250" s="490"/>
      <c r="BDC250" s="490"/>
      <c r="BDD250" s="490"/>
      <c r="BDE250" s="490"/>
      <c r="BDF250" s="490"/>
      <c r="BDG250" s="490"/>
      <c r="BDH250" s="490"/>
      <c r="BDI250" s="490"/>
      <c r="BDJ250" s="490"/>
      <c r="BDK250" s="490"/>
      <c r="BDL250" s="490"/>
      <c r="BDM250" s="490"/>
      <c r="BDN250" s="490"/>
      <c r="BDO250" s="490"/>
      <c r="BDP250" s="490"/>
      <c r="BDQ250" s="490"/>
      <c r="BDR250" s="490"/>
      <c r="BDS250" s="490"/>
      <c r="BDT250" s="490"/>
      <c r="BDU250" s="490"/>
      <c r="BDV250" s="490"/>
      <c r="BDW250" s="490"/>
      <c r="BDX250" s="490"/>
      <c r="BDY250" s="490"/>
      <c r="BDZ250" s="490"/>
      <c r="BEA250" s="490"/>
      <c r="BEB250" s="490"/>
      <c r="BEC250" s="490"/>
      <c r="BED250" s="490"/>
      <c r="BEE250" s="490"/>
      <c r="BEF250" s="490"/>
      <c r="BEG250" s="490"/>
      <c r="BEH250" s="490"/>
      <c r="BEI250" s="490"/>
      <c r="BEJ250" s="490"/>
      <c r="BEK250" s="490"/>
      <c r="BEL250" s="490"/>
      <c r="BEM250" s="490"/>
      <c r="BEN250" s="490"/>
      <c r="BEO250" s="490"/>
      <c r="BEP250" s="490"/>
      <c r="BEQ250" s="490"/>
      <c r="BER250" s="490"/>
      <c r="BES250" s="490"/>
      <c r="BET250" s="490"/>
      <c r="BEU250" s="490"/>
      <c r="BEV250" s="490"/>
      <c r="BEW250" s="490"/>
      <c r="BEX250" s="490"/>
      <c r="BEY250" s="490"/>
      <c r="BEZ250" s="490"/>
      <c r="BFA250" s="490"/>
      <c r="BFB250" s="490"/>
      <c r="BFC250" s="490"/>
      <c r="BFD250" s="490"/>
      <c r="BFE250" s="490"/>
      <c r="BFF250" s="490"/>
      <c r="BFG250" s="490"/>
      <c r="BFH250" s="490"/>
      <c r="BFI250" s="490"/>
      <c r="BFJ250" s="490"/>
      <c r="BFK250" s="490"/>
      <c r="BFL250" s="490"/>
      <c r="BFM250" s="490"/>
      <c r="BFN250" s="490"/>
      <c r="BFO250" s="490"/>
      <c r="BFP250" s="490"/>
      <c r="BFQ250" s="490"/>
      <c r="BFR250" s="490"/>
      <c r="BFS250" s="490"/>
      <c r="BFT250" s="490"/>
      <c r="BFU250" s="490"/>
      <c r="BFV250" s="490"/>
      <c r="BFW250" s="490"/>
      <c r="BFX250" s="490"/>
      <c r="BFY250" s="490"/>
      <c r="BFZ250" s="490"/>
      <c r="BGA250" s="490"/>
      <c r="BGB250" s="490"/>
      <c r="BGC250" s="490"/>
      <c r="BGD250" s="490"/>
      <c r="BGE250" s="490"/>
      <c r="BGF250" s="490"/>
      <c r="BGG250" s="490"/>
      <c r="BGH250" s="490"/>
      <c r="BGI250" s="490"/>
      <c r="BGJ250" s="490"/>
      <c r="BGK250" s="490"/>
      <c r="BGL250" s="490"/>
      <c r="BGM250" s="490"/>
      <c r="BGN250" s="490"/>
      <c r="BGO250" s="490"/>
      <c r="BGP250" s="490"/>
      <c r="BGQ250" s="490"/>
      <c r="BGR250" s="490"/>
      <c r="BGS250" s="490"/>
      <c r="BGT250" s="490"/>
      <c r="BGU250" s="490"/>
      <c r="BGV250" s="490"/>
      <c r="BGW250" s="490"/>
      <c r="BGX250" s="490"/>
      <c r="BGY250" s="490"/>
      <c r="BGZ250" s="490"/>
      <c r="BHA250" s="490"/>
      <c r="BHB250" s="490"/>
      <c r="BHC250" s="490"/>
      <c r="BHD250" s="490"/>
      <c r="BHE250" s="490"/>
      <c r="BHF250" s="490"/>
      <c r="BHG250" s="490"/>
      <c r="BHH250" s="490"/>
      <c r="BHI250" s="490"/>
      <c r="BHJ250" s="490"/>
      <c r="BHK250" s="490"/>
      <c r="BHL250" s="490"/>
      <c r="BHM250" s="490"/>
      <c r="BHN250" s="490"/>
      <c r="BHO250" s="490"/>
      <c r="BHP250" s="490"/>
      <c r="BHQ250" s="490"/>
      <c r="BHR250" s="490"/>
      <c r="BHS250" s="490"/>
      <c r="BHT250" s="490"/>
      <c r="BHU250" s="490"/>
      <c r="BHV250" s="490"/>
      <c r="BHW250" s="490"/>
      <c r="BHX250" s="490"/>
      <c r="BHY250" s="490"/>
      <c r="BHZ250" s="490"/>
      <c r="BIA250" s="490"/>
      <c r="BIB250" s="490"/>
      <c r="BIC250" s="490"/>
      <c r="BID250" s="490"/>
      <c r="BIE250" s="490"/>
      <c r="BIF250" s="490"/>
      <c r="BIG250" s="490"/>
      <c r="BIH250" s="490"/>
      <c r="BII250" s="490"/>
      <c r="BIJ250" s="490"/>
      <c r="BIK250" s="490"/>
      <c r="BIL250" s="490"/>
      <c r="BIM250" s="490"/>
      <c r="BIN250" s="490"/>
      <c r="BIO250" s="490"/>
      <c r="BIP250" s="490"/>
      <c r="BIQ250" s="490"/>
      <c r="BIR250" s="490"/>
      <c r="BIS250" s="490"/>
      <c r="BIT250" s="490"/>
      <c r="BIU250" s="490"/>
      <c r="BIV250" s="490"/>
      <c r="BIW250" s="490"/>
      <c r="BIX250" s="490"/>
      <c r="BIY250" s="490"/>
      <c r="BIZ250" s="490"/>
      <c r="BJA250" s="490"/>
      <c r="BJB250" s="490"/>
      <c r="BJC250" s="490"/>
      <c r="BJD250" s="490"/>
      <c r="BJE250" s="490"/>
      <c r="BJF250" s="490"/>
      <c r="BJG250" s="490"/>
      <c r="BJH250" s="490"/>
      <c r="BJI250" s="490"/>
      <c r="BJJ250" s="490"/>
      <c r="BJK250" s="490"/>
      <c r="BJL250" s="490"/>
      <c r="BJM250" s="490"/>
      <c r="BJN250" s="490"/>
      <c r="BJO250" s="490"/>
      <c r="BJP250" s="490"/>
      <c r="BJQ250" s="490"/>
      <c r="BJR250" s="490"/>
      <c r="BJS250" s="490"/>
      <c r="BJT250" s="490"/>
      <c r="BJU250" s="490"/>
      <c r="BJV250" s="490"/>
      <c r="BJW250" s="490"/>
      <c r="BJX250" s="490"/>
      <c r="BJY250" s="490"/>
      <c r="BJZ250" s="490"/>
      <c r="BKA250" s="490"/>
      <c r="BKB250" s="490"/>
      <c r="BKC250" s="490"/>
      <c r="BKD250" s="490"/>
      <c r="BKE250" s="490"/>
      <c r="BKF250" s="490"/>
      <c r="BKG250" s="490"/>
      <c r="BKH250" s="490"/>
      <c r="BKI250" s="490"/>
      <c r="BKJ250" s="490"/>
      <c r="BKK250" s="490"/>
      <c r="BKL250" s="490"/>
      <c r="BKM250" s="490"/>
      <c r="BKN250" s="490"/>
      <c r="BKO250" s="490"/>
      <c r="BKP250" s="490"/>
      <c r="BKQ250" s="490"/>
      <c r="BKR250" s="490"/>
      <c r="BKS250" s="490"/>
      <c r="BKT250" s="490"/>
      <c r="BKU250" s="490"/>
      <c r="BKV250" s="490"/>
      <c r="BKW250" s="490"/>
      <c r="BKX250" s="490"/>
      <c r="BKY250" s="490"/>
      <c r="BKZ250" s="490"/>
      <c r="BLA250" s="490"/>
      <c r="BLB250" s="490"/>
      <c r="BLC250" s="490"/>
      <c r="BLD250" s="490"/>
      <c r="BLE250" s="490"/>
      <c r="BLF250" s="490"/>
      <c r="BLG250" s="490"/>
      <c r="BLH250" s="490"/>
      <c r="BLI250" s="490"/>
      <c r="BLJ250" s="490"/>
      <c r="BLK250" s="490"/>
      <c r="BLL250" s="490"/>
      <c r="BLM250" s="490"/>
      <c r="BLN250" s="490"/>
      <c r="BLO250" s="490"/>
      <c r="BLP250" s="490"/>
      <c r="BLQ250" s="490"/>
      <c r="BLR250" s="490"/>
      <c r="BLS250" s="490"/>
      <c r="BLT250" s="490"/>
      <c r="BLU250" s="490"/>
      <c r="BLV250" s="490"/>
      <c r="BLW250" s="490"/>
      <c r="BLX250" s="490"/>
      <c r="BLY250" s="490"/>
      <c r="BLZ250" s="490"/>
      <c r="BMA250" s="490"/>
      <c r="BMB250" s="490"/>
      <c r="BMC250" s="490"/>
      <c r="BMD250" s="490"/>
      <c r="BME250" s="490"/>
      <c r="BMF250" s="490"/>
      <c r="BMG250" s="490"/>
      <c r="BMH250" s="490"/>
      <c r="BMI250" s="490"/>
      <c r="BMJ250" s="490"/>
      <c r="BMK250" s="490"/>
      <c r="BML250" s="490"/>
      <c r="BMM250" s="490"/>
      <c r="BMN250" s="490"/>
      <c r="BMO250" s="490"/>
      <c r="BMP250" s="490"/>
      <c r="BMQ250" s="490"/>
      <c r="BMR250" s="490"/>
      <c r="BMS250" s="490"/>
      <c r="BMT250" s="490"/>
      <c r="BMU250" s="490"/>
      <c r="BMV250" s="490"/>
      <c r="BMW250" s="490"/>
      <c r="BMX250" s="490"/>
      <c r="BMY250" s="490"/>
      <c r="BMZ250" s="490"/>
      <c r="BNA250" s="490"/>
      <c r="BNB250" s="490"/>
      <c r="BNC250" s="490"/>
      <c r="BND250" s="490"/>
      <c r="BNE250" s="490"/>
      <c r="BNF250" s="490"/>
      <c r="BNG250" s="490"/>
      <c r="BNH250" s="490"/>
      <c r="BNI250" s="490"/>
      <c r="BNJ250" s="490"/>
      <c r="BNK250" s="490"/>
      <c r="BNL250" s="490"/>
      <c r="BNM250" s="490"/>
      <c r="BNN250" s="490"/>
      <c r="BNO250" s="490"/>
      <c r="BNP250" s="490"/>
      <c r="BNQ250" s="490"/>
      <c r="BNR250" s="490"/>
      <c r="BNS250" s="490"/>
      <c r="BNT250" s="490"/>
      <c r="BNU250" s="490"/>
      <c r="BNV250" s="490"/>
      <c r="BNW250" s="490"/>
      <c r="BNX250" s="490"/>
      <c r="BNY250" s="490"/>
      <c r="BNZ250" s="490"/>
      <c r="BOA250" s="490"/>
      <c r="BOB250" s="490"/>
      <c r="BOC250" s="490"/>
      <c r="BOD250" s="490"/>
      <c r="BOE250" s="490"/>
      <c r="BOF250" s="490"/>
      <c r="BOG250" s="490"/>
      <c r="BOH250" s="490"/>
      <c r="BOI250" s="490"/>
      <c r="BOJ250" s="490"/>
      <c r="BOK250" s="490"/>
      <c r="BOL250" s="490"/>
      <c r="BOM250" s="490"/>
      <c r="BON250" s="490"/>
      <c r="BOO250" s="490"/>
      <c r="BOP250" s="490"/>
      <c r="BOQ250" s="490"/>
      <c r="BOR250" s="490"/>
      <c r="BOS250" s="490"/>
      <c r="BOT250" s="490"/>
      <c r="BOU250" s="490"/>
      <c r="BOV250" s="490"/>
      <c r="BOW250" s="490"/>
      <c r="BOX250" s="490"/>
      <c r="BOY250" s="490"/>
      <c r="BOZ250" s="490"/>
      <c r="BPA250" s="490"/>
      <c r="BPB250" s="490"/>
      <c r="BPC250" s="490"/>
      <c r="BPD250" s="490"/>
      <c r="BPE250" s="490"/>
      <c r="BPF250" s="490"/>
      <c r="BPG250" s="490"/>
      <c r="BPH250" s="490"/>
      <c r="BPI250" s="490"/>
      <c r="BPJ250" s="490"/>
      <c r="BPK250" s="490"/>
      <c r="BPL250" s="490"/>
      <c r="BPM250" s="490"/>
      <c r="BPN250" s="490"/>
      <c r="BPO250" s="490"/>
      <c r="BPP250" s="490"/>
      <c r="BPQ250" s="490"/>
      <c r="BPR250" s="490"/>
      <c r="BPS250" s="490"/>
      <c r="BPT250" s="490"/>
      <c r="BPU250" s="490"/>
      <c r="BPV250" s="490"/>
      <c r="BPW250" s="490"/>
      <c r="BPX250" s="490"/>
      <c r="BPY250" s="490"/>
      <c r="BPZ250" s="490"/>
      <c r="BQA250" s="490"/>
      <c r="BQB250" s="490"/>
      <c r="BQC250" s="490"/>
      <c r="BQD250" s="490"/>
      <c r="BQE250" s="490"/>
      <c r="BQF250" s="490"/>
      <c r="BQG250" s="490"/>
      <c r="BQH250" s="490"/>
      <c r="BQI250" s="490"/>
      <c r="BQJ250" s="490"/>
      <c r="BQK250" s="490"/>
      <c r="BQL250" s="490"/>
      <c r="BQM250" s="490"/>
      <c r="BQN250" s="490"/>
      <c r="BQO250" s="490"/>
      <c r="BQP250" s="490"/>
      <c r="BQQ250" s="490"/>
      <c r="BQR250" s="490"/>
      <c r="BQS250" s="490"/>
      <c r="BQT250" s="490"/>
      <c r="BQU250" s="490"/>
      <c r="BQV250" s="490"/>
      <c r="BQW250" s="490"/>
      <c r="BQX250" s="490"/>
      <c r="BQY250" s="490"/>
      <c r="BQZ250" s="490"/>
      <c r="BRA250" s="490"/>
      <c r="BRB250" s="490"/>
      <c r="BRC250" s="490"/>
      <c r="BRD250" s="490"/>
      <c r="BRE250" s="490"/>
      <c r="BRF250" s="490"/>
      <c r="BRG250" s="490"/>
      <c r="BRH250" s="490"/>
      <c r="BRI250" s="490"/>
      <c r="BRJ250" s="490"/>
      <c r="BRK250" s="490"/>
      <c r="BRL250" s="490"/>
      <c r="BRM250" s="490"/>
      <c r="BRN250" s="490"/>
      <c r="BRO250" s="490"/>
      <c r="BRP250" s="490"/>
      <c r="BRQ250" s="490"/>
      <c r="BRR250" s="490"/>
      <c r="BRS250" s="490"/>
      <c r="BRT250" s="490"/>
      <c r="BRU250" s="490"/>
      <c r="BRV250" s="490"/>
      <c r="BRW250" s="490"/>
      <c r="BRX250" s="490"/>
      <c r="BRY250" s="490"/>
      <c r="BRZ250" s="490"/>
      <c r="BSA250" s="490"/>
      <c r="BSB250" s="490"/>
      <c r="BSC250" s="490"/>
      <c r="BSD250" s="490"/>
      <c r="BSE250" s="490"/>
      <c r="BSF250" s="490"/>
      <c r="BSG250" s="490"/>
      <c r="BSH250" s="490"/>
      <c r="BSI250" s="490"/>
      <c r="BSJ250" s="490"/>
      <c r="BSK250" s="490"/>
      <c r="BSL250" s="490"/>
      <c r="BSM250" s="490"/>
      <c r="BSN250" s="490"/>
      <c r="BSO250" s="490"/>
      <c r="BSP250" s="490"/>
      <c r="BSQ250" s="490"/>
      <c r="BSR250" s="490"/>
      <c r="BSS250" s="490"/>
      <c r="BST250" s="490"/>
      <c r="BSU250" s="490"/>
      <c r="BSV250" s="490"/>
      <c r="BSW250" s="490"/>
      <c r="BSX250" s="490"/>
      <c r="BSY250" s="490"/>
      <c r="BSZ250" s="490"/>
      <c r="BTA250" s="490"/>
      <c r="BTB250" s="490"/>
      <c r="BTC250" s="490"/>
      <c r="BTD250" s="490"/>
      <c r="BTE250" s="490"/>
      <c r="BTF250" s="490"/>
      <c r="BTG250" s="490"/>
      <c r="BTH250" s="490"/>
      <c r="BTI250" s="490"/>
    </row>
    <row r="251" spans="1:1881" s="489" customFormat="1" ht="88.5" customHeight="1" x14ac:dyDescent="0.25">
      <c r="A251" s="455">
        <v>956</v>
      </c>
      <c r="B251" s="451"/>
      <c r="C251" s="452"/>
      <c r="D251" s="459" t="s">
        <v>956</v>
      </c>
      <c r="E251" s="454" t="s">
        <v>952</v>
      </c>
      <c r="F251" s="916"/>
      <c r="G251" s="563" t="str">
        <f t="shared" si="3"/>
        <v>Please do not leave blank</v>
      </c>
      <c r="H251" s="491"/>
      <c r="I251"/>
      <c r="J251"/>
      <c r="K251"/>
      <c r="L251"/>
      <c r="M251"/>
      <c r="N251"/>
      <c r="O251"/>
      <c r="P251" s="490"/>
      <c r="Q251" s="490"/>
      <c r="R251" s="490"/>
      <c r="S251" s="490"/>
      <c r="T251" s="490"/>
      <c r="U251" s="490"/>
      <c r="V251" s="490"/>
      <c r="W251" s="490"/>
      <c r="X251" s="490"/>
      <c r="Y251" s="490"/>
      <c r="Z251" s="490"/>
      <c r="AA251" s="490"/>
      <c r="AB251" s="490"/>
      <c r="AC251" s="490"/>
      <c r="AD251" s="490"/>
      <c r="AE251" s="490"/>
      <c r="AF251" s="490"/>
      <c r="AG251" s="490"/>
      <c r="AH251" s="490"/>
      <c r="AI251" s="490"/>
      <c r="AJ251" s="490"/>
      <c r="AK251" s="490"/>
      <c r="AL251" s="490"/>
      <c r="AM251" s="490"/>
      <c r="AN251" s="490"/>
      <c r="AO251" s="490"/>
      <c r="AP251" s="490"/>
      <c r="AQ251" s="490"/>
      <c r="AR251" s="490"/>
      <c r="AS251" s="490"/>
      <c r="AT251" s="490"/>
      <c r="AU251" s="490"/>
      <c r="AV251" s="490"/>
      <c r="AW251" s="490"/>
      <c r="AX251" s="490"/>
      <c r="AY251" s="490"/>
      <c r="AZ251" s="490"/>
      <c r="BA251" s="490"/>
      <c r="BB251" s="490"/>
      <c r="BC251" s="490"/>
      <c r="BD251" s="490"/>
      <c r="BE251" s="490"/>
      <c r="BF251" s="490"/>
      <c r="BG251" s="490"/>
      <c r="BH251" s="490"/>
      <c r="BI251" s="490"/>
      <c r="BJ251" s="490"/>
      <c r="BK251" s="490"/>
      <c r="BL251" s="490"/>
      <c r="BM251" s="490"/>
      <c r="BN251" s="490"/>
      <c r="BO251" s="490"/>
      <c r="BP251" s="490"/>
      <c r="BQ251" s="490"/>
      <c r="BR251" s="490"/>
      <c r="BS251" s="490"/>
      <c r="BT251" s="490"/>
      <c r="BU251" s="490"/>
      <c r="BV251" s="490"/>
      <c r="BW251" s="490"/>
      <c r="BX251" s="490"/>
      <c r="BY251" s="490"/>
      <c r="BZ251" s="490"/>
      <c r="CA251" s="490"/>
      <c r="CB251" s="490"/>
      <c r="CC251" s="490"/>
      <c r="CD251" s="490"/>
      <c r="CE251" s="490"/>
      <c r="CF251" s="490"/>
      <c r="CG251" s="490"/>
      <c r="CH251" s="490"/>
      <c r="CI251" s="490"/>
      <c r="CJ251" s="490"/>
      <c r="CK251" s="490"/>
      <c r="CL251" s="490"/>
      <c r="CM251" s="490"/>
      <c r="CN251" s="490"/>
      <c r="CO251" s="490"/>
      <c r="CP251" s="490"/>
      <c r="CQ251" s="490"/>
      <c r="CR251" s="490"/>
      <c r="CS251" s="490"/>
      <c r="CT251" s="490"/>
      <c r="CU251" s="490"/>
      <c r="CV251" s="490"/>
      <c r="CW251" s="490"/>
      <c r="CX251" s="490"/>
      <c r="CY251" s="490"/>
      <c r="CZ251" s="490"/>
      <c r="DA251" s="490"/>
      <c r="DB251" s="490"/>
      <c r="DC251" s="490"/>
      <c r="DD251" s="490"/>
      <c r="DE251" s="490"/>
      <c r="DF251" s="490"/>
      <c r="DG251" s="490"/>
      <c r="DH251" s="490"/>
      <c r="DI251" s="490"/>
      <c r="DJ251" s="490"/>
      <c r="DK251" s="490"/>
      <c r="DL251" s="490"/>
      <c r="DM251" s="490"/>
      <c r="DN251" s="490"/>
      <c r="DO251" s="490"/>
      <c r="DP251" s="490"/>
      <c r="DQ251" s="490"/>
      <c r="DR251" s="490"/>
      <c r="DS251" s="490"/>
      <c r="DT251" s="490"/>
      <c r="DU251" s="490"/>
      <c r="DV251" s="490"/>
      <c r="DW251" s="490"/>
      <c r="DX251" s="490"/>
      <c r="DY251" s="490"/>
      <c r="DZ251" s="490"/>
      <c r="EA251" s="490"/>
      <c r="EB251" s="490"/>
      <c r="EC251" s="490"/>
      <c r="ED251" s="490"/>
      <c r="EE251" s="490"/>
      <c r="EF251" s="490"/>
      <c r="EG251" s="490"/>
      <c r="EH251" s="490"/>
      <c r="EI251" s="490"/>
      <c r="EJ251" s="490"/>
      <c r="EK251" s="490"/>
      <c r="EL251" s="490"/>
      <c r="EM251" s="490"/>
      <c r="EN251" s="490"/>
      <c r="EO251" s="490"/>
      <c r="EP251" s="490"/>
      <c r="EQ251" s="490"/>
      <c r="ER251" s="490"/>
      <c r="ES251" s="490"/>
      <c r="ET251" s="490"/>
      <c r="EU251" s="490"/>
      <c r="EV251" s="490"/>
      <c r="EW251" s="490"/>
      <c r="EX251" s="490"/>
      <c r="EY251" s="490"/>
      <c r="EZ251" s="490"/>
      <c r="FA251" s="490"/>
      <c r="FB251" s="490"/>
      <c r="FC251" s="490"/>
      <c r="FD251" s="490"/>
      <c r="FE251" s="490"/>
      <c r="FF251" s="490"/>
      <c r="FG251" s="490"/>
      <c r="FH251" s="490"/>
      <c r="FI251" s="490"/>
      <c r="FJ251" s="490"/>
      <c r="FK251" s="490"/>
      <c r="FL251" s="490"/>
      <c r="FM251" s="490"/>
      <c r="FN251" s="490"/>
      <c r="FO251" s="490"/>
      <c r="FP251" s="490"/>
      <c r="FQ251" s="490"/>
      <c r="FR251" s="490"/>
      <c r="FS251" s="490"/>
      <c r="FT251" s="490"/>
      <c r="FU251" s="490"/>
      <c r="FV251" s="490"/>
      <c r="FW251" s="490"/>
      <c r="FX251" s="490"/>
      <c r="FY251" s="490"/>
      <c r="FZ251" s="490"/>
      <c r="GA251" s="490"/>
      <c r="GB251" s="490"/>
      <c r="GC251" s="490"/>
      <c r="GD251" s="490"/>
      <c r="GE251" s="490"/>
      <c r="GF251" s="490"/>
      <c r="GG251" s="490"/>
      <c r="GH251" s="490"/>
      <c r="GI251" s="490"/>
      <c r="GJ251" s="490"/>
      <c r="GK251" s="490"/>
      <c r="GL251" s="490"/>
      <c r="GM251" s="490"/>
      <c r="GN251" s="490"/>
      <c r="GO251" s="490"/>
      <c r="GP251" s="490"/>
      <c r="GQ251" s="490"/>
      <c r="GR251" s="490"/>
      <c r="GS251" s="490"/>
      <c r="GT251" s="490"/>
      <c r="GU251" s="490"/>
      <c r="GV251" s="490"/>
      <c r="GW251" s="490"/>
      <c r="GX251" s="490"/>
      <c r="GY251" s="490"/>
      <c r="GZ251" s="490"/>
      <c r="HA251" s="490"/>
      <c r="HB251" s="490"/>
      <c r="HC251" s="490"/>
      <c r="HD251" s="490"/>
      <c r="HE251" s="490"/>
      <c r="HF251" s="490"/>
      <c r="HG251" s="490"/>
      <c r="HH251" s="490"/>
      <c r="HI251" s="490"/>
      <c r="HJ251" s="490"/>
      <c r="HK251" s="490"/>
      <c r="HL251" s="490"/>
      <c r="HM251" s="490"/>
      <c r="HN251" s="490"/>
      <c r="HO251" s="490"/>
      <c r="HP251" s="490"/>
      <c r="HQ251" s="490"/>
      <c r="HR251" s="490"/>
      <c r="HS251" s="490"/>
      <c r="HT251" s="490"/>
      <c r="HU251" s="490"/>
      <c r="HV251" s="490"/>
      <c r="HW251" s="490"/>
      <c r="HX251" s="490"/>
      <c r="HY251" s="490"/>
      <c r="HZ251" s="490"/>
      <c r="IA251" s="490"/>
      <c r="IB251" s="490"/>
      <c r="IC251" s="490"/>
      <c r="ID251" s="490"/>
      <c r="IE251" s="490"/>
      <c r="IF251" s="490"/>
      <c r="IG251" s="490"/>
      <c r="IH251" s="490"/>
      <c r="II251" s="490"/>
      <c r="IJ251" s="490"/>
      <c r="IK251" s="490"/>
      <c r="IL251" s="490"/>
      <c r="IM251" s="490"/>
      <c r="IN251" s="490"/>
      <c r="IO251" s="490"/>
      <c r="IP251" s="490"/>
      <c r="IQ251" s="490"/>
      <c r="IR251" s="490"/>
      <c r="IS251" s="490"/>
      <c r="IT251" s="490"/>
      <c r="IU251" s="490"/>
      <c r="IV251" s="490"/>
      <c r="IW251" s="490"/>
      <c r="IX251" s="490"/>
      <c r="IY251" s="490"/>
      <c r="IZ251" s="490"/>
      <c r="JA251" s="490"/>
      <c r="JB251" s="490"/>
      <c r="JC251" s="490"/>
      <c r="JD251" s="490"/>
      <c r="JE251" s="490"/>
      <c r="JF251" s="490"/>
      <c r="JG251" s="490"/>
      <c r="JH251" s="490"/>
      <c r="JI251" s="490"/>
      <c r="JJ251" s="490"/>
      <c r="JK251" s="490"/>
      <c r="JL251" s="490"/>
      <c r="JM251" s="490"/>
      <c r="JN251" s="490"/>
      <c r="JO251" s="490"/>
      <c r="JP251" s="490"/>
      <c r="JQ251" s="490"/>
      <c r="JR251" s="490"/>
      <c r="JS251" s="490"/>
      <c r="JT251" s="490"/>
      <c r="JU251" s="490"/>
      <c r="JV251" s="490"/>
      <c r="JW251" s="490"/>
      <c r="JX251" s="490"/>
      <c r="JY251" s="490"/>
      <c r="JZ251" s="490"/>
      <c r="KA251" s="490"/>
      <c r="KB251" s="490"/>
      <c r="KC251" s="490"/>
      <c r="KD251" s="490"/>
      <c r="KE251" s="490"/>
      <c r="KF251" s="490"/>
      <c r="KG251" s="490"/>
      <c r="KH251" s="490"/>
      <c r="KI251" s="490"/>
      <c r="KJ251" s="490"/>
      <c r="KK251" s="490"/>
      <c r="KL251" s="490"/>
      <c r="KM251" s="490"/>
      <c r="KN251" s="490"/>
      <c r="KO251" s="490"/>
      <c r="KP251" s="490"/>
      <c r="KQ251" s="490"/>
      <c r="KR251" s="490"/>
      <c r="KS251" s="490"/>
      <c r="KT251" s="490"/>
      <c r="KU251" s="490"/>
      <c r="KV251" s="490"/>
      <c r="KW251" s="490"/>
      <c r="KX251" s="490"/>
      <c r="KY251" s="490"/>
      <c r="KZ251" s="490"/>
      <c r="LA251" s="490"/>
      <c r="LB251" s="490"/>
      <c r="LC251" s="490"/>
      <c r="LD251" s="490"/>
      <c r="LE251" s="490"/>
      <c r="LF251" s="490"/>
      <c r="LG251" s="490"/>
      <c r="LH251" s="490"/>
      <c r="LI251" s="490"/>
      <c r="LJ251" s="490"/>
      <c r="LK251" s="490"/>
      <c r="LL251" s="490"/>
      <c r="LM251" s="490"/>
      <c r="LN251" s="490"/>
      <c r="LO251" s="490"/>
      <c r="LP251" s="490"/>
      <c r="LQ251" s="490"/>
      <c r="LR251" s="490"/>
      <c r="LS251" s="490"/>
      <c r="LT251" s="490"/>
      <c r="LU251" s="490"/>
      <c r="LV251" s="490"/>
      <c r="LW251" s="490"/>
      <c r="LX251" s="490"/>
      <c r="LY251" s="490"/>
      <c r="LZ251" s="490"/>
      <c r="MA251" s="490"/>
      <c r="MB251" s="490"/>
      <c r="MC251" s="490"/>
      <c r="MD251" s="490"/>
      <c r="ME251" s="490"/>
      <c r="MF251" s="490"/>
      <c r="MG251" s="490"/>
      <c r="MH251" s="490"/>
      <c r="MI251" s="490"/>
      <c r="MJ251" s="490"/>
      <c r="MK251" s="490"/>
      <c r="ML251" s="490"/>
      <c r="MM251" s="490"/>
      <c r="MN251" s="490"/>
      <c r="MO251" s="490"/>
      <c r="MP251" s="490"/>
      <c r="MQ251" s="490"/>
      <c r="MR251" s="490"/>
      <c r="MS251" s="490"/>
      <c r="MT251" s="490"/>
      <c r="MU251" s="490"/>
      <c r="MV251" s="490"/>
      <c r="MW251" s="490"/>
      <c r="MX251" s="490"/>
      <c r="MY251" s="490"/>
      <c r="MZ251" s="490"/>
      <c r="NA251" s="490"/>
      <c r="NB251" s="490"/>
      <c r="NC251" s="490"/>
      <c r="ND251" s="490"/>
      <c r="NE251" s="490"/>
      <c r="NF251" s="490"/>
      <c r="NG251" s="490"/>
      <c r="NH251" s="490"/>
      <c r="NI251" s="490"/>
      <c r="NJ251" s="490"/>
      <c r="NK251" s="490"/>
      <c r="NL251" s="490"/>
      <c r="NM251" s="490"/>
      <c r="NN251" s="490"/>
      <c r="NO251" s="490"/>
      <c r="NP251" s="490"/>
      <c r="NQ251" s="490"/>
      <c r="NR251" s="490"/>
      <c r="NS251" s="490"/>
      <c r="NT251" s="490"/>
      <c r="NU251" s="490"/>
      <c r="NV251" s="490"/>
      <c r="NW251" s="490"/>
      <c r="NX251" s="490"/>
      <c r="NY251" s="490"/>
      <c r="NZ251" s="490"/>
      <c r="OA251" s="490"/>
      <c r="OB251" s="490"/>
      <c r="OC251" s="490"/>
      <c r="OD251" s="490"/>
      <c r="OE251" s="490"/>
      <c r="OF251" s="490"/>
      <c r="OG251" s="490"/>
      <c r="OH251" s="490"/>
      <c r="OI251" s="490"/>
      <c r="OJ251" s="490"/>
      <c r="OK251" s="490"/>
      <c r="OL251" s="490"/>
      <c r="OM251" s="490"/>
      <c r="ON251" s="490"/>
      <c r="OO251" s="490"/>
      <c r="OP251" s="490"/>
      <c r="OQ251" s="490"/>
      <c r="OR251" s="490"/>
      <c r="OS251" s="490"/>
      <c r="OT251" s="490"/>
      <c r="OU251" s="490"/>
      <c r="OV251" s="490"/>
      <c r="OW251" s="490"/>
      <c r="OX251" s="490"/>
      <c r="OY251" s="490"/>
      <c r="OZ251" s="490"/>
      <c r="PA251" s="490"/>
      <c r="PB251" s="490"/>
      <c r="PC251" s="490"/>
      <c r="PD251" s="490"/>
      <c r="PE251" s="490"/>
      <c r="PF251" s="490"/>
      <c r="PG251" s="490"/>
      <c r="PH251" s="490"/>
      <c r="PI251" s="490"/>
      <c r="PJ251" s="490"/>
      <c r="PK251" s="490"/>
      <c r="PL251" s="490"/>
      <c r="PM251" s="490"/>
      <c r="PN251" s="490"/>
      <c r="PO251" s="490"/>
      <c r="PP251" s="490"/>
      <c r="PQ251" s="490"/>
      <c r="PR251" s="490"/>
      <c r="PS251" s="490"/>
      <c r="PT251" s="490"/>
      <c r="PU251" s="490"/>
      <c r="PV251" s="490"/>
      <c r="PW251" s="490"/>
      <c r="PX251" s="490"/>
      <c r="PY251" s="490"/>
      <c r="PZ251" s="490"/>
      <c r="QA251" s="490"/>
      <c r="QB251" s="490"/>
      <c r="QC251" s="490"/>
      <c r="QD251" s="490"/>
      <c r="QE251" s="490"/>
      <c r="QF251" s="490"/>
      <c r="QG251" s="490"/>
      <c r="QH251" s="490"/>
      <c r="QI251" s="490"/>
      <c r="QJ251" s="490"/>
      <c r="QK251" s="490"/>
      <c r="QL251" s="490"/>
      <c r="QM251" s="490"/>
      <c r="QN251" s="490"/>
      <c r="QO251" s="490"/>
      <c r="QP251" s="490"/>
      <c r="QQ251" s="490"/>
      <c r="QR251" s="490"/>
      <c r="QS251" s="490"/>
      <c r="QT251" s="490"/>
      <c r="QU251" s="490"/>
      <c r="QV251" s="490"/>
      <c r="QW251" s="490"/>
      <c r="QX251" s="490"/>
      <c r="QY251" s="490"/>
      <c r="QZ251" s="490"/>
      <c r="RA251" s="490"/>
      <c r="RB251" s="490"/>
      <c r="RC251" s="490"/>
      <c r="RD251" s="490"/>
      <c r="RE251" s="490"/>
      <c r="RF251" s="490"/>
      <c r="RG251" s="490"/>
      <c r="RH251" s="490"/>
      <c r="RI251" s="490"/>
      <c r="RJ251" s="490"/>
      <c r="RK251" s="490"/>
      <c r="RL251" s="490"/>
      <c r="RM251" s="490"/>
      <c r="RN251" s="490"/>
      <c r="RO251" s="490"/>
      <c r="RP251" s="490"/>
      <c r="RQ251" s="490"/>
      <c r="RR251" s="490"/>
      <c r="RS251" s="490"/>
      <c r="RT251" s="490"/>
      <c r="RU251" s="490"/>
      <c r="RV251" s="490"/>
      <c r="RW251" s="490"/>
      <c r="RX251" s="490"/>
      <c r="RY251" s="490"/>
      <c r="RZ251" s="490"/>
      <c r="SA251" s="490"/>
      <c r="SB251" s="490"/>
      <c r="SC251" s="490"/>
      <c r="SD251" s="490"/>
      <c r="SE251" s="490"/>
      <c r="SF251" s="490"/>
      <c r="SG251" s="490"/>
      <c r="SH251" s="490"/>
      <c r="SI251" s="490"/>
      <c r="SJ251" s="490"/>
      <c r="SK251" s="490"/>
      <c r="SL251" s="490"/>
      <c r="SM251" s="490"/>
      <c r="SN251" s="490"/>
      <c r="SO251" s="490"/>
      <c r="SP251" s="490"/>
      <c r="SQ251" s="490"/>
      <c r="SR251" s="490"/>
      <c r="SS251" s="490"/>
      <c r="ST251" s="490"/>
      <c r="SU251" s="490"/>
      <c r="SV251" s="490"/>
      <c r="SW251" s="490"/>
      <c r="SX251" s="490"/>
      <c r="SY251" s="490"/>
      <c r="SZ251" s="490"/>
      <c r="TA251" s="490"/>
      <c r="TB251" s="490"/>
      <c r="TC251" s="490"/>
      <c r="TD251" s="490"/>
      <c r="TE251" s="490"/>
      <c r="TF251" s="490"/>
      <c r="TG251" s="490"/>
      <c r="TH251" s="490"/>
      <c r="TI251" s="490"/>
      <c r="TJ251" s="490"/>
      <c r="TK251" s="490"/>
      <c r="TL251" s="490"/>
      <c r="TM251" s="490"/>
      <c r="TN251" s="490"/>
      <c r="TO251" s="490"/>
      <c r="TP251" s="490"/>
      <c r="TQ251" s="490"/>
      <c r="TR251" s="490"/>
      <c r="TS251" s="490"/>
      <c r="TT251" s="490"/>
      <c r="TU251" s="490"/>
      <c r="TV251" s="490"/>
      <c r="TW251" s="490"/>
      <c r="TX251" s="490"/>
      <c r="TY251" s="490"/>
      <c r="TZ251" s="490"/>
      <c r="UA251" s="490"/>
      <c r="UB251" s="490"/>
      <c r="UC251" s="490"/>
      <c r="UD251" s="490"/>
      <c r="UE251" s="490"/>
      <c r="UF251" s="490"/>
      <c r="UG251" s="490"/>
      <c r="UH251" s="490"/>
      <c r="UI251" s="490"/>
      <c r="UJ251" s="490"/>
      <c r="UK251" s="490"/>
      <c r="UL251" s="490"/>
      <c r="UM251" s="490"/>
      <c r="UN251" s="490"/>
      <c r="UO251" s="490"/>
      <c r="UP251" s="490"/>
      <c r="UQ251" s="490"/>
      <c r="UR251" s="490"/>
      <c r="US251" s="490"/>
      <c r="UT251" s="490"/>
      <c r="UU251" s="490"/>
      <c r="UV251" s="490"/>
      <c r="UW251" s="490"/>
      <c r="UX251" s="490"/>
      <c r="UY251" s="490"/>
      <c r="UZ251" s="490"/>
      <c r="VA251" s="490"/>
      <c r="VB251" s="490"/>
      <c r="VC251" s="490"/>
      <c r="VD251" s="490"/>
      <c r="VE251" s="490"/>
      <c r="VF251" s="490"/>
      <c r="VG251" s="490"/>
      <c r="VH251" s="490"/>
      <c r="VI251" s="490"/>
      <c r="VJ251" s="490"/>
      <c r="VK251" s="490"/>
      <c r="VL251" s="490"/>
      <c r="VM251" s="490"/>
      <c r="VN251" s="490"/>
      <c r="VO251" s="490"/>
      <c r="VP251" s="490"/>
      <c r="VQ251" s="490"/>
      <c r="VR251" s="490"/>
      <c r="VS251" s="490"/>
      <c r="VT251" s="490"/>
      <c r="VU251" s="490"/>
      <c r="VV251" s="490"/>
      <c r="VW251" s="490"/>
      <c r="VX251" s="490"/>
      <c r="VY251" s="490"/>
      <c r="VZ251" s="490"/>
      <c r="WA251" s="490"/>
      <c r="WB251" s="490"/>
      <c r="WC251" s="490"/>
      <c r="WD251" s="490"/>
      <c r="WE251" s="490"/>
      <c r="WF251" s="490"/>
      <c r="WG251" s="490"/>
      <c r="WH251" s="490"/>
      <c r="WI251" s="490"/>
      <c r="WJ251" s="490"/>
      <c r="WK251" s="490"/>
      <c r="WL251" s="490"/>
      <c r="WM251" s="490"/>
      <c r="WN251" s="490"/>
      <c r="WO251" s="490"/>
      <c r="WP251" s="490"/>
      <c r="WQ251" s="490"/>
      <c r="WR251" s="490"/>
      <c r="WS251" s="490"/>
      <c r="WT251" s="490"/>
      <c r="WU251" s="490"/>
      <c r="WV251" s="490"/>
      <c r="WW251" s="490"/>
      <c r="WX251" s="490"/>
      <c r="WY251" s="490"/>
      <c r="WZ251" s="490"/>
      <c r="XA251" s="490"/>
      <c r="XB251" s="490"/>
      <c r="XC251" s="490"/>
      <c r="XD251" s="490"/>
      <c r="XE251" s="490"/>
      <c r="XF251" s="490"/>
      <c r="XG251" s="490"/>
      <c r="XH251" s="490"/>
      <c r="XI251" s="490"/>
      <c r="XJ251" s="490"/>
      <c r="XK251" s="490"/>
      <c r="XL251" s="490"/>
      <c r="XM251" s="490"/>
      <c r="XN251" s="490"/>
      <c r="XO251" s="490"/>
      <c r="XP251" s="490"/>
      <c r="XQ251" s="490"/>
      <c r="XR251" s="490"/>
      <c r="XS251" s="490"/>
      <c r="XT251" s="490"/>
      <c r="XU251" s="490"/>
      <c r="XV251" s="490"/>
      <c r="XW251" s="490"/>
      <c r="XX251" s="490"/>
      <c r="XY251" s="490"/>
      <c r="XZ251" s="490"/>
      <c r="YA251" s="490"/>
      <c r="YB251" s="490"/>
      <c r="YC251" s="490"/>
      <c r="YD251" s="490"/>
      <c r="YE251" s="490"/>
      <c r="YF251" s="490"/>
      <c r="YG251" s="490"/>
      <c r="YH251" s="490"/>
      <c r="YI251" s="490"/>
      <c r="YJ251" s="490"/>
      <c r="YK251" s="490"/>
      <c r="YL251" s="490"/>
      <c r="YM251" s="490"/>
      <c r="YN251" s="490"/>
      <c r="YO251" s="490"/>
      <c r="YP251" s="490"/>
      <c r="YQ251" s="490"/>
      <c r="YR251" s="490"/>
      <c r="YS251" s="490"/>
      <c r="YT251" s="490"/>
      <c r="YU251" s="490"/>
      <c r="YV251" s="490"/>
      <c r="YW251" s="490"/>
      <c r="YX251" s="490"/>
      <c r="YY251" s="490"/>
      <c r="YZ251" s="490"/>
      <c r="ZA251" s="490"/>
      <c r="ZB251" s="490"/>
      <c r="ZC251" s="490"/>
      <c r="ZD251" s="490"/>
      <c r="ZE251" s="490"/>
      <c r="ZF251" s="490"/>
      <c r="ZG251" s="490"/>
      <c r="ZH251" s="490"/>
      <c r="ZI251" s="490"/>
      <c r="ZJ251" s="490"/>
      <c r="ZK251" s="490"/>
      <c r="ZL251" s="490"/>
      <c r="ZM251" s="490"/>
      <c r="ZN251" s="490"/>
      <c r="ZO251" s="490"/>
      <c r="ZP251" s="490"/>
      <c r="ZQ251" s="490"/>
      <c r="ZR251" s="490"/>
      <c r="ZS251" s="490"/>
      <c r="ZT251" s="490"/>
      <c r="ZU251" s="490"/>
      <c r="ZV251" s="490"/>
      <c r="ZW251" s="490"/>
      <c r="ZX251" s="490"/>
      <c r="ZY251" s="490"/>
      <c r="ZZ251" s="490"/>
      <c r="AAA251" s="490"/>
      <c r="AAB251" s="490"/>
      <c r="AAC251" s="490"/>
      <c r="AAD251" s="490"/>
      <c r="AAE251" s="490"/>
      <c r="AAF251" s="490"/>
      <c r="AAG251" s="490"/>
      <c r="AAH251" s="490"/>
      <c r="AAI251" s="490"/>
      <c r="AAJ251" s="490"/>
      <c r="AAK251" s="490"/>
      <c r="AAL251" s="490"/>
      <c r="AAM251" s="490"/>
      <c r="AAN251" s="490"/>
      <c r="AAO251" s="490"/>
      <c r="AAP251" s="490"/>
      <c r="AAQ251" s="490"/>
      <c r="AAR251" s="490"/>
      <c r="AAS251" s="490"/>
      <c r="AAT251" s="490"/>
      <c r="AAU251" s="490"/>
      <c r="AAV251" s="490"/>
      <c r="AAW251" s="490"/>
      <c r="AAX251" s="490"/>
      <c r="AAY251" s="490"/>
      <c r="AAZ251" s="490"/>
      <c r="ABA251" s="490"/>
      <c r="ABB251" s="490"/>
      <c r="ABC251" s="490"/>
      <c r="ABD251" s="490"/>
      <c r="ABE251" s="490"/>
      <c r="ABF251" s="490"/>
      <c r="ABG251" s="490"/>
      <c r="ABH251" s="490"/>
      <c r="ABI251" s="490"/>
      <c r="ABJ251" s="490"/>
      <c r="ABK251" s="490"/>
      <c r="ABL251" s="490"/>
      <c r="ABM251" s="490"/>
      <c r="ABN251" s="490"/>
      <c r="ABO251" s="490"/>
      <c r="ABP251" s="490"/>
      <c r="ABQ251" s="490"/>
      <c r="ABR251" s="490"/>
      <c r="ABS251" s="490"/>
      <c r="ABT251" s="490"/>
      <c r="ABU251" s="490"/>
      <c r="ABV251" s="490"/>
      <c r="ABW251" s="490"/>
      <c r="ABX251" s="490"/>
      <c r="ABY251" s="490"/>
      <c r="ABZ251" s="490"/>
      <c r="ACA251" s="490"/>
      <c r="ACB251" s="490"/>
      <c r="ACC251" s="490"/>
      <c r="ACD251" s="490"/>
      <c r="ACE251" s="490"/>
      <c r="ACF251" s="490"/>
      <c r="ACG251" s="490"/>
      <c r="ACH251" s="490"/>
      <c r="ACI251" s="490"/>
      <c r="ACJ251" s="490"/>
      <c r="ACK251" s="490"/>
      <c r="ACL251" s="490"/>
      <c r="ACM251" s="490"/>
      <c r="ACN251" s="490"/>
      <c r="ACO251" s="490"/>
      <c r="ACP251" s="490"/>
      <c r="ACQ251" s="490"/>
      <c r="ACR251" s="490"/>
      <c r="ACS251" s="490"/>
      <c r="ACT251" s="490"/>
      <c r="ACU251" s="490"/>
      <c r="ACV251" s="490"/>
      <c r="ACW251" s="490"/>
      <c r="ACX251" s="490"/>
      <c r="ACY251" s="490"/>
      <c r="ACZ251" s="490"/>
      <c r="ADA251" s="490"/>
      <c r="ADB251" s="490"/>
      <c r="ADC251" s="490"/>
      <c r="ADD251" s="490"/>
      <c r="ADE251" s="490"/>
      <c r="ADF251" s="490"/>
      <c r="ADG251" s="490"/>
      <c r="ADH251" s="490"/>
      <c r="ADI251" s="490"/>
      <c r="ADJ251" s="490"/>
      <c r="ADK251" s="490"/>
      <c r="ADL251" s="490"/>
      <c r="ADM251" s="490"/>
      <c r="ADN251" s="490"/>
      <c r="ADO251" s="490"/>
      <c r="ADP251" s="490"/>
      <c r="ADQ251" s="490"/>
      <c r="ADR251" s="490"/>
      <c r="ADS251" s="490"/>
      <c r="ADT251" s="490"/>
      <c r="ADU251" s="490"/>
      <c r="ADV251" s="490"/>
      <c r="ADW251" s="490"/>
      <c r="ADX251" s="490"/>
      <c r="ADY251" s="490"/>
      <c r="ADZ251" s="490"/>
      <c r="AEA251" s="490"/>
      <c r="AEB251" s="490"/>
      <c r="AEC251" s="490"/>
      <c r="AED251" s="490"/>
      <c r="AEE251" s="490"/>
      <c r="AEF251" s="490"/>
      <c r="AEG251" s="490"/>
      <c r="AEH251" s="490"/>
      <c r="AEI251" s="490"/>
      <c r="AEJ251" s="490"/>
      <c r="AEK251" s="490"/>
      <c r="AEL251" s="490"/>
      <c r="AEM251" s="490"/>
      <c r="AEN251" s="490"/>
      <c r="AEO251" s="490"/>
      <c r="AEP251" s="490"/>
      <c r="AEQ251" s="490"/>
      <c r="AER251" s="490"/>
      <c r="AES251" s="490"/>
      <c r="AET251" s="490"/>
      <c r="AEU251" s="490"/>
      <c r="AEV251" s="490"/>
      <c r="AEW251" s="490"/>
      <c r="AEX251" s="490"/>
      <c r="AEY251" s="490"/>
      <c r="AEZ251" s="490"/>
      <c r="AFA251" s="490"/>
      <c r="AFB251" s="490"/>
      <c r="AFC251" s="490"/>
      <c r="AFD251" s="490"/>
      <c r="AFE251" s="490"/>
      <c r="AFF251" s="490"/>
      <c r="AFG251" s="490"/>
      <c r="AFH251" s="490"/>
      <c r="AFI251" s="490"/>
      <c r="AFJ251" s="490"/>
      <c r="AFK251" s="490"/>
      <c r="AFL251" s="490"/>
      <c r="AFM251" s="490"/>
      <c r="AFN251" s="490"/>
      <c r="AFO251" s="490"/>
      <c r="AFP251" s="490"/>
      <c r="AFQ251" s="490"/>
      <c r="AFR251" s="490"/>
      <c r="AFS251" s="490"/>
      <c r="AFT251" s="490"/>
      <c r="AFU251" s="490"/>
      <c r="AFV251" s="490"/>
      <c r="AFW251" s="490"/>
      <c r="AFX251" s="490"/>
      <c r="AFY251" s="490"/>
      <c r="AFZ251" s="490"/>
      <c r="AGA251" s="490"/>
      <c r="AGB251" s="490"/>
      <c r="AGC251" s="490"/>
      <c r="AGD251" s="490"/>
      <c r="AGE251" s="490"/>
      <c r="AGF251" s="490"/>
      <c r="AGG251" s="490"/>
      <c r="AGH251" s="490"/>
      <c r="AGI251" s="490"/>
      <c r="AGJ251" s="490"/>
      <c r="AGK251" s="490"/>
      <c r="AGL251" s="490"/>
      <c r="AGM251" s="490"/>
      <c r="AGN251" s="490"/>
      <c r="AGO251" s="490"/>
      <c r="AGP251" s="490"/>
      <c r="AGQ251" s="490"/>
      <c r="AGR251" s="490"/>
      <c r="AGS251" s="490"/>
      <c r="AGT251" s="490"/>
      <c r="AGU251" s="490"/>
      <c r="AGV251" s="490"/>
      <c r="AGW251" s="490"/>
      <c r="AGX251" s="490"/>
      <c r="AGY251" s="490"/>
      <c r="AGZ251" s="490"/>
      <c r="AHA251" s="490"/>
      <c r="AHB251" s="490"/>
      <c r="AHC251" s="490"/>
      <c r="AHD251" s="490"/>
      <c r="AHE251" s="490"/>
      <c r="AHF251" s="490"/>
      <c r="AHG251" s="490"/>
      <c r="AHH251" s="490"/>
      <c r="AHI251" s="490"/>
      <c r="AHJ251" s="490"/>
      <c r="AHK251" s="490"/>
      <c r="AHL251" s="490"/>
      <c r="AHM251" s="490"/>
      <c r="AHN251" s="490"/>
      <c r="AHO251" s="490"/>
      <c r="AHP251" s="490"/>
      <c r="AHQ251" s="490"/>
      <c r="AHR251" s="490"/>
      <c r="AHS251" s="490"/>
      <c r="AHT251" s="490"/>
      <c r="AHU251" s="490"/>
      <c r="AHV251" s="490"/>
      <c r="AHW251" s="490"/>
      <c r="AHX251" s="490"/>
      <c r="AHY251" s="490"/>
      <c r="AHZ251" s="490"/>
      <c r="AIA251" s="490"/>
      <c r="AIB251" s="490"/>
      <c r="AIC251" s="490"/>
      <c r="AID251" s="490"/>
      <c r="AIE251" s="490"/>
      <c r="AIF251" s="490"/>
      <c r="AIG251" s="490"/>
      <c r="AIH251" s="490"/>
      <c r="AII251" s="490"/>
      <c r="AIJ251" s="490"/>
      <c r="AIK251" s="490"/>
      <c r="AIL251" s="490"/>
      <c r="AIM251" s="490"/>
      <c r="AIN251" s="490"/>
      <c r="AIO251" s="490"/>
      <c r="AIP251" s="490"/>
      <c r="AIQ251" s="490"/>
      <c r="AIR251" s="490"/>
      <c r="AIS251" s="490"/>
      <c r="AIT251" s="490"/>
      <c r="AIU251" s="490"/>
      <c r="AIV251" s="490"/>
      <c r="AIW251" s="490"/>
      <c r="AIX251" s="490"/>
      <c r="AIY251" s="490"/>
      <c r="AIZ251" s="490"/>
      <c r="AJA251" s="490"/>
      <c r="AJB251" s="490"/>
      <c r="AJC251" s="490"/>
      <c r="AJD251" s="490"/>
      <c r="AJE251" s="490"/>
      <c r="AJF251" s="490"/>
      <c r="AJG251" s="490"/>
      <c r="AJH251" s="490"/>
      <c r="AJI251" s="490"/>
      <c r="AJJ251" s="490"/>
      <c r="AJK251" s="490"/>
      <c r="AJL251" s="490"/>
      <c r="AJM251" s="490"/>
      <c r="AJN251" s="490"/>
      <c r="AJO251" s="490"/>
      <c r="AJP251" s="490"/>
      <c r="AJQ251" s="490"/>
      <c r="AJR251" s="490"/>
      <c r="AJS251" s="490"/>
      <c r="AJT251" s="490"/>
      <c r="AJU251" s="490"/>
      <c r="AJV251" s="490"/>
      <c r="AJW251" s="490"/>
      <c r="AJX251" s="490"/>
      <c r="AJY251" s="490"/>
      <c r="AJZ251" s="490"/>
      <c r="AKA251" s="490"/>
      <c r="AKB251" s="490"/>
      <c r="AKC251" s="490"/>
      <c r="AKD251" s="490"/>
      <c r="AKE251" s="490"/>
      <c r="AKF251" s="490"/>
      <c r="AKG251" s="490"/>
      <c r="AKH251" s="490"/>
      <c r="AKI251" s="490"/>
      <c r="AKJ251" s="490"/>
      <c r="AKK251" s="490"/>
      <c r="AKL251" s="490"/>
      <c r="AKM251" s="490"/>
      <c r="AKN251" s="490"/>
      <c r="AKO251" s="490"/>
      <c r="AKP251" s="490"/>
      <c r="AKQ251" s="490"/>
      <c r="AKR251" s="490"/>
      <c r="AKS251" s="490"/>
      <c r="AKT251" s="490"/>
      <c r="AKU251" s="490"/>
      <c r="AKV251" s="490"/>
      <c r="AKW251" s="490"/>
      <c r="AKX251" s="490"/>
      <c r="AKY251" s="490"/>
      <c r="AKZ251" s="490"/>
      <c r="ALA251" s="490"/>
      <c r="ALB251" s="490"/>
      <c r="ALC251" s="490"/>
      <c r="ALD251" s="490"/>
      <c r="ALE251" s="490"/>
      <c r="ALF251" s="490"/>
      <c r="ALG251" s="490"/>
      <c r="ALH251" s="490"/>
      <c r="ALI251" s="490"/>
      <c r="ALJ251" s="490"/>
      <c r="ALK251" s="490"/>
      <c r="ALL251" s="490"/>
      <c r="ALM251" s="490"/>
      <c r="ALN251" s="490"/>
      <c r="ALO251" s="490"/>
      <c r="ALP251" s="490"/>
      <c r="ALQ251" s="490"/>
      <c r="ALR251" s="490"/>
      <c r="ALS251" s="490"/>
      <c r="ALT251" s="490"/>
      <c r="ALU251" s="490"/>
      <c r="ALV251" s="490"/>
      <c r="ALW251" s="490"/>
      <c r="ALX251" s="490"/>
      <c r="ALY251" s="490"/>
      <c r="ALZ251" s="490"/>
      <c r="AMA251" s="490"/>
      <c r="AMB251" s="490"/>
      <c r="AMC251" s="490"/>
      <c r="AMD251" s="490"/>
      <c r="AME251" s="490"/>
      <c r="AMF251" s="490"/>
      <c r="AMG251" s="490"/>
      <c r="AMH251" s="490"/>
      <c r="AMI251" s="490"/>
      <c r="AMJ251" s="490"/>
      <c r="AMK251" s="490"/>
      <c r="AML251" s="490"/>
      <c r="AMM251" s="490"/>
      <c r="AMN251" s="490"/>
      <c r="AMO251" s="490"/>
      <c r="AMP251" s="490"/>
      <c r="AMQ251" s="490"/>
      <c r="AMR251" s="490"/>
      <c r="AMS251" s="490"/>
      <c r="AMT251" s="490"/>
      <c r="AMU251" s="490"/>
      <c r="AMV251" s="490"/>
      <c r="AMW251" s="490"/>
      <c r="AMX251" s="490"/>
      <c r="AMY251" s="490"/>
      <c r="AMZ251" s="490"/>
      <c r="ANA251" s="490"/>
      <c r="ANB251" s="490"/>
      <c r="ANC251" s="490"/>
      <c r="AND251" s="490"/>
      <c r="ANE251" s="490"/>
      <c r="ANF251" s="490"/>
      <c r="ANG251" s="490"/>
      <c r="ANH251" s="490"/>
      <c r="ANI251" s="490"/>
      <c r="ANJ251" s="490"/>
      <c r="ANK251" s="490"/>
      <c r="ANL251" s="490"/>
      <c r="ANM251" s="490"/>
      <c r="ANN251" s="490"/>
      <c r="ANO251" s="490"/>
      <c r="ANP251" s="490"/>
      <c r="ANQ251" s="490"/>
      <c r="ANR251" s="490"/>
      <c r="ANS251" s="490"/>
      <c r="ANT251" s="490"/>
      <c r="ANU251" s="490"/>
      <c r="ANV251" s="490"/>
      <c r="ANW251" s="490"/>
      <c r="ANX251" s="490"/>
      <c r="ANY251" s="490"/>
      <c r="ANZ251" s="490"/>
      <c r="AOA251" s="490"/>
      <c r="AOB251" s="490"/>
      <c r="AOC251" s="490"/>
      <c r="AOD251" s="490"/>
      <c r="AOE251" s="490"/>
      <c r="AOF251" s="490"/>
      <c r="AOG251" s="490"/>
      <c r="AOH251" s="490"/>
      <c r="AOI251" s="490"/>
      <c r="AOJ251" s="490"/>
      <c r="AOK251" s="490"/>
      <c r="AOL251" s="490"/>
      <c r="AOM251" s="490"/>
      <c r="AON251" s="490"/>
      <c r="AOO251" s="490"/>
      <c r="AOP251" s="490"/>
      <c r="AOQ251" s="490"/>
      <c r="AOR251" s="490"/>
      <c r="AOS251" s="490"/>
      <c r="AOT251" s="490"/>
      <c r="AOU251" s="490"/>
      <c r="AOV251" s="490"/>
      <c r="AOW251" s="490"/>
      <c r="AOX251" s="490"/>
      <c r="AOY251" s="490"/>
      <c r="AOZ251" s="490"/>
      <c r="APA251" s="490"/>
      <c r="APB251" s="490"/>
      <c r="APC251" s="490"/>
      <c r="APD251" s="490"/>
      <c r="APE251" s="490"/>
      <c r="APF251" s="490"/>
      <c r="APG251" s="490"/>
      <c r="APH251" s="490"/>
      <c r="API251" s="490"/>
      <c r="APJ251" s="490"/>
      <c r="APK251" s="490"/>
      <c r="APL251" s="490"/>
      <c r="APM251" s="490"/>
      <c r="APN251" s="490"/>
      <c r="APO251" s="490"/>
      <c r="APP251" s="490"/>
      <c r="APQ251" s="490"/>
      <c r="APR251" s="490"/>
      <c r="APS251" s="490"/>
      <c r="APT251" s="490"/>
      <c r="APU251" s="490"/>
      <c r="APV251" s="490"/>
      <c r="APW251" s="490"/>
      <c r="APX251" s="490"/>
      <c r="APY251" s="490"/>
      <c r="APZ251" s="490"/>
      <c r="AQA251" s="490"/>
      <c r="AQB251" s="490"/>
      <c r="AQC251" s="490"/>
      <c r="AQD251" s="490"/>
      <c r="AQE251" s="490"/>
      <c r="AQF251" s="490"/>
      <c r="AQG251" s="490"/>
      <c r="AQH251" s="490"/>
      <c r="AQI251" s="490"/>
      <c r="AQJ251" s="490"/>
      <c r="AQK251" s="490"/>
      <c r="AQL251" s="490"/>
      <c r="AQM251" s="490"/>
      <c r="AQN251" s="490"/>
      <c r="AQO251" s="490"/>
      <c r="AQP251" s="490"/>
      <c r="AQQ251" s="490"/>
      <c r="AQR251" s="490"/>
      <c r="AQS251" s="490"/>
      <c r="AQT251" s="490"/>
      <c r="AQU251" s="490"/>
      <c r="AQV251" s="490"/>
      <c r="AQW251" s="490"/>
      <c r="AQX251" s="490"/>
      <c r="AQY251" s="490"/>
      <c r="AQZ251" s="490"/>
      <c r="ARA251" s="490"/>
      <c r="ARB251" s="490"/>
      <c r="ARC251" s="490"/>
      <c r="ARD251" s="490"/>
      <c r="ARE251" s="490"/>
      <c r="ARF251" s="490"/>
      <c r="ARG251" s="490"/>
      <c r="ARH251" s="490"/>
      <c r="ARI251" s="490"/>
      <c r="ARJ251" s="490"/>
      <c r="ARK251" s="490"/>
      <c r="ARL251" s="490"/>
      <c r="ARM251" s="490"/>
      <c r="ARN251" s="490"/>
      <c r="ARO251" s="490"/>
      <c r="ARP251" s="490"/>
      <c r="ARQ251" s="490"/>
      <c r="ARR251" s="490"/>
      <c r="ARS251" s="490"/>
      <c r="ART251" s="490"/>
      <c r="ARU251" s="490"/>
      <c r="ARV251" s="490"/>
      <c r="ARW251" s="490"/>
      <c r="ARX251" s="490"/>
      <c r="ARY251" s="490"/>
      <c r="ARZ251" s="490"/>
      <c r="ASA251" s="490"/>
      <c r="ASB251" s="490"/>
      <c r="ASC251" s="490"/>
      <c r="ASD251" s="490"/>
      <c r="ASE251" s="490"/>
      <c r="ASF251" s="490"/>
      <c r="ASG251" s="490"/>
      <c r="ASH251" s="490"/>
      <c r="ASI251" s="490"/>
      <c r="ASJ251" s="490"/>
      <c r="ASK251" s="490"/>
      <c r="ASL251" s="490"/>
      <c r="ASM251" s="490"/>
      <c r="ASN251" s="490"/>
      <c r="ASO251" s="490"/>
      <c r="ASP251" s="490"/>
      <c r="ASQ251" s="490"/>
      <c r="ASR251" s="490"/>
      <c r="ASS251" s="490"/>
      <c r="AST251" s="490"/>
      <c r="ASU251" s="490"/>
      <c r="ASV251" s="490"/>
      <c r="ASW251" s="490"/>
      <c r="ASX251" s="490"/>
      <c r="ASY251" s="490"/>
      <c r="ASZ251" s="490"/>
      <c r="ATA251" s="490"/>
      <c r="ATB251" s="490"/>
      <c r="ATC251" s="490"/>
      <c r="ATD251" s="490"/>
      <c r="ATE251" s="490"/>
      <c r="ATF251" s="490"/>
      <c r="ATG251" s="490"/>
      <c r="ATH251" s="490"/>
      <c r="ATI251" s="490"/>
      <c r="ATJ251" s="490"/>
      <c r="ATK251" s="490"/>
      <c r="ATL251" s="490"/>
      <c r="ATM251" s="490"/>
      <c r="ATN251" s="490"/>
      <c r="ATO251" s="490"/>
      <c r="ATP251" s="490"/>
      <c r="ATQ251" s="490"/>
      <c r="ATR251" s="490"/>
      <c r="ATS251" s="490"/>
      <c r="ATT251" s="490"/>
      <c r="ATU251" s="490"/>
      <c r="ATV251" s="490"/>
      <c r="ATW251" s="490"/>
      <c r="ATX251" s="490"/>
      <c r="ATY251" s="490"/>
      <c r="ATZ251" s="490"/>
      <c r="AUA251" s="490"/>
      <c r="AUB251" s="490"/>
      <c r="AUC251" s="490"/>
      <c r="AUD251" s="490"/>
      <c r="AUE251" s="490"/>
      <c r="AUF251" s="490"/>
      <c r="AUG251" s="490"/>
      <c r="AUH251" s="490"/>
      <c r="AUI251" s="490"/>
      <c r="AUJ251" s="490"/>
      <c r="AUK251" s="490"/>
      <c r="AUL251" s="490"/>
      <c r="AUM251" s="490"/>
      <c r="AUN251" s="490"/>
      <c r="AUO251" s="490"/>
      <c r="AUP251" s="490"/>
      <c r="AUQ251" s="490"/>
      <c r="AUR251" s="490"/>
      <c r="AUS251" s="490"/>
      <c r="AUT251" s="490"/>
      <c r="AUU251" s="490"/>
      <c r="AUV251" s="490"/>
      <c r="AUW251" s="490"/>
      <c r="AUX251" s="490"/>
      <c r="AUY251" s="490"/>
      <c r="AUZ251" s="490"/>
      <c r="AVA251" s="490"/>
      <c r="AVB251" s="490"/>
      <c r="AVC251" s="490"/>
      <c r="AVD251" s="490"/>
      <c r="AVE251" s="490"/>
      <c r="AVF251" s="490"/>
      <c r="AVG251" s="490"/>
      <c r="AVH251" s="490"/>
      <c r="AVI251" s="490"/>
      <c r="AVJ251" s="490"/>
      <c r="AVK251" s="490"/>
      <c r="AVL251" s="490"/>
      <c r="AVM251" s="490"/>
      <c r="AVN251" s="490"/>
      <c r="AVO251" s="490"/>
      <c r="AVP251" s="490"/>
      <c r="AVQ251" s="490"/>
      <c r="AVR251" s="490"/>
      <c r="AVS251" s="490"/>
      <c r="AVT251" s="490"/>
      <c r="AVU251" s="490"/>
      <c r="AVV251" s="490"/>
      <c r="AVW251" s="490"/>
      <c r="AVX251" s="490"/>
      <c r="AVY251" s="490"/>
      <c r="AVZ251" s="490"/>
      <c r="AWA251" s="490"/>
      <c r="AWB251" s="490"/>
      <c r="AWC251" s="490"/>
      <c r="AWD251" s="490"/>
      <c r="AWE251" s="490"/>
      <c r="AWF251" s="490"/>
      <c r="AWG251" s="490"/>
      <c r="AWH251" s="490"/>
      <c r="AWI251" s="490"/>
      <c r="AWJ251" s="490"/>
      <c r="AWK251" s="490"/>
      <c r="AWL251" s="490"/>
      <c r="AWM251" s="490"/>
      <c r="AWN251" s="490"/>
      <c r="AWO251" s="490"/>
      <c r="AWP251" s="490"/>
      <c r="AWQ251" s="490"/>
      <c r="AWR251" s="490"/>
      <c r="AWS251" s="490"/>
      <c r="AWT251" s="490"/>
      <c r="AWU251" s="490"/>
      <c r="AWV251" s="490"/>
      <c r="AWW251" s="490"/>
      <c r="AWX251" s="490"/>
      <c r="AWY251" s="490"/>
      <c r="AWZ251" s="490"/>
      <c r="AXA251" s="490"/>
      <c r="AXB251" s="490"/>
      <c r="AXC251" s="490"/>
      <c r="AXD251" s="490"/>
      <c r="AXE251" s="490"/>
      <c r="AXF251" s="490"/>
      <c r="AXG251" s="490"/>
      <c r="AXH251" s="490"/>
      <c r="AXI251" s="490"/>
      <c r="AXJ251" s="490"/>
      <c r="AXK251" s="490"/>
      <c r="AXL251" s="490"/>
      <c r="AXM251" s="490"/>
      <c r="AXN251" s="490"/>
      <c r="AXO251" s="490"/>
      <c r="AXP251" s="490"/>
      <c r="AXQ251" s="490"/>
      <c r="AXR251" s="490"/>
      <c r="AXS251" s="490"/>
      <c r="AXT251" s="490"/>
      <c r="AXU251" s="490"/>
      <c r="AXV251" s="490"/>
      <c r="AXW251" s="490"/>
      <c r="AXX251" s="490"/>
      <c r="AXY251" s="490"/>
      <c r="AXZ251" s="490"/>
      <c r="AYA251" s="490"/>
      <c r="AYB251" s="490"/>
      <c r="AYC251" s="490"/>
      <c r="AYD251" s="490"/>
      <c r="AYE251" s="490"/>
      <c r="AYF251" s="490"/>
      <c r="AYG251" s="490"/>
      <c r="AYH251" s="490"/>
      <c r="AYI251" s="490"/>
      <c r="AYJ251" s="490"/>
      <c r="AYK251" s="490"/>
      <c r="AYL251" s="490"/>
      <c r="AYM251" s="490"/>
      <c r="AYN251" s="490"/>
      <c r="AYO251" s="490"/>
      <c r="AYP251" s="490"/>
      <c r="AYQ251" s="490"/>
      <c r="AYR251" s="490"/>
      <c r="AYS251" s="490"/>
      <c r="AYT251" s="490"/>
      <c r="AYU251" s="490"/>
      <c r="AYV251" s="490"/>
      <c r="AYW251" s="490"/>
      <c r="AYX251" s="490"/>
      <c r="AYY251" s="490"/>
      <c r="AYZ251" s="490"/>
      <c r="AZA251" s="490"/>
      <c r="AZB251" s="490"/>
      <c r="AZC251" s="490"/>
      <c r="AZD251" s="490"/>
      <c r="AZE251" s="490"/>
      <c r="AZF251" s="490"/>
      <c r="AZG251" s="490"/>
      <c r="AZH251" s="490"/>
      <c r="AZI251" s="490"/>
      <c r="AZJ251" s="490"/>
      <c r="AZK251" s="490"/>
      <c r="AZL251" s="490"/>
      <c r="AZM251" s="490"/>
      <c r="AZN251" s="490"/>
      <c r="AZO251" s="490"/>
      <c r="AZP251" s="490"/>
      <c r="AZQ251" s="490"/>
      <c r="AZR251" s="490"/>
      <c r="AZS251" s="490"/>
      <c r="AZT251" s="490"/>
      <c r="AZU251" s="490"/>
      <c r="AZV251" s="490"/>
      <c r="AZW251" s="490"/>
      <c r="AZX251" s="490"/>
      <c r="AZY251" s="490"/>
      <c r="AZZ251" s="490"/>
      <c r="BAA251" s="490"/>
      <c r="BAB251" s="490"/>
      <c r="BAC251" s="490"/>
      <c r="BAD251" s="490"/>
      <c r="BAE251" s="490"/>
      <c r="BAF251" s="490"/>
      <c r="BAG251" s="490"/>
      <c r="BAH251" s="490"/>
      <c r="BAI251" s="490"/>
      <c r="BAJ251" s="490"/>
      <c r="BAK251" s="490"/>
      <c r="BAL251" s="490"/>
      <c r="BAM251" s="490"/>
      <c r="BAN251" s="490"/>
      <c r="BAO251" s="490"/>
      <c r="BAP251" s="490"/>
      <c r="BAQ251" s="490"/>
      <c r="BAR251" s="490"/>
      <c r="BAS251" s="490"/>
      <c r="BAT251" s="490"/>
      <c r="BAU251" s="490"/>
      <c r="BAV251" s="490"/>
      <c r="BAW251" s="490"/>
      <c r="BAX251" s="490"/>
      <c r="BAY251" s="490"/>
      <c r="BAZ251" s="490"/>
      <c r="BBA251" s="490"/>
      <c r="BBB251" s="490"/>
      <c r="BBC251" s="490"/>
      <c r="BBD251" s="490"/>
      <c r="BBE251" s="490"/>
      <c r="BBF251" s="490"/>
      <c r="BBG251" s="490"/>
      <c r="BBH251" s="490"/>
      <c r="BBI251" s="490"/>
      <c r="BBJ251" s="490"/>
      <c r="BBK251" s="490"/>
      <c r="BBL251" s="490"/>
      <c r="BBM251" s="490"/>
      <c r="BBN251" s="490"/>
      <c r="BBO251" s="490"/>
      <c r="BBP251" s="490"/>
      <c r="BBQ251" s="490"/>
      <c r="BBR251" s="490"/>
      <c r="BBS251" s="490"/>
      <c r="BBT251" s="490"/>
      <c r="BBU251" s="490"/>
      <c r="BBV251" s="490"/>
      <c r="BBW251" s="490"/>
      <c r="BBX251" s="490"/>
      <c r="BBY251" s="490"/>
      <c r="BBZ251" s="490"/>
      <c r="BCA251" s="490"/>
      <c r="BCB251" s="490"/>
      <c r="BCC251" s="490"/>
      <c r="BCD251" s="490"/>
      <c r="BCE251" s="490"/>
      <c r="BCF251" s="490"/>
      <c r="BCG251" s="490"/>
      <c r="BCH251" s="490"/>
      <c r="BCI251" s="490"/>
      <c r="BCJ251" s="490"/>
      <c r="BCK251" s="490"/>
      <c r="BCL251" s="490"/>
      <c r="BCM251" s="490"/>
      <c r="BCN251" s="490"/>
      <c r="BCO251" s="490"/>
      <c r="BCP251" s="490"/>
      <c r="BCQ251" s="490"/>
      <c r="BCR251" s="490"/>
      <c r="BCS251" s="490"/>
      <c r="BCT251" s="490"/>
      <c r="BCU251" s="490"/>
      <c r="BCV251" s="490"/>
      <c r="BCW251" s="490"/>
      <c r="BCX251" s="490"/>
      <c r="BCY251" s="490"/>
      <c r="BCZ251" s="490"/>
      <c r="BDA251" s="490"/>
      <c r="BDB251" s="490"/>
      <c r="BDC251" s="490"/>
      <c r="BDD251" s="490"/>
      <c r="BDE251" s="490"/>
      <c r="BDF251" s="490"/>
      <c r="BDG251" s="490"/>
      <c r="BDH251" s="490"/>
      <c r="BDI251" s="490"/>
      <c r="BDJ251" s="490"/>
      <c r="BDK251" s="490"/>
      <c r="BDL251" s="490"/>
      <c r="BDM251" s="490"/>
      <c r="BDN251" s="490"/>
      <c r="BDO251" s="490"/>
      <c r="BDP251" s="490"/>
      <c r="BDQ251" s="490"/>
      <c r="BDR251" s="490"/>
      <c r="BDS251" s="490"/>
      <c r="BDT251" s="490"/>
      <c r="BDU251" s="490"/>
      <c r="BDV251" s="490"/>
      <c r="BDW251" s="490"/>
      <c r="BDX251" s="490"/>
      <c r="BDY251" s="490"/>
      <c r="BDZ251" s="490"/>
      <c r="BEA251" s="490"/>
      <c r="BEB251" s="490"/>
      <c r="BEC251" s="490"/>
      <c r="BED251" s="490"/>
      <c r="BEE251" s="490"/>
      <c r="BEF251" s="490"/>
      <c r="BEG251" s="490"/>
      <c r="BEH251" s="490"/>
      <c r="BEI251" s="490"/>
      <c r="BEJ251" s="490"/>
      <c r="BEK251" s="490"/>
      <c r="BEL251" s="490"/>
      <c r="BEM251" s="490"/>
      <c r="BEN251" s="490"/>
      <c r="BEO251" s="490"/>
      <c r="BEP251" s="490"/>
      <c r="BEQ251" s="490"/>
      <c r="BER251" s="490"/>
      <c r="BES251" s="490"/>
      <c r="BET251" s="490"/>
      <c r="BEU251" s="490"/>
      <c r="BEV251" s="490"/>
      <c r="BEW251" s="490"/>
      <c r="BEX251" s="490"/>
      <c r="BEY251" s="490"/>
      <c r="BEZ251" s="490"/>
      <c r="BFA251" s="490"/>
      <c r="BFB251" s="490"/>
      <c r="BFC251" s="490"/>
      <c r="BFD251" s="490"/>
      <c r="BFE251" s="490"/>
      <c r="BFF251" s="490"/>
      <c r="BFG251" s="490"/>
      <c r="BFH251" s="490"/>
      <c r="BFI251" s="490"/>
      <c r="BFJ251" s="490"/>
      <c r="BFK251" s="490"/>
      <c r="BFL251" s="490"/>
      <c r="BFM251" s="490"/>
      <c r="BFN251" s="490"/>
      <c r="BFO251" s="490"/>
      <c r="BFP251" s="490"/>
      <c r="BFQ251" s="490"/>
      <c r="BFR251" s="490"/>
      <c r="BFS251" s="490"/>
      <c r="BFT251" s="490"/>
      <c r="BFU251" s="490"/>
      <c r="BFV251" s="490"/>
      <c r="BFW251" s="490"/>
      <c r="BFX251" s="490"/>
      <c r="BFY251" s="490"/>
      <c r="BFZ251" s="490"/>
      <c r="BGA251" s="490"/>
      <c r="BGB251" s="490"/>
      <c r="BGC251" s="490"/>
      <c r="BGD251" s="490"/>
      <c r="BGE251" s="490"/>
      <c r="BGF251" s="490"/>
      <c r="BGG251" s="490"/>
      <c r="BGH251" s="490"/>
      <c r="BGI251" s="490"/>
      <c r="BGJ251" s="490"/>
      <c r="BGK251" s="490"/>
      <c r="BGL251" s="490"/>
      <c r="BGM251" s="490"/>
      <c r="BGN251" s="490"/>
      <c r="BGO251" s="490"/>
      <c r="BGP251" s="490"/>
      <c r="BGQ251" s="490"/>
      <c r="BGR251" s="490"/>
      <c r="BGS251" s="490"/>
      <c r="BGT251" s="490"/>
      <c r="BGU251" s="490"/>
      <c r="BGV251" s="490"/>
      <c r="BGW251" s="490"/>
      <c r="BGX251" s="490"/>
      <c r="BGY251" s="490"/>
      <c r="BGZ251" s="490"/>
      <c r="BHA251" s="490"/>
      <c r="BHB251" s="490"/>
      <c r="BHC251" s="490"/>
      <c r="BHD251" s="490"/>
      <c r="BHE251" s="490"/>
      <c r="BHF251" s="490"/>
      <c r="BHG251" s="490"/>
      <c r="BHH251" s="490"/>
      <c r="BHI251" s="490"/>
      <c r="BHJ251" s="490"/>
      <c r="BHK251" s="490"/>
      <c r="BHL251" s="490"/>
      <c r="BHM251" s="490"/>
      <c r="BHN251" s="490"/>
      <c r="BHO251" s="490"/>
      <c r="BHP251" s="490"/>
      <c r="BHQ251" s="490"/>
      <c r="BHR251" s="490"/>
      <c r="BHS251" s="490"/>
      <c r="BHT251" s="490"/>
      <c r="BHU251" s="490"/>
      <c r="BHV251" s="490"/>
      <c r="BHW251" s="490"/>
      <c r="BHX251" s="490"/>
      <c r="BHY251" s="490"/>
      <c r="BHZ251" s="490"/>
      <c r="BIA251" s="490"/>
      <c r="BIB251" s="490"/>
      <c r="BIC251" s="490"/>
      <c r="BID251" s="490"/>
      <c r="BIE251" s="490"/>
      <c r="BIF251" s="490"/>
      <c r="BIG251" s="490"/>
      <c r="BIH251" s="490"/>
      <c r="BII251" s="490"/>
      <c r="BIJ251" s="490"/>
      <c r="BIK251" s="490"/>
      <c r="BIL251" s="490"/>
      <c r="BIM251" s="490"/>
      <c r="BIN251" s="490"/>
      <c r="BIO251" s="490"/>
      <c r="BIP251" s="490"/>
      <c r="BIQ251" s="490"/>
      <c r="BIR251" s="490"/>
      <c r="BIS251" s="490"/>
      <c r="BIT251" s="490"/>
      <c r="BIU251" s="490"/>
      <c r="BIV251" s="490"/>
      <c r="BIW251" s="490"/>
      <c r="BIX251" s="490"/>
      <c r="BIY251" s="490"/>
      <c r="BIZ251" s="490"/>
      <c r="BJA251" s="490"/>
      <c r="BJB251" s="490"/>
      <c r="BJC251" s="490"/>
      <c r="BJD251" s="490"/>
      <c r="BJE251" s="490"/>
      <c r="BJF251" s="490"/>
      <c r="BJG251" s="490"/>
      <c r="BJH251" s="490"/>
      <c r="BJI251" s="490"/>
      <c r="BJJ251" s="490"/>
      <c r="BJK251" s="490"/>
      <c r="BJL251" s="490"/>
      <c r="BJM251" s="490"/>
      <c r="BJN251" s="490"/>
      <c r="BJO251" s="490"/>
      <c r="BJP251" s="490"/>
      <c r="BJQ251" s="490"/>
      <c r="BJR251" s="490"/>
      <c r="BJS251" s="490"/>
      <c r="BJT251" s="490"/>
      <c r="BJU251" s="490"/>
      <c r="BJV251" s="490"/>
      <c r="BJW251" s="490"/>
      <c r="BJX251" s="490"/>
      <c r="BJY251" s="490"/>
      <c r="BJZ251" s="490"/>
      <c r="BKA251" s="490"/>
      <c r="BKB251" s="490"/>
      <c r="BKC251" s="490"/>
      <c r="BKD251" s="490"/>
      <c r="BKE251" s="490"/>
      <c r="BKF251" s="490"/>
      <c r="BKG251" s="490"/>
      <c r="BKH251" s="490"/>
      <c r="BKI251" s="490"/>
      <c r="BKJ251" s="490"/>
      <c r="BKK251" s="490"/>
      <c r="BKL251" s="490"/>
      <c r="BKM251" s="490"/>
      <c r="BKN251" s="490"/>
      <c r="BKO251" s="490"/>
      <c r="BKP251" s="490"/>
      <c r="BKQ251" s="490"/>
      <c r="BKR251" s="490"/>
      <c r="BKS251" s="490"/>
      <c r="BKT251" s="490"/>
      <c r="BKU251" s="490"/>
      <c r="BKV251" s="490"/>
      <c r="BKW251" s="490"/>
      <c r="BKX251" s="490"/>
      <c r="BKY251" s="490"/>
      <c r="BKZ251" s="490"/>
      <c r="BLA251" s="490"/>
      <c r="BLB251" s="490"/>
      <c r="BLC251" s="490"/>
      <c r="BLD251" s="490"/>
      <c r="BLE251" s="490"/>
      <c r="BLF251" s="490"/>
      <c r="BLG251" s="490"/>
      <c r="BLH251" s="490"/>
      <c r="BLI251" s="490"/>
      <c r="BLJ251" s="490"/>
      <c r="BLK251" s="490"/>
      <c r="BLL251" s="490"/>
      <c r="BLM251" s="490"/>
      <c r="BLN251" s="490"/>
      <c r="BLO251" s="490"/>
      <c r="BLP251" s="490"/>
      <c r="BLQ251" s="490"/>
      <c r="BLR251" s="490"/>
      <c r="BLS251" s="490"/>
      <c r="BLT251" s="490"/>
      <c r="BLU251" s="490"/>
      <c r="BLV251" s="490"/>
      <c r="BLW251" s="490"/>
      <c r="BLX251" s="490"/>
      <c r="BLY251" s="490"/>
      <c r="BLZ251" s="490"/>
      <c r="BMA251" s="490"/>
      <c r="BMB251" s="490"/>
      <c r="BMC251" s="490"/>
      <c r="BMD251" s="490"/>
      <c r="BME251" s="490"/>
      <c r="BMF251" s="490"/>
      <c r="BMG251" s="490"/>
      <c r="BMH251" s="490"/>
      <c r="BMI251" s="490"/>
      <c r="BMJ251" s="490"/>
      <c r="BMK251" s="490"/>
      <c r="BML251" s="490"/>
      <c r="BMM251" s="490"/>
      <c r="BMN251" s="490"/>
      <c r="BMO251" s="490"/>
      <c r="BMP251" s="490"/>
      <c r="BMQ251" s="490"/>
      <c r="BMR251" s="490"/>
      <c r="BMS251" s="490"/>
      <c r="BMT251" s="490"/>
      <c r="BMU251" s="490"/>
      <c r="BMV251" s="490"/>
      <c r="BMW251" s="490"/>
      <c r="BMX251" s="490"/>
      <c r="BMY251" s="490"/>
      <c r="BMZ251" s="490"/>
      <c r="BNA251" s="490"/>
      <c r="BNB251" s="490"/>
      <c r="BNC251" s="490"/>
      <c r="BND251" s="490"/>
      <c r="BNE251" s="490"/>
      <c r="BNF251" s="490"/>
      <c r="BNG251" s="490"/>
      <c r="BNH251" s="490"/>
      <c r="BNI251" s="490"/>
      <c r="BNJ251" s="490"/>
      <c r="BNK251" s="490"/>
      <c r="BNL251" s="490"/>
      <c r="BNM251" s="490"/>
      <c r="BNN251" s="490"/>
      <c r="BNO251" s="490"/>
      <c r="BNP251" s="490"/>
      <c r="BNQ251" s="490"/>
      <c r="BNR251" s="490"/>
      <c r="BNS251" s="490"/>
      <c r="BNT251" s="490"/>
      <c r="BNU251" s="490"/>
      <c r="BNV251" s="490"/>
      <c r="BNW251" s="490"/>
      <c r="BNX251" s="490"/>
      <c r="BNY251" s="490"/>
      <c r="BNZ251" s="490"/>
      <c r="BOA251" s="490"/>
      <c r="BOB251" s="490"/>
      <c r="BOC251" s="490"/>
      <c r="BOD251" s="490"/>
      <c r="BOE251" s="490"/>
      <c r="BOF251" s="490"/>
      <c r="BOG251" s="490"/>
      <c r="BOH251" s="490"/>
      <c r="BOI251" s="490"/>
      <c r="BOJ251" s="490"/>
      <c r="BOK251" s="490"/>
      <c r="BOL251" s="490"/>
      <c r="BOM251" s="490"/>
      <c r="BON251" s="490"/>
      <c r="BOO251" s="490"/>
      <c r="BOP251" s="490"/>
      <c r="BOQ251" s="490"/>
      <c r="BOR251" s="490"/>
      <c r="BOS251" s="490"/>
      <c r="BOT251" s="490"/>
      <c r="BOU251" s="490"/>
      <c r="BOV251" s="490"/>
      <c r="BOW251" s="490"/>
      <c r="BOX251" s="490"/>
      <c r="BOY251" s="490"/>
      <c r="BOZ251" s="490"/>
      <c r="BPA251" s="490"/>
      <c r="BPB251" s="490"/>
      <c r="BPC251" s="490"/>
      <c r="BPD251" s="490"/>
      <c r="BPE251" s="490"/>
      <c r="BPF251" s="490"/>
      <c r="BPG251" s="490"/>
      <c r="BPH251" s="490"/>
      <c r="BPI251" s="490"/>
      <c r="BPJ251" s="490"/>
      <c r="BPK251" s="490"/>
      <c r="BPL251" s="490"/>
      <c r="BPM251" s="490"/>
      <c r="BPN251" s="490"/>
      <c r="BPO251" s="490"/>
      <c r="BPP251" s="490"/>
      <c r="BPQ251" s="490"/>
      <c r="BPR251" s="490"/>
      <c r="BPS251" s="490"/>
      <c r="BPT251" s="490"/>
      <c r="BPU251" s="490"/>
      <c r="BPV251" s="490"/>
      <c r="BPW251" s="490"/>
      <c r="BPX251" s="490"/>
      <c r="BPY251" s="490"/>
      <c r="BPZ251" s="490"/>
      <c r="BQA251" s="490"/>
      <c r="BQB251" s="490"/>
      <c r="BQC251" s="490"/>
      <c r="BQD251" s="490"/>
      <c r="BQE251" s="490"/>
      <c r="BQF251" s="490"/>
      <c r="BQG251" s="490"/>
      <c r="BQH251" s="490"/>
      <c r="BQI251" s="490"/>
      <c r="BQJ251" s="490"/>
      <c r="BQK251" s="490"/>
      <c r="BQL251" s="490"/>
      <c r="BQM251" s="490"/>
      <c r="BQN251" s="490"/>
      <c r="BQO251" s="490"/>
      <c r="BQP251" s="490"/>
      <c r="BQQ251" s="490"/>
      <c r="BQR251" s="490"/>
      <c r="BQS251" s="490"/>
      <c r="BQT251" s="490"/>
      <c r="BQU251" s="490"/>
      <c r="BQV251" s="490"/>
      <c r="BQW251" s="490"/>
      <c r="BQX251" s="490"/>
      <c r="BQY251" s="490"/>
      <c r="BQZ251" s="490"/>
      <c r="BRA251" s="490"/>
      <c r="BRB251" s="490"/>
      <c r="BRC251" s="490"/>
      <c r="BRD251" s="490"/>
      <c r="BRE251" s="490"/>
      <c r="BRF251" s="490"/>
      <c r="BRG251" s="490"/>
      <c r="BRH251" s="490"/>
      <c r="BRI251" s="490"/>
      <c r="BRJ251" s="490"/>
      <c r="BRK251" s="490"/>
      <c r="BRL251" s="490"/>
      <c r="BRM251" s="490"/>
      <c r="BRN251" s="490"/>
      <c r="BRO251" s="490"/>
      <c r="BRP251" s="490"/>
      <c r="BRQ251" s="490"/>
      <c r="BRR251" s="490"/>
      <c r="BRS251" s="490"/>
      <c r="BRT251" s="490"/>
      <c r="BRU251" s="490"/>
      <c r="BRV251" s="490"/>
      <c r="BRW251" s="490"/>
      <c r="BRX251" s="490"/>
      <c r="BRY251" s="490"/>
      <c r="BRZ251" s="490"/>
      <c r="BSA251" s="490"/>
      <c r="BSB251" s="490"/>
      <c r="BSC251" s="490"/>
      <c r="BSD251" s="490"/>
      <c r="BSE251" s="490"/>
      <c r="BSF251" s="490"/>
      <c r="BSG251" s="490"/>
      <c r="BSH251" s="490"/>
      <c r="BSI251" s="490"/>
      <c r="BSJ251" s="490"/>
      <c r="BSK251" s="490"/>
      <c r="BSL251" s="490"/>
      <c r="BSM251" s="490"/>
      <c r="BSN251" s="490"/>
      <c r="BSO251" s="490"/>
      <c r="BSP251" s="490"/>
      <c r="BSQ251" s="490"/>
      <c r="BSR251" s="490"/>
      <c r="BSS251" s="490"/>
      <c r="BST251" s="490"/>
      <c r="BSU251" s="490"/>
      <c r="BSV251" s="490"/>
      <c r="BSW251" s="490"/>
      <c r="BSX251" s="490"/>
      <c r="BSY251" s="490"/>
      <c r="BSZ251" s="490"/>
      <c r="BTA251" s="490"/>
      <c r="BTB251" s="490"/>
      <c r="BTC251" s="490"/>
      <c r="BTD251" s="490"/>
      <c r="BTE251" s="490"/>
      <c r="BTF251" s="490"/>
      <c r="BTG251" s="490"/>
      <c r="BTH251" s="490"/>
      <c r="BTI251" s="490"/>
    </row>
    <row r="252" spans="1:1881" s="489" customFormat="1" ht="202.5" customHeight="1" x14ac:dyDescent="0.25">
      <c r="A252" s="455">
        <v>958</v>
      </c>
      <c r="B252" s="451"/>
      <c r="C252" s="452"/>
      <c r="D252" s="459" t="s">
        <v>1248</v>
      </c>
      <c r="E252" s="454" t="s">
        <v>952</v>
      </c>
      <c r="F252" s="916"/>
      <c r="G252" s="563" t="str">
        <f t="shared" si="3"/>
        <v>Please do not leave blank</v>
      </c>
      <c r="H252" s="491"/>
      <c r="I252"/>
      <c r="J252"/>
      <c r="K252"/>
      <c r="L252"/>
      <c r="M252"/>
      <c r="N252"/>
      <c r="O252"/>
      <c r="P252" s="490"/>
      <c r="Q252" s="490"/>
      <c r="R252" s="490"/>
      <c r="S252" s="490"/>
      <c r="T252" s="490"/>
      <c r="U252" s="490"/>
      <c r="V252" s="490"/>
      <c r="W252" s="490"/>
      <c r="X252" s="490"/>
      <c r="Y252" s="490"/>
      <c r="Z252" s="490"/>
      <c r="AA252" s="490"/>
      <c r="AB252" s="490"/>
      <c r="AC252" s="490"/>
      <c r="AD252" s="490"/>
      <c r="AE252" s="490"/>
      <c r="AF252" s="490"/>
      <c r="AG252" s="490"/>
      <c r="AH252" s="490"/>
      <c r="AI252" s="490"/>
      <c r="AJ252" s="490"/>
      <c r="AK252" s="490"/>
      <c r="AL252" s="490"/>
      <c r="AM252" s="490"/>
      <c r="AN252" s="490"/>
      <c r="AO252" s="490"/>
      <c r="AP252" s="490"/>
      <c r="AQ252" s="490"/>
      <c r="AR252" s="490"/>
      <c r="AS252" s="490"/>
      <c r="AT252" s="490"/>
      <c r="AU252" s="490"/>
      <c r="AV252" s="490"/>
      <c r="AW252" s="490"/>
      <c r="AX252" s="490"/>
      <c r="AY252" s="490"/>
      <c r="AZ252" s="490"/>
      <c r="BA252" s="490"/>
      <c r="BB252" s="490"/>
      <c r="BC252" s="490"/>
      <c r="BD252" s="490"/>
      <c r="BE252" s="490"/>
      <c r="BF252" s="490"/>
      <c r="BG252" s="490"/>
      <c r="BH252" s="490"/>
      <c r="BI252" s="490"/>
      <c r="BJ252" s="490"/>
      <c r="BK252" s="490"/>
      <c r="BL252" s="490"/>
      <c r="BM252" s="490"/>
      <c r="BN252" s="490"/>
      <c r="BO252" s="490"/>
      <c r="BP252" s="490"/>
      <c r="BQ252" s="490"/>
      <c r="BR252" s="490"/>
      <c r="BS252" s="490"/>
      <c r="BT252" s="490"/>
      <c r="BU252" s="490"/>
      <c r="BV252" s="490"/>
      <c r="BW252" s="490"/>
      <c r="BX252" s="490"/>
      <c r="BY252" s="490"/>
      <c r="BZ252" s="490"/>
      <c r="CA252" s="490"/>
      <c r="CB252" s="490"/>
      <c r="CC252" s="490"/>
      <c r="CD252" s="490"/>
      <c r="CE252" s="490"/>
      <c r="CF252" s="490"/>
      <c r="CG252" s="490"/>
      <c r="CH252" s="490"/>
      <c r="CI252" s="490"/>
      <c r="CJ252" s="490"/>
      <c r="CK252" s="490"/>
      <c r="CL252" s="490"/>
      <c r="CM252" s="490"/>
      <c r="CN252" s="490"/>
      <c r="CO252" s="490"/>
      <c r="CP252" s="490"/>
      <c r="CQ252" s="490"/>
      <c r="CR252" s="490"/>
      <c r="CS252" s="490"/>
      <c r="CT252" s="490"/>
      <c r="CU252" s="490"/>
      <c r="CV252" s="490"/>
      <c r="CW252" s="490"/>
      <c r="CX252" s="490"/>
      <c r="CY252" s="490"/>
      <c r="CZ252" s="490"/>
      <c r="DA252" s="490"/>
      <c r="DB252" s="490"/>
      <c r="DC252" s="490"/>
      <c r="DD252" s="490"/>
      <c r="DE252" s="490"/>
      <c r="DF252" s="490"/>
      <c r="DG252" s="490"/>
      <c r="DH252" s="490"/>
      <c r="DI252" s="490"/>
      <c r="DJ252" s="490"/>
      <c r="DK252" s="490"/>
      <c r="DL252" s="490"/>
      <c r="DM252" s="490"/>
      <c r="DN252" s="490"/>
      <c r="DO252" s="490"/>
      <c r="DP252" s="490"/>
      <c r="DQ252" s="490"/>
      <c r="DR252" s="490"/>
      <c r="DS252" s="490"/>
      <c r="DT252" s="490"/>
      <c r="DU252" s="490"/>
      <c r="DV252" s="490"/>
      <c r="DW252" s="490"/>
      <c r="DX252" s="490"/>
      <c r="DY252" s="490"/>
      <c r="DZ252" s="490"/>
      <c r="EA252" s="490"/>
      <c r="EB252" s="490"/>
      <c r="EC252" s="490"/>
      <c r="ED252" s="490"/>
      <c r="EE252" s="490"/>
      <c r="EF252" s="490"/>
      <c r="EG252" s="490"/>
      <c r="EH252" s="490"/>
      <c r="EI252" s="490"/>
      <c r="EJ252" s="490"/>
      <c r="EK252" s="490"/>
      <c r="EL252" s="490"/>
      <c r="EM252" s="490"/>
      <c r="EN252" s="490"/>
      <c r="EO252" s="490"/>
      <c r="EP252" s="490"/>
      <c r="EQ252" s="490"/>
      <c r="ER252" s="490"/>
      <c r="ES252" s="490"/>
      <c r="ET252" s="490"/>
      <c r="EU252" s="490"/>
      <c r="EV252" s="490"/>
      <c r="EW252" s="490"/>
      <c r="EX252" s="490"/>
      <c r="EY252" s="490"/>
      <c r="EZ252" s="490"/>
      <c r="FA252" s="490"/>
      <c r="FB252" s="490"/>
      <c r="FC252" s="490"/>
      <c r="FD252" s="490"/>
      <c r="FE252" s="490"/>
      <c r="FF252" s="490"/>
      <c r="FG252" s="490"/>
      <c r="FH252" s="490"/>
      <c r="FI252" s="490"/>
      <c r="FJ252" s="490"/>
      <c r="FK252" s="490"/>
      <c r="FL252" s="490"/>
      <c r="FM252" s="490"/>
      <c r="FN252" s="490"/>
      <c r="FO252" s="490"/>
      <c r="FP252" s="490"/>
      <c r="FQ252" s="490"/>
      <c r="FR252" s="490"/>
      <c r="FS252" s="490"/>
      <c r="FT252" s="490"/>
      <c r="FU252" s="490"/>
      <c r="FV252" s="490"/>
      <c r="FW252" s="490"/>
      <c r="FX252" s="490"/>
      <c r="FY252" s="490"/>
      <c r="FZ252" s="490"/>
      <c r="GA252" s="490"/>
      <c r="GB252" s="490"/>
      <c r="GC252" s="490"/>
      <c r="GD252" s="490"/>
      <c r="GE252" s="490"/>
      <c r="GF252" s="490"/>
      <c r="GG252" s="490"/>
      <c r="GH252" s="490"/>
      <c r="GI252" s="490"/>
      <c r="GJ252" s="490"/>
      <c r="GK252" s="490"/>
      <c r="GL252" s="490"/>
      <c r="GM252" s="490"/>
      <c r="GN252" s="490"/>
      <c r="GO252" s="490"/>
      <c r="GP252" s="490"/>
      <c r="GQ252" s="490"/>
      <c r="GR252" s="490"/>
      <c r="GS252" s="490"/>
      <c r="GT252" s="490"/>
      <c r="GU252" s="490"/>
      <c r="GV252" s="490"/>
      <c r="GW252" s="490"/>
      <c r="GX252" s="490"/>
      <c r="GY252" s="490"/>
      <c r="GZ252" s="490"/>
      <c r="HA252" s="490"/>
      <c r="HB252" s="490"/>
      <c r="HC252" s="490"/>
      <c r="HD252" s="490"/>
      <c r="HE252" s="490"/>
      <c r="HF252" s="490"/>
      <c r="HG252" s="490"/>
      <c r="HH252" s="490"/>
      <c r="HI252" s="490"/>
      <c r="HJ252" s="490"/>
      <c r="HK252" s="490"/>
      <c r="HL252" s="490"/>
      <c r="HM252" s="490"/>
      <c r="HN252" s="490"/>
      <c r="HO252" s="490"/>
      <c r="HP252" s="490"/>
      <c r="HQ252" s="490"/>
      <c r="HR252" s="490"/>
      <c r="HS252" s="490"/>
      <c r="HT252" s="490"/>
      <c r="HU252" s="490"/>
      <c r="HV252" s="490"/>
      <c r="HW252" s="490"/>
      <c r="HX252" s="490"/>
      <c r="HY252" s="490"/>
      <c r="HZ252" s="490"/>
      <c r="IA252" s="490"/>
      <c r="IB252" s="490"/>
      <c r="IC252" s="490"/>
      <c r="ID252" s="490"/>
      <c r="IE252" s="490"/>
      <c r="IF252" s="490"/>
      <c r="IG252" s="490"/>
      <c r="IH252" s="490"/>
      <c r="II252" s="490"/>
      <c r="IJ252" s="490"/>
      <c r="IK252" s="490"/>
      <c r="IL252" s="490"/>
      <c r="IM252" s="490"/>
      <c r="IN252" s="490"/>
      <c r="IO252" s="490"/>
      <c r="IP252" s="490"/>
      <c r="IQ252" s="490"/>
      <c r="IR252" s="490"/>
      <c r="IS252" s="490"/>
      <c r="IT252" s="490"/>
      <c r="IU252" s="490"/>
      <c r="IV252" s="490"/>
      <c r="IW252" s="490"/>
      <c r="IX252" s="490"/>
      <c r="IY252" s="490"/>
      <c r="IZ252" s="490"/>
      <c r="JA252" s="490"/>
      <c r="JB252" s="490"/>
      <c r="JC252" s="490"/>
      <c r="JD252" s="490"/>
      <c r="JE252" s="490"/>
      <c r="JF252" s="490"/>
      <c r="JG252" s="490"/>
      <c r="JH252" s="490"/>
      <c r="JI252" s="490"/>
      <c r="JJ252" s="490"/>
      <c r="JK252" s="490"/>
      <c r="JL252" s="490"/>
      <c r="JM252" s="490"/>
      <c r="JN252" s="490"/>
      <c r="JO252" s="490"/>
      <c r="JP252" s="490"/>
      <c r="JQ252" s="490"/>
      <c r="JR252" s="490"/>
      <c r="JS252" s="490"/>
      <c r="JT252" s="490"/>
      <c r="JU252" s="490"/>
      <c r="JV252" s="490"/>
      <c r="JW252" s="490"/>
      <c r="JX252" s="490"/>
      <c r="JY252" s="490"/>
      <c r="JZ252" s="490"/>
      <c r="KA252" s="490"/>
      <c r="KB252" s="490"/>
      <c r="KC252" s="490"/>
      <c r="KD252" s="490"/>
      <c r="KE252" s="490"/>
      <c r="KF252" s="490"/>
      <c r="KG252" s="490"/>
      <c r="KH252" s="490"/>
      <c r="KI252" s="490"/>
      <c r="KJ252" s="490"/>
      <c r="KK252" s="490"/>
      <c r="KL252" s="490"/>
      <c r="KM252" s="490"/>
      <c r="KN252" s="490"/>
      <c r="KO252" s="490"/>
      <c r="KP252" s="490"/>
      <c r="KQ252" s="490"/>
      <c r="KR252" s="490"/>
      <c r="KS252" s="490"/>
      <c r="KT252" s="490"/>
      <c r="KU252" s="490"/>
      <c r="KV252" s="490"/>
      <c r="KW252" s="490"/>
      <c r="KX252" s="490"/>
      <c r="KY252" s="490"/>
      <c r="KZ252" s="490"/>
      <c r="LA252" s="490"/>
      <c r="LB252" s="490"/>
      <c r="LC252" s="490"/>
      <c r="LD252" s="490"/>
      <c r="LE252" s="490"/>
      <c r="LF252" s="490"/>
      <c r="LG252" s="490"/>
      <c r="LH252" s="490"/>
      <c r="LI252" s="490"/>
      <c r="LJ252" s="490"/>
      <c r="LK252" s="490"/>
      <c r="LL252" s="490"/>
      <c r="LM252" s="490"/>
      <c r="LN252" s="490"/>
      <c r="LO252" s="490"/>
      <c r="LP252" s="490"/>
      <c r="LQ252" s="490"/>
      <c r="LR252" s="490"/>
      <c r="LS252" s="490"/>
      <c r="LT252" s="490"/>
      <c r="LU252" s="490"/>
      <c r="LV252" s="490"/>
      <c r="LW252" s="490"/>
      <c r="LX252" s="490"/>
      <c r="LY252" s="490"/>
      <c r="LZ252" s="490"/>
      <c r="MA252" s="490"/>
      <c r="MB252" s="490"/>
      <c r="MC252" s="490"/>
      <c r="MD252" s="490"/>
      <c r="ME252" s="490"/>
      <c r="MF252" s="490"/>
      <c r="MG252" s="490"/>
      <c r="MH252" s="490"/>
      <c r="MI252" s="490"/>
      <c r="MJ252" s="490"/>
      <c r="MK252" s="490"/>
      <c r="ML252" s="490"/>
      <c r="MM252" s="490"/>
      <c r="MN252" s="490"/>
      <c r="MO252" s="490"/>
      <c r="MP252" s="490"/>
      <c r="MQ252" s="490"/>
      <c r="MR252" s="490"/>
      <c r="MS252" s="490"/>
      <c r="MT252" s="490"/>
      <c r="MU252" s="490"/>
      <c r="MV252" s="490"/>
      <c r="MW252" s="490"/>
      <c r="MX252" s="490"/>
      <c r="MY252" s="490"/>
      <c r="MZ252" s="490"/>
      <c r="NA252" s="490"/>
      <c r="NB252" s="490"/>
      <c r="NC252" s="490"/>
      <c r="ND252" s="490"/>
      <c r="NE252" s="490"/>
      <c r="NF252" s="490"/>
      <c r="NG252" s="490"/>
      <c r="NH252" s="490"/>
      <c r="NI252" s="490"/>
      <c r="NJ252" s="490"/>
      <c r="NK252" s="490"/>
      <c r="NL252" s="490"/>
      <c r="NM252" s="490"/>
      <c r="NN252" s="490"/>
      <c r="NO252" s="490"/>
      <c r="NP252" s="490"/>
      <c r="NQ252" s="490"/>
      <c r="NR252" s="490"/>
      <c r="NS252" s="490"/>
      <c r="NT252" s="490"/>
      <c r="NU252" s="490"/>
      <c r="NV252" s="490"/>
      <c r="NW252" s="490"/>
      <c r="NX252" s="490"/>
      <c r="NY252" s="490"/>
      <c r="NZ252" s="490"/>
      <c r="OA252" s="490"/>
      <c r="OB252" s="490"/>
      <c r="OC252" s="490"/>
      <c r="OD252" s="490"/>
      <c r="OE252" s="490"/>
      <c r="OF252" s="490"/>
      <c r="OG252" s="490"/>
      <c r="OH252" s="490"/>
      <c r="OI252" s="490"/>
      <c r="OJ252" s="490"/>
      <c r="OK252" s="490"/>
      <c r="OL252" s="490"/>
      <c r="OM252" s="490"/>
      <c r="ON252" s="490"/>
      <c r="OO252" s="490"/>
      <c r="OP252" s="490"/>
      <c r="OQ252" s="490"/>
      <c r="OR252" s="490"/>
      <c r="OS252" s="490"/>
      <c r="OT252" s="490"/>
      <c r="OU252" s="490"/>
      <c r="OV252" s="490"/>
      <c r="OW252" s="490"/>
      <c r="OX252" s="490"/>
      <c r="OY252" s="490"/>
      <c r="OZ252" s="490"/>
      <c r="PA252" s="490"/>
      <c r="PB252" s="490"/>
      <c r="PC252" s="490"/>
      <c r="PD252" s="490"/>
      <c r="PE252" s="490"/>
      <c r="PF252" s="490"/>
      <c r="PG252" s="490"/>
      <c r="PH252" s="490"/>
      <c r="PI252" s="490"/>
      <c r="PJ252" s="490"/>
      <c r="PK252" s="490"/>
      <c r="PL252" s="490"/>
      <c r="PM252" s="490"/>
      <c r="PN252" s="490"/>
      <c r="PO252" s="490"/>
      <c r="PP252" s="490"/>
      <c r="PQ252" s="490"/>
      <c r="PR252" s="490"/>
      <c r="PS252" s="490"/>
      <c r="PT252" s="490"/>
      <c r="PU252" s="490"/>
      <c r="PV252" s="490"/>
      <c r="PW252" s="490"/>
      <c r="PX252" s="490"/>
      <c r="PY252" s="490"/>
      <c r="PZ252" s="490"/>
      <c r="QA252" s="490"/>
      <c r="QB252" s="490"/>
      <c r="QC252" s="490"/>
      <c r="QD252" s="490"/>
      <c r="QE252" s="490"/>
      <c r="QF252" s="490"/>
      <c r="QG252" s="490"/>
      <c r="QH252" s="490"/>
      <c r="QI252" s="490"/>
      <c r="QJ252" s="490"/>
      <c r="QK252" s="490"/>
      <c r="QL252" s="490"/>
      <c r="QM252" s="490"/>
      <c r="QN252" s="490"/>
      <c r="QO252" s="490"/>
      <c r="QP252" s="490"/>
      <c r="QQ252" s="490"/>
      <c r="QR252" s="490"/>
      <c r="QS252" s="490"/>
      <c r="QT252" s="490"/>
      <c r="QU252" s="490"/>
      <c r="QV252" s="490"/>
      <c r="QW252" s="490"/>
      <c r="QX252" s="490"/>
      <c r="QY252" s="490"/>
      <c r="QZ252" s="490"/>
      <c r="RA252" s="490"/>
      <c r="RB252" s="490"/>
      <c r="RC252" s="490"/>
      <c r="RD252" s="490"/>
      <c r="RE252" s="490"/>
      <c r="RF252" s="490"/>
      <c r="RG252" s="490"/>
      <c r="RH252" s="490"/>
      <c r="RI252" s="490"/>
      <c r="RJ252" s="490"/>
      <c r="RK252" s="490"/>
      <c r="RL252" s="490"/>
      <c r="RM252" s="490"/>
      <c r="RN252" s="490"/>
      <c r="RO252" s="490"/>
      <c r="RP252" s="490"/>
      <c r="RQ252" s="490"/>
      <c r="RR252" s="490"/>
      <c r="RS252" s="490"/>
      <c r="RT252" s="490"/>
      <c r="RU252" s="490"/>
      <c r="RV252" s="490"/>
      <c r="RW252" s="490"/>
      <c r="RX252" s="490"/>
      <c r="RY252" s="490"/>
      <c r="RZ252" s="490"/>
      <c r="SA252" s="490"/>
      <c r="SB252" s="490"/>
      <c r="SC252" s="490"/>
      <c r="SD252" s="490"/>
      <c r="SE252" s="490"/>
      <c r="SF252" s="490"/>
      <c r="SG252" s="490"/>
      <c r="SH252" s="490"/>
      <c r="SI252" s="490"/>
      <c r="SJ252" s="490"/>
      <c r="SK252" s="490"/>
      <c r="SL252" s="490"/>
      <c r="SM252" s="490"/>
      <c r="SN252" s="490"/>
      <c r="SO252" s="490"/>
      <c r="SP252" s="490"/>
      <c r="SQ252" s="490"/>
      <c r="SR252" s="490"/>
      <c r="SS252" s="490"/>
      <c r="ST252" s="490"/>
      <c r="SU252" s="490"/>
      <c r="SV252" s="490"/>
      <c r="SW252" s="490"/>
      <c r="SX252" s="490"/>
      <c r="SY252" s="490"/>
      <c r="SZ252" s="490"/>
      <c r="TA252" s="490"/>
      <c r="TB252" s="490"/>
      <c r="TC252" s="490"/>
      <c r="TD252" s="490"/>
      <c r="TE252" s="490"/>
      <c r="TF252" s="490"/>
      <c r="TG252" s="490"/>
      <c r="TH252" s="490"/>
      <c r="TI252" s="490"/>
      <c r="TJ252" s="490"/>
      <c r="TK252" s="490"/>
      <c r="TL252" s="490"/>
      <c r="TM252" s="490"/>
      <c r="TN252" s="490"/>
      <c r="TO252" s="490"/>
      <c r="TP252" s="490"/>
      <c r="TQ252" s="490"/>
      <c r="TR252" s="490"/>
      <c r="TS252" s="490"/>
      <c r="TT252" s="490"/>
      <c r="TU252" s="490"/>
      <c r="TV252" s="490"/>
      <c r="TW252" s="490"/>
      <c r="TX252" s="490"/>
      <c r="TY252" s="490"/>
      <c r="TZ252" s="490"/>
      <c r="UA252" s="490"/>
      <c r="UB252" s="490"/>
      <c r="UC252" s="490"/>
      <c r="UD252" s="490"/>
      <c r="UE252" s="490"/>
      <c r="UF252" s="490"/>
      <c r="UG252" s="490"/>
      <c r="UH252" s="490"/>
      <c r="UI252" s="490"/>
      <c r="UJ252" s="490"/>
      <c r="UK252" s="490"/>
      <c r="UL252" s="490"/>
      <c r="UM252" s="490"/>
      <c r="UN252" s="490"/>
      <c r="UO252" s="490"/>
      <c r="UP252" s="490"/>
      <c r="UQ252" s="490"/>
      <c r="UR252" s="490"/>
      <c r="US252" s="490"/>
      <c r="UT252" s="490"/>
      <c r="UU252" s="490"/>
      <c r="UV252" s="490"/>
      <c r="UW252" s="490"/>
      <c r="UX252" s="490"/>
      <c r="UY252" s="490"/>
      <c r="UZ252" s="490"/>
      <c r="VA252" s="490"/>
      <c r="VB252" s="490"/>
      <c r="VC252" s="490"/>
      <c r="VD252" s="490"/>
      <c r="VE252" s="490"/>
      <c r="VF252" s="490"/>
      <c r="VG252" s="490"/>
      <c r="VH252" s="490"/>
      <c r="VI252" s="490"/>
      <c r="VJ252" s="490"/>
      <c r="VK252" s="490"/>
      <c r="VL252" s="490"/>
      <c r="VM252" s="490"/>
      <c r="VN252" s="490"/>
      <c r="VO252" s="490"/>
      <c r="VP252" s="490"/>
      <c r="VQ252" s="490"/>
      <c r="VR252" s="490"/>
      <c r="VS252" s="490"/>
      <c r="VT252" s="490"/>
      <c r="VU252" s="490"/>
      <c r="VV252" s="490"/>
      <c r="VW252" s="490"/>
      <c r="VX252" s="490"/>
      <c r="VY252" s="490"/>
      <c r="VZ252" s="490"/>
      <c r="WA252" s="490"/>
      <c r="WB252" s="490"/>
      <c r="WC252" s="490"/>
      <c r="WD252" s="490"/>
      <c r="WE252" s="490"/>
      <c r="WF252" s="490"/>
      <c r="WG252" s="490"/>
      <c r="WH252" s="490"/>
      <c r="WI252" s="490"/>
      <c r="WJ252" s="490"/>
      <c r="WK252" s="490"/>
      <c r="WL252" s="490"/>
      <c r="WM252" s="490"/>
      <c r="WN252" s="490"/>
      <c r="WO252" s="490"/>
      <c r="WP252" s="490"/>
      <c r="WQ252" s="490"/>
      <c r="WR252" s="490"/>
      <c r="WS252" s="490"/>
      <c r="WT252" s="490"/>
      <c r="WU252" s="490"/>
      <c r="WV252" s="490"/>
      <c r="WW252" s="490"/>
      <c r="WX252" s="490"/>
      <c r="WY252" s="490"/>
      <c r="WZ252" s="490"/>
      <c r="XA252" s="490"/>
      <c r="XB252" s="490"/>
      <c r="XC252" s="490"/>
      <c r="XD252" s="490"/>
      <c r="XE252" s="490"/>
      <c r="XF252" s="490"/>
      <c r="XG252" s="490"/>
      <c r="XH252" s="490"/>
      <c r="XI252" s="490"/>
      <c r="XJ252" s="490"/>
      <c r="XK252" s="490"/>
      <c r="XL252" s="490"/>
      <c r="XM252" s="490"/>
      <c r="XN252" s="490"/>
      <c r="XO252" s="490"/>
      <c r="XP252" s="490"/>
      <c r="XQ252" s="490"/>
      <c r="XR252" s="490"/>
      <c r="XS252" s="490"/>
      <c r="XT252" s="490"/>
      <c r="XU252" s="490"/>
      <c r="XV252" s="490"/>
      <c r="XW252" s="490"/>
      <c r="XX252" s="490"/>
      <c r="XY252" s="490"/>
      <c r="XZ252" s="490"/>
      <c r="YA252" s="490"/>
      <c r="YB252" s="490"/>
      <c r="YC252" s="490"/>
      <c r="YD252" s="490"/>
      <c r="YE252" s="490"/>
      <c r="YF252" s="490"/>
      <c r="YG252" s="490"/>
      <c r="YH252" s="490"/>
      <c r="YI252" s="490"/>
      <c r="YJ252" s="490"/>
      <c r="YK252" s="490"/>
      <c r="YL252" s="490"/>
      <c r="YM252" s="490"/>
      <c r="YN252" s="490"/>
      <c r="YO252" s="490"/>
      <c r="YP252" s="490"/>
      <c r="YQ252" s="490"/>
      <c r="YR252" s="490"/>
      <c r="YS252" s="490"/>
      <c r="YT252" s="490"/>
      <c r="YU252" s="490"/>
      <c r="YV252" s="490"/>
      <c r="YW252" s="490"/>
      <c r="YX252" s="490"/>
      <c r="YY252" s="490"/>
      <c r="YZ252" s="490"/>
      <c r="ZA252" s="490"/>
      <c r="ZB252" s="490"/>
      <c r="ZC252" s="490"/>
      <c r="ZD252" s="490"/>
      <c r="ZE252" s="490"/>
      <c r="ZF252" s="490"/>
      <c r="ZG252" s="490"/>
      <c r="ZH252" s="490"/>
      <c r="ZI252" s="490"/>
      <c r="ZJ252" s="490"/>
      <c r="ZK252" s="490"/>
      <c r="ZL252" s="490"/>
      <c r="ZM252" s="490"/>
      <c r="ZN252" s="490"/>
      <c r="ZO252" s="490"/>
      <c r="ZP252" s="490"/>
      <c r="ZQ252" s="490"/>
      <c r="ZR252" s="490"/>
      <c r="ZS252" s="490"/>
      <c r="ZT252" s="490"/>
      <c r="ZU252" s="490"/>
      <c r="ZV252" s="490"/>
      <c r="ZW252" s="490"/>
      <c r="ZX252" s="490"/>
      <c r="ZY252" s="490"/>
      <c r="ZZ252" s="490"/>
      <c r="AAA252" s="490"/>
      <c r="AAB252" s="490"/>
      <c r="AAC252" s="490"/>
      <c r="AAD252" s="490"/>
      <c r="AAE252" s="490"/>
      <c r="AAF252" s="490"/>
      <c r="AAG252" s="490"/>
      <c r="AAH252" s="490"/>
      <c r="AAI252" s="490"/>
      <c r="AAJ252" s="490"/>
      <c r="AAK252" s="490"/>
      <c r="AAL252" s="490"/>
      <c r="AAM252" s="490"/>
      <c r="AAN252" s="490"/>
      <c r="AAO252" s="490"/>
      <c r="AAP252" s="490"/>
      <c r="AAQ252" s="490"/>
      <c r="AAR252" s="490"/>
      <c r="AAS252" s="490"/>
      <c r="AAT252" s="490"/>
      <c r="AAU252" s="490"/>
      <c r="AAV252" s="490"/>
      <c r="AAW252" s="490"/>
      <c r="AAX252" s="490"/>
      <c r="AAY252" s="490"/>
      <c r="AAZ252" s="490"/>
      <c r="ABA252" s="490"/>
      <c r="ABB252" s="490"/>
      <c r="ABC252" s="490"/>
      <c r="ABD252" s="490"/>
      <c r="ABE252" s="490"/>
      <c r="ABF252" s="490"/>
      <c r="ABG252" s="490"/>
      <c r="ABH252" s="490"/>
      <c r="ABI252" s="490"/>
      <c r="ABJ252" s="490"/>
      <c r="ABK252" s="490"/>
      <c r="ABL252" s="490"/>
      <c r="ABM252" s="490"/>
      <c r="ABN252" s="490"/>
      <c r="ABO252" s="490"/>
      <c r="ABP252" s="490"/>
      <c r="ABQ252" s="490"/>
      <c r="ABR252" s="490"/>
      <c r="ABS252" s="490"/>
      <c r="ABT252" s="490"/>
      <c r="ABU252" s="490"/>
      <c r="ABV252" s="490"/>
      <c r="ABW252" s="490"/>
      <c r="ABX252" s="490"/>
      <c r="ABY252" s="490"/>
      <c r="ABZ252" s="490"/>
      <c r="ACA252" s="490"/>
      <c r="ACB252" s="490"/>
      <c r="ACC252" s="490"/>
      <c r="ACD252" s="490"/>
      <c r="ACE252" s="490"/>
      <c r="ACF252" s="490"/>
      <c r="ACG252" s="490"/>
      <c r="ACH252" s="490"/>
      <c r="ACI252" s="490"/>
      <c r="ACJ252" s="490"/>
      <c r="ACK252" s="490"/>
      <c r="ACL252" s="490"/>
      <c r="ACM252" s="490"/>
      <c r="ACN252" s="490"/>
      <c r="ACO252" s="490"/>
      <c r="ACP252" s="490"/>
      <c r="ACQ252" s="490"/>
      <c r="ACR252" s="490"/>
      <c r="ACS252" s="490"/>
      <c r="ACT252" s="490"/>
      <c r="ACU252" s="490"/>
      <c r="ACV252" s="490"/>
      <c r="ACW252" s="490"/>
      <c r="ACX252" s="490"/>
      <c r="ACY252" s="490"/>
      <c r="ACZ252" s="490"/>
      <c r="ADA252" s="490"/>
      <c r="ADB252" s="490"/>
      <c r="ADC252" s="490"/>
      <c r="ADD252" s="490"/>
      <c r="ADE252" s="490"/>
      <c r="ADF252" s="490"/>
      <c r="ADG252" s="490"/>
      <c r="ADH252" s="490"/>
      <c r="ADI252" s="490"/>
      <c r="ADJ252" s="490"/>
      <c r="ADK252" s="490"/>
      <c r="ADL252" s="490"/>
      <c r="ADM252" s="490"/>
      <c r="ADN252" s="490"/>
      <c r="ADO252" s="490"/>
      <c r="ADP252" s="490"/>
      <c r="ADQ252" s="490"/>
      <c r="ADR252" s="490"/>
      <c r="ADS252" s="490"/>
      <c r="ADT252" s="490"/>
      <c r="ADU252" s="490"/>
      <c r="ADV252" s="490"/>
      <c r="ADW252" s="490"/>
      <c r="ADX252" s="490"/>
      <c r="ADY252" s="490"/>
      <c r="ADZ252" s="490"/>
      <c r="AEA252" s="490"/>
      <c r="AEB252" s="490"/>
      <c r="AEC252" s="490"/>
      <c r="AED252" s="490"/>
      <c r="AEE252" s="490"/>
      <c r="AEF252" s="490"/>
      <c r="AEG252" s="490"/>
      <c r="AEH252" s="490"/>
      <c r="AEI252" s="490"/>
      <c r="AEJ252" s="490"/>
      <c r="AEK252" s="490"/>
      <c r="AEL252" s="490"/>
      <c r="AEM252" s="490"/>
      <c r="AEN252" s="490"/>
      <c r="AEO252" s="490"/>
      <c r="AEP252" s="490"/>
      <c r="AEQ252" s="490"/>
      <c r="AER252" s="490"/>
      <c r="AES252" s="490"/>
      <c r="AET252" s="490"/>
      <c r="AEU252" s="490"/>
      <c r="AEV252" s="490"/>
      <c r="AEW252" s="490"/>
      <c r="AEX252" s="490"/>
      <c r="AEY252" s="490"/>
      <c r="AEZ252" s="490"/>
      <c r="AFA252" s="490"/>
      <c r="AFB252" s="490"/>
      <c r="AFC252" s="490"/>
      <c r="AFD252" s="490"/>
      <c r="AFE252" s="490"/>
      <c r="AFF252" s="490"/>
      <c r="AFG252" s="490"/>
      <c r="AFH252" s="490"/>
      <c r="AFI252" s="490"/>
      <c r="AFJ252" s="490"/>
      <c r="AFK252" s="490"/>
      <c r="AFL252" s="490"/>
      <c r="AFM252" s="490"/>
      <c r="AFN252" s="490"/>
      <c r="AFO252" s="490"/>
      <c r="AFP252" s="490"/>
      <c r="AFQ252" s="490"/>
      <c r="AFR252" s="490"/>
      <c r="AFS252" s="490"/>
      <c r="AFT252" s="490"/>
      <c r="AFU252" s="490"/>
      <c r="AFV252" s="490"/>
      <c r="AFW252" s="490"/>
      <c r="AFX252" s="490"/>
      <c r="AFY252" s="490"/>
      <c r="AFZ252" s="490"/>
      <c r="AGA252" s="490"/>
      <c r="AGB252" s="490"/>
      <c r="AGC252" s="490"/>
      <c r="AGD252" s="490"/>
      <c r="AGE252" s="490"/>
      <c r="AGF252" s="490"/>
      <c r="AGG252" s="490"/>
      <c r="AGH252" s="490"/>
      <c r="AGI252" s="490"/>
      <c r="AGJ252" s="490"/>
      <c r="AGK252" s="490"/>
      <c r="AGL252" s="490"/>
      <c r="AGM252" s="490"/>
      <c r="AGN252" s="490"/>
      <c r="AGO252" s="490"/>
      <c r="AGP252" s="490"/>
      <c r="AGQ252" s="490"/>
      <c r="AGR252" s="490"/>
      <c r="AGS252" s="490"/>
      <c r="AGT252" s="490"/>
      <c r="AGU252" s="490"/>
      <c r="AGV252" s="490"/>
      <c r="AGW252" s="490"/>
      <c r="AGX252" s="490"/>
      <c r="AGY252" s="490"/>
      <c r="AGZ252" s="490"/>
      <c r="AHA252" s="490"/>
      <c r="AHB252" s="490"/>
      <c r="AHC252" s="490"/>
      <c r="AHD252" s="490"/>
      <c r="AHE252" s="490"/>
      <c r="AHF252" s="490"/>
      <c r="AHG252" s="490"/>
      <c r="AHH252" s="490"/>
      <c r="AHI252" s="490"/>
      <c r="AHJ252" s="490"/>
      <c r="AHK252" s="490"/>
      <c r="AHL252" s="490"/>
      <c r="AHM252" s="490"/>
      <c r="AHN252" s="490"/>
      <c r="AHO252" s="490"/>
      <c r="AHP252" s="490"/>
      <c r="AHQ252" s="490"/>
      <c r="AHR252" s="490"/>
      <c r="AHS252" s="490"/>
      <c r="AHT252" s="490"/>
      <c r="AHU252" s="490"/>
      <c r="AHV252" s="490"/>
      <c r="AHW252" s="490"/>
      <c r="AHX252" s="490"/>
      <c r="AHY252" s="490"/>
      <c r="AHZ252" s="490"/>
      <c r="AIA252" s="490"/>
      <c r="AIB252" s="490"/>
      <c r="AIC252" s="490"/>
      <c r="AID252" s="490"/>
      <c r="AIE252" s="490"/>
      <c r="AIF252" s="490"/>
      <c r="AIG252" s="490"/>
      <c r="AIH252" s="490"/>
      <c r="AII252" s="490"/>
      <c r="AIJ252" s="490"/>
      <c r="AIK252" s="490"/>
      <c r="AIL252" s="490"/>
      <c r="AIM252" s="490"/>
      <c r="AIN252" s="490"/>
      <c r="AIO252" s="490"/>
      <c r="AIP252" s="490"/>
      <c r="AIQ252" s="490"/>
      <c r="AIR252" s="490"/>
      <c r="AIS252" s="490"/>
      <c r="AIT252" s="490"/>
      <c r="AIU252" s="490"/>
      <c r="AIV252" s="490"/>
      <c r="AIW252" s="490"/>
      <c r="AIX252" s="490"/>
      <c r="AIY252" s="490"/>
      <c r="AIZ252" s="490"/>
      <c r="AJA252" s="490"/>
      <c r="AJB252" s="490"/>
      <c r="AJC252" s="490"/>
      <c r="AJD252" s="490"/>
      <c r="AJE252" s="490"/>
      <c r="AJF252" s="490"/>
      <c r="AJG252" s="490"/>
      <c r="AJH252" s="490"/>
      <c r="AJI252" s="490"/>
      <c r="AJJ252" s="490"/>
      <c r="AJK252" s="490"/>
      <c r="AJL252" s="490"/>
      <c r="AJM252" s="490"/>
      <c r="AJN252" s="490"/>
      <c r="AJO252" s="490"/>
      <c r="AJP252" s="490"/>
      <c r="AJQ252" s="490"/>
      <c r="AJR252" s="490"/>
      <c r="AJS252" s="490"/>
      <c r="AJT252" s="490"/>
      <c r="AJU252" s="490"/>
      <c r="AJV252" s="490"/>
      <c r="AJW252" s="490"/>
      <c r="AJX252" s="490"/>
      <c r="AJY252" s="490"/>
      <c r="AJZ252" s="490"/>
      <c r="AKA252" s="490"/>
      <c r="AKB252" s="490"/>
      <c r="AKC252" s="490"/>
      <c r="AKD252" s="490"/>
      <c r="AKE252" s="490"/>
      <c r="AKF252" s="490"/>
      <c r="AKG252" s="490"/>
      <c r="AKH252" s="490"/>
      <c r="AKI252" s="490"/>
      <c r="AKJ252" s="490"/>
      <c r="AKK252" s="490"/>
      <c r="AKL252" s="490"/>
      <c r="AKM252" s="490"/>
      <c r="AKN252" s="490"/>
      <c r="AKO252" s="490"/>
      <c r="AKP252" s="490"/>
      <c r="AKQ252" s="490"/>
      <c r="AKR252" s="490"/>
      <c r="AKS252" s="490"/>
      <c r="AKT252" s="490"/>
      <c r="AKU252" s="490"/>
      <c r="AKV252" s="490"/>
      <c r="AKW252" s="490"/>
      <c r="AKX252" s="490"/>
      <c r="AKY252" s="490"/>
      <c r="AKZ252" s="490"/>
      <c r="ALA252" s="490"/>
      <c r="ALB252" s="490"/>
      <c r="ALC252" s="490"/>
      <c r="ALD252" s="490"/>
      <c r="ALE252" s="490"/>
      <c r="ALF252" s="490"/>
      <c r="ALG252" s="490"/>
      <c r="ALH252" s="490"/>
      <c r="ALI252" s="490"/>
      <c r="ALJ252" s="490"/>
      <c r="ALK252" s="490"/>
      <c r="ALL252" s="490"/>
      <c r="ALM252" s="490"/>
      <c r="ALN252" s="490"/>
      <c r="ALO252" s="490"/>
      <c r="ALP252" s="490"/>
      <c r="ALQ252" s="490"/>
      <c r="ALR252" s="490"/>
      <c r="ALS252" s="490"/>
      <c r="ALT252" s="490"/>
      <c r="ALU252" s="490"/>
      <c r="ALV252" s="490"/>
      <c r="ALW252" s="490"/>
      <c r="ALX252" s="490"/>
      <c r="ALY252" s="490"/>
      <c r="ALZ252" s="490"/>
      <c r="AMA252" s="490"/>
      <c r="AMB252" s="490"/>
      <c r="AMC252" s="490"/>
      <c r="AMD252" s="490"/>
      <c r="AME252" s="490"/>
      <c r="AMF252" s="490"/>
      <c r="AMG252" s="490"/>
      <c r="AMH252" s="490"/>
      <c r="AMI252" s="490"/>
      <c r="AMJ252" s="490"/>
      <c r="AMK252" s="490"/>
      <c r="AML252" s="490"/>
      <c r="AMM252" s="490"/>
      <c r="AMN252" s="490"/>
      <c r="AMO252" s="490"/>
      <c r="AMP252" s="490"/>
      <c r="AMQ252" s="490"/>
      <c r="AMR252" s="490"/>
      <c r="AMS252" s="490"/>
      <c r="AMT252" s="490"/>
      <c r="AMU252" s="490"/>
      <c r="AMV252" s="490"/>
      <c r="AMW252" s="490"/>
      <c r="AMX252" s="490"/>
      <c r="AMY252" s="490"/>
      <c r="AMZ252" s="490"/>
      <c r="ANA252" s="490"/>
      <c r="ANB252" s="490"/>
      <c r="ANC252" s="490"/>
      <c r="AND252" s="490"/>
      <c r="ANE252" s="490"/>
      <c r="ANF252" s="490"/>
      <c r="ANG252" s="490"/>
      <c r="ANH252" s="490"/>
      <c r="ANI252" s="490"/>
      <c r="ANJ252" s="490"/>
      <c r="ANK252" s="490"/>
      <c r="ANL252" s="490"/>
      <c r="ANM252" s="490"/>
      <c r="ANN252" s="490"/>
      <c r="ANO252" s="490"/>
      <c r="ANP252" s="490"/>
      <c r="ANQ252" s="490"/>
      <c r="ANR252" s="490"/>
      <c r="ANS252" s="490"/>
      <c r="ANT252" s="490"/>
      <c r="ANU252" s="490"/>
      <c r="ANV252" s="490"/>
      <c r="ANW252" s="490"/>
      <c r="ANX252" s="490"/>
      <c r="ANY252" s="490"/>
      <c r="ANZ252" s="490"/>
      <c r="AOA252" s="490"/>
      <c r="AOB252" s="490"/>
      <c r="AOC252" s="490"/>
      <c r="AOD252" s="490"/>
      <c r="AOE252" s="490"/>
      <c r="AOF252" s="490"/>
      <c r="AOG252" s="490"/>
      <c r="AOH252" s="490"/>
      <c r="AOI252" s="490"/>
      <c r="AOJ252" s="490"/>
      <c r="AOK252" s="490"/>
      <c r="AOL252" s="490"/>
      <c r="AOM252" s="490"/>
      <c r="AON252" s="490"/>
      <c r="AOO252" s="490"/>
      <c r="AOP252" s="490"/>
      <c r="AOQ252" s="490"/>
      <c r="AOR252" s="490"/>
      <c r="AOS252" s="490"/>
      <c r="AOT252" s="490"/>
      <c r="AOU252" s="490"/>
      <c r="AOV252" s="490"/>
      <c r="AOW252" s="490"/>
      <c r="AOX252" s="490"/>
      <c r="AOY252" s="490"/>
      <c r="AOZ252" s="490"/>
      <c r="APA252" s="490"/>
      <c r="APB252" s="490"/>
      <c r="APC252" s="490"/>
      <c r="APD252" s="490"/>
      <c r="APE252" s="490"/>
      <c r="APF252" s="490"/>
      <c r="APG252" s="490"/>
      <c r="APH252" s="490"/>
      <c r="API252" s="490"/>
      <c r="APJ252" s="490"/>
      <c r="APK252" s="490"/>
      <c r="APL252" s="490"/>
      <c r="APM252" s="490"/>
      <c r="APN252" s="490"/>
      <c r="APO252" s="490"/>
      <c r="APP252" s="490"/>
      <c r="APQ252" s="490"/>
      <c r="APR252" s="490"/>
      <c r="APS252" s="490"/>
      <c r="APT252" s="490"/>
      <c r="APU252" s="490"/>
      <c r="APV252" s="490"/>
      <c r="APW252" s="490"/>
      <c r="APX252" s="490"/>
      <c r="APY252" s="490"/>
      <c r="APZ252" s="490"/>
      <c r="AQA252" s="490"/>
      <c r="AQB252" s="490"/>
      <c r="AQC252" s="490"/>
      <c r="AQD252" s="490"/>
      <c r="AQE252" s="490"/>
      <c r="AQF252" s="490"/>
      <c r="AQG252" s="490"/>
      <c r="AQH252" s="490"/>
      <c r="AQI252" s="490"/>
      <c r="AQJ252" s="490"/>
      <c r="AQK252" s="490"/>
      <c r="AQL252" s="490"/>
      <c r="AQM252" s="490"/>
      <c r="AQN252" s="490"/>
      <c r="AQO252" s="490"/>
      <c r="AQP252" s="490"/>
      <c r="AQQ252" s="490"/>
      <c r="AQR252" s="490"/>
      <c r="AQS252" s="490"/>
      <c r="AQT252" s="490"/>
      <c r="AQU252" s="490"/>
      <c r="AQV252" s="490"/>
      <c r="AQW252" s="490"/>
      <c r="AQX252" s="490"/>
      <c r="AQY252" s="490"/>
      <c r="AQZ252" s="490"/>
      <c r="ARA252" s="490"/>
      <c r="ARB252" s="490"/>
      <c r="ARC252" s="490"/>
      <c r="ARD252" s="490"/>
      <c r="ARE252" s="490"/>
      <c r="ARF252" s="490"/>
      <c r="ARG252" s="490"/>
      <c r="ARH252" s="490"/>
      <c r="ARI252" s="490"/>
      <c r="ARJ252" s="490"/>
      <c r="ARK252" s="490"/>
      <c r="ARL252" s="490"/>
      <c r="ARM252" s="490"/>
      <c r="ARN252" s="490"/>
      <c r="ARO252" s="490"/>
      <c r="ARP252" s="490"/>
      <c r="ARQ252" s="490"/>
      <c r="ARR252" s="490"/>
      <c r="ARS252" s="490"/>
      <c r="ART252" s="490"/>
      <c r="ARU252" s="490"/>
      <c r="ARV252" s="490"/>
      <c r="ARW252" s="490"/>
      <c r="ARX252" s="490"/>
      <c r="ARY252" s="490"/>
      <c r="ARZ252" s="490"/>
      <c r="ASA252" s="490"/>
      <c r="ASB252" s="490"/>
      <c r="ASC252" s="490"/>
      <c r="ASD252" s="490"/>
      <c r="ASE252" s="490"/>
      <c r="ASF252" s="490"/>
      <c r="ASG252" s="490"/>
      <c r="ASH252" s="490"/>
      <c r="ASI252" s="490"/>
      <c r="ASJ252" s="490"/>
      <c r="ASK252" s="490"/>
      <c r="ASL252" s="490"/>
      <c r="ASM252" s="490"/>
      <c r="ASN252" s="490"/>
      <c r="ASO252" s="490"/>
      <c r="ASP252" s="490"/>
      <c r="ASQ252" s="490"/>
      <c r="ASR252" s="490"/>
      <c r="ASS252" s="490"/>
      <c r="AST252" s="490"/>
      <c r="ASU252" s="490"/>
      <c r="ASV252" s="490"/>
      <c r="ASW252" s="490"/>
      <c r="ASX252" s="490"/>
      <c r="ASY252" s="490"/>
      <c r="ASZ252" s="490"/>
      <c r="ATA252" s="490"/>
      <c r="ATB252" s="490"/>
      <c r="ATC252" s="490"/>
      <c r="ATD252" s="490"/>
      <c r="ATE252" s="490"/>
      <c r="ATF252" s="490"/>
      <c r="ATG252" s="490"/>
      <c r="ATH252" s="490"/>
      <c r="ATI252" s="490"/>
      <c r="ATJ252" s="490"/>
      <c r="ATK252" s="490"/>
      <c r="ATL252" s="490"/>
      <c r="ATM252" s="490"/>
      <c r="ATN252" s="490"/>
      <c r="ATO252" s="490"/>
      <c r="ATP252" s="490"/>
      <c r="ATQ252" s="490"/>
      <c r="ATR252" s="490"/>
      <c r="ATS252" s="490"/>
      <c r="ATT252" s="490"/>
      <c r="ATU252" s="490"/>
      <c r="ATV252" s="490"/>
      <c r="ATW252" s="490"/>
      <c r="ATX252" s="490"/>
      <c r="ATY252" s="490"/>
      <c r="ATZ252" s="490"/>
      <c r="AUA252" s="490"/>
      <c r="AUB252" s="490"/>
      <c r="AUC252" s="490"/>
      <c r="AUD252" s="490"/>
      <c r="AUE252" s="490"/>
      <c r="AUF252" s="490"/>
      <c r="AUG252" s="490"/>
      <c r="AUH252" s="490"/>
      <c r="AUI252" s="490"/>
      <c r="AUJ252" s="490"/>
      <c r="AUK252" s="490"/>
      <c r="AUL252" s="490"/>
      <c r="AUM252" s="490"/>
      <c r="AUN252" s="490"/>
      <c r="AUO252" s="490"/>
      <c r="AUP252" s="490"/>
      <c r="AUQ252" s="490"/>
      <c r="AUR252" s="490"/>
      <c r="AUS252" s="490"/>
      <c r="AUT252" s="490"/>
      <c r="AUU252" s="490"/>
      <c r="AUV252" s="490"/>
      <c r="AUW252" s="490"/>
      <c r="AUX252" s="490"/>
      <c r="AUY252" s="490"/>
      <c r="AUZ252" s="490"/>
      <c r="AVA252" s="490"/>
      <c r="AVB252" s="490"/>
      <c r="AVC252" s="490"/>
      <c r="AVD252" s="490"/>
      <c r="AVE252" s="490"/>
      <c r="AVF252" s="490"/>
      <c r="AVG252" s="490"/>
      <c r="AVH252" s="490"/>
      <c r="AVI252" s="490"/>
      <c r="AVJ252" s="490"/>
      <c r="AVK252" s="490"/>
      <c r="AVL252" s="490"/>
      <c r="AVM252" s="490"/>
      <c r="AVN252" s="490"/>
      <c r="AVO252" s="490"/>
      <c r="AVP252" s="490"/>
      <c r="AVQ252" s="490"/>
      <c r="AVR252" s="490"/>
      <c r="AVS252" s="490"/>
      <c r="AVT252" s="490"/>
      <c r="AVU252" s="490"/>
      <c r="AVV252" s="490"/>
      <c r="AVW252" s="490"/>
      <c r="AVX252" s="490"/>
      <c r="AVY252" s="490"/>
      <c r="AVZ252" s="490"/>
      <c r="AWA252" s="490"/>
      <c r="AWB252" s="490"/>
      <c r="AWC252" s="490"/>
      <c r="AWD252" s="490"/>
      <c r="AWE252" s="490"/>
      <c r="AWF252" s="490"/>
      <c r="AWG252" s="490"/>
      <c r="AWH252" s="490"/>
      <c r="AWI252" s="490"/>
      <c r="AWJ252" s="490"/>
      <c r="AWK252" s="490"/>
      <c r="AWL252" s="490"/>
      <c r="AWM252" s="490"/>
      <c r="AWN252" s="490"/>
      <c r="AWO252" s="490"/>
      <c r="AWP252" s="490"/>
      <c r="AWQ252" s="490"/>
      <c r="AWR252" s="490"/>
      <c r="AWS252" s="490"/>
      <c r="AWT252" s="490"/>
      <c r="AWU252" s="490"/>
      <c r="AWV252" s="490"/>
      <c r="AWW252" s="490"/>
      <c r="AWX252" s="490"/>
      <c r="AWY252" s="490"/>
      <c r="AWZ252" s="490"/>
      <c r="AXA252" s="490"/>
      <c r="AXB252" s="490"/>
      <c r="AXC252" s="490"/>
      <c r="AXD252" s="490"/>
      <c r="AXE252" s="490"/>
      <c r="AXF252" s="490"/>
      <c r="AXG252" s="490"/>
      <c r="AXH252" s="490"/>
      <c r="AXI252" s="490"/>
      <c r="AXJ252" s="490"/>
      <c r="AXK252" s="490"/>
      <c r="AXL252" s="490"/>
      <c r="AXM252" s="490"/>
      <c r="AXN252" s="490"/>
      <c r="AXO252" s="490"/>
      <c r="AXP252" s="490"/>
      <c r="AXQ252" s="490"/>
      <c r="AXR252" s="490"/>
      <c r="AXS252" s="490"/>
      <c r="AXT252" s="490"/>
      <c r="AXU252" s="490"/>
      <c r="AXV252" s="490"/>
      <c r="AXW252" s="490"/>
      <c r="AXX252" s="490"/>
      <c r="AXY252" s="490"/>
      <c r="AXZ252" s="490"/>
      <c r="AYA252" s="490"/>
      <c r="AYB252" s="490"/>
      <c r="AYC252" s="490"/>
      <c r="AYD252" s="490"/>
      <c r="AYE252" s="490"/>
      <c r="AYF252" s="490"/>
      <c r="AYG252" s="490"/>
      <c r="AYH252" s="490"/>
      <c r="AYI252" s="490"/>
      <c r="AYJ252" s="490"/>
      <c r="AYK252" s="490"/>
      <c r="AYL252" s="490"/>
      <c r="AYM252" s="490"/>
      <c r="AYN252" s="490"/>
      <c r="AYO252" s="490"/>
      <c r="AYP252" s="490"/>
      <c r="AYQ252" s="490"/>
      <c r="AYR252" s="490"/>
      <c r="AYS252" s="490"/>
      <c r="AYT252" s="490"/>
      <c r="AYU252" s="490"/>
      <c r="AYV252" s="490"/>
      <c r="AYW252" s="490"/>
      <c r="AYX252" s="490"/>
      <c r="AYY252" s="490"/>
      <c r="AYZ252" s="490"/>
      <c r="AZA252" s="490"/>
      <c r="AZB252" s="490"/>
      <c r="AZC252" s="490"/>
      <c r="AZD252" s="490"/>
      <c r="AZE252" s="490"/>
      <c r="AZF252" s="490"/>
      <c r="AZG252" s="490"/>
      <c r="AZH252" s="490"/>
      <c r="AZI252" s="490"/>
      <c r="AZJ252" s="490"/>
      <c r="AZK252" s="490"/>
      <c r="AZL252" s="490"/>
      <c r="AZM252" s="490"/>
      <c r="AZN252" s="490"/>
      <c r="AZO252" s="490"/>
      <c r="AZP252" s="490"/>
      <c r="AZQ252" s="490"/>
      <c r="AZR252" s="490"/>
      <c r="AZS252" s="490"/>
      <c r="AZT252" s="490"/>
      <c r="AZU252" s="490"/>
      <c r="AZV252" s="490"/>
      <c r="AZW252" s="490"/>
      <c r="AZX252" s="490"/>
      <c r="AZY252" s="490"/>
      <c r="AZZ252" s="490"/>
      <c r="BAA252" s="490"/>
      <c r="BAB252" s="490"/>
      <c r="BAC252" s="490"/>
      <c r="BAD252" s="490"/>
      <c r="BAE252" s="490"/>
      <c r="BAF252" s="490"/>
      <c r="BAG252" s="490"/>
      <c r="BAH252" s="490"/>
      <c r="BAI252" s="490"/>
      <c r="BAJ252" s="490"/>
      <c r="BAK252" s="490"/>
      <c r="BAL252" s="490"/>
      <c r="BAM252" s="490"/>
      <c r="BAN252" s="490"/>
      <c r="BAO252" s="490"/>
      <c r="BAP252" s="490"/>
      <c r="BAQ252" s="490"/>
      <c r="BAR252" s="490"/>
      <c r="BAS252" s="490"/>
      <c r="BAT252" s="490"/>
      <c r="BAU252" s="490"/>
      <c r="BAV252" s="490"/>
      <c r="BAW252" s="490"/>
      <c r="BAX252" s="490"/>
      <c r="BAY252" s="490"/>
      <c r="BAZ252" s="490"/>
      <c r="BBA252" s="490"/>
      <c r="BBB252" s="490"/>
      <c r="BBC252" s="490"/>
      <c r="BBD252" s="490"/>
      <c r="BBE252" s="490"/>
      <c r="BBF252" s="490"/>
      <c r="BBG252" s="490"/>
      <c r="BBH252" s="490"/>
      <c r="BBI252" s="490"/>
      <c r="BBJ252" s="490"/>
      <c r="BBK252" s="490"/>
      <c r="BBL252" s="490"/>
      <c r="BBM252" s="490"/>
      <c r="BBN252" s="490"/>
      <c r="BBO252" s="490"/>
      <c r="BBP252" s="490"/>
      <c r="BBQ252" s="490"/>
      <c r="BBR252" s="490"/>
      <c r="BBS252" s="490"/>
      <c r="BBT252" s="490"/>
      <c r="BBU252" s="490"/>
      <c r="BBV252" s="490"/>
      <c r="BBW252" s="490"/>
      <c r="BBX252" s="490"/>
      <c r="BBY252" s="490"/>
      <c r="BBZ252" s="490"/>
      <c r="BCA252" s="490"/>
      <c r="BCB252" s="490"/>
      <c r="BCC252" s="490"/>
      <c r="BCD252" s="490"/>
      <c r="BCE252" s="490"/>
      <c r="BCF252" s="490"/>
      <c r="BCG252" s="490"/>
      <c r="BCH252" s="490"/>
      <c r="BCI252" s="490"/>
      <c r="BCJ252" s="490"/>
      <c r="BCK252" s="490"/>
      <c r="BCL252" s="490"/>
      <c r="BCM252" s="490"/>
      <c r="BCN252" s="490"/>
      <c r="BCO252" s="490"/>
      <c r="BCP252" s="490"/>
      <c r="BCQ252" s="490"/>
      <c r="BCR252" s="490"/>
      <c r="BCS252" s="490"/>
      <c r="BCT252" s="490"/>
      <c r="BCU252" s="490"/>
      <c r="BCV252" s="490"/>
      <c r="BCW252" s="490"/>
      <c r="BCX252" s="490"/>
      <c r="BCY252" s="490"/>
      <c r="BCZ252" s="490"/>
      <c r="BDA252" s="490"/>
      <c r="BDB252" s="490"/>
      <c r="BDC252" s="490"/>
      <c r="BDD252" s="490"/>
      <c r="BDE252" s="490"/>
      <c r="BDF252" s="490"/>
      <c r="BDG252" s="490"/>
      <c r="BDH252" s="490"/>
      <c r="BDI252" s="490"/>
      <c r="BDJ252" s="490"/>
      <c r="BDK252" s="490"/>
      <c r="BDL252" s="490"/>
      <c r="BDM252" s="490"/>
      <c r="BDN252" s="490"/>
      <c r="BDO252" s="490"/>
      <c r="BDP252" s="490"/>
      <c r="BDQ252" s="490"/>
      <c r="BDR252" s="490"/>
      <c r="BDS252" s="490"/>
      <c r="BDT252" s="490"/>
      <c r="BDU252" s="490"/>
      <c r="BDV252" s="490"/>
      <c r="BDW252" s="490"/>
      <c r="BDX252" s="490"/>
      <c r="BDY252" s="490"/>
      <c r="BDZ252" s="490"/>
      <c r="BEA252" s="490"/>
      <c r="BEB252" s="490"/>
      <c r="BEC252" s="490"/>
      <c r="BED252" s="490"/>
      <c r="BEE252" s="490"/>
      <c r="BEF252" s="490"/>
      <c r="BEG252" s="490"/>
      <c r="BEH252" s="490"/>
      <c r="BEI252" s="490"/>
      <c r="BEJ252" s="490"/>
      <c r="BEK252" s="490"/>
      <c r="BEL252" s="490"/>
      <c r="BEM252" s="490"/>
      <c r="BEN252" s="490"/>
      <c r="BEO252" s="490"/>
      <c r="BEP252" s="490"/>
      <c r="BEQ252" s="490"/>
      <c r="BER252" s="490"/>
      <c r="BES252" s="490"/>
      <c r="BET252" s="490"/>
      <c r="BEU252" s="490"/>
      <c r="BEV252" s="490"/>
      <c r="BEW252" s="490"/>
      <c r="BEX252" s="490"/>
      <c r="BEY252" s="490"/>
      <c r="BEZ252" s="490"/>
      <c r="BFA252" s="490"/>
      <c r="BFB252" s="490"/>
      <c r="BFC252" s="490"/>
      <c r="BFD252" s="490"/>
      <c r="BFE252" s="490"/>
      <c r="BFF252" s="490"/>
      <c r="BFG252" s="490"/>
      <c r="BFH252" s="490"/>
      <c r="BFI252" s="490"/>
      <c r="BFJ252" s="490"/>
      <c r="BFK252" s="490"/>
      <c r="BFL252" s="490"/>
      <c r="BFM252" s="490"/>
      <c r="BFN252" s="490"/>
      <c r="BFO252" s="490"/>
      <c r="BFP252" s="490"/>
      <c r="BFQ252" s="490"/>
      <c r="BFR252" s="490"/>
      <c r="BFS252" s="490"/>
      <c r="BFT252" s="490"/>
      <c r="BFU252" s="490"/>
      <c r="BFV252" s="490"/>
      <c r="BFW252" s="490"/>
      <c r="BFX252" s="490"/>
      <c r="BFY252" s="490"/>
      <c r="BFZ252" s="490"/>
      <c r="BGA252" s="490"/>
      <c r="BGB252" s="490"/>
      <c r="BGC252" s="490"/>
      <c r="BGD252" s="490"/>
      <c r="BGE252" s="490"/>
      <c r="BGF252" s="490"/>
      <c r="BGG252" s="490"/>
      <c r="BGH252" s="490"/>
      <c r="BGI252" s="490"/>
      <c r="BGJ252" s="490"/>
      <c r="BGK252" s="490"/>
      <c r="BGL252" s="490"/>
      <c r="BGM252" s="490"/>
      <c r="BGN252" s="490"/>
      <c r="BGO252" s="490"/>
      <c r="BGP252" s="490"/>
      <c r="BGQ252" s="490"/>
      <c r="BGR252" s="490"/>
      <c r="BGS252" s="490"/>
      <c r="BGT252" s="490"/>
      <c r="BGU252" s="490"/>
      <c r="BGV252" s="490"/>
      <c r="BGW252" s="490"/>
      <c r="BGX252" s="490"/>
      <c r="BGY252" s="490"/>
      <c r="BGZ252" s="490"/>
      <c r="BHA252" s="490"/>
      <c r="BHB252" s="490"/>
      <c r="BHC252" s="490"/>
      <c r="BHD252" s="490"/>
      <c r="BHE252" s="490"/>
      <c r="BHF252" s="490"/>
      <c r="BHG252" s="490"/>
      <c r="BHH252" s="490"/>
      <c r="BHI252" s="490"/>
      <c r="BHJ252" s="490"/>
      <c r="BHK252" s="490"/>
      <c r="BHL252" s="490"/>
      <c r="BHM252" s="490"/>
      <c r="BHN252" s="490"/>
      <c r="BHO252" s="490"/>
      <c r="BHP252" s="490"/>
      <c r="BHQ252" s="490"/>
      <c r="BHR252" s="490"/>
      <c r="BHS252" s="490"/>
      <c r="BHT252" s="490"/>
      <c r="BHU252" s="490"/>
      <c r="BHV252" s="490"/>
      <c r="BHW252" s="490"/>
      <c r="BHX252" s="490"/>
      <c r="BHY252" s="490"/>
      <c r="BHZ252" s="490"/>
      <c r="BIA252" s="490"/>
      <c r="BIB252" s="490"/>
      <c r="BIC252" s="490"/>
      <c r="BID252" s="490"/>
      <c r="BIE252" s="490"/>
      <c r="BIF252" s="490"/>
      <c r="BIG252" s="490"/>
      <c r="BIH252" s="490"/>
      <c r="BII252" s="490"/>
      <c r="BIJ252" s="490"/>
      <c r="BIK252" s="490"/>
      <c r="BIL252" s="490"/>
      <c r="BIM252" s="490"/>
      <c r="BIN252" s="490"/>
      <c r="BIO252" s="490"/>
      <c r="BIP252" s="490"/>
      <c r="BIQ252" s="490"/>
      <c r="BIR252" s="490"/>
      <c r="BIS252" s="490"/>
      <c r="BIT252" s="490"/>
      <c r="BIU252" s="490"/>
      <c r="BIV252" s="490"/>
      <c r="BIW252" s="490"/>
      <c r="BIX252" s="490"/>
      <c r="BIY252" s="490"/>
      <c r="BIZ252" s="490"/>
      <c r="BJA252" s="490"/>
      <c r="BJB252" s="490"/>
      <c r="BJC252" s="490"/>
      <c r="BJD252" s="490"/>
      <c r="BJE252" s="490"/>
      <c r="BJF252" s="490"/>
      <c r="BJG252" s="490"/>
      <c r="BJH252" s="490"/>
      <c r="BJI252" s="490"/>
      <c r="BJJ252" s="490"/>
      <c r="BJK252" s="490"/>
      <c r="BJL252" s="490"/>
      <c r="BJM252" s="490"/>
      <c r="BJN252" s="490"/>
      <c r="BJO252" s="490"/>
      <c r="BJP252" s="490"/>
      <c r="BJQ252" s="490"/>
      <c r="BJR252" s="490"/>
      <c r="BJS252" s="490"/>
      <c r="BJT252" s="490"/>
      <c r="BJU252" s="490"/>
      <c r="BJV252" s="490"/>
      <c r="BJW252" s="490"/>
      <c r="BJX252" s="490"/>
      <c r="BJY252" s="490"/>
      <c r="BJZ252" s="490"/>
      <c r="BKA252" s="490"/>
      <c r="BKB252" s="490"/>
      <c r="BKC252" s="490"/>
      <c r="BKD252" s="490"/>
      <c r="BKE252" s="490"/>
      <c r="BKF252" s="490"/>
      <c r="BKG252" s="490"/>
      <c r="BKH252" s="490"/>
      <c r="BKI252" s="490"/>
      <c r="BKJ252" s="490"/>
      <c r="BKK252" s="490"/>
      <c r="BKL252" s="490"/>
      <c r="BKM252" s="490"/>
      <c r="BKN252" s="490"/>
      <c r="BKO252" s="490"/>
      <c r="BKP252" s="490"/>
      <c r="BKQ252" s="490"/>
      <c r="BKR252" s="490"/>
      <c r="BKS252" s="490"/>
      <c r="BKT252" s="490"/>
      <c r="BKU252" s="490"/>
      <c r="BKV252" s="490"/>
      <c r="BKW252" s="490"/>
      <c r="BKX252" s="490"/>
      <c r="BKY252" s="490"/>
      <c r="BKZ252" s="490"/>
      <c r="BLA252" s="490"/>
      <c r="BLB252" s="490"/>
      <c r="BLC252" s="490"/>
      <c r="BLD252" s="490"/>
      <c r="BLE252" s="490"/>
      <c r="BLF252" s="490"/>
      <c r="BLG252" s="490"/>
      <c r="BLH252" s="490"/>
      <c r="BLI252" s="490"/>
      <c r="BLJ252" s="490"/>
      <c r="BLK252" s="490"/>
      <c r="BLL252" s="490"/>
      <c r="BLM252" s="490"/>
      <c r="BLN252" s="490"/>
      <c r="BLO252" s="490"/>
      <c r="BLP252" s="490"/>
      <c r="BLQ252" s="490"/>
      <c r="BLR252" s="490"/>
      <c r="BLS252" s="490"/>
      <c r="BLT252" s="490"/>
      <c r="BLU252" s="490"/>
      <c r="BLV252" s="490"/>
      <c r="BLW252" s="490"/>
      <c r="BLX252" s="490"/>
      <c r="BLY252" s="490"/>
      <c r="BLZ252" s="490"/>
      <c r="BMA252" s="490"/>
      <c r="BMB252" s="490"/>
      <c r="BMC252" s="490"/>
      <c r="BMD252" s="490"/>
      <c r="BME252" s="490"/>
      <c r="BMF252" s="490"/>
      <c r="BMG252" s="490"/>
      <c r="BMH252" s="490"/>
      <c r="BMI252" s="490"/>
      <c r="BMJ252" s="490"/>
      <c r="BMK252" s="490"/>
      <c r="BML252" s="490"/>
      <c r="BMM252" s="490"/>
      <c r="BMN252" s="490"/>
      <c r="BMO252" s="490"/>
      <c r="BMP252" s="490"/>
      <c r="BMQ252" s="490"/>
      <c r="BMR252" s="490"/>
      <c r="BMS252" s="490"/>
      <c r="BMT252" s="490"/>
      <c r="BMU252" s="490"/>
      <c r="BMV252" s="490"/>
      <c r="BMW252" s="490"/>
      <c r="BMX252" s="490"/>
      <c r="BMY252" s="490"/>
      <c r="BMZ252" s="490"/>
      <c r="BNA252" s="490"/>
      <c r="BNB252" s="490"/>
      <c r="BNC252" s="490"/>
      <c r="BND252" s="490"/>
      <c r="BNE252" s="490"/>
      <c r="BNF252" s="490"/>
      <c r="BNG252" s="490"/>
      <c r="BNH252" s="490"/>
      <c r="BNI252" s="490"/>
      <c r="BNJ252" s="490"/>
      <c r="BNK252" s="490"/>
      <c r="BNL252" s="490"/>
      <c r="BNM252" s="490"/>
      <c r="BNN252" s="490"/>
      <c r="BNO252" s="490"/>
      <c r="BNP252" s="490"/>
      <c r="BNQ252" s="490"/>
      <c r="BNR252" s="490"/>
      <c r="BNS252" s="490"/>
      <c r="BNT252" s="490"/>
      <c r="BNU252" s="490"/>
      <c r="BNV252" s="490"/>
      <c r="BNW252" s="490"/>
      <c r="BNX252" s="490"/>
      <c r="BNY252" s="490"/>
      <c r="BNZ252" s="490"/>
      <c r="BOA252" s="490"/>
      <c r="BOB252" s="490"/>
      <c r="BOC252" s="490"/>
      <c r="BOD252" s="490"/>
      <c r="BOE252" s="490"/>
      <c r="BOF252" s="490"/>
      <c r="BOG252" s="490"/>
      <c r="BOH252" s="490"/>
      <c r="BOI252" s="490"/>
      <c r="BOJ252" s="490"/>
      <c r="BOK252" s="490"/>
      <c r="BOL252" s="490"/>
      <c r="BOM252" s="490"/>
      <c r="BON252" s="490"/>
      <c r="BOO252" s="490"/>
      <c r="BOP252" s="490"/>
      <c r="BOQ252" s="490"/>
      <c r="BOR252" s="490"/>
      <c r="BOS252" s="490"/>
      <c r="BOT252" s="490"/>
      <c r="BOU252" s="490"/>
      <c r="BOV252" s="490"/>
      <c r="BOW252" s="490"/>
      <c r="BOX252" s="490"/>
      <c r="BOY252" s="490"/>
      <c r="BOZ252" s="490"/>
      <c r="BPA252" s="490"/>
      <c r="BPB252" s="490"/>
      <c r="BPC252" s="490"/>
      <c r="BPD252" s="490"/>
      <c r="BPE252" s="490"/>
      <c r="BPF252" s="490"/>
      <c r="BPG252" s="490"/>
      <c r="BPH252" s="490"/>
      <c r="BPI252" s="490"/>
      <c r="BPJ252" s="490"/>
      <c r="BPK252" s="490"/>
      <c r="BPL252" s="490"/>
      <c r="BPM252" s="490"/>
      <c r="BPN252" s="490"/>
      <c r="BPO252" s="490"/>
      <c r="BPP252" s="490"/>
      <c r="BPQ252" s="490"/>
      <c r="BPR252" s="490"/>
      <c r="BPS252" s="490"/>
      <c r="BPT252" s="490"/>
      <c r="BPU252" s="490"/>
      <c r="BPV252" s="490"/>
      <c r="BPW252" s="490"/>
      <c r="BPX252" s="490"/>
      <c r="BPY252" s="490"/>
      <c r="BPZ252" s="490"/>
      <c r="BQA252" s="490"/>
      <c r="BQB252" s="490"/>
      <c r="BQC252" s="490"/>
      <c r="BQD252" s="490"/>
      <c r="BQE252" s="490"/>
      <c r="BQF252" s="490"/>
      <c r="BQG252" s="490"/>
      <c r="BQH252" s="490"/>
      <c r="BQI252" s="490"/>
      <c r="BQJ252" s="490"/>
      <c r="BQK252" s="490"/>
      <c r="BQL252" s="490"/>
      <c r="BQM252" s="490"/>
      <c r="BQN252" s="490"/>
      <c r="BQO252" s="490"/>
      <c r="BQP252" s="490"/>
      <c r="BQQ252" s="490"/>
      <c r="BQR252" s="490"/>
      <c r="BQS252" s="490"/>
      <c r="BQT252" s="490"/>
      <c r="BQU252" s="490"/>
      <c r="BQV252" s="490"/>
      <c r="BQW252" s="490"/>
      <c r="BQX252" s="490"/>
      <c r="BQY252" s="490"/>
      <c r="BQZ252" s="490"/>
      <c r="BRA252" s="490"/>
      <c r="BRB252" s="490"/>
      <c r="BRC252" s="490"/>
      <c r="BRD252" s="490"/>
      <c r="BRE252" s="490"/>
      <c r="BRF252" s="490"/>
      <c r="BRG252" s="490"/>
      <c r="BRH252" s="490"/>
      <c r="BRI252" s="490"/>
      <c r="BRJ252" s="490"/>
      <c r="BRK252" s="490"/>
      <c r="BRL252" s="490"/>
      <c r="BRM252" s="490"/>
      <c r="BRN252" s="490"/>
      <c r="BRO252" s="490"/>
      <c r="BRP252" s="490"/>
      <c r="BRQ252" s="490"/>
      <c r="BRR252" s="490"/>
      <c r="BRS252" s="490"/>
      <c r="BRT252" s="490"/>
      <c r="BRU252" s="490"/>
      <c r="BRV252" s="490"/>
      <c r="BRW252" s="490"/>
      <c r="BRX252" s="490"/>
      <c r="BRY252" s="490"/>
      <c r="BRZ252" s="490"/>
      <c r="BSA252" s="490"/>
      <c r="BSB252" s="490"/>
      <c r="BSC252" s="490"/>
      <c r="BSD252" s="490"/>
      <c r="BSE252" s="490"/>
      <c r="BSF252" s="490"/>
      <c r="BSG252" s="490"/>
      <c r="BSH252" s="490"/>
      <c r="BSI252" s="490"/>
      <c r="BSJ252" s="490"/>
      <c r="BSK252" s="490"/>
      <c r="BSL252" s="490"/>
      <c r="BSM252" s="490"/>
      <c r="BSN252" s="490"/>
      <c r="BSO252" s="490"/>
      <c r="BSP252" s="490"/>
      <c r="BSQ252" s="490"/>
      <c r="BSR252" s="490"/>
      <c r="BSS252" s="490"/>
      <c r="BST252" s="490"/>
      <c r="BSU252" s="490"/>
      <c r="BSV252" s="490"/>
      <c r="BSW252" s="490"/>
      <c r="BSX252" s="490"/>
      <c r="BSY252" s="490"/>
      <c r="BSZ252" s="490"/>
      <c r="BTA252" s="490"/>
      <c r="BTB252" s="490"/>
      <c r="BTC252" s="490"/>
      <c r="BTD252" s="490"/>
      <c r="BTE252" s="490"/>
      <c r="BTF252" s="490"/>
      <c r="BTG252" s="490"/>
      <c r="BTH252" s="490"/>
      <c r="BTI252" s="490"/>
    </row>
    <row r="253" spans="1:1881" s="489" customFormat="1" ht="21" thickBot="1" x14ac:dyDescent="0.3">
      <c r="A253" s="571"/>
      <c r="B253" s="574"/>
      <c r="C253" s="568"/>
      <c r="D253" s="573" t="s">
        <v>958</v>
      </c>
      <c r="E253" s="569"/>
      <c r="F253" s="570"/>
      <c r="G253" s="570"/>
      <c r="H253" s="572"/>
      <c r="I253"/>
      <c r="J253"/>
      <c r="K253"/>
      <c r="L253"/>
      <c r="M253"/>
      <c r="N253"/>
      <c r="O253"/>
      <c r="P253" s="490"/>
      <c r="Q253" s="490"/>
      <c r="R253" s="490"/>
      <c r="S253" s="490"/>
      <c r="T253" s="490"/>
      <c r="U253" s="490"/>
      <c r="V253" s="490"/>
      <c r="W253" s="490"/>
      <c r="X253" s="490"/>
      <c r="Y253" s="490"/>
      <c r="Z253" s="490"/>
      <c r="AA253" s="490"/>
      <c r="AB253" s="490"/>
      <c r="AC253" s="490"/>
      <c r="AD253" s="490"/>
      <c r="AE253" s="490"/>
      <c r="AF253" s="490"/>
      <c r="AG253" s="490"/>
      <c r="AH253" s="490"/>
      <c r="AI253" s="490"/>
      <c r="AJ253" s="490"/>
      <c r="AK253" s="490"/>
      <c r="AL253" s="490"/>
      <c r="AM253" s="490"/>
      <c r="AN253" s="490"/>
      <c r="AO253" s="490"/>
      <c r="AP253" s="490"/>
      <c r="AQ253" s="490"/>
      <c r="AR253" s="490"/>
      <c r="AS253" s="490"/>
      <c r="AT253" s="490"/>
      <c r="AU253" s="490"/>
      <c r="AV253" s="490"/>
      <c r="AW253" s="490"/>
      <c r="AX253" s="490"/>
      <c r="AY253" s="490"/>
      <c r="AZ253" s="490"/>
      <c r="BA253" s="490"/>
      <c r="BB253" s="490"/>
      <c r="BC253" s="490"/>
      <c r="BD253" s="490"/>
      <c r="BE253" s="490"/>
      <c r="BF253" s="490"/>
      <c r="BG253" s="490"/>
      <c r="BH253" s="490"/>
      <c r="BI253" s="490"/>
      <c r="BJ253" s="490"/>
      <c r="BK253" s="490"/>
      <c r="BL253" s="490"/>
      <c r="BM253" s="490"/>
      <c r="BN253" s="490"/>
      <c r="BO253" s="490"/>
      <c r="BP253" s="490"/>
      <c r="BQ253" s="490"/>
      <c r="BR253" s="490"/>
      <c r="BS253" s="490"/>
      <c r="BT253" s="490"/>
      <c r="BU253" s="490"/>
      <c r="BV253" s="490"/>
      <c r="BW253" s="490"/>
      <c r="BX253" s="490"/>
      <c r="BY253" s="490"/>
      <c r="BZ253" s="490"/>
      <c r="CA253" s="490"/>
      <c r="CB253" s="490"/>
      <c r="CC253" s="490"/>
      <c r="CD253" s="490"/>
      <c r="CE253" s="490"/>
      <c r="CF253" s="490"/>
      <c r="CG253" s="490"/>
      <c r="CH253" s="490"/>
      <c r="CI253" s="490"/>
      <c r="CJ253" s="490"/>
      <c r="CK253" s="490"/>
      <c r="CL253" s="490"/>
      <c r="CM253" s="490"/>
      <c r="CN253" s="490"/>
      <c r="CO253" s="490"/>
      <c r="CP253" s="490"/>
      <c r="CQ253" s="490"/>
      <c r="CR253" s="490"/>
      <c r="CS253" s="490"/>
      <c r="CT253" s="490"/>
      <c r="CU253" s="490"/>
      <c r="CV253" s="490"/>
      <c r="CW253" s="490"/>
      <c r="CX253" s="490"/>
      <c r="CY253" s="490"/>
      <c r="CZ253" s="490"/>
      <c r="DA253" s="490"/>
      <c r="DB253" s="490"/>
      <c r="DC253" s="490"/>
      <c r="DD253" s="490"/>
      <c r="DE253" s="490"/>
      <c r="DF253" s="490"/>
      <c r="DG253" s="490"/>
      <c r="DH253" s="490"/>
      <c r="DI253" s="490"/>
      <c r="DJ253" s="490"/>
      <c r="DK253" s="490"/>
      <c r="DL253" s="490"/>
      <c r="DM253" s="490"/>
      <c r="DN253" s="490"/>
      <c r="DO253" s="490"/>
      <c r="DP253" s="490"/>
      <c r="DQ253" s="490"/>
      <c r="DR253" s="490"/>
      <c r="DS253" s="490"/>
      <c r="DT253" s="490"/>
      <c r="DU253" s="490"/>
      <c r="DV253" s="490"/>
      <c r="DW253" s="490"/>
      <c r="DX253" s="490"/>
      <c r="DY253" s="490"/>
      <c r="DZ253" s="490"/>
      <c r="EA253" s="490"/>
      <c r="EB253" s="490"/>
      <c r="EC253" s="490"/>
      <c r="ED253" s="490"/>
      <c r="EE253" s="490"/>
      <c r="EF253" s="490"/>
      <c r="EG253" s="490"/>
      <c r="EH253" s="490"/>
      <c r="EI253" s="490"/>
      <c r="EJ253" s="490"/>
      <c r="EK253" s="490"/>
      <c r="EL253" s="490"/>
      <c r="EM253" s="490"/>
      <c r="EN253" s="490"/>
      <c r="EO253" s="490"/>
      <c r="EP253" s="490"/>
      <c r="EQ253" s="490"/>
      <c r="ER253" s="490"/>
      <c r="ES253" s="490"/>
      <c r="ET253" s="490"/>
      <c r="EU253" s="490"/>
      <c r="EV253" s="490"/>
      <c r="EW253" s="490"/>
      <c r="EX253" s="490"/>
      <c r="EY253" s="490"/>
      <c r="EZ253" s="490"/>
      <c r="FA253" s="490"/>
      <c r="FB253" s="490"/>
      <c r="FC253" s="490"/>
      <c r="FD253" s="490"/>
      <c r="FE253" s="490"/>
      <c r="FF253" s="490"/>
      <c r="FG253" s="490"/>
      <c r="FH253" s="490"/>
      <c r="FI253" s="490"/>
      <c r="FJ253" s="490"/>
      <c r="FK253" s="490"/>
      <c r="FL253" s="490"/>
      <c r="FM253" s="490"/>
      <c r="FN253" s="490"/>
      <c r="FO253" s="490"/>
      <c r="FP253" s="490"/>
      <c r="FQ253" s="490"/>
      <c r="FR253" s="490"/>
      <c r="FS253" s="490"/>
      <c r="FT253" s="490"/>
      <c r="FU253" s="490"/>
      <c r="FV253" s="490"/>
      <c r="FW253" s="490"/>
      <c r="FX253" s="490"/>
      <c r="FY253" s="490"/>
      <c r="FZ253" s="490"/>
      <c r="GA253" s="490"/>
      <c r="GB253" s="490"/>
      <c r="GC253" s="490"/>
      <c r="GD253" s="490"/>
      <c r="GE253" s="490"/>
      <c r="GF253" s="490"/>
      <c r="GG253" s="490"/>
      <c r="GH253" s="490"/>
      <c r="GI253" s="490"/>
      <c r="GJ253" s="490"/>
      <c r="GK253" s="490"/>
      <c r="GL253" s="490"/>
      <c r="GM253" s="490"/>
      <c r="GN253" s="490"/>
      <c r="GO253" s="490"/>
      <c r="GP253" s="490"/>
      <c r="GQ253" s="490"/>
      <c r="GR253" s="490"/>
      <c r="GS253" s="490"/>
      <c r="GT253" s="490"/>
      <c r="GU253" s="490"/>
      <c r="GV253" s="490"/>
      <c r="GW253" s="490"/>
      <c r="GX253" s="490"/>
      <c r="GY253" s="490"/>
      <c r="GZ253" s="490"/>
      <c r="HA253" s="490"/>
      <c r="HB253" s="490"/>
      <c r="HC253" s="490"/>
      <c r="HD253" s="490"/>
      <c r="HE253" s="490"/>
      <c r="HF253" s="490"/>
      <c r="HG253" s="490"/>
      <c r="HH253" s="490"/>
      <c r="HI253" s="490"/>
      <c r="HJ253" s="490"/>
      <c r="HK253" s="490"/>
      <c r="HL253" s="490"/>
      <c r="HM253" s="490"/>
      <c r="HN253" s="490"/>
      <c r="HO253" s="490"/>
      <c r="HP253" s="490"/>
      <c r="HQ253" s="490"/>
      <c r="HR253" s="490"/>
      <c r="HS253" s="490"/>
      <c r="HT253" s="490"/>
      <c r="HU253" s="490"/>
      <c r="HV253" s="490"/>
      <c r="HW253" s="490"/>
      <c r="HX253" s="490"/>
      <c r="HY253" s="490"/>
      <c r="HZ253" s="490"/>
      <c r="IA253" s="490"/>
      <c r="IB253" s="490"/>
      <c r="IC253" s="490"/>
      <c r="ID253" s="490"/>
      <c r="IE253" s="490"/>
      <c r="IF253" s="490"/>
      <c r="IG253" s="490"/>
      <c r="IH253" s="490"/>
      <c r="II253" s="490"/>
      <c r="IJ253" s="490"/>
      <c r="IK253" s="490"/>
      <c r="IL253" s="490"/>
      <c r="IM253" s="490"/>
      <c r="IN253" s="490"/>
      <c r="IO253" s="490"/>
      <c r="IP253" s="490"/>
      <c r="IQ253" s="490"/>
      <c r="IR253" s="490"/>
      <c r="IS253" s="490"/>
      <c r="IT253" s="490"/>
      <c r="IU253" s="490"/>
      <c r="IV253" s="490"/>
      <c r="IW253" s="490"/>
      <c r="IX253" s="490"/>
      <c r="IY253" s="490"/>
      <c r="IZ253" s="490"/>
      <c r="JA253" s="490"/>
      <c r="JB253" s="490"/>
      <c r="JC253" s="490"/>
      <c r="JD253" s="490"/>
      <c r="JE253" s="490"/>
      <c r="JF253" s="490"/>
      <c r="JG253" s="490"/>
      <c r="JH253" s="490"/>
      <c r="JI253" s="490"/>
      <c r="JJ253" s="490"/>
      <c r="JK253" s="490"/>
      <c r="JL253" s="490"/>
      <c r="JM253" s="490"/>
      <c r="JN253" s="490"/>
      <c r="JO253" s="490"/>
      <c r="JP253" s="490"/>
      <c r="JQ253" s="490"/>
      <c r="JR253" s="490"/>
      <c r="JS253" s="490"/>
      <c r="JT253" s="490"/>
      <c r="JU253" s="490"/>
      <c r="JV253" s="490"/>
      <c r="JW253" s="490"/>
      <c r="JX253" s="490"/>
      <c r="JY253" s="490"/>
      <c r="JZ253" s="490"/>
      <c r="KA253" s="490"/>
      <c r="KB253" s="490"/>
      <c r="KC253" s="490"/>
      <c r="KD253" s="490"/>
      <c r="KE253" s="490"/>
      <c r="KF253" s="490"/>
      <c r="KG253" s="490"/>
      <c r="KH253" s="490"/>
      <c r="KI253" s="490"/>
      <c r="KJ253" s="490"/>
      <c r="KK253" s="490"/>
      <c r="KL253" s="490"/>
      <c r="KM253" s="490"/>
      <c r="KN253" s="490"/>
      <c r="KO253" s="490"/>
      <c r="KP253" s="490"/>
      <c r="KQ253" s="490"/>
      <c r="KR253" s="490"/>
      <c r="KS253" s="490"/>
      <c r="KT253" s="490"/>
      <c r="KU253" s="490"/>
      <c r="KV253" s="490"/>
      <c r="KW253" s="490"/>
      <c r="KX253" s="490"/>
      <c r="KY253" s="490"/>
      <c r="KZ253" s="490"/>
      <c r="LA253" s="490"/>
      <c r="LB253" s="490"/>
      <c r="LC253" s="490"/>
      <c r="LD253" s="490"/>
      <c r="LE253" s="490"/>
      <c r="LF253" s="490"/>
      <c r="LG253" s="490"/>
      <c r="LH253" s="490"/>
      <c r="LI253" s="490"/>
      <c r="LJ253" s="490"/>
      <c r="LK253" s="490"/>
      <c r="LL253" s="490"/>
      <c r="LM253" s="490"/>
      <c r="LN253" s="490"/>
      <c r="LO253" s="490"/>
      <c r="LP253" s="490"/>
      <c r="LQ253" s="490"/>
      <c r="LR253" s="490"/>
      <c r="LS253" s="490"/>
      <c r="LT253" s="490"/>
      <c r="LU253" s="490"/>
      <c r="LV253" s="490"/>
      <c r="LW253" s="490"/>
      <c r="LX253" s="490"/>
      <c r="LY253" s="490"/>
      <c r="LZ253" s="490"/>
      <c r="MA253" s="490"/>
      <c r="MB253" s="490"/>
      <c r="MC253" s="490"/>
      <c r="MD253" s="490"/>
      <c r="ME253" s="490"/>
      <c r="MF253" s="490"/>
      <c r="MG253" s="490"/>
      <c r="MH253" s="490"/>
      <c r="MI253" s="490"/>
      <c r="MJ253" s="490"/>
      <c r="MK253" s="490"/>
      <c r="ML253" s="490"/>
      <c r="MM253" s="490"/>
      <c r="MN253" s="490"/>
      <c r="MO253" s="490"/>
      <c r="MP253" s="490"/>
      <c r="MQ253" s="490"/>
      <c r="MR253" s="490"/>
      <c r="MS253" s="490"/>
      <c r="MT253" s="490"/>
      <c r="MU253" s="490"/>
      <c r="MV253" s="490"/>
      <c r="MW253" s="490"/>
      <c r="MX253" s="490"/>
      <c r="MY253" s="490"/>
      <c r="MZ253" s="490"/>
      <c r="NA253" s="490"/>
      <c r="NB253" s="490"/>
      <c r="NC253" s="490"/>
      <c r="ND253" s="490"/>
      <c r="NE253" s="490"/>
      <c r="NF253" s="490"/>
      <c r="NG253" s="490"/>
      <c r="NH253" s="490"/>
      <c r="NI253" s="490"/>
      <c r="NJ253" s="490"/>
      <c r="NK253" s="490"/>
      <c r="NL253" s="490"/>
      <c r="NM253" s="490"/>
      <c r="NN253" s="490"/>
      <c r="NO253" s="490"/>
      <c r="NP253" s="490"/>
      <c r="NQ253" s="490"/>
      <c r="NR253" s="490"/>
      <c r="NS253" s="490"/>
      <c r="NT253" s="490"/>
      <c r="NU253" s="490"/>
      <c r="NV253" s="490"/>
      <c r="NW253" s="490"/>
      <c r="NX253" s="490"/>
      <c r="NY253" s="490"/>
      <c r="NZ253" s="490"/>
      <c r="OA253" s="490"/>
      <c r="OB253" s="490"/>
      <c r="OC253" s="490"/>
      <c r="OD253" s="490"/>
      <c r="OE253" s="490"/>
      <c r="OF253" s="490"/>
      <c r="OG253" s="490"/>
      <c r="OH253" s="490"/>
      <c r="OI253" s="490"/>
      <c r="OJ253" s="490"/>
      <c r="OK253" s="490"/>
      <c r="OL253" s="490"/>
      <c r="OM253" s="490"/>
      <c r="ON253" s="490"/>
      <c r="OO253" s="490"/>
      <c r="OP253" s="490"/>
      <c r="OQ253" s="490"/>
      <c r="OR253" s="490"/>
      <c r="OS253" s="490"/>
      <c r="OT253" s="490"/>
      <c r="OU253" s="490"/>
      <c r="OV253" s="490"/>
      <c r="OW253" s="490"/>
      <c r="OX253" s="490"/>
      <c r="OY253" s="490"/>
      <c r="OZ253" s="490"/>
      <c r="PA253" s="490"/>
      <c r="PB253" s="490"/>
      <c r="PC253" s="490"/>
      <c r="PD253" s="490"/>
      <c r="PE253" s="490"/>
      <c r="PF253" s="490"/>
      <c r="PG253" s="490"/>
      <c r="PH253" s="490"/>
      <c r="PI253" s="490"/>
      <c r="PJ253" s="490"/>
      <c r="PK253" s="490"/>
      <c r="PL253" s="490"/>
      <c r="PM253" s="490"/>
      <c r="PN253" s="490"/>
      <c r="PO253" s="490"/>
      <c r="PP253" s="490"/>
      <c r="PQ253" s="490"/>
      <c r="PR253" s="490"/>
      <c r="PS253" s="490"/>
      <c r="PT253" s="490"/>
      <c r="PU253" s="490"/>
      <c r="PV253" s="490"/>
      <c r="PW253" s="490"/>
      <c r="PX253" s="490"/>
      <c r="PY253" s="490"/>
      <c r="PZ253" s="490"/>
      <c r="QA253" s="490"/>
      <c r="QB253" s="490"/>
      <c r="QC253" s="490"/>
      <c r="QD253" s="490"/>
      <c r="QE253" s="490"/>
      <c r="QF253" s="490"/>
      <c r="QG253" s="490"/>
      <c r="QH253" s="490"/>
      <c r="QI253" s="490"/>
      <c r="QJ253" s="490"/>
      <c r="QK253" s="490"/>
      <c r="QL253" s="490"/>
      <c r="QM253" s="490"/>
      <c r="QN253" s="490"/>
      <c r="QO253" s="490"/>
      <c r="QP253" s="490"/>
      <c r="QQ253" s="490"/>
      <c r="QR253" s="490"/>
      <c r="QS253" s="490"/>
      <c r="QT253" s="490"/>
      <c r="QU253" s="490"/>
      <c r="QV253" s="490"/>
      <c r="QW253" s="490"/>
      <c r="QX253" s="490"/>
      <c r="QY253" s="490"/>
      <c r="QZ253" s="490"/>
      <c r="RA253" s="490"/>
      <c r="RB253" s="490"/>
      <c r="RC253" s="490"/>
      <c r="RD253" s="490"/>
      <c r="RE253" s="490"/>
      <c r="RF253" s="490"/>
      <c r="RG253" s="490"/>
      <c r="RH253" s="490"/>
      <c r="RI253" s="490"/>
      <c r="RJ253" s="490"/>
      <c r="RK253" s="490"/>
      <c r="RL253" s="490"/>
      <c r="RM253" s="490"/>
      <c r="RN253" s="490"/>
      <c r="RO253" s="490"/>
      <c r="RP253" s="490"/>
      <c r="RQ253" s="490"/>
      <c r="RR253" s="490"/>
      <c r="RS253" s="490"/>
      <c r="RT253" s="490"/>
      <c r="RU253" s="490"/>
      <c r="RV253" s="490"/>
      <c r="RW253" s="490"/>
      <c r="RX253" s="490"/>
      <c r="RY253" s="490"/>
      <c r="RZ253" s="490"/>
      <c r="SA253" s="490"/>
      <c r="SB253" s="490"/>
      <c r="SC253" s="490"/>
      <c r="SD253" s="490"/>
      <c r="SE253" s="490"/>
      <c r="SF253" s="490"/>
      <c r="SG253" s="490"/>
      <c r="SH253" s="490"/>
      <c r="SI253" s="490"/>
      <c r="SJ253" s="490"/>
      <c r="SK253" s="490"/>
      <c r="SL253" s="490"/>
      <c r="SM253" s="490"/>
      <c r="SN253" s="490"/>
      <c r="SO253" s="490"/>
      <c r="SP253" s="490"/>
      <c r="SQ253" s="490"/>
      <c r="SR253" s="490"/>
      <c r="SS253" s="490"/>
      <c r="ST253" s="490"/>
      <c r="SU253" s="490"/>
      <c r="SV253" s="490"/>
      <c r="SW253" s="490"/>
      <c r="SX253" s="490"/>
      <c r="SY253" s="490"/>
      <c r="SZ253" s="490"/>
      <c r="TA253" s="490"/>
      <c r="TB253" s="490"/>
      <c r="TC253" s="490"/>
      <c r="TD253" s="490"/>
      <c r="TE253" s="490"/>
      <c r="TF253" s="490"/>
      <c r="TG253" s="490"/>
      <c r="TH253" s="490"/>
      <c r="TI253" s="490"/>
      <c r="TJ253" s="490"/>
      <c r="TK253" s="490"/>
      <c r="TL253" s="490"/>
      <c r="TM253" s="490"/>
      <c r="TN253" s="490"/>
      <c r="TO253" s="490"/>
      <c r="TP253" s="490"/>
      <c r="TQ253" s="490"/>
      <c r="TR253" s="490"/>
      <c r="TS253" s="490"/>
      <c r="TT253" s="490"/>
      <c r="TU253" s="490"/>
      <c r="TV253" s="490"/>
      <c r="TW253" s="490"/>
      <c r="TX253" s="490"/>
      <c r="TY253" s="490"/>
      <c r="TZ253" s="490"/>
      <c r="UA253" s="490"/>
      <c r="UB253" s="490"/>
      <c r="UC253" s="490"/>
      <c r="UD253" s="490"/>
      <c r="UE253" s="490"/>
      <c r="UF253" s="490"/>
      <c r="UG253" s="490"/>
      <c r="UH253" s="490"/>
      <c r="UI253" s="490"/>
      <c r="UJ253" s="490"/>
      <c r="UK253" s="490"/>
      <c r="UL253" s="490"/>
      <c r="UM253" s="490"/>
      <c r="UN253" s="490"/>
      <c r="UO253" s="490"/>
      <c r="UP253" s="490"/>
      <c r="UQ253" s="490"/>
      <c r="UR253" s="490"/>
      <c r="US253" s="490"/>
      <c r="UT253" s="490"/>
      <c r="UU253" s="490"/>
      <c r="UV253" s="490"/>
      <c r="UW253" s="490"/>
      <c r="UX253" s="490"/>
      <c r="UY253" s="490"/>
      <c r="UZ253" s="490"/>
      <c r="VA253" s="490"/>
      <c r="VB253" s="490"/>
      <c r="VC253" s="490"/>
      <c r="VD253" s="490"/>
      <c r="VE253" s="490"/>
      <c r="VF253" s="490"/>
      <c r="VG253" s="490"/>
      <c r="VH253" s="490"/>
      <c r="VI253" s="490"/>
      <c r="VJ253" s="490"/>
      <c r="VK253" s="490"/>
      <c r="VL253" s="490"/>
      <c r="VM253" s="490"/>
      <c r="VN253" s="490"/>
      <c r="VO253" s="490"/>
      <c r="VP253" s="490"/>
      <c r="VQ253" s="490"/>
      <c r="VR253" s="490"/>
      <c r="VS253" s="490"/>
      <c r="VT253" s="490"/>
      <c r="VU253" s="490"/>
      <c r="VV253" s="490"/>
      <c r="VW253" s="490"/>
      <c r="VX253" s="490"/>
      <c r="VY253" s="490"/>
      <c r="VZ253" s="490"/>
      <c r="WA253" s="490"/>
      <c r="WB253" s="490"/>
      <c r="WC253" s="490"/>
      <c r="WD253" s="490"/>
      <c r="WE253" s="490"/>
      <c r="WF253" s="490"/>
      <c r="WG253" s="490"/>
      <c r="WH253" s="490"/>
      <c r="WI253" s="490"/>
      <c r="WJ253" s="490"/>
      <c r="WK253" s="490"/>
      <c r="WL253" s="490"/>
      <c r="WM253" s="490"/>
      <c r="WN253" s="490"/>
      <c r="WO253" s="490"/>
      <c r="WP253" s="490"/>
      <c r="WQ253" s="490"/>
      <c r="WR253" s="490"/>
      <c r="WS253" s="490"/>
      <c r="WT253" s="490"/>
      <c r="WU253" s="490"/>
      <c r="WV253" s="490"/>
      <c r="WW253" s="490"/>
      <c r="WX253" s="490"/>
      <c r="WY253" s="490"/>
      <c r="WZ253" s="490"/>
      <c r="XA253" s="490"/>
      <c r="XB253" s="490"/>
      <c r="XC253" s="490"/>
      <c r="XD253" s="490"/>
      <c r="XE253" s="490"/>
      <c r="XF253" s="490"/>
      <c r="XG253" s="490"/>
      <c r="XH253" s="490"/>
      <c r="XI253" s="490"/>
      <c r="XJ253" s="490"/>
      <c r="XK253" s="490"/>
      <c r="XL253" s="490"/>
      <c r="XM253" s="490"/>
      <c r="XN253" s="490"/>
      <c r="XO253" s="490"/>
      <c r="XP253" s="490"/>
      <c r="XQ253" s="490"/>
      <c r="XR253" s="490"/>
      <c r="XS253" s="490"/>
      <c r="XT253" s="490"/>
      <c r="XU253" s="490"/>
      <c r="XV253" s="490"/>
      <c r="XW253" s="490"/>
      <c r="XX253" s="490"/>
      <c r="XY253" s="490"/>
      <c r="XZ253" s="490"/>
      <c r="YA253" s="490"/>
      <c r="YB253" s="490"/>
      <c r="YC253" s="490"/>
      <c r="YD253" s="490"/>
      <c r="YE253" s="490"/>
      <c r="YF253" s="490"/>
      <c r="YG253" s="490"/>
      <c r="YH253" s="490"/>
      <c r="YI253" s="490"/>
      <c r="YJ253" s="490"/>
      <c r="YK253" s="490"/>
      <c r="YL253" s="490"/>
      <c r="YM253" s="490"/>
      <c r="YN253" s="490"/>
      <c r="YO253" s="490"/>
      <c r="YP253" s="490"/>
      <c r="YQ253" s="490"/>
      <c r="YR253" s="490"/>
      <c r="YS253" s="490"/>
      <c r="YT253" s="490"/>
      <c r="YU253" s="490"/>
      <c r="YV253" s="490"/>
      <c r="YW253" s="490"/>
      <c r="YX253" s="490"/>
      <c r="YY253" s="490"/>
      <c r="YZ253" s="490"/>
      <c r="ZA253" s="490"/>
      <c r="ZB253" s="490"/>
      <c r="ZC253" s="490"/>
      <c r="ZD253" s="490"/>
      <c r="ZE253" s="490"/>
      <c r="ZF253" s="490"/>
      <c r="ZG253" s="490"/>
      <c r="ZH253" s="490"/>
      <c r="ZI253" s="490"/>
      <c r="ZJ253" s="490"/>
      <c r="ZK253" s="490"/>
      <c r="ZL253" s="490"/>
      <c r="ZM253" s="490"/>
      <c r="ZN253" s="490"/>
      <c r="ZO253" s="490"/>
      <c r="ZP253" s="490"/>
      <c r="ZQ253" s="490"/>
      <c r="ZR253" s="490"/>
      <c r="ZS253" s="490"/>
      <c r="ZT253" s="490"/>
      <c r="ZU253" s="490"/>
      <c r="ZV253" s="490"/>
      <c r="ZW253" s="490"/>
      <c r="ZX253" s="490"/>
      <c r="ZY253" s="490"/>
      <c r="ZZ253" s="490"/>
      <c r="AAA253" s="490"/>
      <c r="AAB253" s="490"/>
      <c r="AAC253" s="490"/>
      <c r="AAD253" s="490"/>
      <c r="AAE253" s="490"/>
      <c r="AAF253" s="490"/>
      <c r="AAG253" s="490"/>
      <c r="AAH253" s="490"/>
      <c r="AAI253" s="490"/>
      <c r="AAJ253" s="490"/>
      <c r="AAK253" s="490"/>
      <c r="AAL253" s="490"/>
      <c r="AAM253" s="490"/>
      <c r="AAN253" s="490"/>
      <c r="AAO253" s="490"/>
      <c r="AAP253" s="490"/>
      <c r="AAQ253" s="490"/>
      <c r="AAR253" s="490"/>
      <c r="AAS253" s="490"/>
      <c r="AAT253" s="490"/>
      <c r="AAU253" s="490"/>
      <c r="AAV253" s="490"/>
      <c r="AAW253" s="490"/>
      <c r="AAX253" s="490"/>
      <c r="AAY253" s="490"/>
      <c r="AAZ253" s="490"/>
      <c r="ABA253" s="490"/>
      <c r="ABB253" s="490"/>
      <c r="ABC253" s="490"/>
      <c r="ABD253" s="490"/>
      <c r="ABE253" s="490"/>
      <c r="ABF253" s="490"/>
      <c r="ABG253" s="490"/>
      <c r="ABH253" s="490"/>
      <c r="ABI253" s="490"/>
      <c r="ABJ253" s="490"/>
      <c r="ABK253" s="490"/>
      <c r="ABL253" s="490"/>
      <c r="ABM253" s="490"/>
      <c r="ABN253" s="490"/>
      <c r="ABO253" s="490"/>
      <c r="ABP253" s="490"/>
      <c r="ABQ253" s="490"/>
      <c r="ABR253" s="490"/>
      <c r="ABS253" s="490"/>
      <c r="ABT253" s="490"/>
      <c r="ABU253" s="490"/>
      <c r="ABV253" s="490"/>
      <c r="ABW253" s="490"/>
      <c r="ABX253" s="490"/>
      <c r="ABY253" s="490"/>
      <c r="ABZ253" s="490"/>
      <c r="ACA253" s="490"/>
      <c r="ACB253" s="490"/>
      <c r="ACC253" s="490"/>
      <c r="ACD253" s="490"/>
      <c r="ACE253" s="490"/>
      <c r="ACF253" s="490"/>
      <c r="ACG253" s="490"/>
      <c r="ACH253" s="490"/>
      <c r="ACI253" s="490"/>
      <c r="ACJ253" s="490"/>
      <c r="ACK253" s="490"/>
      <c r="ACL253" s="490"/>
      <c r="ACM253" s="490"/>
      <c r="ACN253" s="490"/>
      <c r="ACO253" s="490"/>
      <c r="ACP253" s="490"/>
      <c r="ACQ253" s="490"/>
      <c r="ACR253" s="490"/>
      <c r="ACS253" s="490"/>
      <c r="ACT253" s="490"/>
      <c r="ACU253" s="490"/>
      <c r="ACV253" s="490"/>
      <c r="ACW253" s="490"/>
      <c r="ACX253" s="490"/>
      <c r="ACY253" s="490"/>
      <c r="ACZ253" s="490"/>
      <c r="ADA253" s="490"/>
      <c r="ADB253" s="490"/>
      <c r="ADC253" s="490"/>
      <c r="ADD253" s="490"/>
      <c r="ADE253" s="490"/>
      <c r="ADF253" s="490"/>
      <c r="ADG253" s="490"/>
      <c r="ADH253" s="490"/>
      <c r="ADI253" s="490"/>
      <c r="ADJ253" s="490"/>
      <c r="ADK253" s="490"/>
      <c r="ADL253" s="490"/>
      <c r="ADM253" s="490"/>
      <c r="ADN253" s="490"/>
      <c r="ADO253" s="490"/>
      <c r="ADP253" s="490"/>
      <c r="ADQ253" s="490"/>
      <c r="ADR253" s="490"/>
      <c r="ADS253" s="490"/>
      <c r="ADT253" s="490"/>
      <c r="ADU253" s="490"/>
      <c r="ADV253" s="490"/>
      <c r="ADW253" s="490"/>
      <c r="ADX253" s="490"/>
      <c r="ADY253" s="490"/>
      <c r="ADZ253" s="490"/>
      <c r="AEA253" s="490"/>
      <c r="AEB253" s="490"/>
      <c r="AEC253" s="490"/>
      <c r="AED253" s="490"/>
      <c r="AEE253" s="490"/>
      <c r="AEF253" s="490"/>
      <c r="AEG253" s="490"/>
      <c r="AEH253" s="490"/>
      <c r="AEI253" s="490"/>
      <c r="AEJ253" s="490"/>
      <c r="AEK253" s="490"/>
      <c r="AEL253" s="490"/>
      <c r="AEM253" s="490"/>
      <c r="AEN253" s="490"/>
      <c r="AEO253" s="490"/>
      <c r="AEP253" s="490"/>
      <c r="AEQ253" s="490"/>
      <c r="AER253" s="490"/>
      <c r="AES253" s="490"/>
      <c r="AET253" s="490"/>
      <c r="AEU253" s="490"/>
      <c r="AEV253" s="490"/>
      <c r="AEW253" s="490"/>
      <c r="AEX253" s="490"/>
      <c r="AEY253" s="490"/>
      <c r="AEZ253" s="490"/>
      <c r="AFA253" s="490"/>
      <c r="AFB253" s="490"/>
      <c r="AFC253" s="490"/>
      <c r="AFD253" s="490"/>
      <c r="AFE253" s="490"/>
      <c r="AFF253" s="490"/>
      <c r="AFG253" s="490"/>
      <c r="AFH253" s="490"/>
      <c r="AFI253" s="490"/>
      <c r="AFJ253" s="490"/>
      <c r="AFK253" s="490"/>
      <c r="AFL253" s="490"/>
      <c r="AFM253" s="490"/>
      <c r="AFN253" s="490"/>
      <c r="AFO253" s="490"/>
      <c r="AFP253" s="490"/>
      <c r="AFQ253" s="490"/>
      <c r="AFR253" s="490"/>
      <c r="AFS253" s="490"/>
      <c r="AFT253" s="490"/>
      <c r="AFU253" s="490"/>
      <c r="AFV253" s="490"/>
      <c r="AFW253" s="490"/>
      <c r="AFX253" s="490"/>
      <c r="AFY253" s="490"/>
      <c r="AFZ253" s="490"/>
      <c r="AGA253" s="490"/>
      <c r="AGB253" s="490"/>
      <c r="AGC253" s="490"/>
      <c r="AGD253" s="490"/>
      <c r="AGE253" s="490"/>
      <c r="AGF253" s="490"/>
      <c r="AGG253" s="490"/>
      <c r="AGH253" s="490"/>
      <c r="AGI253" s="490"/>
      <c r="AGJ253" s="490"/>
      <c r="AGK253" s="490"/>
      <c r="AGL253" s="490"/>
      <c r="AGM253" s="490"/>
      <c r="AGN253" s="490"/>
      <c r="AGO253" s="490"/>
      <c r="AGP253" s="490"/>
      <c r="AGQ253" s="490"/>
      <c r="AGR253" s="490"/>
      <c r="AGS253" s="490"/>
      <c r="AGT253" s="490"/>
      <c r="AGU253" s="490"/>
      <c r="AGV253" s="490"/>
      <c r="AGW253" s="490"/>
      <c r="AGX253" s="490"/>
      <c r="AGY253" s="490"/>
      <c r="AGZ253" s="490"/>
      <c r="AHA253" s="490"/>
      <c r="AHB253" s="490"/>
      <c r="AHC253" s="490"/>
      <c r="AHD253" s="490"/>
      <c r="AHE253" s="490"/>
      <c r="AHF253" s="490"/>
      <c r="AHG253" s="490"/>
      <c r="AHH253" s="490"/>
      <c r="AHI253" s="490"/>
      <c r="AHJ253" s="490"/>
      <c r="AHK253" s="490"/>
      <c r="AHL253" s="490"/>
      <c r="AHM253" s="490"/>
      <c r="AHN253" s="490"/>
      <c r="AHO253" s="490"/>
      <c r="AHP253" s="490"/>
      <c r="AHQ253" s="490"/>
      <c r="AHR253" s="490"/>
      <c r="AHS253" s="490"/>
      <c r="AHT253" s="490"/>
      <c r="AHU253" s="490"/>
      <c r="AHV253" s="490"/>
      <c r="AHW253" s="490"/>
      <c r="AHX253" s="490"/>
      <c r="AHY253" s="490"/>
      <c r="AHZ253" s="490"/>
      <c r="AIA253" s="490"/>
      <c r="AIB253" s="490"/>
      <c r="AIC253" s="490"/>
      <c r="AID253" s="490"/>
      <c r="AIE253" s="490"/>
      <c r="AIF253" s="490"/>
      <c r="AIG253" s="490"/>
      <c r="AIH253" s="490"/>
      <c r="AII253" s="490"/>
      <c r="AIJ253" s="490"/>
      <c r="AIK253" s="490"/>
      <c r="AIL253" s="490"/>
      <c r="AIM253" s="490"/>
      <c r="AIN253" s="490"/>
      <c r="AIO253" s="490"/>
      <c r="AIP253" s="490"/>
      <c r="AIQ253" s="490"/>
      <c r="AIR253" s="490"/>
      <c r="AIS253" s="490"/>
      <c r="AIT253" s="490"/>
      <c r="AIU253" s="490"/>
      <c r="AIV253" s="490"/>
      <c r="AIW253" s="490"/>
      <c r="AIX253" s="490"/>
      <c r="AIY253" s="490"/>
      <c r="AIZ253" s="490"/>
      <c r="AJA253" s="490"/>
      <c r="AJB253" s="490"/>
      <c r="AJC253" s="490"/>
      <c r="AJD253" s="490"/>
      <c r="AJE253" s="490"/>
      <c r="AJF253" s="490"/>
      <c r="AJG253" s="490"/>
      <c r="AJH253" s="490"/>
      <c r="AJI253" s="490"/>
      <c r="AJJ253" s="490"/>
      <c r="AJK253" s="490"/>
      <c r="AJL253" s="490"/>
      <c r="AJM253" s="490"/>
      <c r="AJN253" s="490"/>
      <c r="AJO253" s="490"/>
      <c r="AJP253" s="490"/>
      <c r="AJQ253" s="490"/>
      <c r="AJR253" s="490"/>
      <c r="AJS253" s="490"/>
      <c r="AJT253" s="490"/>
      <c r="AJU253" s="490"/>
      <c r="AJV253" s="490"/>
      <c r="AJW253" s="490"/>
      <c r="AJX253" s="490"/>
      <c r="AJY253" s="490"/>
      <c r="AJZ253" s="490"/>
      <c r="AKA253" s="490"/>
      <c r="AKB253" s="490"/>
      <c r="AKC253" s="490"/>
      <c r="AKD253" s="490"/>
      <c r="AKE253" s="490"/>
      <c r="AKF253" s="490"/>
      <c r="AKG253" s="490"/>
      <c r="AKH253" s="490"/>
      <c r="AKI253" s="490"/>
      <c r="AKJ253" s="490"/>
      <c r="AKK253" s="490"/>
      <c r="AKL253" s="490"/>
      <c r="AKM253" s="490"/>
      <c r="AKN253" s="490"/>
      <c r="AKO253" s="490"/>
      <c r="AKP253" s="490"/>
      <c r="AKQ253" s="490"/>
      <c r="AKR253" s="490"/>
      <c r="AKS253" s="490"/>
      <c r="AKT253" s="490"/>
      <c r="AKU253" s="490"/>
      <c r="AKV253" s="490"/>
      <c r="AKW253" s="490"/>
      <c r="AKX253" s="490"/>
      <c r="AKY253" s="490"/>
      <c r="AKZ253" s="490"/>
      <c r="ALA253" s="490"/>
      <c r="ALB253" s="490"/>
      <c r="ALC253" s="490"/>
      <c r="ALD253" s="490"/>
      <c r="ALE253" s="490"/>
      <c r="ALF253" s="490"/>
      <c r="ALG253" s="490"/>
      <c r="ALH253" s="490"/>
      <c r="ALI253" s="490"/>
      <c r="ALJ253" s="490"/>
      <c r="ALK253" s="490"/>
      <c r="ALL253" s="490"/>
      <c r="ALM253" s="490"/>
      <c r="ALN253" s="490"/>
      <c r="ALO253" s="490"/>
      <c r="ALP253" s="490"/>
      <c r="ALQ253" s="490"/>
      <c r="ALR253" s="490"/>
      <c r="ALS253" s="490"/>
      <c r="ALT253" s="490"/>
      <c r="ALU253" s="490"/>
      <c r="ALV253" s="490"/>
      <c r="ALW253" s="490"/>
      <c r="ALX253" s="490"/>
      <c r="ALY253" s="490"/>
      <c r="ALZ253" s="490"/>
      <c r="AMA253" s="490"/>
      <c r="AMB253" s="490"/>
      <c r="AMC253" s="490"/>
      <c r="AMD253" s="490"/>
      <c r="AME253" s="490"/>
      <c r="AMF253" s="490"/>
      <c r="AMG253" s="490"/>
      <c r="AMH253" s="490"/>
      <c r="AMI253" s="490"/>
      <c r="AMJ253" s="490"/>
      <c r="AMK253" s="490"/>
      <c r="AML253" s="490"/>
      <c r="AMM253" s="490"/>
      <c r="AMN253" s="490"/>
      <c r="AMO253" s="490"/>
      <c r="AMP253" s="490"/>
      <c r="AMQ253" s="490"/>
      <c r="AMR253" s="490"/>
      <c r="AMS253" s="490"/>
      <c r="AMT253" s="490"/>
      <c r="AMU253" s="490"/>
      <c r="AMV253" s="490"/>
      <c r="AMW253" s="490"/>
      <c r="AMX253" s="490"/>
      <c r="AMY253" s="490"/>
      <c r="AMZ253" s="490"/>
      <c r="ANA253" s="490"/>
      <c r="ANB253" s="490"/>
      <c r="ANC253" s="490"/>
      <c r="AND253" s="490"/>
      <c r="ANE253" s="490"/>
      <c r="ANF253" s="490"/>
      <c r="ANG253" s="490"/>
      <c r="ANH253" s="490"/>
      <c r="ANI253" s="490"/>
      <c r="ANJ253" s="490"/>
      <c r="ANK253" s="490"/>
      <c r="ANL253" s="490"/>
      <c r="ANM253" s="490"/>
      <c r="ANN253" s="490"/>
      <c r="ANO253" s="490"/>
      <c r="ANP253" s="490"/>
      <c r="ANQ253" s="490"/>
      <c r="ANR253" s="490"/>
      <c r="ANS253" s="490"/>
      <c r="ANT253" s="490"/>
      <c r="ANU253" s="490"/>
      <c r="ANV253" s="490"/>
      <c r="ANW253" s="490"/>
      <c r="ANX253" s="490"/>
      <c r="ANY253" s="490"/>
      <c r="ANZ253" s="490"/>
      <c r="AOA253" s="490"/>
      <c r="AOB253" s="490"/>
      <c r="AOC253" s="490"/>
      <c r="AOD253" s="490"/>
      <c r="AOE253" s="490"/>
      <c r="AOF253" s="490"/>
      <c r="AOG253" s="490"/>
      <c r="AOH253" s="490"/>
      <c r="AOI253" s="490"/>
      <c r="AOJ253" s="490"/>
      <c r="AOK253" s="490"/>
      <c r="AOL253" s="490"/>
      <c r="AOM253" s="490"/>
      <c r="AON253" s="490"/>
      <c r="AOO253" s="490"/>
      <c r="AOP253" s="490"/>
      <c r="AOQ253" s="490"/>
      <c r="AOR253" s="490"/>
      <c r="AOS253" s="490"/>
      <c r="AOT253" s="490"/>
      <c r="AOU253" s="490"/>
      <c r="AOV253" s="490"/>
      <c r="AOW253" s="490"/>
      <c r="AOX253" s="490"/>
      <c r="AOY253" s="490"/>
      <c r="AOZ253" s="490"/>
      <c r="APA253" s="490"/>
      <c r="APB253" s="490"/>
      <c r="APC253" s="490"/>
      <c r="APD253" s="490"/>
      <c r="APE253" s="490"/>
      <c r="APF253" s="490"/>
      <c r="APG253" s="490"/>
      <c r="APH253" s="490"/>
      <c r="API253" s="490"/>
      <c r="APJ253" s="490"/>
      <c r="APK253" s="490"/>
      <c r="APL253" s="490"/>
      <c r="APM253" s="490"/>
      <c r="APN253" s="490"/>
      <c r="APO253" s="490"/>
      <c r="APP253" s="490"/>
      <c r="APQ253" s="490"/>
      <c r="APR253" s="490"/>
      <c r="APS253" s="490"/>
      <c r="APT253" s="490"/>
      <c r="APU253" s="490"/>
      <c r="APV253" s="490"/>
      <c r="APW253" s="490"/>
      <c r="APX253" s="490"/>
      <c r="APY253" s="490"/>
      <c r="APZ253" s="490"/>
      <c r="AQA253" s="490"/>
      <c r="AQB253" s="490"/>
      <c r="AQC253" s="490"/>
      <c r="AQD253" s="490"/>
      <c r="AQE253" s="490"/>
      <c r="AQF253" s="490"/>
      <c r="AQG253" s="490"/>
      <c r="AQH253" s="490"/>
      <c r="AQI253" s="490"/>
      <c r="AQJ253" s="490"/>
      <c r="AQK253" s="490"/>
      <c r="AQL253" s="490"/>
      <c r="AQM253" s="490"/>
      <c r="AQN253" s="490"/>
      <c r="AQO253" s="490"/>
      <c r="AQP253" s="490"/>
      <c r="AQQ253" s="490"/>
      <c r="AQR253" s="490"/>
      <c r="AQS253" s="490"/>
      <c r="AQT253" s="490"/>
      <c r="AQU253" s="490"/>
      <c r="AQV253" s="490"/>
      <c r="AQW253" s="490"/>
      <c r="AQX253" s="490"/>
      <c r="AQY253" s="490"/>
      <c r="AQZ253" s="490"/>
      <c r="ARA253" s="490"/>
      <c r="ARB253" s="490"/>
      <c r="ARC253" s="490"/>
      <c r="ARD253" s="490"/>
      <c r="ARE253" s="490"/>
      <c r="ARF253" s="490"/>
      <c r="ARG253" s="490"/>
      <c r="ARH253" s="490"/>
      <c r="ARI253" s="490"/>
      <c r="ARJ253" s="490"/>
      <c r="ARK253" s="490"/>
      <c r="ARL253" s="490"/>
      <c r="ARM253" s="490"/>
      <c r="ARN253" s="490"/>
      <c r="ARO253" s="490"/>
      <c r="ARP253" s="490"/>
      <c r="ARQ253" s="490"/>
      <c r="ARR253" s="490"/>
      <c r="ARS253" s="490"/>
      <c r="ART253" s="490"/>
      <c r="ARU253" s="490"/>
      <c r="ARV253" s="490"/>
      <c r="ARW253" s="490"/>
      <c r="ARX253" s="490"/>
      <c r="ARY253" s="490"/>
      <c r="ARZ253" s="490"/>
      <c r="ASA253" s="490"/>
      <c r="ASB253" s="490"/>
      <c r="ASC253" s="490"/>
      <c r="ASD253" s="490"/>
      <c r="ASE253" s="490"/>
      <c r="ASF253" s="490"/>
      <c r="ASG253" s="490"/>
      <c r="ASH253" s="490"/>
      <c r="ASI253" s="490"/>
      <c r="ASJ253" s="490"/>
      <c r="ASK253" s="490"/>
      <c r="ASL253" s="490"/>
      <c r="ASM253" s="490"/>
      <c r="ASN253" s="490"/>
      <c r="ASO253" s="490"/>
      <c r="ASP253" s="490"/>
      <c r="ASQ253" s="490"/>
      <c r="ASR253" s="490"/>
      <c r="ASS253" s="490"/>
      <c r="AST253" s="490"/>
      <c r="ASU253" s="490"/>
      <c r="ASV253" s="490"/>
      <c r="ASW253" s="490"/>
      <c r="ASX253" s="490"/>
      <c r="ASY253" s="490"/>
      <c r="ASZ253" s="490"/>
      <c r="ATA253" s="490"/>
      <c r="ATB253" s="490"/>
      <c r="ATC253" s="490"/>
      <c r="ATD253" s="490"/>
      <c r="ATE253" s="490"/>
      <c r="ATF253" s="490"/>
      <c r="ATG253" s="490"/>
      <c r="ATH253" s="490"/>
      <c r="ATI253" s="490"/>
      <c r="ATJ253" s="490"/>
      <c r="ATK253" s="490"/>
      <c r="ATL253" s="490"/>
      <c r="ATM253" s="490"/>
      <c r="ATN253" s="490"/>
      <c r="ATO253" s="490"/>
      <c r="ATP253" s="490"/>
      <c r="ATQ253" s="490"/>
      <c r="ATR253" s="490"/>
      <c r="ATS253" s="490"/>
      <c r="ATT253" s="490"/>
      <c r="ATU253" s="490"/>
      <c r="ATV253" s="490"/>
      <c r="ATW253" s="490"/>
      <c r="ATX253" s="490"/>
      <c r="ATY253" s="490"/>
      <c r="ATZ253" s="490"/>
      <c r="AUA253" s="490"/>
      <c r="AUB253" s="490"/>
      <c r="AUC253" s="490"/>
      <c r="AUD253" s="490"/>
      <c r="AUE253" s="490"/>
      <c r="AUF253" s="490"/>
      <c r="AUG253" s="490"/>
      <c r="AUH253" s="490"/>
      <c r="AUI253" s="490"/>
      <c r="AUJ253" s="490"/>
      <c r="AUK253" s="490"/>
      <c r="AUL253" s="490"/>
      <c r="AUM253" s="490"/>
      <c r="AUN253" s="490"/>
      <c r="AUO253" s="490"/>
      <c r="AUP253" s="490"/>
      <c r="AUQ253" s="490"/>
      <c r="AUR253" s="490"/>
      <c r="AUS253" s="490"/>
      <c r="AUT253" s="490"/>
      <c r="AUU253" s="490"/>
      <c r="AUV253" s="490"/>
      <c r="AUW253" s="490"/>
      <c r="AUX253" s="490"/>
      <c r="AUY253" s="490"/>
      <c r="AUZ253" s="490"/>
      <c r="AVA253" s="490"/>
      <c r="AVB253" s="490"/>
      <c r="AVC253" s="490"/>
      <c r="AVD253" s="490"/>
      <c r="AVE253" s="490"/>
      <c r="AVF253" s="490"/>
      <c r="AVG253" s="490"/>
      <c r="AVH253" s="490"/>
      <c r="AVI253" s="490"/>
      <c r="AVJ253" s="490"/>
      <c r="AVK253" s="490"/>
      <c r="AVL253" s="490"/>
      <c r="AVM253" s="490"/>
      <c r="AVN253" s="490"/>
      <c r="AVO253" s="490"/>
      <c r="AVP253" s="490"/>
      <c r="AVQ253" s="490"/>
      <c r="AVR253" s="490"/>
      <c r="AVS253" s="490"/>
      <c r="AVT253" s="490"/>
      <c r="AVU253" s="490"/>
      <c r="AVV253" s="490"/>
      <c r="AVW253" s="490"/>
      <c r="AVX253" s="490"/>
      <c r="AVY253" s="490"/>
      <c r="AVZ253" s="490"/>
      <c r="AWA253" s="490"/>
      <c r="AWB253" s="490"/>
      <c r="AWC253" s="490"/>
      <c r="AWD253" s="490"/>
      <c r="AWE253" s="490"/>
      <c r="AWF253" s="490"/>
      <c r="AWG253" s="490"/>
      <c r="AWH253" s="490"/>
      <c r="AWI253" s="490"/>
      <c r="AWJ253" s="490"/>
      <c r="AWK253" s="490"/>
      <c r="AWL253" s="490"/>
      <c r="AWM253" s="490"/>
      <c r="AWN253" s="490"/>
      <c r="AWO253" s="490"/>
      <c r="AWP253" s="490"/>
      <c r="AWQ253" s="490"/>
      <c r="AWR253" s="490"/>
      <c r="AWS253" s="490"/>
      <c r="AWT253" s="490"/>
      <c r="AWU253" s="490"/>
      <c r="AWV253" s="490"/>
      <c r="AWW253" s="490"/>
      <c r="AWX253" s="490"/>
      <c r="AWY253" s="490"/>
      <c r="AWZ253" s="490"/>
      <c r="AXA253" s="490"/>
      <c r="AXB253" s="490"/>
      <c r="AXC253" s="490"/>
      <c r="AXD253" s="490"/>
      <c r="AXE253" s="490"/>
      <c r="AXF253" s="490"/>
      <c r="AXG253" s="490"/>
      <c r="AXH253" s="490"/>
      <c r="AXI253" s="490"/>
      <c r="AXJ253" s="490"/>
      <c r="AXK253" s="490"/>
      <c r="AXL253" s="490"/>
      <c r="AXM253" s="490"/>
      <c r="AXN253" s="490"/>
      <c r="AXO253" s="490"/>
      <c r="AXP253" s="490"/>
      <c r="AXQ253" s="490"/>
      <c r="AXR253" s="490"/>
      <c r="AXS253" s="490"/>
      <c r="AXT253" s="490"/>
      <c r="AXU253" s="490"/>
      <c r="AXV253" s="490"/>
      <c r="AXW253" s="490"/>
      <c r="AXX253" s="490"/>
      <c r="AXY253" s="490"/>
      <c r="AXZ253" s="490"/>
      <c r="AYA253" s="490"/>
      <c r="AYB253" s="490"/>
      <c r="AYC253" s="490"/>
      <c r="AYD253" s="490"/>
      <c r="AYE253" s="490"/>
      <c r="AYF253" s="490"/>
      <c r="AYG253" s="490"/>
      <c r="AYH253" s="490"/>
      <c r="AYI253" s="490"/>
      <c r="AYJ253" s="490"/>
      <c r="AYK253" s="490"/>
      <c r="AYL253" s="490"/>
      <c r="AYM253" s="490"/>
      <c r="AYN253" s="490"/>
      <c r="AYO253" s="490"/>
      <c r="AYP253" s="490"/>
      <c r="AYQ253" s="490"/>
      <c r="AYR253" s="490"/>
      <c r="AYS253" s="490"/>
      <c r="AYT253" s="490"/>
      <c r="AYU253" s="490"/>
      <c r="AYV253" s="490"/>
      <c r="AYW253" s="490"/>
      <c r="AYX253" s="490"/>
      <c r="AYY253" s="490"/>
      <c r="AYZ253" s="490"/>
      <c r="AZA253" s="490"/>
      <c r="AZB253" s="490"/>
      <c r="AZC253" s="490"/>
      <c r="AZD253" s="490"/>
      <c r="AZE253" s="490"/>
      <c r="AZF253" s="490"/>
      <c r="AZG253" s="490"/>
      <c r="AZH253" s="490"/>
      <c r="AZI253" s="490"/>
      <c r="AZJ253" s="490"/>
      <c r="AZK253" s="490"/>
      <c r="AZL253" s="490"/>
      <c r="AZM253" s="490"/>
      <c r="AZN253" s="490"/>
      <c r="AZO253" s="490"/>
      <c r="AZP253" s="490"/>
      <c r="AZQ253" s="490"/>
      <c r="AZR253" s="490"/>
      <c r="AZS253" s="490"/>
      <c r="AZT253" s="490"/>
      <c r="AZU253" s="490"/>
      <c r="AZV253" s="490"/>
      <c r="AZW253" s="490"/>
      <c r="AZX253" s="490"/>
      <c r="AZY253" s="490"/>
      <c r="AZZ253" s="490"/>
      <c r="BAA253" s="490"/>
      <c r="BAB253" s="490"/>
      <c r="BAC253" s="490"/>
      <c r="BAD253" s="490"/>
      <c r="BAE253" s="490"/>
      <c r="BAF253" s="490"/>
      <c r="BAG253" s="490"/>
      <c r="BAH253" s="490"/>
      <c r="BAI253" s="490"/>
      <c r="BAJ253" s="490"/>
      <c r="BAK253" s="490"/>
      <c r="BAL253" s="490"/>
      <c r="BAM253" s="490"/>
      <c r="BAN253" s="490"/>
      <c r="BAO253" s="490"/>
      <c r="BAP253" s="490"/>
      <c r="BAQ253" s="490"/>
      <c r="BAR253" s="490"/>
      <c r="BAS253" s="490"/>
      <c r="BAT253" s="490"/>
      <c r="BAU253" s="490"/>
      <c r="BAV253" s="490"/>
      <c r="BAW253" s="490"/>
      <c r="BAX253" s="490"/>
      <c r="BAY253" s="490"/>
      <c r="BAZ253" s="490"/>
      <c r="BBA253" s="490"/>
      <c r="BBB253" s="490"/>
      <c r="BBC253" s="490"/>
      <c r="BBD253" s="490"/>
      <c r="BBE253" s="490"/>
      <c r="BBF253" s="490"/>
      <c r="BBG253" s="490"/>
      <c r="BBH253" s="490"/>
      <c r="BBI253" s="490"/>
      <c r="BBJ253" s="490"/>
      <c r="BBK253" s="490"/>
      <c r="BBL253" s="490"/>
      <c r="BBM253" s="490"/>
      <c r="BBN253" s="490"/>
      <c r="BBO253" s="490"/>
      <c r="BBP253" s="490"/>
      <c r="BBQ253" s="490"/>
      <c r="BBR253" s="490"/>
      <c r="BBS253" s="490"/>
      <c r="BBT253" s="490"/>
      <c r="BBU253" s="490"/>
      <c r="BBV253" s="490"/>
      <c r="BBW253" s="490"/>
      <c r="BBX253" s="490"/>
      <c r="BBY253" s="490"/>
      <c r="BBZ253" s="490"/>
      <c r="BCA253" s="490"/>
      <c r="BCB253" s="490"/>
      <c r="BCC253" s="490"/>
      <c r="BCD253" s="490"/>
      <c r="BCE253" s="490"/>
      <c r="BCF253" s="490"/>
      <c r="BCG253" s="490"/>
      <c r="BCH253" s="490"/>
      <c r="BCI253" s="490"/>
      <c r="BCJ253" s="490"/>
      <c r="BCK253" s="490"/>
      <c r="BCL253" s="490"/>
      <c r="BCM253" s="490"/>
      <c r="BCN253" s="490"/>
      <c r="BCO253" s="490"/>
      <c r="BCP253" s="490"/>
      <c r="BCQ253" s="490"/>
      <c r="BCR253" s="490"/>
      <c r="BCS253" s="490"/>
      <c r="BCT253" s="490"/>
      <c r="BCU253" s="490"/>
      <c r="BCV253" s="490"/>
      <c r="BCW253" s="490"/>
      <c r="BCX253" s="490"/>
      <c r="BCY253" s="490"/>
      <c r="BCZ253" s="490"/>
      <c r="BDA253" s="490"/>
      <c r="BDB253" s="490"/>
      <c r="BDC253" s="490"/>
      <c r="BDD253" s="490"/>
      <c r="BDE253" s="490"/>
      <c r="BDF253" s="490"/>
      <c r="BDG253" s="490"/>
      <c r="BDH253" s="490"/>
      <c r="BDI253" s="490"/>
      <c r="BDJ253" s="490"/>
      <c r="BDK253" s="490"/>
      <c r="BDL253" s="490"/>
      <c r="BDM253" s="490"/>
      <c r="BDN253" s="490"/>
      <c r="BDO253" s="490"/>
      <c r="BDP253" s="490"/>
      <c r="BDQ253" s="490"/>
      <c r="BDR253" s="490"/>
      <c r="BDS253" s="490"/>
      <c r="BDT253" s="490"/>
      <c r="BDU253" s="490"/>
      <c r="BDV253" s="490"/>
      <c r="BDW253" s="490"/>
      <c r="BDX253" s="490"/>
      <c r="BDY253" s="490"/>
      <c r="BDZ253" s="490"/>
      <c r="BEA253" s="490"/>
      <c r="BEB253" s="490"/>
      <c r="BEC253" s="490"/>
      <c r="BED253" s="490"/>
      <c r="BEE253" s="490"/>
      <c r="BEF253" s="490"/>
      <c r="BEG253" s="490"/>
      <c r="BEH253" s="490"/>
      <c r="BEI253" s="490"/>
      <c r="BEJ253" s="490"/>
      <c r="BEK253" s="490"/>
      <c r="BEL253" s="490"/>
      <c r="BEM253" s="490"/>
      <c r="BEN253" s="490"/>
      <c r="BEO253" s="490"/>
      <c r="BEP253" s="490"/>
      <c r="BEQ253" s="490"/>
      <c r="BER253" s="490"/>
      <c r="BES253" s="490"/>
      <c r="BET253" s="490"/>
      <c r="BEU253" s="490"/>
      <c r="BEV253" s="490"/>
      <c r="BEW253" s="490"/>
      <c r="BEX253" s="490"/>
      <c r="BEY253" s="490"/>
      <c r="BEZ253" s="490"/>
      <c r="BFA253" s="490"/>
      <c r="BFB253" s="490"/>
      <c r="BFC253" s="490"/>
      <c r="BFD253" s="490"/>
      <c r="BFE253" s="490"/>
      <c r="BFF253" s="490"/>
      <c r="BFG253" s="490"/>
      <c r="BFH253" s="490"/>
      <c r="BFI253" s="490"/>
      <c r="BFJ253" s="490"/>
      <c r="BFK253" s="490"/>
      <c r="BFL253" s="490"/>
      <c r="BFM253" s="490"/>
      <c r="BFN253" s="490"/>
      <c r="BFO253" s="490"/>
      <c r="BFP253" s="490"/>
      <c r="BFQ253" s="490"/>
      <c r="BFR253" s="490"/>
      <c r="BFS253" s="490"/>
      <c r="BFT253" s="490"/>
      <c r="BFU253" s="490"/>
      <c r="BFV253" s="490"/>
      <c r="BFW253" s="490"/>
      <c r="BFX253" s="490"/>
      <c r="BFY253" s="490"/>
      <c r="BFZ253" s="490"/>
      <c r="BGA253" s="490"/>
      <c r="BGB253" s="490"/>
      <c r="BGC253" s="490"/>
      <c r="BGD253" s="490"/>
      <c r="BGE253" s="490"/>
      <c r="BGF253" s="490"/>
      <c r="BGG253" s="490"/>
      <c r="BGH253" s="490"/>
      <c r="BGI253" s="490"/>
      <c r="BGJ253" s="490"/>
      <c r="BGK253" s="490"/>
      <c r="BGL253" s="490"/>
      <c r="BGM253" s="490"/>
      <c r="BGN253" s="490"/>
      <c r="BGO253" s="490"/>
      <c r="BGP253" s="490"/>
      <c r="BGQ253" s="490"/>
      <c r="BGR253" s="490"/>
      <c r="BGS253" s="490"/>
      <c r="BGT253" s="490"/>
      <c r="BGU253" s="490"/>
      <c r="BGV253" s="490"/>
      <c r="BGW253" s="490"/>
      <c r="BGX253" s="490"/>
      <c r="BGY253" s="490"/>
      <c r="BGZ253" s="490"/>
      <c r="BHA253" s="490"/>
      <c r="BHB253" s="490"/>
      <c r="BHC253" s="490"/>
      <c r="BHD253" s="490"/>
      <c r="BHE253" s="490"/>
      <c r="BHF253" s="490"/>
      <c r="BHG253" s="490"/>
      <c r="BHH253" s="490"/>
      <c r="BHI253" s="490"/>
      <c r="BHJ253" s="490"/>
      <c r="BHK253" s="490"/>
      <c r="BHL253" s="490"/>
      <c r="BHM253" s="490"/>
      <c r="BHN253" s="490"/>
      <c r="BHO253" s="490"/>
      <c r="BHP253" s="490"/>
      <c r="BHQ253" s="490"/>
      <c r="BHR253" s="490"/>
      <c r="BHS253" s="490"/>
      <c r="BHT253" s="490"/>
      <c r="BHU253" s="490"/>
      <c r="BHV253" s="490"/>
      <c r="BHW253" s="490"/>
      <c r="BHX253" s="490"/>
      <c r="BHY253" s="490"/>
      <c r="BHZ253" s="490"/>
      <c r="BIA253" s="490"/>
      <c r="BIB253" s="490"/>
      <c r="BIC253" s="490"/>
      <c r="BID253" s="490"/>
      <c r="BIE253" s="490"/>
      <c r="BIF253" s="490"/>
      <c r="BIG253" s="490"/>
      <c r="BIH253" s="490"/>
      <c r="BII253" s="490"/>
      <c r="BIJ253" s="490"/>
      <c r="BIK253" s="490"/>
      <c r="BIL253" s="490"/>
      <c r="BIM253" s="490"/>
      <c r="BIN253" s="490"/>
      <c r="BIO253" s="490"/>
      <c r="BIP253" s="490"/>
      <c r="BIQ253" s="490"/>
      <c r="BIR253" s="490"/>
      <c r="BIS253" s="490"/>
      <c r="BIT253" s="490"/>
      <c r="BIU253" s="490"/>
      <c r="BIV253" s="490"/>
      <c r="BIW253" s="490"/>
      <c r="BIX253" s="490"/>
      <c r="BIY253" s="490"/>
      <c r="BIZ253" s="490"/>
      <c r="BJA253" s="490"/>
      <c r="BJB253" s="490"/>
      <c r="BJC253" s="490"/>
      <c r="BJD253" s="490"/>
      <c r="BJE253" s="490"/>
      <c r="BJF253" s="490"/>
      <c r="BJG253" s="490"/>
      <c r="BJH253" s="490"/>
      <c r="BJI253" s="490"/>
      <c r="BJJ253" s="490"/>
      <c r="BJK253" s="490"/>
      <c r="BJL253" s="490"/>
      <c r="BJM253" s="490"/>
      <c r="BJN253" s="490"/>
      <c r="BJO253" s="490"/>
      <c r="BJP253" s="490"/>
      <c r="BJQ253" s="490"/>
      <c r="BJR253" s="490"/>
      <c r="BJS253" s="490"/>
      <c r="BJT253" s="490"/>
      <c r="BJU253" s="490"/>
      <c r="BJV253" s="490"/>
      <c r="BJW253" s="490"/>
      <c r="BJX253" s="490"/>
      <c r="BJY253" s="490"/>
      <c r="BJZ253" s="490"/>
      <c r="BKA253" s="490"/>
      <c r="BKB253" s="490"/>
      <c r="BKC253" s="490"/>
      <c r="BKD253" s="490"/>
      <c r="BKE253" s="490"/>
      <c r="BKF253" s="490"/>
      <c r="BKG253" s="490"/>
      <c r="BKH253" s="490"/>
      <c r="BKI253" s="490"/>
      <c r="BKJ253" s="490"/>
      <c r="BKK253" s="490"/>
      <c r="BKL253" s="490"/>
      <c r="BKM253" s="490"/>
      <c r="BKN253" s="490"/>
      <c r="BKO253" s="490"/>
      <c r="BKP253" s="490"/>
      <c r="BKQ253" s="490"/>
      <c r="BKR253" s="490"/>
      <c r="BKS253" s="490"/>
      <c r="BKT253" s="490"/>
      <c r="BKU253" s="490"/>
      <c r="BKV253" s="490"/>
      <c r="BKW253" s="490"/>
      <c r="BKX253" s="490"/>
      <c r="BKY253" s="490"/>
      <c r="BKZ253" s="490"/>
      <c r="BLA253" s="490"/>
      <c r="BLB253" s="490"/>
      <c r="BLC253" s="490"/>
      <c r="BLD253" s="490"/>
      <c r="BLE253" s="490"/>
      <c r="BLF253" s="490"/>
      <c r="BLG253" s="490"/>
      <c r="BLH253" s="490"/>
      <c r="BLI253" s="490"/>
      <c r="BLJ253" s="490"/>
      <c r="BLK253" s="490"/>
      <c r="BLL253" s="490"/>
      <c r="BLM253" s="490"/>
      <c r="BLN253" s="490"/>
      <c r="BLO253" s="490"/>
      <c r="BLP253" s="490"/>
      <c r="BLQ253" s="490"/>
      <c r="BLR253" s="490"/>
      <c r="BLS253" s="490"/>
      <c r="BLT253" s="490"/>
      <c r="BLU253" s="490"/>
      <c r="BLV253" s="490"/>
      <c r="BLW253" s="490"/>
      <c r="BLX253" s="490"/>
      <c r="BLY253" s="490"/>
      <c r="BLZ253" s="490"/>
      <c r="BMA253" s="490"/>
      <c r="BMB253" s="490"/>
      <c r="BMC253" s="490"/>
      <c r="BMD253" s="490"/>
      <c r="BME253" s="490"/>
      <c r="BMF253" s="490"/>
      <c r="BMG253" s="490"/>
      <c r="BMH253" s="490"/>
      <c r="BMI253" s="490"/>
      <c r="BMJ253" s="490"/>
      <c r="BMK253" s="490"/>
      <c r="BML253" s="490"/>
      <c r="BMM253" s="490"/>
      <c r="BMN253" s="490"/>
      <c r="BMO253" s="490"/>
      <c r="BMP253" s="490"/>
      <c r="BMQ253" s="490"/>
      <c r="BMR253" s="490"/>
      <c r="BMS253" s="490"/>
      <c r="BMT253" s="490"/>
      <c r="BMU253" s="490"/>
      <c r="BMV253" s="490"/>
      <c r="BMW253" s="490"/>
      <c r="BMX253" s="490"/>
      <c r="BMY253" s="490"/>
      <c r="BMZ253" s="490"/>
      <c r="BNA253" s="490"/>
      <c r="BNB253" s="490"/>
      <c r="BNC253" s="490"/>
      <c r="BND253" s="490"/>
      <c r="BNE253" s="490"/>
      <c r="BNF253" s="490"/>
      <c r="BNG253" s="490"/>
      <c r="BNH253" s="490"/>
      <c r="BNI253" s="490"/>
      <c r="BNJ253" s="490"/>
      <c r="BNK253" s="490"/>
      <c r="BNL253" s="490"/>
      <c r="BNM253" s="490"/>
      <c r="BNN253" s="490"/>
      <c r="BNO253" s="490"/>
      <c r="BNP253" s="490"/>
      <c r="BNQ253" s="490"/>
      <c r="BNR253" s="490"/>
      <c r="BNS253" s="490"/>
      <c r="BNT253" s="490"/>
      <c r="BNU253" s="490"/>
      <c r="BNV253" s="490"/>
      <c r="BNW253" s="490"/>
      <c r="BNX253" s="490"/>
      <c r="BNY253" s="490"/>
      <c r="BNZ253" s="490"/>
      <c r="BOA253" s="490"/>
      <c r="BOB253" s="490"/>
      <c r="BOC253" s="490"/>
      <c r="BOD253" s="490"/>
      <c r="BOE253" s="490"/>
      <c r="BOF253" s="490"/>
      <c r="BOG253" s="490"/>
      <c r="BOH253" s="490"/>
      <c r="BOI253" s="490"/>
      <c r="BOJ253" s="490"/>
      <c r="BOK253" s="490"/>
      <c r="BOL253" s="490"/>
      <c r="BOM253" s="490"/>
      <c r="BON253" s="490"/>
      <c r="BOO253" s="490"/>
      <c r="BOP253" s="490"/>
      <c r="BOQ253" s="490"/>
      <c r="BOR253" s="490"/>
      <c r="BOS253" s="490"/>
      <c r="BOT253" s="490"/>
      <c r="BOU253" s="490"/>
      <c r="BOV253" s="490"/>
      <c r="BOW253" s="490"/>
      <c r="BOX253" s="490"/>
      <c r="BOY253" s="490"/>
      <c r="BOZ253" s="490"/>
      <c r="BPA253" s="490"/>
      <c r="BPB253" s="490"/>
      <c r="BPC253" s="490"/>
      <c r="BPD253" s="490"/>
      <c r="BPE253" s="490"/>
      <c r="BPF253" s="490"/>
      <c r="BPG253" s="490"/>
      <c r="BPH253" s="490"/>
      <c r="BPI253" s="490"/>
      <c r="BPJ253" s="490"/>
      <c r="BPK253" s="490"/>
      <c r="BPL253" s="490"/>
      <c r="BPM253" s="490"/>
      <c r="BPN253" s="490"/>
      <c r="BPO253" s="490"/>
      <c r="BPP253" s="490"/>
      <c r="BPQ253" s="490"/>
      <c r="BPR253" s="490"/>
      <c r="BPS253" s="490"/>
      <c r="BPT253" s="490"/>
      <c r="BPU253" s="490"/>
      <c r="BPV253" s="490"/>
      <c r="BPW253" s="490"/>
      <c r="BPX253" s="490"/>
      <c r="BPY253" s="490"/>
      <c r="BPZ253" s="490"/>
      <c r="BQA253" s="490"/>
      <c r="BQB253" s="490"/>
      <c r="BQC253" s="490"/>
      <c r="BQD253" s="490"/>
      <c r="BQE253" s="490"/>
      <c r="BQF253" s="490"/>
      <c r="BQG253" s="490"/>
      <c r="BQH253" s="490"/>
      <c r="BQI253" s="490"/>
      <c r="BQJ253" s="490"/>
      <c r="BQK253" s="490"/>
      <c r="BQL253" s="490"/>
      <c r="BQM253" s="490"/>
      <c r="BQN253" s="490"/>
      <c r="BQO253" s="490"/>
      <c r="BQP253" s="490"/>
      <c r="BQQ253" s="490"/>
      <c r="BQR253" s="490"/>
      <c r="BQS253" s="490"/>
      <c r="BQT253" s="490"/>
      <c r="BQU253" s="490"/>
      <c r="BQV253" s="490"/>
      <c r="BQW253" s="490"/>
      <c r="BQX253" s="490"/>
      <c r="BQY253" s="490"/>
      <c r="BQZ253" s="490"/>
      <c r="BRA253" s="490"/>
      <c r="BRB253" s="490"/>
      <c r="BRC253" s="490"/>
      <c r="BRD253" s="490"/>
      <c r="BRE253" s="490"/>
      <c r="BRF253" s="490"/>
      <c r="BRG253" s="490"/>
      <c r="BRH253" s="490"/>
      <c r="BRI253" s="490"/>
      <c r="BRJ253" s="490"/>
      <c r="BRK253" s="490"/>
      <c r="BRL253" s="490"/>
      <c r="BRM253" s="490"/>
      <c r="BRN253" s="490"/>
      <c r="BRO253" s="490"/>
      <c r="BRP253" s="490"/>
      <c r="BRQ253" s="490"/>
      <c r="BRR253" s="490"/>
      <c r="BRS253" s="490"/>
      <c r="BRT253" s="490"/>
      <c r="BRU253" s="490"/>
      <c r="BRV253" s="490"/>
      <c r="BRW253" s="490"/>
      <c r="BRX253" s="490"/>
      <c r="BRY253" s="490"/>
      <c r="BRZ253" s="490"/>
      <c r="BSA253" s="490"/>
      <c r="BSB253" s="490"/>
      <c r="BSC253" s="490"/>
      <c r="BSD253" s="490"/>
      <c r="BSE253" s="490"/>
      <c r="BSF253" s="490"/>
      <c r="BSG253" s="490"/>
      <c r="BSH253" s="490"/>
      <c r="BSI253" s="490"/>
      <c r="BSJ253" s="490"/>
      <c r="BSK253" s="490"/>
      <c r="BSL253" s="490"/>
      <c r="BSM253" s="490"/>
      <c r="BSN253" s="490"/>
      <c r="BSO253" s="490"/>
      <c r="BSP253" s="490"/>
      <c r="BSQ253" s="490"/>
      <c r="BSR253" s="490"/>
      <c r="BSS253" s="490"/>
      <c r="BST253" s="490"/>
      <c r="BSU253" s="490"/>
      <c r="BSV253" s="490"/>
      <c r="BSW253" s="490"/>
      <c r="BSX253" s="490"/>
      <c r="BSY253" s="490"/>
      <c r="BSZ253" s="490"/>
      <c r="BTA253" s="490"/>
      <c r="BTB253" s="490"/>
      <c r="BTC253" s="490"/>
      <c r="BTD253" s="490"/>
      <c r="BTE253" s="490"/>
      <c r="BTF253" s="490"/>
      <c r="BTG253" s="490"/>
      <c r="BTH253" s="490"/>
      <c r="BTI253" s="490"/>
    </row>
    <row r="254" spans="1:1881" s="485" customFormat="1" ht="21.75" thickBot="1" x14ac:dyDescent="0.4">
      <c r="B254" s="935" t="s">
        <v>1092</v>
      </c>
      <c r="C254" s="936"/>
      <c r="D254" s="936"/>
      <c r="E254" s="937"/>
      <c r="G254" s="563"/>
      <c r="H254" s="487"/>
      <c r="I254" s="405"/>
      <c r="J254" s="486"/>
      <c r="K254" s="486"/>
      <c r="L254" s="486"/>
      <c r="M254" s="486"/>
      <c r="N254"/>
      <c r="O254" s="486"/>
      <c r="P254" s="486"/>
      <c r="Q254" s="486"/>
      <c r="R254" s="486"/>
      <c r="S254" s="486"/>
      <c r="T254" s="486"/>
      <c r="U254" s="486"/>
      <c r="V254" s="486"/>
      <c r="W254" s="486"/>
      <c r="X254" s="486"/>
      <c r="Y254" s="486"/>
      <c r="Z254" s="486"/>
      <c r="AA254" s="486"/>
      <c r="AB254" s="486"/>
      <c r="AC254" s="486"/>
      <c r="AD254" s="486"/>
      <c r="AE254" s="486"/>
      <c r="AF254" s="486"/>
      <c r="AG254" s="486"/>
      <c r="AH254" s="486"/>
      <c r="AI254" s="486"/>
      <c r="AJ254" s="486"/>
      <c r="AK254" s="486"/>
      <c r="AL254" s="486"/>
      <c r="AM254" s="486"/>
      <c r="AN254" s="486"/>
      <c r="AO254" s="486"/>
      <c r="AP254" s="486"/>
      <c r="AQ254" s="486"/>
      <c r="AR254" s="486"/>
      <c r="AS254" s="486"/>
      <c r="AT254" s="486"/>
      <c r="AU254" s="486"/>
      <c r="AV254" s="486"/>
      <c r="AW254" s="486"/>
      <c r="AX254" s="486"/>
      <c r="AY254" s="486"/>
      <c r="AZ254" s="486"/>
      <c r="BA254" s="486"/>
      <c r="BB254" s="486"/>
      <c r="BC254" s="486"/>
      <c r="BD254" s="486"/>
      <c r="BE254" s="486"/>
      <c r="BF254" s="486"/>
      <c r="BG254" s="486"/>
      <c r="BH254" s="486"/>
      <c r="BI254" s="486"/>
      <c r="BJ254" s="486"/>
      <c r="BK254" s="486"/>
      <c r="BL254" s="486"/>
      <c r="BM254" s="486"/>
      <c r="BN254" s="486"/>
      <c r="BO254" s="486"/>
      <c r="BP254" s="486"/>
      <c r="BQ254" s="486"/>
      <c r="BR254" s="486"/>
      <c r="BS254" s="486"/>
      <c r="BT254" s="486"/>
      <c r="BU254" s="486"/>
      <c r="BV254" s="486"/>
      <c r="BW254" s="486"/>
      <c r="BX254" s="486"/>
      <c r="BY254" s="486"/>
      <c r="BZ254" s="486"/>
      <c r="CA254" s="486"/>
      <c r="CB254" s="486"/>
      <c r="CC254" s="486"/>
      <c r="CD254" s="486"/>
      <c r="CE254" s="486"/>
      <c r="CF254" s="486"/>
      <c r="CG254" s="486"/>
      <c r="CH254" s="486"/>
      <c r="CI254" s="486"/>
      <c r="CJ254" s="486"/>
      <c r="CK254" s="486"/>
      <c r="CL254" s="486"/>
      <c r="CM254" s="486"/>
      <c r="CN254" s="486"/>
      <c r="CO254" s="486"/>
      <c r="CP254" s="486"/>
      <c r="CQ254" s="486"/>
      <c r="CR254" s="486"/>
      <c r="CS254" s="486"/>
      <c r="CT254" s="486"/>
      <c r="CU254" s="486"/>
      <c r="CV254" s="486"/>
      <c r="CW254" s="486"/>
      <c r="CX254" s="486"/>
      <c r="CY254" s="486"/>
      <c r="CZ254" s="486"/>
      <c r="DA254" s="486"/>
      <c r="DB254" s="486"/>
      <c r="DC254" s="486"/>
      <c r="DD254" s="486"/>
      <c r="DE254" s="486"/>
      <c r="DF254" s="486"/>
      <c r="DG254" s="486"/>
      <c r="DH254" s="486"/>
      <c r="DI254" s="486"/>
      <c r="DJ254" s="486"/>
      <c r="DK254" s="486"/>
      <c r="DL254" s="486"/>
      <c r="DM254" s="486"/>
      <c r="DN254" s="486"/>
      <c r="DO254" s="486"/>
      <c r="DP254" s="486"/>
      <c r="DQ254" s="486"/>
      <c r="DR254" s="486"/>
      <c r="DS254" s="486"/>
      <c r="DT254" s="486"/>
      <c r="DU254" s="486"/>
      <c r="DV254" s="486"/>
      <c r="DW254" s="486"/>
      <c r="DX254" s="486"/>
      <c r="DY254" s="486"/>
      <c r="DZ254" s="486"/>
      <c r="EA254" s="486"/>
      <c r="EB254" s="486"/>
      <c r="EC254" s="486"/>
      <c r="ED254" s="486"/>
      <c r="EE254" s="486"/>
      <c r="EF254" s="486"/>
      <c r="EG254" s="486"/>
      <c r="EH254" s="486"/>
      <c r="EI254" s="486"/>
      <c r="EJ254" s="486"/>
      <c r="EK254" s="486"/>
      <c r="EL254" s="486"/>
      <c r="EM254" s="486"/>
      <c r="EN254" s="486"/>
      <c r="EO254" s="486"/>
      <c r="EP254" s="486"/>
      <c r="EQ254" s="486"/>
      <c r="ER254" s="486"/>
      <c r="ES254" s="486"/>
      <c r="ET254" s="486"/>
      <c r="EU254" s="486"/>
      <c r="EV254" s="486"/>
      <c r="EW254" s="486"/>
      <c r="EX254" s="486"/>
      <c r="EY254" s="486"/>
      <c r="EZ254" s="486"/>
      <c r="FA254" s="486"/>
      <c r="FB254" s="486"/>
      <c r="FC254" s="486"/>
      <c r="FD254" s="486"/>
      <c r="FE254" s="486"/>
      <c r="FF254" s="486"/>
      <c r="FG254" s="486"/>
      <c r="FH254" s="486"/>
      <c r="FI254" s="486"/>
      <c r="FJ254" s="486"/>
      <c r="FK254" s="486"/>
      <c r="FL254" s="486"/>
      <c r="FM254" s="486"/>
      <c r="FN254" s="486"/>
      <c r="FO254" s="486"/>
      <c r="FP254" s="486"/>
      <c r="FQ254" s="486"/>
      <c r="FR254" s="486"/>
      <c r="FS254" s="486"/>
      <c r="FT254" s="486"/>
      <c r="FU254" s="486"/>
      <c r="FV254" s="486"/>
      <c r="FW254" s="486"/>
      <c r="FX254" s="486"/>
      <c r="FY254" s="486"/>
      <c r="FZ254" s="486"/>
      <c r="GA254" s="486"/>
      <c r="GB254" s="486"/>
      <c r="GC254" s="486"/>
      <c r="GD254" s="486"/>
      <c r="GE254" s="486"/>
      <c r="GF254" s="486"/>
      <c r="GG254" s="486"/>
      <c r="GH254" s="486"/>
      <c r="GI254" s="486"/>
      <c r="GJ254" s="486"/>
      <c r="GK254" s="486"/>
      <c r="GL254" s="486"/>
      <c r="GM254" s="486"/>
      <c r="GN254" s="486"/>
      <c r="GO254" s="486"/>
      <c r="GP254" s="486"/>
      <c r="GQ254" s="486"/>
      <c r="GR254" s="486"/>
      <c r="GS254" s="486"/>
      <c r="GT254" s="486"/>
      <c r="GU254" s="486"/>
      <c r="GV254" s="486"/>
      <c r="GW254" s="486"/>
      <c r="GX254" s="486"/>
      <c r="GY254" s="486"/>
      <c r="GZ254" s="486"/>
      <c r="HA254" s="486"/>
      <c r="HB254" s="486"/>
      <c r="HC254" s="486"/>
      <c r="HD254" s="486"/>
      <c r="HE254" s="486"/>
      <c r="HF254" s="486"/>
      <c r="HG254" s="486"/>
      <c r="HH254" s="486"/>
      <c r="HI254" s="486"/>
      <c r="HJ254" s="486"/>
      <c r="HK254" s="486"/>
      <c r="HL254" s="486"/>
      <c r="HM254" s="486"/>
      <c r="HN254" s="486"/>
      <c r="HO254" s="486"/>
      <c r="HP254" s="486"/>
      <c r="HQ254" s="486"/>
      <c r="HR254" s="486"/>
      <c r="HS254" s="486"/>
      <c r="HT254" s="486"/>
      <c r="HU254" s="486"/>
      <c r="HV254" s="486"/>
      <c r="HW254" s="486"/>
      <c r="HX254" s="486"/>
      <c r="HY254" s="486"/>
      <c r="HZ254" s="486"/>
      <c r="IA254" s="486"/>
      <c r="IB254" s="486"/>
      <c r="IC254" s="486"/>
      <c r="ID254" s="486"/>
      <c r="IE254" s="486"/>
      <c r="IF254" s="486"/>
      <c r="IG254" s="486"/>
      <c r="IH254" s="486"/>
      <c r="II254" s="486"/>
      <c r="IJ254" s="486"/>
      <c r="IK254" s="486"/>
      <c r="IL254" s="486"/>
      <c r="IM254" s="486"/>
      <c r="IN254" s="486"/>
      <c r="IO254" s="486"/>
      <c r="IP254" s="486"/>
      <c r="IQ254" s="486"/>
      <c r="IR254" s="486"/>
      <c r="IS254" s="486"/>
      <c r="IT254" s="486"/>
      <c r="IU254" s="486"/>
      <c r="IV254" s="486"/>
      <c r="IW254" s="486"/>
      <c r="IX254" s="486"/>
      <c r="IY254" s="486"/>
      <c r="IZ254" s="486"/>
      <c r="JA254" s="486"/>
      <c r="JB254" s="486"/>
      <c r="JC254" s="486"/>
      <c r="JD254" s="486"/>
      <c r="JE254" s="486"/>
      <c r="JF254" s="486"/>
      <c r="JG254" s="486"/>
      <c r="JH254" s="486"/>
      <c r="JI254" s="486"/>
      <c r="JJ254" s="486"/>
      <c r="JK254" s="486"/>
      <c r="JL254" s="486"/>
      <c r="JM254" s="486"/>
      <c r="JN254" s="486"/>
      <c r="JO254" s="486"/>
      <c r="JP254" s="486"/>
      <c r="JQ254" s="486"/>
      <c r="JR254" s="486"/>
      <c r="JS254" s="486"/>
      <c r="JT254" s="486"/>
      <c r="JU254" s="486"/>
      <c r="JV254" s="486"/>
      <c r="JW254" s="486"/>
      <c r="JX254" s="486"/>
      <c r="JY254" s="486"/>
      <c r="JZ254" s="486"/>
      <c r="KA254" s="486"/>
      <c r="KB254" s="486"/>
      <c r="KC254" s="486"/>
      <c r="KD254" s="486"/>
      <c r="KE254" s="486"/>
      <c r="KF254" s="486"/>
      <c r="KG254" s="486"/>
      <c r="KH254" s="486"/>
      <c r="KI254" s="486"/>
      <c r="KJ254" s="486"/>
      <c r="KK254" s="486"/>
      <c r="KL254" s="486"/>
      <c r="KM254" s="486"/>
      <c r="KN254" s="486"/>
      <c r="KO254" s="486"/>
      <c r="KP254" s="486"/>
      <c r="KQ254" s="486"/>
      <c r="KR254" s="486"/>
      <c r="KS254" s="486"/>
      <c r="KT254" s="486"/>
      <c r="KU254" s="486"/>
      <c r="KV254" s="486"/>
      <c r="KW254" s="486"/>
      <c r="KX254" s="486"/>
      <c r="KY254" s="486"/>
      <c r="KZ254" s="486"/>
      <c r="LA254" s="486"/>
      <c r="LB254" s="486"/>
      <c r="LC254" s="486"/>
      <c r="LD254" s="486"/>
      <c r="LE254" s="486"/>
      <c r="LF254" s="486"/>
      <c r="LG254" s="486"/>
      <c r="LH254" s="486"/>
      <c r="LI254" s="486"/>
      <c r="LJ254" s="486"/>
      <c r="LK254" s="486"/>
      <c r="LL254" s="486"/>
      <c r="LM254" s="486"/>
      <c r="LN254" s="486"/>
      <c r="LO254" s="486"/>
      <c r="LP254" s="486"/>
      <c r="LQ254" s="486"/>
      <c r="LR254" s="486"/>
      <c r="LS254" s="486"/>
      <c r="LT254" s="486"/>
      <c r="LU254" s="486"/>
      <c r="LV254" s="486"/>
      <c r="LW254" s="486"/>
      <c r="LX254" s="486"/>
      <c r="LY254" s="486"/>
      <c r="LZ254" s="486"/>
      <c r="MA254" s="486"/>
      <c r="MB254" s="486"/>
      <c r="MC254" s="486"/>
      <c r="MD254" s="486"/>
      <c r="ME254" s="486"/>
      <c r="MF254" s="486"/>
      <c r="MG254" s="486"/>
      <c r="MH254" s="486"/>
      <c r="MI254" s="486"/>
      <c r="MJ254" s="486"/>
      <c r="MK254" s="486"/>
      <c r="ML254" s="486"/>
      <c r="MM254" s="486"/>
      <c r="MN254" s="486"/>
      <c r="MO254" s="486"/>
      <c r="MP254" s="486"/>
      <c r="MQ254" s="486"/>
      <c r="MR254" s="486"/>
      <c r="MS254" s="486"/>
      <c r="MT254" s="486"/>
      <c r="MU254" s="486"/>
      <c r="MV254" s="486"/>
      <c r="MW254" s="486"/>
      <c r="MX254" s="486"/>
      <c r="MY254" s="486"/>
      <c r="MZ254" s="486"/>
      <c r="NA254" s="486"/>
      <c r="NB254" s="486"/>
      <c r="NC254" s="486"/>
      <c r="ND254" s="486"/>
      <c r="NE254" s="486"/>
      <c r="NF254" s="486"/>
      <c r="NG254" s="486"/>
      <c r="NH254" s="486"/>
      <c r="NI254" s="486"/>
      <c r="NJ254" s="486"/>
      <c r="NK254" s="486"/>
      <c r="NL254" s="486"/>
      <c r="NM254" s="486"/>
      <c r="NN254" s="486"/>
      <c r="NO254" s="486"/>
      <c r="NP254" s="486"/>
      <c r="NQ254" s="486"/>
      <c r="NR254" s="486"/>
      <c r="NS254" s="486"/>
      <c r="NT254" s="486"/>
      <c r="NU254" s="486"/>
      <c r="NV254" s="486"/>
      <c r="NW254" s="486"/>
      <c r="NX254" s="486"/>
      <c r="NY254" s="486"/>
      <c r="NZ254" s="486"/>
      <c r="OA254" s="486"/>
      <c r="OB254" s="486"/>
      <c r="OC254" s="486"/>
      <c r="OD254" s="486"/>
      <c r="OE254" s="486"/>
      <c r="OF254" s="486"/>
      <c r="OG254" s="486"/>
      <c r="OH254" s="486"/>
      <c r="OI254" s="486"/>
      <c r="OJ254" s="486"/>
      <c r="OK254" s="486"/>
      <c r="OL254" s="486"/>
      <c r="OM254" s="486"/>
      <c r="ON254" s="486"/>
      <c r="OO254" s="486"/>
      <c r="OP254" s="486"/>
      <c r="OQ254" s="486"/>
      <c r="OR254" s="486"/>
      <c r="OS254" s="486"/>
      <c r="OT254" s="486"/>
      <c r="OU254" s="486"/>
      <c r="OV254" s="486"/>
      <c r="OW254" s="486"/>
      <c r="OX254" s="486"/>
      <c r="OY254" s="486"/>
      <c r="OZ254" s="486"/>
      <c r="PA254" s="486"/>
      <c r="PB254" s="486"/>
      <c r="PC254" s="486"/>
      <c r="PD254" s="486"/>
      <c r="PE254" s="486"/>
      <c r="PF254" s="486"/>
      <c r="PG254" s="486"/>
      <c r="PH254" s="486"/>
      <c r="PI254" s="486"/>
      <c r="PJ254" s="486"/>
      <c r="PK254" s="486"/>
      <c r="PL254" s="486"/>
      <c r="PM254" s="486"/>
      <c r="PN254" s="486"/>
      <c r="PO254" s="486"/>
      <c r="PP254" s="486"/>
      <c r="PQ254" s="486"/>
      <c r="PR254" s="486"/>
      <c r="PS254" s="486"/>
      <c r="PT254" s="486"/>
      <c r="PU254" s="486"/>
      <c r="PV254" s="486"/>
      <c r="PW254" s="486"/>
      <c r="PX254" s="486"/>
      <c r="PY254" s="486"/>
      <c r="PZ254" s="486"/>
      <c r="QA254" s="486"/>
      <c r="QB254" s="486"/>
      <c r="QC254" s="486"/>
      <c r="QD254" s="486"/>
      <c r="QE254" s="486"/>
      <c r="QF254" s="486"/>
      <c r="QG254" s="486"/>
      <c r="QH254" s="486"/>
      <c r="QI254" s="486"/>
      <c r="QJ254" s="486"/>
      <c r="QK254" s="486"/>
      <c r="QL254" s="486"/>
      <c r="QM254" s="486"/>
      <c r="QN254" s="486"/>
      <c r="QO254" s="486"/>
      <c r="QP254" s="486"/>
      <c r="QQ254" s="486"/>
      <c r="QR254" s="486"/>
      <c r="QS254" s="486"/>
      <c r="QT254" s="486"/>
      <c r="QU254" s="486"/>
      <c r="QV254" s="486"/>
      <c r="QW254" s="486"/>
      <c r="QX254" s="486"/>
      <c r="QY254" s="486"/>
      <c r="QZ254" s="486"/>
      <c r="RA254" s="486"/>
      <c r="RB254" s="486"/>
      <c r="RC254" s="486"/>
      <c r="RD254" s="486"/>
      <c r="RE254" s="486"/>
      <c r="RF254" s="486"/>
      <c r="RG254" s="486"/>
      <c r="RH254" s="486"/>
      <c r="RI254" s="486"/>
      <c r="RJ254" s="486"/>
      <c r="RK254" s="486"/>
      <c r="RL254" s="486"/>
      <c r="RM254" s="486"/>
      <c r="RN254" s="486"/>
      <c r="RO254" s="486"/>
      <c r="RP254" s="486"/>
      <c r="RQ254" s="486"/>
      <c r="RR254" s="486"/>
      <c r="RS254" s="486"/>
      <c r="RT254" s="486"/>
      <c r="RU254" s="486"/>
      <c r="RV254" s="486"/>
      <c r="RW254" s="486"/>
      <c r="RX254" s="486"/>
      <c r="RY254" s="486"/>
      <c r="RZ254" s="486"/>
      <c r="SA254" s="486"/>
      <c r="SB254" s="486"/>
      <c r="SC254" s="486"/>
      <c r="SD254" s="486"/>
      <c r="SE254" s="486"/>
      <c r="SF254" s="486"/>
      <c r="SG254" s="486"/>
      <c r="SH254" s="486"/>
      <c r="SI254" s="486"/>
      <c r="SJ254" s="486"/>
      <c r="SK254" s="486"/>
      <c r="SL254" s="486"/>
      <c r="SM254" s="486"/>
      <c r="SN254" s="486"/>
      <c r="SO254" s="486"/>
      <c r="SP254" s="486"/>
      <c r="SQ254" s="486"/>
      <c r="SR254" s="486"/>
      <c r="SS254" s="486"/>
      <c r="ST254" s="486"/>
      <c r="SU254" s="486"/>
      <c r="SV254" s="486"/>
      <c r="SW254" s="486"/>
      <c r="SX254" s="486"/>
      <c r="SY254" s="486"/>
      <c r="SZ254" s="486"/>
      <c r="TA254" s="486"/>
      <c r="TB254" s="486"/>
      <c r="TC254" s="486"/>
      <c r="TD254" s="486"/>
      <c r="TE254" s="486"/>
      <c r="TF254" s="486"/>
      <c r="TG254" s="486"/>
      <c r="TH254" s="486"/>
      <c r="TI254" s="486"/>
      <c r="TJ254" s="486"/>
      <c r="TK254" s="486"/>
      <c r="TL254" s="486"/>
      <c r="TM254" s="486"/>
      <c r="TN254" s="486"/>
      <c r="TO254" s="486"/>
      <c r="TP254" s="486"/>
      <c r="TQ254" s="486"/>
      <c r="TR254" s="486"/>
      <c r="TS254" s="486"/>
      <c r="TT254" s="486"/>
      <c r="TU254" s="486"/>
      <c r="TV254" s="486"/>
      <c r="TW254" s="486"/>
      <c r="TX254" s="486"/>
      <c r="TY254" s="486"/>
      <c r="TZ254" s="486"/>
      <c r="UA254" s="486"/>
      <c r="UB254" s="486"/>
      <c r="UC254" s="486"/>
      <c r="UD254" s="486"/>
      <c r="UE254" s="486"/>
      <c r="UF254" s="486"/>
      <c r="UG254" s="486"/>
      <c r="UH254" s="486"/>
      <c r="UI254" s="486"/>
      <c r="UJ254" s="486"/>
      <c r="UK254" s="486"/>
      <c r="UL254" s="486"/>
      <c r="UM254" s="486"/>
      <c r="UN254" s="486"/>
      <c r="UO254" s="486"/>
      <c r="UP254" s="486"/>
      <c r="UQ254" s="486"/>
      <c r="UR254" s="486"/>
      <c r="US254" s="486"/>
      <c r="UT254" s="486"/>
      <c r="UU254" s="486"/>
      <c r="UV254" s="486"/>
      <c r="UW254" s="486"/>
      <c r="UX254" s="486"/>
      <c r="UY254" s="486"/>
      <c r="UZ254" s="486"/>
      <c r="VA254" s="486"/>
      <c r="VB254" s="486"/>
      <c r="VC254" s="486"/>
      <c r="VD254" s="486"/>
      <c r="VE254" s="486"/>
      <c r="VF254" s="486"/>
      <c r="VG254" s="486"/>
      <c r="VH254" s="486"/>
      <c r="VI254" s="486"/>
      <c r="VJ254" s="486"/>
      <c r="VK254" s="486"/>
      <c r="VL254" s="486"/>
      <c r="VM254" s="486"/>
      <c r="VN254" s="486"/>
      <c r="VO254" s="486"/>
      <c r="VP254" s="486"/>
      <c r="VQ254" s="486"/>
      <c r="VR254" s="486"/>
      <c r="VS254" s="486"/>
      <c r="VT254" s="486"/>
      <c r="VU254" s="486"/>
      <c r="VV254" s="486"/>
      <c r="VW254" s="486"/>
      <c r="VX254" s="486"/>
      <c r="VY254" s="486"/>
      <c r="VZ254" s="486"/>
      <c r="WA254" s="486"/>
      <c r="WB254" s="486"/>
      <c r="WC254" s="486"/>
      <c r="WD254" s="486"/>
      <c r="WE254" s="486"/>
      <c r="WF254" s="486"/>
      <c r="WG254" s="486"/>
      <c r="WH254" s="486"/>
      <c r="WI254" s="486"/>
      <c r="WJ254" s="486"/>
      <c r="WK254" s="486"/>
      <c r="WL254" s="486"/>
      <c r="WM254" s="486"/>
      <c r="WN254" s="486"/>
      <c r="WO254" s="486"/>
      <c r="WP254" s="486"/>
      <c r="WQ254" s="486"/>
      <c r="WR254" s="486"/>
      <c r="WS254" s="486"/>
      <c r="WT254" s="486"/>
      <c r="WU254" s="486"/>
      <c r="WV254" s="486"/>
      <c r="WW254" s="486"/>
      <c r="WX254" s="486"/>
      <c r="WY254" s="486"/>
      <c r="WZ254" s="486"/>
      <c r="XA254" s="486"/>
      <c r="XB254" s="486"/>
      <c r="XC254" s="486"/>
      <c r="XD254" s="486"/>
      <c r="XE254" s="486"/>
      <c r="XF254" s="486"/>
      <c r="XG254" s="486"/>
      <c r="XH254" s="486"/>
      <c r="XI254" s="486"/>
      <c r="XJ254" s="486"/>
      <c r="XK254" s="486"/>
      <c r="XL254" s="486"/>
      <c r="XM254" s="486"/>
      <c r="XN254" s="486"/>
      <c r="XO254" s="486"/>
      <c r="XP254" s="486"/>
      <c r="XQ254" s="486"/>
      <c r="XR254" s="486"/>
      <c r="XS254" s="486"/>
      <c r="XT254" s="486"/>
      <c r="XU254" s="486"/>
      <c r="XV254" s="486"/>
      <c r="XW254" s="486"/>
      <c r="XX254" s="486"/>
      <c r="XY254" s="486"/>
      <c r="XZ254" s="486"/>
      <c r="YA254" s="486"/>
      <c r="YB254" s="486"/>
      <c r="YC254" s="486"/>
      <c r="YD254" s="486"/>
      <c r="YE254" s="486"/>
      <c r="YF254" s="486"/>
      <c r="YG254" s="486"/>
      <c r="YH254" s="486"/>
      <c r="YI254" s="486"/>
      <c r="YJ254" s="486"/>
      <c r="YK254" s="486"/>
      <c r="YL254" s="486"/>
      <c r="YM254" s="486"/>
      <c r="YN254" s="486"/>
      <c r="YO254" s="486"/>
      <c r="YP254" s="486"/>
      <c r="YQ254" s="486"/>
      <c r="YR254" s="486"/>
      <c r="YS254" s="486"/>
      <c r="YT254" s="486"/>
      <c r="YU254" s="486"/>
      <c r="YV254" s="486"/>
      <c r="YW254" s="486"/>
      <c r="YX254" s="486"/>
      <c r="YY254" s="486"/>
      <c r="YZ254" s="486"/>
      <c r="ZA254" s="486"/>
      <c r="ZB254" s="486"/>
      <c r="ZC254" s="486"/>
      <c r="ZD254" s="486"/>
      <c r="ZE254" s="486"/>
      <c r="ZF254" s="486"/>
      <c r="ZG254" s="486"/>
      <c r="ZH254" s="486"/>
      <c r="ZI254" s="486"/>
      <c r="ZJ254" s="486"/>
      <c r="ZK254" s="486"/>
      <c r="ZL254" s="486"/>
      <c r="ZM254" s="486"/>
      <c r="ZN254" s="486"/>
      <c r="ZO254" s="486"/>
      <c r="ZP254" s="486"/>
      <c r="ZQ254" s="486"/>
      <c r="ZR254" s="486"/>
      <c r="ZS254" s="486"/>
      <c r="ZT254" s="486"/>
      <c r="ZU254" s="486"/>
      <c r="ZV254" s="486"/>
      <c r="ZW254" s="486"/>
      <c r="ZX254" s="486"/>
      <c r="ZY254" s="486"/>
      <c r="ZZ254" s="486"/>
      <c r="AAA254" s="486"/>
      <c r="AAB254" s="486"/>
      <c r="AAC254" s="486"/>
      <c r="AAD254" s="486"/>
      <c r="AAE254" s="486"/>
      <c r="AAF254" s="486"/>
      <c r="AAG254" s="486"/>
      <c r="AAH254" s="486"/>
      <c r="AAI254" s="486"/>
      <c r="AAJ254" s="486"/>
      <c r="AAK254" s="486"/>
      <c r="AAL254" s="486"/>
      <c r="AAM254" s="486"/>
      <c r="AAN254" s="486"/>
      <c r="AAO254" s="486"/>
      <c r="AAP254" s="486"/>
      <c r="AAQ254" s="486"/>
      <c r="AAR254" s="486"/>
      <c r="AAS254" s="486"/>
      <c r="AAT254" s="486"/>
      <c r="AAU254" s="486"/>
      <c r="AAV254" s="486"/>
      <c r="AAW254" s="486"/>
      <c r="AAX254" s="486"/>
      <c r="AAY254" s="486"/>
      <c r="AAZ254" s="486"/>
      <c r="ABA254" s="486"/>
      <c r="ABB254" s="486"/>
      <c r="ABC254" s="486"/>
      <c r="ABD254" s="486"/>
      <c r="ABE254" s="486"/>
      <c r="ABF254" s="486"/>
      <c r="ABG254" s="486"/>
      <c r="ABH254" s="486"/>
      <c r="ABI254" s="486"/>
      <c r="ABJ254" s="486"/>
      <c r="ABK254" s="486"/>
      <c r="ABL254" s="486"/>
      <c r="ABM254" s="486"/>
      <c r="ABN254" s="486"/>
      <c r="ABO254" s="486"/>
      <c r="ABP254" s="486"/>
      <c r="ABQ254" s="486"/>
      <c r="ABR254" s="486"/>
      <c r="ABS254" s="486"/>
      <c r="ABT254" s="486"/>
      <c r="ABU254" s="486"/>
      <c r="ABV254" s="486"/>
      <c r="ABW254" s="486"/>
      <c r="ABX254" s="486"/>
      <c r="ABY254" s="486"/>
      <c r="ABZ254" s="486"/>
      <c r="ACA254" s="486"/>
      <c r="ACB254" s="486"/>
      <c r="ACC254" s="486"/>
      <c r="ACD254" s="486"/>
      <c r="ACE254" s="486"/>
      <c r="ACF254" s="486"/>
      <c r="ACG254" s="486"/>
      <c r="ACH254" s="486"/>
      <c r="ACI254" s="486"/>
      <c r="ACJ254" s="486"/>
      <c r="ACK254" s="486"/>
      <c r="ACL254" s="486"/>
      <c r="ACM254" s="486"/>
      <c r="ACN254" s="486"/>
      <c r="ACO254" s="486"/>
      <c r="ACP254" s="486"/>
      <c r="ACQ254" s="486"/>
      <c r="ACR254" s="486"/>
      <c r="ACS254" s="486"/>
      <c r="ACT254" s="486"/>
      <c r="ACU254" s="486"/>
      <c r="ACV254" s="486"/>
      <c r="ACW254" s="486"/>
      <c r="ACX254" s="486"/>
      <c r="ACY254" s="486"/>
      <c r="ACZ254" s="486"/>
      <c r="ADA254" s="486"/>
      <c r="ADB254" s="486"/>
      <c r="ADC254" s="486"/>
      <c r="ADD254" s="486"/>
      <c r="ADE254" s="486"/>
      <c r="ADF254" s="486"/>
      <c r="ADG254" s="486"/>
      <c r="ADH254" s="486"/>
      <c r="ADI254" s="486"/>
      <c r="ADJ254" s="486"/>
      <c r="ADK254" s="486"/>
      <c r="ADL254" s="486"/>
      <c r="ADM254" s="486"/>
      <c r="ADN254" s="486"/>
      <c r="ADO254" s="486"/>
      <c r="ADP254" s="486"/>
      <c r="ADQ254" s="486"/>
      <c r="ADR254" s="486"/>
      <c r="ADS254" s="486"/>
      <c r="ADT254" s="486"/>
      <c r="ADU254" s="486"/>
      <c r="ADV254" s="486"/>
      <c r="ADW254" s="486"/>
      <c r="ADX254" s="486"/>
      <c r="ADY254" s="486"/>
      <c r="ADZ254" s="486"/>
      <c r="AEA254" s="486"/>
      <c r="AEB254" s="486"/>
      <c r="AEC254" s="486"/>
      <c r="AED254" s="486"/>
      <c r="AEE254" s="486"/>
      <c r="AEF254" s="486"/>
      <c r="AEG254" s="486"/>
      <c r="AEH254" s="486"/>
      <c r="AEI254" s="486"/>
      <c r="AEJ254" s="486"/>
      <c r="AEK254" s="486"/>
      <c r="AEL254" s="486"/>
      <c r="AEM254" s="486"/>
      <c r="AEN254" s="486"/>
      <c r="AEO254" s="486"/>
      <c r="AEP254" s="486"/>
      <c r="AEQ254" s="486"/>
      <c r="AER254" s="486"/>
      <c r="AES254" s="486"/>
      <c r="AET254" s="486"/>
      <c r="AEU254" s="486"/>
      <c r="AEV254" s="486"/>
      <c r="AEW254" s="486"/>
      <c r="AEX254" s="486"/>
      <c r="AEY254" s="486"/>
      <c r="AEZ254" s="486"/>
      <c r="AFA254" s="486"/>
      <c r="AFB254" s="486"/>
      <c r="AFC254" s="486"/>
      <c r="AFD254" s="486"/>
      <c r="AFE254" s="486"/>
      <c r="AFF254" s="486"/>
      <c r="AFG254" s="486"/>
      <c r="AFH254" s="486"/>
      <c r="AFI254" s="486"/>
      <c r="AFJ254" s="486"/>
      <c r="AFK254" s="486"/>
      <c r="AFL254" s="486"/>
      <c r="AFM254" s="486"/>
      <c r="AFN254" s="486"/>
      <c r="AFO254" s="486"/>
      <c r="AFP254" s="486"/>
      <c r="AFQ254" s="486"/>
      <c r="AFR254" s="486"/>
      <c r="AFS254" s="486"/>
      <c r="AFT254" s="486"/>
      <c r="AFU254" s="486"/>
      <c r="AFV254" s="486"/>
      <c r="AFW254" s="486"/>
      <c r="AFX254" s="486"/>
      <c r="AFY254" s="486"/>
      <c r="AFZ254" s="486"/>
      <c r="AGA254" s="486"/>
      <c r="AGB254" s="486"/>
      <c r="AGC254" s="486"/>
      <c r="AGD254" s="486"/>
      <c r="AGE254" s="486"/>
      <c r="AGF254" s="486"/>
      <c r="AGG254" s="486"/>
      <c r="AGH254" s="486"/>
      <c r="AGI254" s="486"/>
      <c r="AGJ254" s="486"/>
      <c r="AGK254" s="486"/>
      <c r="AGL254" s="486"/>
      <c r="AGM254" s="486"/>
      <c r="AGN254" s="486"/>
      <c r="AGO254" s="486"/>
      <c r="AGP254" s="486"/>
      <c r="AGQ254" s="486"/>
      <c r="AGR254" s="486"/>
      <c r="AGS254" s="486"/>
      <c r="AGT254" s="486"/>
      <c r="AGU254" s="486"/>
      <c r="AGV254" s="486"/>
      <c r="AGW254" s="486"/>
      <c r="AGX254" s="486"/>
      <c r="AGY254" s="486"/>
      <c r="AGZ254" s="486"/>
      <c r="AHA254" s="486"/>
      <c r="AHB254" s="486"/>
      <c r="AHC254" s="486"/>
      <c r="AHD254" s="486"/>
      <c r="AHE254" s="486"/>
      <c r="AHF254" s="486"/>
      <c r="AHG254" s="486"/>
      <c r="AHH254" s="486"/>
      <c r="AHI254" s="486"/>
      <c r="AHJ254" s="486"/>
      <c r="AHK254" s="486"/>
      <c r="AHL254" s="486"/>
      <c r="AHM254" s="486"/>
      <c r="AHN254" s="486"/>
      <c r="AHO254" s="486"/>
      <c r="AHP254" s="486"/>
      <c r="AHQ254" s="486"/>
      <c r="AHR254" s="486"/>
      <c r="AHS254" s="486"/>
      <c r="AHT254" s="486"/>
      <c r="AHU254" s="486"/>
      <c r="AHV254" s="486"/>
      <c r="AHW254" s="486"/>
      <c r="AHX254" s="486"/>
      <c r="AHY254" s="486"/>
      <c r="AHZ254" s="486"/>
      <c r="AIA254" s="486"/>
      <c r="AIB254" s="486"/>
      <c r="AIC254" s="486"/>
      <c r="AID254" s="486"/>
      <c r="AIE254" s="486"/>
      <c r="AIF254" s="486"/>
      <c r="AIG254" s="486"/>
      <c r="AIH254" s="486"/>
      <c r="AII254" s="486"/>
      <c r="AIJ254" s="486"/>
      <c r="AIK254" s="486"/>
      <c r="AIL254" s="486"/>
      <c r="AIM254" s="486"/>
      <c r="AIN254" s="486"/>
      <c r="AIO254" s="486"/>
      <c r="AIP254" s="486"/>
      <c r="AIQ254" s="486"/>
      <c r="AIR254" s="486"/>
      <c r="AIS254" s="486"/>
      <c r="AIT254" s="486"/>
      <c r="AIU254" s="486"/>
      <c r="AIV254" s="486"/>
      <c r="AIW254" s="486"/>
      <c r="AIX254" s="486"/>
      <c r="AIY254" s="486"/>
      <c r="AIZ254" s="486"/>
      <c r="AJA254" s="486"/>
      <c r="AJB254" s="486"/>
      <c r="AJC254" s="486"/>
      <c r="AJD254" s="486"/>
      <c r="AJE254" s="486"/>
      <c r="AJF254" s="486"/>
      <c r="AJG254" s="486"/>
      <c r="AJH254" s="486"/>
      <c r="AJI254" s="486"/>
      <c r="AJJ254" s="486"/>
      <c r="AJK254" s="486"/>
      <c r="AJL254" s="486"/>
      <c r="AJM254" s="486"/>
      <c r="AJN254" s="486"/>
      <c r="AJO254" s="486"/>
      <c r="AJP254" s="486"/>
      <c r="AJQ254" s="486"/>
      <c r="AJR254" s="486"/>
      <c r="AJS254" s="486"/>
      <c r="AJT254" s="486"/>
      <c r="AJU254" s="486"/>
      <c r="AJV254" s="486"/>
      <c r="AJW254" s="486"/>
      <c r="AJX254" s="486"/>
      <c r="AJY254" s="486"/>
      <c r="AJZ254" s="486"/>
      <c r="AKA254" s="486"/>
      <c r="AKB254" s="486"/>
      <c r="AKC254" s="486"/>
      <c r="AKD254" s="486"/>
      <c r="AKE254" s="486"/>
      <c r="AKF254" s="486"/>
      <c r="AKG254" s="486"/>
      <c r="AKH254" s="486"/>
      <c r="AKI254" s="486"/>
      <c r="AKJ254" s="486"/>
      <c r="AKK254" s="486"/>
      <c r="AKL254" s="486"/>
      <c r="AKM254" s="486"/>
      <c r="AKN254" s="486"/>
      <c r="AKO254" s="486"/>
      <c r="AKP254" s="486"/>
      <c r="AKQ254" s="486"/>
      <c r="AKR254" s="486"/>
      <c r="AKS254" s="486"/>
      <c r="AKT254" s="486"/>
      <c r="AKU254" s="486"/>
      <c r="AKV254" s="486"/>
      <c r="AKW254" s="486"/>
      <c r="AKX254" s="486"/>
      <c r="AKY254" s="486"/>
      <c r="AKZ254" s="486"/>
      <c r="ALA254" s="486"/>
      <c r="ALB254" s="486"/>
      <c r="ALC254" s="486"/>
      <c r="ALD254" s="486"/>
      <c r="ALE254" s="486"/>
      <c r="ALF254" s="486"/>
      <c r="ALG254" s="486"/>
      <c r="ALH254" s="486"/>
      <c r="ALI254" s="486"/>
      <c r="ALJ254" s="486"/>
      <c r="ALK254" s="486"/>
      <c r="ALL254" s="486"/>
      <c r="ALM254" s="486"/>
      <c r="ALN254" s="486"/>
      <c r="ALO254" s="486"/>
      <c r="ALP254" s="486"/>
      <c r="ALQ254" s="486"/>
      <c r="ALR254" s="486"/>
      <c r="ALS254" s="486"/>
      <c r="ALT254" s="486"/>
      <c r="ALU254" s="486"/>
      <c r="ALV254" s="486"/>
      <c r="ALW254" s="486"/>
      <c r="ALX254" s="486"/>
      <c r="ALY254" s="486"/>
      <c r="ALZ254" s="486"/>
      <c r="AMA254" s="486"/>
      <c r="AMB254" s="486"/>
      <c r="AMC254" s="486"/>
      <c r="AMD254" s="486"/>
      <c r="AME254" s="486"/>
      <c r="AMF254" s="486"/>
      <c r="AMG254" s="486"/>
      <c r="AMH254" s="486"/>
      <c r="AMI254" s="486"/>
      <c r="AMJ254" s="486"/>
      <c r="AMK254" s="486"/>
      <c r="AML254" s="486"/>
      <c r="AMM254" s="486"/>
      <c r="AMN254" s="486"/>
      <c r="AMO254" s="486"/>
      <c r="AMP254" s="486"/>
      <c r="AMQ254" s="486"/>
      <c r="AMR254" s="486"/>
      <c r="AMS254" s="486"/>
      <c r="AMT254" s="486"/>
      <c r="AMU254" s="486"/>
      <c r="AMV254" s="486"/>
      <c r="AMW254" s="486"/>
      <c r="AMX254" s="486"/>
      <c r="AMY254" s="486"/>
      <c r="AMZ254" s="486"/>
      <c r="ANA254" s="486"/>
      <c r="ANB254" s="486"/>
      <c r="ANC254" s="486"/>
      <c r="AND254" s="486"/>
      <c r="ANE254" s="486"/>
      <c r="ANF254" s="486"/>
      <c r="ANG254" s="486"/>
      <c r="ANH254" s="486"/>
      <c r="ANI254" s="486"/>
      <c r="ANJ254" s="486"/>
      <c r="ANK254" s="486"/>
      <c r="ANL254" s="486"/>
      <c r="ANM254" s="486"/>
      <c r="ANN254" s="486"/>
      <c r="ANO254" s="486"/>
      <c r="ANP254" s="486"/>
      <c r="ANQ254" s="486"/>
      <c r="ANR254" s="486"/>
      <c r="ANS254" s="486"/>
      <c r="ANT254" s="486"/>
      <c r="ANU254" s="486"/>
      <c r="ANV254" s="486"/>
      <c r="ANW254" s="486"/>
      <c r="ANX254" s="486"/>
      <c r="ANY254" s="486"/>
      <c r="ANZ254" s="486"/>
      <c r="AOA254" s="486"/>
      <c r="AOB254" s="486"/>
      <c r="AOC254" s="486"/>
      <c r="AOD254" s="486"/>
      <c r="AOE254" s="486"/>
      <c r="AOF254" s="486"/>
      <c r="AOG254" s="486"/>
      <c r="AOH254" s="486"/>
      <c r="AOI254" s="486"/>
      <c r="AOJ254" s="486"/>
      <c r="AOK254" s="486"/>
      <c r="AOL254" s="486"/>
      <c r="AOM254" s="486"/>
      <c r="AON254" s="486"/>
      <c r="AOO254" s="486"/>
      <c r="AOP254" s="486"/>
      <c r="AOQ254" s="486"/>
      <c r="AOR254" s="486"/>
      <c r="AOS254" s="486"/>
      <c r="AOT254" s="486"/>
      <c r="AOU254" s="486"/>
      <c r="AOV254" s="486"/>
      <c r="AOW254" s="486"/>
      <c r="AOX254" s="486"/>
      <c r="AOY254" s="486"/>
      <c r="AOZ254" s="486"/>
      <c r="APA254" s="486"/>
      <c r="APB254" s="486"/>
      <c r="APC254" s="486"/>
      <c r="APD254" s="486"/>
      <c r="APE254" s="486"/>
      <c r="APF254" s="486"/>
      <c r="APG254" s="486"/>
      <c r="APH254" s="486"/>
      <c r="API254" s="486"/>
      <c r="APJ254" s="486"/>
      <c r="APK254" s="486"/>
      <c r="APL254" s="486"/>
      <c r="APM254" s="486"/>
      <c r="APN254" s="486"/>
      <c r="APO254" s="486"/>
      <c r="APP254" s="486"/>
      <c r="APQ254" s="486"/>
      <c r="APR254" s="486"/>
      <c r="APS254" s="486"/>
      <c r="APT254" s="486"/>
      <c r="APU254" s="486"/>
      <c r="APV254" s="486"/>
      <c r="APW254" s="486"/>
      <c r="APX254" s="486"/>
      <c r="APY254" s="486"/>
      <c r="APZ254" s="486"/>
      <c r="AQA254" s="486"/>
      <c r="AQB254" s="486"/>
      <c r="AQC254" s="486"/>
      <c r="AQD254" s="486"/>
      <c r="AQE254" s="486"/>
      <c r="AQF254" s="486"/>
      <c r="AQG254" s="486"/>
      <c r="AQH254" s="486"/>
      <c r="AQI254" s="486"/>
      <c r="AQJ254" s="486"/>
      <c r="AQK254" s="486"/>
      <c r="AQL254" s="486"/>
      <c r="AQM254" s="486"/>
      <c r="AQN254" s="486"/>
      <c r="AQO254" s="486"/>
      <c r="AQP254" s="486"/>
      <c r="AQQ254" s="486"/>
      <c r="AQR254" s="486"/>
      <c r="AQS254" s="486"/>
      <c r="AQT254" s="486"/>
      <c r="AQU254" s="486"/>
      <c r="AQV254" s="486"/>
      <c r="AQW254" s="486"/>
      <c r="AQX254" s="486"/>
      <c r="AQY254" s="486"/>
      <c r="AQZ254" s="486"/>
      <c r="ARA254" s="486"/>
      <c r="ARB254" s="486"/>
      <c r="ARC254" s="486"/>
      <c r="ARD254" s="486"/>
      <c r="ARE254" s="486"/>
      <c r="ARF254" s="486"/>
      <c r="ARG254" s="486"/>
      <c r="ARH254" s="486"/>
      <c r="ARI254" s="486"/>
      <c r="ARJ254" s="486"/>
      <c r="ARK254" s="486"/>
      <c r="ARL254" s="486"/>
      <c r="ARM254" s="486"/>
      <c r="ARN254" s="486"/>
      <c r="ARO254" s="486"/>
      <c r="ARP254" s="486"/>
      <c r="ARQ254" s="486"/>
      <c r="ARR254" s="486"/>
      <c r="ARS254" s="486"/>
      <c r="ART254" s="486"/>
      <c r="ARU254" s="486"/>
      <c r="ARV254" s="486"/>
      <c r="ARW254" s="486"/>
      <c r="ARX254" s="486"/>
      <c r="ARY254" s="486"/>
      <c r="ARZ254" s="486"/>
      <c r="ASA254" s="486"/>
      <c r="ASB254" s="486"/>
      <c r="ASC254" s="486"/>
      <c r="ASD254" s="486"/>
      <c r="ASE254" s="486"/>
      <c r="ASF254" s="486"/>
      <c r="ASG254" s="486"/>
      <c r="ASH254" s="486"/>
      <c r="ASI254" s="486"/>
      <c r="ASJ254" s="486"/>
      <c r="ASK254" s="486"/>
      <c r="ASL254" s="486"/>
      <c r="ASM254" s="486"/>
      <c r="ASN254" s="486"/>
      <c r="ASO254" s="486"/>
      <c r="ASP254" s="486"/>
      <c r="ASQ254" s="486"/>
      <c r="ASR254" s="486"/>
      <c r="ASS254" s="486"/>
      <c r="AST254" s="486"/>
      <c r="ASU254" s="486"/>
      <c r="ASV254" s="486"/>
      <c r="ASW254" s="486"/>
      <c r="ASX254" s="486"/>
      <c r="ASY254" s="486"/>
      <c r="ASZ254" s="486"/>
      <c r="ATA254" s="486"/>
      <c r="ATB254" s="486"/>
      <c r="ATC254" s="486"/>
      <c r="ATD254" s="486"/>
      <c r="ATE254" s="486"/>
      <c r="ATF254" s="486"/>
      <c r="ATG254" s="486"/>
      <c r="ATH254" s="486"/>
      <c r="ATI254" s="486"/>
      <c r="ATJ254" s="486"/>
      <c r="ATK254" s="486"/>
      <c r="ATL254" s="486"/>
      <c r="ATM254" s="486"/>
      <c r="ATN254" s="486"/>
      <c r="ATO254" s="486"/>
      <c r="ATP254" s="486"/>
      <c r="ATQ254" s="486"/>
      <c r="ATR254" s="486"/>
      <c r="ATS254" s="486"/>
      <c r="ATT254" s="486"/>
      <c r="ATU254" s="486"/>
      <c r="ATV254" s="486"/>
      <c r="ATW254" s="486"/>
      <c r="ATX254" s="486"/>
      <c r="ATY254" s="486"/>
      <c r="ATZ254" s="486"/>
      <c r="AUA254" s="486"/>
      <c r="AUB254" s="486"/>
      <c r="AUC254" s="486"/>
      <c r="AUD254" s="486"/>
      <c r="AUE254" s="486"/>
      <c r="AUF254" s="486"/>
      <c r="AUG254" s="486"/>
      <c r="AUH254" s="486"/>
      <c r="AUI254" s="486"/>
      <c r="AUJ254" s="486"/>
      <c r="AUK254" s="486"/>
      <c r="AUL254" s="486"/>
      <c r="AUM254" s="486"/>
      <c r="AUN254" s="486"/>
      <c r="AUO254" s="486"/>
      <c r="AUP254" s="486"/>
      <c r="AUQ254" s="486"/>
      <c r="AUR254" s="486"/>
      <c r="AUS254" s="486"/>
      <c r="AUT254" s="486"/>
      <c r="AUU254" s="486"/>
      <c r="AUV254" s="486"/>
      <c r="AUW254" s="486"/>
      <c r="AUX254" s="486"/>
      <c r="AUY254" s="486"/>
      <c r="AUZ254" s="486"/>
      <c r="AVA254" s="486"/>
      <c r="AVB254" s="486"/>
      <c r="AVC254" s="486"/>
      <c r="AVD254" s="486"/>
      <c r="AVE254" s="486"/>
      <c r="AVF254" s="486"/>
      <c r="AVG254" s="486"/>
      <c r="AVH254" s="486"/>
      <c r="AVI254" s="486"/>
      <c r="AVJ254" s="486"/>
      <c r="AVK254" s="486"/>
      <c r="AVL254" s="486"/>
      <c r="AVM254" s="486"/>
      <c r="AVN254" s="486"/>
      <c r="AVO254" s="486"/>
      <c r="AVP254" s="486"/>
      <c r="AVQ254" s="486"/>
      <c r="AVR254" s="486"/>
      <c r="AVS254" s="486"/>
      <c r="AVT254" s="486"/>
      <c r="AVU254" s="486"/>
      <c r="AVV254" s="486"/>
      <c r="AVW254" s="486"/>
      <c r="AVX254" s="486"/>
      <c r="AVY254" s="486"/>
      <c r="AVZ254" s="486"/>
      <c r="AWA254" s="486"/>
      <c r="AWB254" s="486"/>
      <c r="AWC254" s="486"/>
      <c r="AWD254" s="486"/>
      <c r="AWE254" s="486"/>
      <c r="AWF254" s="486"/>
      <c r="AWG254" s="486"/>
      <c r="AWH254" s="486"/>
      <c r="AWI254" s="486"/>
      <c r="AWJ254" s="486"/>
      <c r="AWK254" s="486"/>
      <c r="AWL254" s="486"/>
      <c r="AWM254" s="486"/>
      <c r="AWN254" s="486"/>
      <c r="AWO254" s="486"/>
      <c r="AWP254" s="486"/>
      <c r="AWQ254" s="486"/>
      <c r="AWR254" s="486"/>
      <c r="AWS254" s="486"/>
      <c r="AWT254" s="486"/>
      <c r="AWU254" s="486"/>
      <c r="AWV254" s="486"/>
      <c r="AWW254" s="486"/>
      <c r="AWX254" s="486"/>
      <c r="AWY254" s="486"/>
      <c r="AWZ254" s="486"/>
      <c r="AXA254" s="486"/>
      <c r="AXB254" s="486"/>
      <c r="AXC254" s="486"/>
      <c r="AXD254" s="486"/>
      <c r="AXE254" s="486"/>
      <c r="AXF254" s="486"/>
      <c r="AXG254" s="486"/>
      <c r="AXH254" s="486"/>
      <c r="AXI254" s="486"/>
      <c r="AXJ254" s="486"/>
      <c r="AXK254" s="486"/>
      <c r="AXL254" s="486"/>
      <c r="AXM254" s="486"/>
      <c r="AXN254" s="486"/>
      <c r="AXO254" s="486"/>
      <c r="AXP254" s="486"/>
      <c r="AXQ254" s="486"/>
      <c r="AXR254" s="486"/>
      <c r="AXS254" s="486"/>
      <c r="AXT254" s="486"/>
      <c r="AXU254" s="486"/>
      <c r="AXV254" s="486"/>
      <c r="AXW254" s="486"/>
      <c r="AXX254" s="486"/>
      <c r="AXY254" s="486"/>
      <c r="AXZ254" s="486"/>
      <c r="AYA254" s="486"/>
      <c r="AYB254" s="486"/>
      <c r="AYC254" s="486"/>
      <c r="AYD254" s="486"/>
      <c r="AYE254" s="486"/>
      <c r="AYF254" s="486"/>
      <c r="AYG254" s="486"/>
      <c r="AYH254" s="486"/>
      <c r="AYI254" s="486"/>
      <c r="AYJ254" s="486"/>
      <c r="AYK254" s="486"/>
      <c r="AYL254" s="486"/>
      <c r="AYM254" s="486"/>
      <c r="AYN254" s="486"/>
      <c r="AYO254" s="486"/>
      <c r="AYP254" s="486"/>
      <c r="AYQ254" s="486"/>
      <c r="AYR254" s="486"/>
      <c r="AYS254" s="486"/>
      <c r="AYT254" s="486"/>
      <c r="AYU254" s="486"/>
      <c r="AYV254" s="486"/>
      <c r="AYW254" s="486"/>
      <c r="AYX254" s="486"/>
      <c r="AYY254" s="486"/>
      <c r="AYZ254" s="486"/>
      <c r="AZA254" s="486"/>
      <c r="AZB254" s="486"/>
      <c r="AZC254" s="486"/>
      <c r="AZD254" s="486"/>
      <c r="AZE254" s="486"/>
      <c r="AZF254" s="486"/>
      <c r="AZG254" s="486"/>
      <c r="AZH254" s="486"/>
      <c r="AZI254" s="486"/>
      <c r="AZJ254" s="486"/>
      <c r="AZK254" s="486"/>
      <c r="AZL254" s="486"/>
      <c r="AZM254" s="486"/>
      <c r="AZN254" s="486"/>
      <c r="AZO254" s="486"/>
      <c r="AZP254" s="486"/>
      <c r="AZQ254" s="486"/>
      <c r="AZR254" s="486"/>
      <c r="AZS254" s="486"/>
      <c r="AZT254" s="486"/>
      <c r="AZU254" s="486"/>
      <c r="AZV254" s="486"/>
      <c r="AZW254" s="486"/>
      <c r="AZX254" s="486"/>
      <c r="AZY254" s="486"/>
      <c r="AZZ254" s="486"/>
      <c r="BAA254" s="486"/>
      <c r="BAB254" s="486"/>
      <c r="BAC254" s="486"/>
      <c r="BAD254" s="486"/>
      <c r="BAE254" s="486"/>
      <c r="BAF254" s="486"/>
      <c r="BAG254" s="486"/>
      <c r="BAH254" s="486"/>
      <c r="BAI254" s="486"/>
      <c r="BAJ254" s="486"/>
      <c r="BAK254" s="486"/>
      <c r="BAL254" s="486"/>
      <c r="BAM254" s="486"/>
      <c r="BAN254" s="486"/>
      <c r="BAO254" s="486"/>
      <c r="BAP254" s="486"/>
      <c r="BAQ254" s="486"/>
      <c r="BAR254" s="486"/>
      <c r="BAS254" s="486"/>
      <c r="BAT254" s="486"/>
      <c r="BAU254" s="486"/>
      <c r="BAV254" s="486"/>
      <c r="BAW254" s="486"/>
      <c r="BAX254" s="486"/>
      <c r="BAY254" s="486"/>
      <c r="BAZ254" s="486"/>
      <c r="BBA254" s="486"/>
      <c r="BBB254" s="486"/>
      <c r="BBC254" s="486"/>
      <c r="BBD254" s="486"/>
      <c r="BBE254" s="486"/>
      <c r="BBF254" s="486"/>
      <c r="BBG254" s="486"/>
      <c r="BBH254" s="486"/>
      <c r="BBI254" s="486"/>
      <c r="BBJ254" s="486"/>
      <c r="BBK254" s="486"/>
      <c r="BBL254" s="486"/>
      <c r="BBM254" s="486"/>
      <c r="BBN254" s="486"/>
      <c r="BBO254" s="486"/>
      <c r="BBP254" s="486"/>
      <c r="BBQ254" s="486"/>
      <c r="BBR254" s="486"/>
      <c r="BBS254" s="486"/>
      <c r="BBT254" s="486"/>
      <c r="BBU254" s="486"/>
      <c r="BBV254" s="486"/>
      <c r="BBW254" s="486"/>
      <c r="BBX254" s="486"/>
      <c r="BBY254" s="486"/>
      <c r="BBZ254" s="486"/>
      <c r="BCA254" s="486"/>
      <c r="BCB254" s="486"/>
      <c r="BCC254" s="486"/>
      <c r="BCD254" s="486"/>
      <c r="BCE254" s="486"/>
      <c r="BCF254" s="486"/>
      <c r="BCG254" s="486"/>
      <c r="BCH254" s="486"/>
      <c r="BCI254" s="486"/>
      <c r="BCJ254" s="486"/>
      <c r="BCK254" s="486"/>
      <c r="BCL254" s="486"/>
      <c r="BCM254" s="486"/>
      <c r="BCN254" s="486"/>
      <c r="BCO254" s="486"/>
      <c r="BCP254" s="486"/>
      <c r="BCQ254" s="486"/>
      <c r="BCR254" s="486"/>
      <c r="BCS254" s="486"/>
      <c r="BCT254" s="486"/>
      <c r="BCU254" s="486"/>
      <c r="BCV254" s="486"/>
      <c r="BCW254" s="486"/>
      <c r="BCX254" s="486"/>
      <c r="BCY254" s="486"/>
      <c r="BCZ254" s="486"/>
      <c r="BDA254" s="486"/>
      <c r="BDB254" s="486"/>
      <c r="BDC254" s="486"/>
      <c r="BDD254" s="486"/>
      <c r="BDE254" s="486"/>
      <c r="BDF254" s="486"/>
      <c r="BDG254" s="486"/>
      <c r="BDH254" s="486"/>
      <c r="BDI254" s="486"/>
      <c r="BDJ254" s="486"/>
      <c r="BDK254" s="486"/>
      <c r="BDL254" s="486"/>
      <c r="BDM254" s="486"/>
      <c r="BDN254" s="486"/>
      <c r="BDO254" s="486"/>
      <c r="BDP254" s="486"/>
      <c r="BDQ254" s="486"/>
      <c r="BDR254" s="486"/>
      <c r="BDS254" s="486"/>
      <c r="BDT254" s="486"/>
      <c r="BDU254" s="486"/>
      <c r="BDV254" s="486"/>
      <c r="BDW254" s="486"/>
      <c r="BDX254" s="486"/>
      <c r="BDY254" s="486"/>
      <c r="BDZ254" s="486"/>
      <c r="BEA254" s="486"/>
      <c r="BEB254" s="486"/>
      <c r="BEC254" s="486"/>
      <c r="BED254" s="486"/>
      <c r="BEE254" s="486"/>
      <c r="BEF254" s="486"/>
      <c r="BEG254" s="486"/>
      <c r="BEH254" s="486"/>
      <c r="BEI254" s="486"/>
      <c r="BEJ254" s="486"/>
      <c r="BEK254" s="486"/>
      <c r="BEL254" s="486"/>
      <c r="BEM254" s="486"/>
      <c r="BEN254" s="486"/>
      <c r="BEO254" s="486"/>
      <c r="BEP254" s="486"/>
      <c r="BEQ254" s="486"/>
      <c r="BER254" s="486"/>
      <c r="BES254" s="486"/>
      <c r="BET254" s="486"/>
      <c r="BEU254" s="486"/>
      <c r="BEV254" s="486"/>
      <c r="BEW254" s="486"/>
      <c r="BEX254" s="486"/>
      <c r="BEY254" s="486"/>
      <c r="BEZ254" s="486"/>
      <c r="BFA254" s="486"/>
      <c r="BFB254" s="486"/>
      <c r="BFC254" s="486"/>
      <c r="BFD254" s="486"/>
      <c r="BFE254" s="486"/>
      <c r="BFF254" s="486"/>
      <c r="BFG254" s="486"/>
      <c r="BFH254" s="486"/>
      <c r="BFI254" s="486"/>
      <c r="BFJ254" s="486"/>
      <c r="BFK254" s="486"/>
      <c r="BFL254" s="486"/>
      <c r="BFM254" s="486"/>
      <c r="BFN254" s="486"/>
      <c r="BFO254" s="486"/>
      <c r="BFP254" s="486"/>
      <c r="BFQ254" s="486"/>
      <c r="BFR254" s="486"/>
      <c r="BFS254" s="486"/>
      <c r="BFT254" s="486"/>
      <c r="BFU254" s="486"/>
      <c r="BFV254" s="486"/>
      <c r="BFW254" s="486"/>
      <c r="BFX254" s="486"/>
      <c r="BFY254" s="486"/>
      <c r="BFZ254" s="486"/>
      <c r="BGA254" s="486"/>
      <c r="BGB254" s="486"/>
      <c r="BGC254" s="486"/>
      <c r="BGD254" s="486"/>
      <c r="BGE254" s="486"/>
      <c r="BGF254" s="486"/>
      <c r="BGG254" s="486"/>
      <c r="BGH254" s="486"/>
      <c r="BGI254" s="486"/>
      <c r="BGJ254" s="486"/>
      <c r="BGK254" s="486"/>
      <c r="BGL254" s="486"/>
      <c r="BGM254" s="486"/>
      <c r="BGN254" s="486"/>
      <c r="BGO254" s="486"/>
      <c r="BGP254" s="486"/>
      <c r="BGQ254" s="486"/>
      <c r="BGR254" s="486"/>
      <c r="BGS254" s="486"/>
      <c r="BGT254" s="486"/>
      <c r="BGU254" s="486"/>
      <c r="BGV254" s="486"/>
      <c r="BGW254" s="486"/>
      <c r="BGX254" s="486"/>
      <c r="BGY254" s="486"/>
      <c r="BGZ254" s="486"/>
      <c r="BHA254" s="486"/>
      <c r="BHB254" s="486"/>
      <c r="BHC254" s="486"/>
      <c r="BHD254" s="486"/>
      <c r="BHE254" s="486"/>
      <c r="BHF254" s="486"/>
      <c r="BHG254" s="486"/>
      <c r="BHH254" s="486"/>
      <c r="BHI254" s="486"/>
      <c r="BHJ254" s="486"/>
      <c r="BHK254" s="486"/>
      <c r="BHL254" s="486"/>
      <c r="BHM254" s="486"/>
      <c r="BHN254" s="486"/>
      <c r="BHO254" s="486"/>
      <c r="BHP254" s="486"/>
      <c r="BHQ254" s="486"/>
      <c r="BHR254" s="486"/>
      <c r="BHS254" s="486"/>
      <c r="BHT254" s="486"/>
      <c r="BHU254" s="486"/>
      <c r="BHV254" s="486"/>
      <c r="BHW254" s="486"/>
      <c r="BHX254" s="486"/>
      <c r="BHY254" s="486"/>
      <c r="BHZ254" s="486"/>
      <c r="BIA254" s="486"/>
      <c r="BIB254" s="486"/>
      <c r="BIC254" s="486"/>
      <c r="BID254" s="486"/>
      <c r="BIE254" s="486"/>
      <c r="BIF254" s="486"/>
      <c r="BIG254" s="486"/>
      <c r="BIH254" s="486"/>
      <c r="BII254" s="486"/>
      <c r="BIJ254" s="486"/>
      <c r="BIK254" s="486"/>
      <c r="BIL254" s="486"/>
      <c r="BIM254" s="486"/>
      <c r="BIN254" s="486"/>
      <c r="BIO254" s="486"/>
      <c r="BIP254" s="486"/>
      <c r="BIQ254" s="486"/>
      <c r="BIR254" s="486"/>
      <c r="BIS254" s="486"/>
      <c r="BIT254" s="486"/>
      <c r="BIU254" s="486"/>
      <c r="BIV254" s="486"/>
      <c r="BIW254" s="486"/>
      <c r="BIX254" s="486"/>
      <c r="BIY254" s="486"/>
      <c r="BIZ254" s="486"/>
      <c r="BJA254" s="486"/>
      <c r="BJB254" s="486"/>
      <c r="BJC254" s="486"/>
      <c r="BJD254" s="486"/>
      <c r="BJE254" s="486"/>
      <c r="BJF254" s="486"/>
      <c r="BJG254" s="486"/>
      <c r="BJH254" s="486"/>
      <c r="BJI254" s="486"/>
      <c r="BJJ254" s="486"/>
      <c r="BJK254" s="486"/>
      <c r="BJL254" s="486"/>
      <c r="BJM254" s="486"/>
      <c r="BJN254" s="486"/>
      <c r="BJO254" s="486"/>
      <c r="BJP254" s="486"/>
      <c r="BJQ254" s="486"/>
      <c r="BJR254" s="486"/>
      <c r="BJS254" s="486"/>
      <c r="BJT254" s="486"/>
      <c r="BJU254" s="486"/>
      <c r="BJV254" s="486"/>
      <c r="BJW254" s="486"/>
      <c r="BJX254" s="486"/>
      <c r="BJY254" s="486"/>
      <c r="BJZ254" s="486"/>
      <c r="BKA254" s="486"/>
      <c r="BKB254" s="486"/>
      <c r="BKC254" s="486"/>
      <c r="BKD254" s="486"/>
      <c r="BKE254" s="486"/>
      <c r="BKF254" s="486"/>
      <c r="BKG254" s="486"/>
      <c r="BKH254" s="486"/>
      <c r="BKI254" s="486"/>
      <c r="BKJ254" s="486"/>
      <c r="BKK254" s="486"/>
      <c r="BKL254" s="486"/>
      <c r="BKM254" s="486"/>
      <c r="BKN254" s="486"/>
      <c r="BKO254" s="486"/>
      <c r="BKP254" s="486"/>
      <c r="BKQ254" s="486"/>
      <c r="BKR254" s="486"/>
      <c r="BKS254" s="486"/>
      <c r="BKT254" s="486"/>
      <c r="BKU254" s="486"/>
      <c r="BKV254" s="486"/>
      <c r="BKW254" s="486"/>
      <c r="BKX254" s="486"/>
      <c r="BKY254" s="486"/>
      <c r="BKZ254" s="486"/>
      <c r="BLA254" s="486"/>
      <c r="BLB254" s="486"/>
      <c r="BLC254" s="486"/>
      <c r="BLD254" s="486"/>
      <c r="BLE254" s="486"/>
      <c r="BLF254" s="486"/>
      <c r="BLG254" s="486"/>
      <c r="BLH254" s="486"/>
      <c r="BLI254" s="486"/>
      <c r="BLJ254" s="486"/>
      <c r="BLK254" s="486"/>
      <c r="BLL254" s="486"/>
      <c r="BLM254" s="486"/>
      <c r="BLN254" s="486"/>
      <c r="BLO254" s="486"/>
      <c r="BLP254" s="486"/>
      <c r="BLQ254" s="486"/>
      <c r="BLR254" s="486"/>
      <c r="BLS254" s="486"/>
      <c r="BLT254" s="486"/>
      <c r="BLU254" s="486"/>
      <c r="BLV254" s="486"/>
      <c r="BLW254" s="486"/>
      <c r="BLX254" s="486"/>
      <c r="BLY254" s="486"/>
      <c r="BLZ254" s="486"/>
      <c r="BMA254" s="486"/>
      <c r="BMB254" s="486"/>
      <c r="BMC254" s="486"/>
      <c r="BMD254" s="486"/>
      <c r="BME254" s="486"/>
      <c r="BMF254" s="486"/>
      <c r="BMG254" s="486"/>
      <c r="BMH254" s="486"/>
      <c r="BMI254" s="486"/>
      <c r="BMJ254" s="486"/>
      <c r="BMK254" s="486"/>
      <c r="BML254" s="486"/>
      <c r="BMM254" s="486"/>
      <c r="BMN254" s="486"/>
      <c r="BMO254" s="486"/>
      <c r="BMP254" s="486"/>
      <c r="BMQ254" s="486"/>
      <c r="BMR254" s="486"/>
      <c r="BMS254" s="486"/>
      <c r="BMT254" s="486"/>
      <c r="BMU254" s="486"/>
      <c r="BMV254" s="486"/>
      <c r="BMW254" s="486"/>
      <c r="BMX254" s="486"/>
      <c r="BMY254" s="486"/>
      <c r="BMZ254" s="486"/>
      <c r="BNA254" s="486"/>
      <c r="BNB254" s="486"/>
      <c r="BNC254" s="486"/>
      <c r="BND254" s="486"/>
      <c r="BNE254" s="486"/>
      <c r="BNF254" s="486"/>
      <c r="BNG254" s="486"/>
      <c r="BNH254" s="486"/>
      <c r="BNI254" s="486"/>
      <c r="BNJ254" s="486"/>
      <c r="BNK254" s="486"/>
      <c r="BNL254" s="486"/>
      <c r="BNM254" s="486"/>
      <c r="BNN254" s="486"/>
      <c r="BNO254" s="486"/>
      <c r="BNP254" s="486"/>
      <c r="BNQ254" s="486"/>
      <c r="BNR254" s="486"/>
      <c r="BNS254" s="486"/>
      <c r="BNT254" s="486"/>
      <c r="BNU254" s="486"/>
      <c r="BNV254" s="486"/>
      <c r="BNW254" s="486"/>
      <c r="BNX254" s="486"/>
      <c r="BNY254" s="486"/>
      <c r="BNZ254" s="486"/>
      <c r="BOA254" s="486"/>
      <c r="BOB254" s="486"/>
      <c r="BOC254" s="486"/>
      <c r="BOD254" s="486"/>
      <c r="BOE254" s="486"/>
      <c r="BOF254" s="486"/>
      <c r="BOG254" s="486"/>
      <c r="BOH254" s="486"/>
      <c r="BOI254" s="486"/>
      <c r="BOJ254" s="486"/>
      <c r="BOK254" s="486"/>
      <c r="BOL254" s="486"/>
      <c r="BOM254" s="486"/>
      <c r="BON254" s="486"/>
      <c r="BOO254" s="486"/>
      <c r="BOP254" s="486"/>
      <c r="BOQ254" s="486"/>
      <c r="BOR254" s="486"/>
      <c r="BOS254" s="486"/>
      <c r="BOT254" s="486"/>
      <c r="BOU254" s="486"/>
      <c r="BOV254" s="486"/>
      <c r="BOW254" s="486"/>
      <c r="BOX254" s="486"/>
      <c r="BOY254" s="486"/>
      <c r="BOZ254" s="486"/>
      <c r="BPA254" s="486"/>
      <c r="BPB254" s="486"/>
      <c r="BPC254" s="486"/>
      <c r="BPD254" s="486"/>
      <c r="BPE254" s="486"/>
      <c r="BPF254" s="486"/>
      <c r="BPG254" s="486"/>
      <c r="BPH254" s="486"/>
      <c r="BPI254" s="486"/>
      <c r="BPJ254" s="486"/>
      <c r="BPK254" s="486"/>
      <c r="BPL254" s="486"/>
      <c r="BPM254" s="486"/>
      <c r="BPN254" s="486"/>
      <c r="BPO254" s="486"/>
      <c r="BPP254" s="486"/>
      <c r="BPQ254" s="486"/>
      <c r="BPR254" s="486"/>
      <c r="BPS254" s="486"/>
      <c r="BPT254" s="486"/>
      <c r="BPU254" s="486"/>
      <c r="BPV254" s="486"/>
      <c r="BPW254" s="486"/>
      <c r="BPX254" s="486"/>
      <c r="BPY254" s="486"/>
      <c r="BPZ254" s="486"/>
      <c r="BQA254" s="486"/>
      <c r="BQB254" s="486"/>
      <c r="BQC254" s="486"/>
      <c r="BQD254" s="486"/>
      <c r="BQE254" s="486"/>
      <c r="BQF254" s="486"/>
      <c r="BQG254" s="486"/>
      <c r="BQH254" s="486"/>
      <c r="BQI254" s="486"/>
      <c r="BQJ254" s="486"/>
      <c r="BQK254" s="486"/>
      <c r="BQL254" s="486"/>
      <c r="BQM254" s="486"/>
      <c r="BQN254" s="486"/>
      <c r="BQO254" s="486"/>
      <c r="BQP254" s="486"/>
      <c r="BQQ254" s="486"/>
      <c r="BQR254" s="486"/>
      <c r="BQS254" s="486"/>
      <c r="BQT254" s="486"/>
      <c r="BQU254" s="486"/>
      <c r="BQV254" s="486"/>
      <c r="BQW254" s="486"/>
      <c r="BQX254" s="486"/>
      <c r="BQY254" s="486"/>
      <c r="BQZ254" s="486"/>
      <c r="BRA254" s="486"/>
      <c r="BRB254" s="486"/>
      <c r="BRC254" s="486"/>
      <c r="BRD254" s="486"/>
      <c r="BRE254" s="486"/>
      <c r="BRF254" s="486"/>
      <c r="BRG254" s="486"/>
      <c r="BRH254" s="486"/>
      <c r="BRI254" s="486"/>
      <c r="BRJ254" s="486"/>
      <c r="BRK254" s="486"/>
      <c r="BRL254" s="486"/>
      <c r="BRM254" s="486"/>
      <c r="BRN254" s="486"/>
      <c r="BRO254" s="486"/>
      <c r="BRP254" s="486"/>
      <c r="BRQ254" s="486"/>
      <c r="BRR254" s="486"/>
      <c r="BRS254" s="486"/>
      <c r="BRT254" s="486"/>
      <c r="BRU254" s="486"/>
      <c r="BRV254" s="486"/>
      <c r="BRW254" s="486"/>
      <c r="BRX254" s="486"/>
      <c r="BRY254" s="486"/>
      <c r="BRZ254" s="486"/>
      <c r="BSA254" s="486"/>
      <c r="BSB254" s="486"/>
      <c r="BSC254" s="486"/>
      <c r="BSD254" s="486"/>
      <c r="BSE254" s="486"/>
      <c r="BSF254" s="486"/>
      <c r="BSG254" s="486"/>
      <c r="BSH254" s="486"/>
      <c r="BSI254" s="486"/>
      <c r="BSJ254" s="486"/>
      <c r="BSK254" s="486"/>
      <c r="BSL254" s="486"/>
      <c r="BSM254" s="486"/>
      <c r="BSN254" s="486"/>
      <c r="BSO254" s="486"/>
      <c r="BSP254" s="486"/>
      <c r="BSQ254" s="486"/>
      <c r="BSR254" s="486"/>
      <c r="BSS254" s="486"/>
      <c r="BST254" s="486"/>
      <c r="BSU254" s="486"/>
      <c r="BSV254" s="486"/>
      <c r="BSW254" s="486"/>
      <c r="BSX254" s="486"/>
      <c r="BSY254" s="486"/>
      <c r="BSZ254" s="486"/>
      <c r="BTA254" s="486"/>
      <c r="BTB254" s="486"/>
      <c r="BTC254" s="486"/>
      <c r="BTD254" s="486"/>
      <c r="BTE254" s="486"/>
      <c r="BTF254" s="486"/>
      <c r="BTG254" s="486"/>
      <c r="BTH254" s="486"/>
      <c r="BTI254" s="486"/>
    </row>
    <row r="255" spans="1:1881" s="485" customFormat="1" ht="73.5" customHeight="1" x14ac:dyDescent="0.25">
      <c r="B255" s="938" t="s">
        <v>1093</v>
      </c>
      <c r="C255" s="939"/>
      <c r="D255" s="939"/>
      <c r="E255" s="939"/>
      <c r="G255" s="563"/>
      <c r="H255" s="487"/>
      <c r="I255" s="405"/>
      <c r="J255" s="486"/>
      <c r="K255" s="486"/>
      <c r="L255" s="486"/>
      <c r="M255" s="486"/>
      <c r="N255"/>
      <c r="O255" s="486"/>
      <c r="P255" s="486"/>
      <c r="Q255" s="486"/>
      <c r="R255" s="486"/>
      <c r="S255" s="486"/>
      <c r="T255" s="486"/>
      <c r="U255" s="486"/>
      <c r="V255" s="486"/>
      <c r="W255" s="486"/>
      <c r="X255" s="486"/>
      <c r="Y255" s="486"/>
      <c r="Z255" s="486"/>
      <c r="AA255" s="486"/>
      <c r="AB255" s="486"/>
      <c r="AC255" s="486"/>
      <c r="AD255" s="486"/>
      <c r="AE255" s="486"/>
      <c r="AF255" s="486"/>
      <c r="AG255" s="486"/>
      <c r="AH255" s="486"/>
      <c r="AI255" s="486"/>
      <c r="AJ255" s="486"/>
      <c r="AK255" s="486"/>
      <c r="AL255" s="486"/>
      <c r="AM255" s="486"/>
      <c r="AN255" s="486"/>
      <c r="AO255" s="486"/>
      <c r="AP255" s="486"/>
      <c r="AQ255" s="486"/>
      <c r="AR255" s="486"/>
      <c r="AS255" s="486"/>
      <c r="AT255" s="486"/>
      <c r="AU255" s="486"/>
      <c r="AV255" s="486"/>
      <c r="AW255" s="486"/>
      <c r="AX255" s="486"/>
      <c r="AY255" s="486"/>
      <c r="AZ255" s="486"/>
      <c r="BA255" s="486"/>
      <c r="BB255" s="486"/>
      <c r="BC255" s="486"/>
      <c r="BD255" s="486"/>
      <c r="BE255" s="486"/>
      <c r="BF255" s="486"/>
      <c r="BG255" s="486"/>
      <c r="BH255" s="486"/>
      <c r="BI255" s="486"/>
      <c r="BJ255" s="486"/>
      <c r="BK255" s="486"/>
      <c r="BL255" s="486"/>
      <c r="BM255" s="486"/>
      <c r="BN255" s="486"/>
      <c r="BO255" s="486"/>
      <c r="BP255" s="486"/>
      <c r="BQ255" s="486"/>
      <c r="BR255" s="486"/>
      <c r="BS255" s="486"/>
      <c r="BT255" s="486"/>
      <c r="BU255" s="486"/>
      <c r="BV255" s="486"/>
      <c r="BW255" s="486"/>
      <c r="BX255" s="486"/>
      <c r="BY255" s="486"/>
      <c r="BZ255" s="486"/>
      <c r="CA255" s="486"/>
      <c r="CB255" s="486"/>
      <c r="CC255" s="486"/>
      <c r="CD255" s="486"/>
      <c r="CE255" s="486"/>
      <c r="CF255" s="486"/>
      <c r="CG255" s="486"/>
      <c r="CH255" s="486"/>
      <c r="CI255" s="486"/>
      <c r="CJ255" s="486"/>
      <c r="CK255" s="486"/>
      <c r="CL255" s="486"/>
      <c r="CM255" s="486"/>
      <c r="CN255" s="486"/>
      <c r="CO255" s="486"/>
      <c r="CP255" s="486"/>
      <c r="CQ255" s="486"/>
      <c r="CR255" s="486"/>
      <c r="CS255" s="486"/>
      <c r="CT255" s="486"/>
      <c r="CU255" s="486"/>
      <c r="CV255" s="486"/>
      <c r="CW255" s="486"/>
      <c r="CX255" s="486"/>
      <c r="CY255" s="486"/>
      <c r="CZ255" s="486"/>
      <c r="DA255" s="486"/>
      <c r="DB255" s="486"/>
      <c r="DC255" s="486"/>
      <c r="DD255" s="486"/>
      <c r="DE255" s="486"/>
      <c r="DF255" s="486"/>
      <c r="DG255" s="486"/>
      <c r="DH255" s="486"/>
      <c r="DI255" s="486"/>
      <c r="DJ255" s="486"/>
      <c r="DK255" s="486"/>
      <c r="DL255" s="486"/>
      <c r="DM255" s="486"/>
      <c r="DN255" s="486"/>
      <c r="DO255" s="486"/>
      <c r="DP255" s="486"/>
      <c r="DQ255" s="486"/>
      <c r="DR255" s="486"/>
      <c r="DS255" s="486"/>
      <c r="DT255" s="486"/>
      <c r="DU255" s="486"/>
      <c r="DV255" s="486"/>
      <c r="DW255" s="486"/>
      <c r="DX255" s="486"/>
      <c r="DY255" s="486"/>
      <c r="DZ255" s="486"/>
      <c r="EA255" s="486"/>
      <c r="EB255" s="486"/>
      <c r="EC255" s="486"/>
      <c r="ED255" s="486"/>
      <c r="EE255" s="486"/>
      <c r="EF255" s="486"/>
      <c r="EG255" s="486"/>
      <c r="EH255" s="486"/>
      <c r="EI255" s="486"/>
      <c r="EJ255" s="486"/>
      <c r="EK255" s="486"/>
      <c r="EL255" s="486"/>
      <c r="EM255" s="486"/>
      <c r="EN255" s="486"/>
      <c r="EO255" s="486"/>
      <c r="EP255" s="486"/>
      <c r="EQ255" s="486"/>
      <c r="ER255" s="486"/>
      <c r="ES255" s="486"/>
      <c r="ET255" s="486"/>
      <c r="EU255" s="486"/>
      <c r="EV255" s="486"/>
      <c r="EW255" s="486"/>
      <c r="EX255" s="486"/>
      <c r="EY255" s="486"/>
      <c r="EZ255" s="486"/>
      <c r="FA255" s="486"/>
      <c r="FB255" s="486"/>
      <c r="FC255" s="486"/>
      <c r="FD255" s="486"/>
      <c r="FE255" s="486"/>
      <c r="FF255" s="486"/>
      <c r="FG255" s="486"/>
      <c r="FH255" s="486"/>
      <c r="FI255" s="486"/>
      <c r="FJ255" s="486"/>
      <c r="FK255" s="486"/>
      <c r="FL255" s="486"/>
      <c r="FM255" s="486"/>
      <c r="FN255" s="486"/>
      <c r="FO255" s="486"/>
      <c r="FP255" s="486"/>
      <c r="FQ255" s="486"/>
      <c r="FR255" s="486"/>
      <c r="FS255" s="486"/>
      <c r="FT255" s="486"/>
      <c r="FU255" s="486"/>
      <c r="FV255" s="486"/>
      <c r="FW255" s="486"/>
      <c r="FX255" s="486"/>
      <c r="FY255" s="486"/>
      <c r="FZ255" s="486"/>
      <c r="GA255" s="486"/>
      <c r="GB255" s="486"/>
      <c r="GC255" s="486"/>
      <c r="GD255" s="486"/>
      <c r="GE255" s="486"/>
      <c r="GF255" s="486"/>
      <c r="GG255" s="486"/>
      <c r="GH255" s="486"/>
      <c r="GI255" s="486"/>
      <c r="GJ255" s="486"/>
      <c r="GK255" s="486"/>
      <c r="GL255" s="486"/>
      <c r="GM255" s="486"/>
      <c r="GN255" s="486"/>
      <c r="GO255" s="486"/>
      <c r="GP255" s="486"/>
      <c r="GQ255" s="486"/>
      <c r="GR255" s="486"/>
      <c r="GS255" s="486"/>
      <c r="GT255" s="486"/>
      <c r="GU255" s="486"/>
      <c r="GV255" s="486"/>
      <c r="GW255" s="486"/>
      <c r="GX255" s="486"/>
      <c r="GY255" s="486"/>
      <c r="GZ255" s="486"/>
      <c r="HA255" s="486"/>
      <c r="HB255" s="486"/>
      <c r="HC255" s="486"/>
      <c r="HD255" s="486"/>
      <c r="HE255" s="486"/>
      <c r="HF255" s="486"/>
      <c r="HG255" s="486"/>
      <c r="HH255" s="486"/>
      <c r="HI255" s="486"/>
      <c r="HJ255" s="486"/>
      <c r="HK255" s="486"/>
      <c r="HL255" s="486"/>
      <c r="HM255" s="486"/>
      <c r="HN255" s="486"/>
      <c r="HO255" s="486"/>
      <c r="HP255" s="486"/>
      <c r="HQ255" s="486"/>
      <c r="HR255" s="486"/>
      <c r="HS255" s="486"/>
      <c r="HT255" s="486"/>
      <c r="HU255" s="486"/>
      <c r="HV255" s="486"/>
      <c r="HW255" s="486"/>
      <c r="HX255" s="486"/>
      <c r="HY255" s="486"/>
      <c r="HZ255" s="486"/>
      <c r="IA255" s="486"/>
      <c r="IB255" s="486"/>
      <c r="IC255" s="486"/>
      <c r="ID255" s="486"/>
      <c r="IE255" s="486"/>
      <c r="IF255" s="486"/>
      <c r="IG255" s="486"/>
      <c r="IH255" s="486"/>
      <c r="II255" s="486"/>
      <c r="IJ255" s="486"/>
      <c r="IK255" s="486"/>
      <c r="IL255" s="486"/>
      <c r="IM255" s="486"/>
      <c r="IN255" s="486"/>
      <c r="IO255" s="486"/>
      <c r="IP255" s="486"/>
      <c r="IQ255" s="486"/>
      <c r="IR255" s="486"/>
      <c r="IS255" s="486"/>
      <c r="IT255" s="486"/>
      <c r="IU255" s="486"/>
      <c r="IV255" s="486"/>
      <c r="IW255" s="486"/>
      <c r="IX255" s="486"/>
      <c r="IY255" s="486"/>
      <c r="IZ255" s="486"/>
      <c r="JA255" s="486"/>
      <c r="JB255" s="486"/>
      <c r="JC255" s="486"/>
      <c r="JD255" s="486"/>
      <c r="JE255" s="486"/>
      <c r="JF255" s="486"/>
      <c r="JG255" s="486"/>
      <c r="JH255" s="486"/>
      <c r="JI255" s="486"/>
      <c r="JJ255" s="486"/>
      <c r="JK255" s="486"/>
      <c r="JL255" s="486"/>
      <c r="JM255" s="486"/>
      <c r="JN255" s="486"/>
      <c r="JO255" s="486"/>
      <c r="JP255" s="486"/>
      <c r="JQ255" s="486"/>
      <c r="JR255" s="486"/>
      <c r="JS255" s="486"/>
      <c r="JT255" s="486"/>
      <c r="JU255" s="486"/>
      <c r="JV255" s="486"/>
      <c r="JW255" s="486"/>
      <c r="JX255" s="486"/>
      <c r="JY255" s="486"/>
      <c r="JZ255" s="486"/>
      <c r="KA255" s="486"/>
      <c r="KB255" s="486"/>
      <c r="KC255" s="486"/>
      <c r="KD255" s="486"/>
      <c r="KE255" s="486"/>
      <c r="KF255" s="486"/>
      <c r="KG255" s="486"/>
      <c r="KH255" s="486"/>
      <c r="KI255" s="486"/>
      <c r="KJ255" s="486"/>
      <c r="KK255" s="486"/>
      <c r="KL255" s="486"/>
      <c r="KM255" s="486"/>
      <c r="KN255" s="486"/>
      <c r="KO255" s="486"/>
      <c r="KP255" s="486"/>
      <c r="KQ255" s="486"/>
      <c r="KR255" s="486"/>
      <c r="KS255" s="486"/>
      <c r="KT255" s="486"/>
      <c r="KU255" s="486"/>
      <c r="KV255" s="486"/>
      <c r="KW255" s="486"/>
      <c r="KX255" s="486"/>
      <c r="KY255" s="486"/>
      <c r="KZ255" s="486"/>
      <c r="LA255" s="486"/>
      <c r="LB255" s="486"/>
      <c r="LC255" s="486"/>
      <c r="LD255" s="486"/>
      <c r="LE255" s="486"/>
      <c r="LF255" s="486"/>
      <c r="LG255" s="486"/>
      <c r="LH255" s="486"/>
      <c r="LI255" s="486"/>
      <c r="LJ255" s="486"/>
      <c r="LK255" s="486"/>
      <c r="LL255" s="486"/>
      <c r="LM255" s="486"/>
      <c r="LN255" s="486"/>
      <c r="LO255" s="486"/>
      <c r="LP255" s="486"/>
      <c r="LQ255" s="486"/>
      <c r="LR255" s="486"/>
      <c r="LS255" s="486"/>
      <c r="LT255" s="486"/>
      <c r="LU255" s="486"/>
      <c r="LV255" s="486"/>
      <c r="LW255" s="486"/>
      <c r="LX255" s="486"/>
      <c r="LY255" s="486"/>
      <c r="LZ255" s="486"/>
      <c r="MA255" s="486"/>
      <c r="MB255" s="486"/>
      <c r="MC255" s="486"/>
      <c r="MD255" s="486"/>
      <c r="ME255" s="486"/>
      <c r="MF255" s="486"/>
      <c r="MG255" s="486"/>
      <c r="MH255" s="486"/>
      <c r="MI255" s="486"/>
      <c r="MJ255" s="486"/>
      <c r="MK255" s="486"/>
      <c r="ML255" s="486"/>
      <c r="MM255" s="486"/>
      <c r="MN255" s="486"/>
      <c r="MO255" s="486"/>
      <c r="MP255" s="486"/>
      <c r="MQ255" s="486"/>
      <c r="MR255" s="486"/>
      <c r="MS255" s="486"/>
      <c r="MT255" s="486"/>
      <c r="MU255" s="486"/>
      <c r="MV255" s="486"/>
      <c r="MW255" s="486"/>
      <c r="MX255" s="486"/>
      <c r="MY255" s="486"/>
      <c r="MZ255" s="486"/>
      <c r="NA255" s="486"/>
      <c r="NB255" s="486"/>
      <c r="NC255" s="486"/>
      <c r="ND255" s="486"/>
      <c r="NE255" s="486"/>
      <c r="NF255" s="486"/>
      <c r="NG255" s="486"/>
      <c r="NH255" s="486"/>
      <c r="NI255" s="486"/>
      <c r="NJ255" s="486"/>
      <c r="NK255" s="486"/>
      <c r="NL255" s="486"/>
      <c r="NM255" s="486"/>
      <c r="NN255" s="486"/>
      <c r="NO255" s="486"/>
      <c r="NP255" s="486"/>
      <c r="NQ255" s="486"/>
      <c r="NR255" s="486"/>
      <c r="NS255" s="486"/>
      <c r="NT255" s="486"/>
      <c r="NU255" s="486"/>
      <c r="NV255" s="486"/>
      <c r="NW255" s="486"/>
      <c r="NX255" s="486"/>
      <c r="NY255" s="486"/>
      <c r="NZ255" s="486"/>
      <c r="OA255" s="486"/>
      <c r="OB255" s="486"/>
      <c r="OC255" s="486"/>
      <c r="OD255" s="486"/>
      <c r="OE255" s="486"/>
      <c r="OF255" s="486"/>
      <c r="OG255" s="486"/>
      <c r="OH255" s="486"/>
      <c r="OI255" s="486"/>
      <c r="OJ255" s="486"/>
      <c r="OK255" s="486"/>
      <c r="OL255" s="486"/>
      <c r="OM255" s="486"/>
      <c r="ON255" s="486"/>
      <c r="OO255" s="486"/>
      <c r="OP255" s="486"/>
      <c r="OQ255" s="486"/>
      <c r="OR255" s="486"/>
      <c r="OS255" s="486"/>
      <c r="OT255" s="486"/>
      <c r="OU255" s="486"/>
      <c r="OV255" s="486"/>
      <c r="OW255" s="486"/>
      <c r="OX255" s="486"/>
      <c r="OY255" s="486"/>
      <c r="OZ255" s="486"/>
      <c r="PA255" s="486"/>
      <c r="PB255" s="486"/>
      <c r="PC255" s="486"/>
      <c r="PD255" s="486"/>
      <c r="PE255" s="486"/>
      <c r="PF255" s="486"/>
      <c r="PG255" s="486"/>
      <c r="PH255" s="486"/>
      <c r="PI255" s="486"/>
      <c r="PJ255" s="486"/>
      <c r="PK255" s="486"/>
      <c r="PL255" s="486"/>
      <c r="PM255" s="486"/>
      <c r="PN255" s="486"/>
      <c r="PO255" s="486"/>
      <c r="PP255" s="486"/>
      <c r="PQ255" s="486"/>
      <c r="PR255" s="486"/>
      <c r="PS255" s="486"/>
      <c r="PT255" s="486"/>
      <c r="PU255" s="486"/>
      <c r="PV255" s="486"/>
      <c r="PW255" s="486"/>
      <c r="PX255" s="486"/>
      <c r="PY255" s="486"/>
      <c r="PZ255" s="486"/>
      <c r="QA255" s="486"/>
      <c r="QB255" s="486"/>
      <c r="QC255" s="486"/>
      <c r="QD255" s="486"/>
      <c r="QE255" s="486"/>
      <c r="QF255" s="486"/>
      <c r="QG255" s="486"/>
      <c r="QH255" s="486"/>
      <c r="QI255" s="486"/>
      <c r="QJ255" s="486"/>
      <c r="QK255" s="486"/>
      <c r="QL255" s="486"/>
      <c r="QM255" s="486"/>
      <c r="QN255" s="486"/>
      <c r="QO255" s="486"/>
      <c r="QP255" s="486"/>
      <c r="QQ255" s="486"/>
      <c r="QR255" s="486"/>
      <c r="QS255" s="486"/>
      <c r="QT255" s="486"/>
      <c r="QU255" s="486"/>
      <c r="QV255" s="486"/>
      <c r="QW255" s="486"/>
      <c r="QX255" s="486"/>
      <c r="QY255" s="486"/>
      <c r="QZ255" s="486"/>
      <c r="RA255" s="486"/>
      <c r="RB255" s="486"/>
      <c r="RC255" s="486"/>
      <c r="RD255" s="486"/>
      <c r="RE255" s="486"/>
      <c r="RF255" s="486"/>
      <c r="RG255" s="486"/>
      <c r="RH255" s="486"/>
      <c r="RI255" s="486"/>
      <c r="RJ255" s="486"/>
      <c r="RK255" s="486"/>
      <c r="RL255" s="486"/>
      <c r="RM255" s="486"/>
      <c r="RN255" s="486"/>
      <c r="RO255" s="486"/>
      <c r="RP255" s="486"/>
      <c r="RQ255" s="486"/>
      <c r="RR255" s="486"/>
      <c r="RS255" s="486"/>
      <c r="RT255" s="486"/>
      <c r="RU255" s="486"/>
      <c r="RV255" s="486"/>
      <c r="RW255" s="486"/>
      <c r="RX255" s="486"/>
      <c r="RY255" s="486"/>
      <c r="RZ255" s="486"/>
      <c r="SA255" s="486"/>
      <c r="SB255" s="486"/>
      <c r="SC255" s="486"/>
      <c r="SD255" s="486"/>
      <c r="SE255" s="486"/>
      <c r="SF255" s="486"/>
      <c r="SG255" s="486"/>
      <c r="SH255" s="486"/>
      <c r="SI255" s="486"/>
      <c r="SJ255" s="486"/>
      <c r="SK255" s="486"/>
      <c r="SL255" s="486"/>
      <c r="SM255" s="486"/>
      <c r="SN255" s="486"/>
      <c r="SO255" s="486"/>
      <c r="SP255" s="486"/>
      <c r="SQ255" s="486"/>
      <c r="SR255" s="486"/>
      <c r="SS255" s="486"/>
      <c r="ST255" s="486"/>
      <c r="SU255" s="486"/>
      <c r="SV255" s="486"/>
      <c r="SW255" s="486"/>
      <c r="SX255" s="486"/>
      <c r="SY255" s="486"/>
      <c r="SZ255" s="486"/>
      <c r="TA255" s="486"/>
      <c r="TB255" s="486"/>
      <c r="TC255" s="486"/>
      <c r="TD255" s="486"/>
      <c r="TE255" s="486"/>
      <c r="TF255" s="486"/>
      <c r="TG255" s="486"/>
      <c r="TH255" s="486"/>
      <c r="TI255" s="486"/>
      <c r="TJ255" s="486"/>
      <c r="TK255" s="486"/>
      <c r="TL255" s="486"/>
      <c r="TM255" s="486"/>
      <c r="TN255" s="486"/>
      <c r="TO255" s="486"/>
      <c r="TP255" s="486"/>
      <c r="TQ255" s="486"/>
      <c r="TR255" s="486"/>
      <c r="TS255" s="486"/>
      <c r="TT255" s="486"/>
      <c r="TU255" s="486"/>
      <c r="TV255" s="486"/>
      <c r="TW255" s="486"/>
      <c r="TX255" s="486"/>
      <c r="TY255" s="486"/>
      <c r="TZ255" s="486"/>
      <c r="UA255" s="486"/>
      <c r="UB255" s="486"/>
      <c r="UC255" s="486"/>
      <c r="UD255" s="486"/>
      <c r="UE255" s="486"/>
      <c r="UF255" s="486"/>
      <c r="UG255" s="486"/>
      <c r="UH255" s="486"/>
      <c r="UI255" s="486"/>
      <c r="UJ255" s="486"/>
      <c r="UK255" s="486"/>
      <c r="UL255" s="486"/>
      <c r="UM255" s="486"/>
      <c r="UN255" s="486"/>
      <c r="UO255" s="486"/>
      <c r="UP255" s="486"/>
      <c r="UQ255" s="486"/>
      <c r="UR255" s="486"/>
      <c r="US255" s="486"/>
      <c r="UT255" s="486"/>
      <c r="UU255" s="486"/>
      <c r="UV255" s="486"/>
      <c r="UW255" s="486"/>
      <c r="UX255" s="486"/>
      <c r="UY255" s="486"/>
      <c r="UZ255" s="486"/>
      <c r="VA255" s="486"/>
      <c r="VB255" s="486"/>
      <c r="VC255" s="486"/>
      <c r="VD255" s="486"/>
      <c r="VE255" s="486"/>
      <c r="VF255" s="486"/>
      <c r="VG255" s="486"/>
      <c r="VH255" s="486"/>
      <c r="VI255" s="486"/>
      <c r="VJ255" s="486"/>
      <c r="VK255" s="486"/>
      <c r="VL255" s="486"/>
      <c r="VM255" s="486"/>
      <c r="VN255" s="486"/>
      <c r="VO255" s="486"/>
      <c r="VP255" s="486"/>
      <c r="VQ255" s="486"/>
      <c r="VR255" s="486"/>
      <c r="VS255" s="486"/>
      <c r="VT255" s="486"/>
      <c r="VU255" s="486"/>
      <c r="VV255" s="486"/>
      <c r="VW255" s="486"/>
      <c r="VX255" s="486"/>
      <c r="VY255" s="486"/>
      <c r="VZ255" s="486"/>
      <c r="WA255" s="486"/>
      <c r="WB255" s="486"/>
      <c r="WC255" s="486"/>
      <c r="WD255" s="486"/>
      <c r="WE255" s="486"/>
      <c r="WF255" s="486"/>
      <c r="WG255" s="486"/>
      <c r="WH255" s="486"/>
      <c r="WI255" s="486"/>
      <c r="WJ255" s="486"/>
      <c r="WK255" s="486"/>
      <c r="WL255" s="486"/>
      <c r="WM255" s="486"/>
      <c r="WN255" s="486"/>
      <c r="WO255" s="486"/>
      <c r="WP255" s="486"/>
      <c r="WQ255" s="486"/>
      <c r="WR255" s="486"/>
      <c r="WS255" s="486"/>
      <c r="WT255" s="486"/>
      <c r="WU255" s="486"/>
      <c r="WV255" s="486"/>
      <c r="WW255" s="486"/>
      <c r="WX255" s="486"/>
      <c r="WY255" s="486"/>
      <c r="WZ255" s="486"/>
      <c r="XA255" s="486"/>
      <c r="XB255" s="486"/>
      <c r="XC255" s="486"/>
      <c r="XD255" s="486"/>
      <c r="XE255" s="486"/>
      <c r="XF255" s="486"/>
      <c r="XG255" s="486"/>
      <c r="XH255" s="486"/>
      <c r="XI255" s="486"/>
      <c r="XJ255" s="486"/>
      <c r="XK255" s="486"/>
      <c r="XL255" s="486"/>
      <c r="XM255" s="486"/>
      <c r="XN255" s="486"/>
      <c r="XO255" s="486"/>
      <c r="XP255" s="486"/>
      <c r="XQ255" s="486"/>
      <c r="XR255" s="486"/>
      <c r="XS255" s="486"/>
      <c r="XT255" s="486"/>
      <c r="XU255" s="486"/>
      <c r="XV255" s="486"/>
      <c r="XW255" s="486"/>
      <c r="XX255" s="486"/>
      <c r="XY255" s="486"/>
      <c r="XZ255" s="486"/>
      <c r="YA255" s="486"/>
      <c r="YB255" s="486"/>
      <c r="YC255" s="486"/>
      <c r="YD255" s="486"/>
      <c r="YE255" s="486"/>
      <c r="YF255" s="486"/>
      <c r="YG255" s="486"/>
      <c r="YH255" s="486"/>
      <c r="YI255" s="486"/>
      <c r="YJ255" s="486"/>
      <c r="YK255" s="486"/>
      <c r="YL255" s="486"/>
      <c r="YM255" s="486"/>
      <c r="YN255" s="486"/>
      <c r="YO255" s="486"/>
      <c r="YP255" s="486"/>
      <c r="YQ255" s="486"/>
      <c r="YR255" s="486"/>
      <c r="YS255" s="486"/>
      <c r="YT255" s="486"/>
      <c r="YU255" s="486"/>
      <c r="YV255" s="486"/>
      <c r="YW255" s="486"/>
      <c r="YX255" s="486"/>
      <c r="YY255" s="486"/>
      <c r="YZ255" s="486"/>
      <c r="ZA255" s="486"/>
      <c r="ZB255" s="486"/>
      <c r="ZC255" s="486"/>
      <c r="ZD255" s="486"/>
      <c r="ZE255" s="486"/>
      <c r="ZF255" s="486"/>
      <c r="ZG255" s="486"/>
      <c r="ZH255" s="486"/>
      <c r="ZI255" s="486"/>
      <c r="ZJ255" s="486"/>
      <c r="ZK255" s="486"/>
      <c r="ZL255" s="486"/>
      <c r="ZM255" s="486"/>
      <c r="ZN255" s="486"/>
      <c r="ZO255" s="486"/>
      <c r="ZP255" s="486"/>
      <c r="ZQ255" s="486"/>
      <c r="ZR255" s="486"/>
      <c r="ZS255" s="486"/>
      <c r="ZT255" s="486"/>
      <c r="ZU255" s="486"/>
      <c r="ZV255" s="486"/>
      <c r="ZW255" s="486"/>
      <c r="ZX255" s="486"/>
      <c r="ZY255" s="486"/>
      <c r="ZZ255" s="486"/>
      <c r="AAA255" s="486"/>
      <c r="AAB255" s="486"/>
      <c r="AAC255" s="486"/>
      <c r="AAD255" s="486"/>
      <c r="AAE255" s="486"/>
      <c r="AAF255" s="486"/>
      <c r="AAG255" s="486"/>
      <c r="AAH255" s="486"/>
      <c r="AAI255" s="486"/>
      <c r="AAJ255" s="486"/>
      <c r="AAK255" s="486"/>
      <c r="AAL255" s="486"/>
      <c r="AAM255" s="486"/>
      <c r="AAN255" s="486"/>
      <c r="AAO255" s="486"/>
      <c r="AAP255" s="486"/>
      <c r="AAQ255" s="486"/>
      <c r="AAR255" s="486"/>
      <c r="AAS255" s="486"/>
      <c r="AAT255" s="486"/>
      <c r="AAU255" s="486"/>
      <c r="AAV255" s="486"/>
      <c r="AAW255" s="486"/>
      <c r="AAX255" s="486"/>
      <c r="AAY255" s="486"/>
      <c r="AAZ255" s="486"/>
      <c r="ABA255" s="486"/>
      <c r="ABB255" s="486"/>
      <c r="ABC255" s="486"/>
      <c r="ABD255" s="486"/>
      <c r="ABE255" s="486"/>
      <c r="ABF255" s="486"/>
      <c r="ABG255" s="486"/>
      <c r="ABH255" s="486"/>
      <c r="ABI255" s="486"/>
      <c r="ABJ255" s="486"/>
      <c r="ABK255" s="486"/>
      <c r="ABL255" s="486"/>
      <c r="ABM255" s="486"/>
      <c r="ABN255" s="486"/>
      <c r="ABO255" s="486"/>
      <c r="ABP255" s="486"/>
      <c r="ABQ255" s="486"/>
      <c r="ABR255" s="486"/>
      <c r="ABS255" s="486"/>
      <c r="ABT255" s="486"/>
      <c r="ABU255" s="486"/>
      <c r="ABV255" s="486"/>
      <c r="ABW255" s="486"/>
      <c r="ABX255" s="486"/>
      <c r="ABY255" s="486"/>
      <c r="ABZ255" s="486"/>
      <c r="ACA255" s="486"/>
      <c r="ACB255" s="486"/>
      <c r="ACC255" s="486"/>
      <c r="ACD255" s="486"/>
      <c r="ACE255" s="486"/>
      <c r="ACF255" s="486"/>
      <c r="ACG255" s="486"/>
      <c r="ACH255" s="486"/>
      <c r="ACI255" s="486"/>
      <c r="ACJ255" s="486"/>
      <c r="ACK255" s="486"/>
      <c r="ACL255" s="486"/>
      <c r="ACM255" s="486"/>
      <c r="ACN255" s="486"/>
      <c r="ACO255" s="486"/>
      <c r="ACP255" s="486"/>
      <c r="ACQ255" s="486"/>
      <c r="ACR255" s="486"/>
      <c r="ACS255" s="486"/>
      <c r="ACT255" s="486"/>
      <c r="ACU255" s="486"/>
      <c r="ACV255" s="486"/>
      <c r="ACW255" s="486"/>
      <c r="ACX255" s="486"/>
      <c r="ACY255" s="486"/>
      <c r="ACZ255" s="486"/>
      <c r="ADA255" s="486"/>
      <c r="ADB255" s="486"/>
      <c r="ADC255" s="486"/>
      <c r="ADD255" s="486"/>
      <c r="ADE255" s="486"/>
      <c r="ADF255" s="486"/>
      <c r="ADG255" s="486"/>
      <c r="ADH255" s="486"/>
      <c r="ADI255" s="486"/>
      <c r="ADJ255" s="486"/>
      <c r="ADK255" s="486"/>
      <c r="ADL255" s="486"/>
      <c r="ADM255" s="486"/>
      <c r="ADN255" s="486"/>
      <c r="ADO255" s="486"/>
      <c r="ADP255" s="486"/>
      <c r="ADQ255" s="486"/>
      <c r="ADR255" s="486"/>
      <c r="ADS255" s="486"/>
      <c r="ADT255" s="486"/>
      <c r="ADU255" s="486"/>
      <c r="ADV255" s="486"/>
      <c r="ADW255" s="486"/>
      <c r="ADX255" s="486"/>
      <c r="ADY255" s="486"/>
      <c r="ADZ255" s="486"/>
      <c r="AEA255" s="486"/>
      <c r="AEB255" s="486"/>
      <c r="AEC255" s="486"/>
      <c r="AED255" s="486"/>
      <c r="AEE255" s="486"/>
      <c r="AEF255" s="486"/>
      <c r="AEG255" s="486"/>
      <c r="AEH255" s="486"/>
      <c r="AEI255" s="486"/>
      <c r="AEJ255" s="486"/>
      <c r="AEK255" s="486"/>
      <c r="AEL255" s="486"/>
      <c r="AEM255" s="486"/>
      <c r="AEN255" s="486"/>
      <c r="AEO255" s="486"/>
      <c r="AEP255" s="486"/>
      <c r="AEQ255" s="486"/>
      <c r="AER255" s="486"/>
      <c r="AES255" s="486"/>
      <c r="AET255" s="486"/>
      <c r="AEU255" s="486"/>
      <c r="AEV255" s="486"/>
      <c r="AEW255" s="486"/>
      <c r="AEX255" s="486"/>
      <c r="AEY255" s="486"/>
      <c r="AEZ255" s="486"/>
      <c r="AFA255" s="486"/>
      <c r="AFB255" s="486"/>
      <c r="AFC255" s="486"/>
      <c r="AFD255" s="486"/>
      <c r="AFE255" s="486"/>
      <c r="AFF255" s="486"/>
      <c r="AFG255" s="486"/>
      <c r="AFH255" s="486"/>
      <c r="AFI255" s="486"/>
      <c r="AFJ255" s="486"/>
      <c r="AFK255" s="486"/>
      <c r="AFL255" s="486"/>
      <c r="AFM255" s="486"/>
      <c r="AFN255" s="486"/>
      <c r="AFO255" s="486"/>
      <c r="AFP255" s="486"/>
      <c r="AFQ255" s="486"/>
      <c r="AFR255" s="486"/>
      <c r="AFS255" s="486"/>
      <c r="AFT255" s="486"/>
      <c r="AFU255" s="486"/>
      <c r="AFV255" s="486"/>
      <c r="AFW255" s="486"/>
      <c r="AFX255" s="486"/>
      <c r="AFY255" s="486"/>
      <c r="AFZ255" s="486"/>
      <c r="AGA255" s="486"/>
      <c r="AGB255" s="486"/>
      <c r="AGC255" s="486"/>
      <c r="AGD255" s="486"/>
      <c r="AGE255" s="486"/>
      <c r="AGF255" s="486"/>
      <c r="AGG255" s="486"/>
      <c r="AGH255" s="486"/>
      <c r="AGI255" s="486"/>
      <c r="AGJ255" s="486"/>
      <c r="AGK255" s="486"/>
      <c r="AGL255" s="486"/>
      <c r="AGM255" s="486"/>
      <c r="AGN255" s="486"/>
      <c r="AGO255" s="486"/>
      <c r="AGP255" s="486"/>
      <c r="AGQ255" s="486"/>
      <c r="AGR255" s="486"/>
      <c r="AGS255" s="486"/>
      <c r="AGT255" s="486"/>
      <c r="AGU255" s="486"/>
      <c r="AGV255" s="486"/>
      <c r="AGW255" s="486"/>
      <c r="AGX255" s="486"/>
      <c r="AGY255" s="486"/>
      <c r="AGZ255" s="486"/>
      <c r="AHA255" s="486"/>
      <c r="AHB255" s="486"/>
      <c r="AHC255" s="486"/>
      <c r="AHD255" s="486"/>
      <c r="AHE255" s="486"/>
      <c r="AHF255" s="486"/>
      <c r="AHG255" s="486"/>
      <c r="AHH255" s="486"/>
      <c r="AHI255" s="486"/>
      <c r="AHJ255" s="486"/>
      <c r="AHK255" s="486"/>
      <c r="AHL255" s="486"/>
      <c r="AHM255" s="486"/>
      <c r="AHN255" s="486"/>
      <c r="AHO255" s="486"/>
      <c r="AHP255" s="486"/>
      <c r="AHQ255" s="486"/>
      <c r="AHR255" s="486"/>
      <c r="AHS255" s="486"/>
      <c r="AHT255" s="486"/>
      <c r="AHU255" s="486"/>
      <c r="AHV255" s="486"/>
      <c r="AHW255" s="486"/>
      <c r="AHX255" s="486"/>
      <c r="AHY255" s="486"/>
      <c r="AHZ255" s="486"/>
      <c r="AIA255" s="486"/>
      <c r="AIB255" s="486"/>
      <c r="AIC255" s="486"/>
      <c r="AID255" s="486"/>
      <c r="AIE255" s="486"/>
      <c r="AIF255" s="486"/>
      <c r="AIG255" s="486"/>
      <c r="AIH255" s="486"/>
      <c r="AII255" s="486"/>
      <c r="AIJ255" s="486"/>
      <c r="AIK255" s="486"/>
      <c r="AIL255" s="486"/>
      <c r="AIM255" s="486"/>
      <c r="AIN255" s="486"/>
      <c r="AIO255" s="486"/>
      <c r="AIP255" s="486"/>
      <c r="AIQ255" s="486"/>
      <c r="AIR255" s="486"/>
      <c r="AIS255" s="486"/>
      <c r="AIT255" s="486"/>
      <c r="AIU255" s="486"/>
      <c r="AIV255" s="486"/>
      <c r="AIW255" s="486"/>
      <c r="AIX255" s="486"/>
      <c r="AIY255" s="486"/>
      <c r="AIZ255" s="486"/>
      <c r="AJA255" s="486"/>
      <c r="AJB255" s="486"/>
      <c r="AJC255" s="486"/>
      <c r="AJD255" s="486"/>
      <c r="AJE255" s="486"/>
      <c r="AJF255" s="486"/>
      <c r="AJG255" s="486"/>
      <c r="AJH255" s="486"/>
      <c r="AJI255" s="486"/>
      <c r="AJJ255" s="486"/>
      <c r="AJK255" s="486"/>
      <c r="AJL255" s="486"/>
      <c r="AJM255" s="486"/>
      <c r="AJN255" s="486"/>
      <c r="AJO255" s="486"/>
      <c r="AJP255" s="486"/>
      <c r="AJQ255" s="486"/>
      <c r="AJR255" s="486"/>
      <c r="AJS255" s="486"/>
      <c r="AJT255" s="486"/>
      <c r="AJU255" s="486"/>
      <c r="AJV255" s="486"/>
      <c r="AJW255" s="486"/>
      <c r="AJX255" s="486"/>
      <c r="AJY255" s="486"/>
      <c r="AJZ255" s="486"/>
      <c r="AKA255" s="486"/>
      <c r="AKB255" s="486"/>
      <c r="AKC255" s="486"/>
      <c r="AKD255" s="486"/>
      <c r="AKE255" s="486"/>
      <c r="AKF255" s="486"/>
      <c r="AKG255" s="486"/>
      <c r="AKH255" s="486"/>
      <c r="AKI255" s="486"/>
      <c r="AKJ255" s="486"/>
      <c r="AKK255" s="486"/>
      <c r="AKL255" s="486"/>
      <c r="AKM255" s="486"/>
      <c r="AKN255" s="486"/>
      <c r="AKO255" s="486"/>
      <c r="AKP255" s="486"/>
      <c r="AKQ255" s="486"/>
      <c r="AKR255" s="486"/>
      <c r="AKS255" s="486"/>
      <c r="AKT255" s="486"/>
      <c r="AKU255" s="486"/>
      <c r="AKV255" s="486"/>
      <c r="AKW255" s="486"/>
      <c r="AKX255" s="486"/>
      <c r="AKY255" s="486"/>
      <c r="AKZ255" s="486"/>
      <c r="ALA255" s="486"/>
      <c r="ALB255" s="486"/>
      <c r="ALC255" s="486"/>
      <c r="ALD255" s="486"/>
      <c r="ALE255" s="486"/>
      <c r="ALF255" s="486"/>
      <c r="ALG255" s="486"/>
      <c r="ALH255" s="486"/>
      <c r="ALI255" s="486"/>
      <c r="ALJ255" s="486"/>
      <c r="ALK255" s="486"/>
      <c r="ALL255" s="486"/>
      <c r="ALM255" s="486"/>
      <c r="ALN255" s="486"/>
      <c r="ALO255" s="486"/>
      <c r="ALP255" s="486"/>
      <c r="ALQ255" s="486"/>
      <c r="ALR255" s="486"/>
      <c r="ALS255" s="486"/>
      <c r="ALT255" s="486"/>
      <c r="ALU255" s="486"/>
      <c r="ALV255" s="486"/>
      <c r="ALW255" s="486"/>
      <c r="ALX255" s="486"/>
      <c r="ALY255" s="486"/>
      <c r="ALZ255" s="486"/>
      <c r="AMA255" s="486"/>
      <c r="AMB255" s="486"/>
      <c r="AMC255" s="486"/>
      <c r="AMD255" s="486"/>
      <c r="AME255" s="486"/>
      <c r="AMF255" s="486"/>
      <c r="AMG255" s="486"/>
      <c r="AMH255" s="486"/>
      <c r="AMI255" s="486"/>
      <c r="AMJ255" s="486"/>
      <c r="AMK255" s="486"/>
      <c r="AML255" s="486"/>
      <c r="AMM255" s="486"/>
      <c r="AMN255" s="486"/>
      <c r="AMO255" s="486"/>
      <c r="AMP255" s="486"/>
      <c r="AMQ255" s="486"/>
      <c r="AMR255" s="486"/>
      <c r="AMS255" s="486"/>
      <c r="AMT255" s="486"/>
      <c r="AMU255" s="486"/>
      <c r="AMV255" s="486"/>
      <c r="AMW255" s="486"/>
      <c r="AMX255" s="486"/>
      <c r="AMY255" s="486"/>
      <c r="AMZ255" s="486"/>
      <c r="ANA255" s="486"/>
      <c r="ANB255" s="486"/>
      <c r="ANC255" s="486"/>
      <c r="AND255" s="486"/>
      <c r="ANE255" s="486"/>
      <c r="ANF255" s="486"/>
      <c r="ANG255" s="486"/>
      <c r="ANH255" s="486"/>
      <c r="ANI255" s="486"/>
      <c r="ANJ255" s="486"/>
      <c r="ANK255" s="486"/>
      <c r="ANL255" s="486"/>
      <c r="ANM255" s="486"/>
      <c r="ANN255" s="486"/>
      <c r="ANO255" s="486"/>
      <c r="ANP255" s="486"/>
      <c r="ANQ255" s="486"/>
      <c r="ANR255" s="486"/>
      <c r="ANS255" s="486"/>
      <c r="ANT255" s="486"/>
      <c r="ANU255" s="486"/>
      <c r="ANV255" s="486"/>
      <c r="ANW255" s="486"/>
      <c r="ANX255" s="486"/>
      <c r="ANY255" s="486"/>
      <c r="ANZ255" s="486"/>
      <c r="AOA255" s="486"/>
      <c r="AOB255" s="486"/>
      <c r="AOC255" s="486"/>
      <c r="AOD255" s="486"/>
      <c r="AOE255" s="486"/>
      <c r="AOF255" s="486"/>
      <c r="AOG255" s="486"/>
      <c r="AOH255" s="486"/>
      <c r="AOI255" s="486"/>
      <c r="AOJ255" s="486"/>
      <c r="AOK255" s="486"/>
      <c r="AOL255" s="486"/>
      <c r="AOM255" s="486"/>
      <c r="AON255" s="486"/>
      <c r="AOO255" s="486"/>
      <c r="AOP255" s="486"/>
      <c r="AOQ255" s="486"/>
      <c r="AOR255" s="486"/>
      <c r="AOS255" s="486"/>
      <c r="AOT255" s="486"/>
      <c r="AOU255" s="486"/>
      <c r="AOV255" s="486"/>
      <c r="AOW255" s="486"/>
      <c r="AOX255" s="486"/>
      <c r="AOY255" s="486"/>
      <c r="AOZ255" s="486"/>
      <c r="APA255" s="486"/>
      <c r="APB255" s="486"/>
      <c r="APC255" s="486"/>
      <c r="APD255" s="486"/>
      <c r="APE255" s="486"/>
      <c r="APF255" s="486"/>
      <c r="APG255" s="486"/>
      <c r="APH255" s="486"/>
      <c r="API255" s="486"/>
      <c r="APJ255" s="486"/>
      <c r="APK255" s="486"/>
      <c r="APL255" s="486"/>
      <c r="APM255" s="486"/>
      <c r="APN255" s="486"/>
      <c r="APO255" s="486"/>
      <c r="APP255" s="486"/>
      <c r="APQ255" s="486"/>
      <c r="APR255" s="486"/>
      <c r="APS255" s="486"/>
      <c r="APT255" s="486"/>
      <c r="APU255" s="486"/>
      <c r="APV255" s="486"/>
      <c r="APW255" s="486"/>
      <c r="APX255" s="486"/>
      <c r="APY255" s="486"/>
      <c r="APZ255" s="486"/>
      <c r="AQA255" s="486"/>
      <c r="AQB255" s="486"/>
      <c r="AQC255" s="486"/>
      <c r="AQD255" s="486"/>
      <c r="AQE255" s="486"/>
      <c r="AQF255" s="486"/>
      <c r="AQG255" s="486"/>
      <c r="AQH255" s="486"/>
      <c r="AQI255" s="486"/>
      <c r="AQJ255" s="486"/>
      <c r="AQK255" s="486"/>
      <c r="AQL255" s="486"/>
      <c r="AQM255" s="486"/>
      <c r="AQN255" s="486"/>
      <c r="AQO255" s="486"/>
      <c r="AQP255" s="486"/>
      <c r="AQQ255" s="486"/>
      <c r="AQR255" s="486"/>
      <c r="AQS255" s="486"/>
      <c r="AQT255" s="486"/>
      <c r="AQU255" s="486"/>
      <c r="AQV255" s="486"/>
      <c r="AQW255" s="486"/>
      <c r="AQX255" s="486"/>
      <c r="AQY255" s="486"/>
      <c r="AQZ255" s="486"/>
      <c r="ARA255" s="486"/>
      <c r="ARB255" s="486"/>
      <c r="ARC255" s="486"/>
      <c r="ARD255" s="486"/>
      <c r="ARE255" s="486"/>
      <c r="ARF255" s="486"/>
      <c r="ARG255" s="486"/>
      <c r="ARH255" s="486"/>
      <c r="ARI255" s="486"/>
      <c r="ARJ255" s="486"/>
      <c r="ARK255" s="486"/>
      <c r="ARL255" s="486"/>
      <c r="ARM255" s="486"/>
      <c r="ARN255" s="486"/>
      <c r="ARO255" s="486"/>
      <c r="ARP255" s="486"/>
      <c r="ARQ255" s="486"/>
      <c r="ARR255" s="486"/>
      <c r="ARS255" s="486"/>
      <c r="ART255" s="486"/>
      <c r="ARU255" s="486"/>
      <c r="ARV255" s="486"/>
      <c r="ARW255" s="486"/>
      <c r="ARX255" s="486"/>
      <c r="ARY255" s="486"/>
      <c r="ARZ255" s="486"/>
      <c r="ASA255" s="486"/>
      <c r="ASB255" s="486"/>
      <c r="ASC255" s="486"/>
      <c r="ASD255" s="486"/>
      <c r="ASE255" s="486"/>
      <c r="ASF255" s="486"/>
      <c r="ASG255" s="486"/>
      <c r="ASH255" s="486"/>
      <c r="ASI255" s="486"/>
      <c r="ASJ255" s="486"/>
      <c r="ASK255" s="486"/>
      <c r="ASL255" s="486"/>
      <c r="ASM255" s="486"/>
      <c r="ASN255" s="486"/>
      <c r="ASO255" s="486"/>
      <c r="ASP255" s="486"/>
      <c r="ASQ255" s="486"/>
      <c r="ASR255" s="486"/>
      <c r="ASS255" s="486"/>
      <c r="AST255" s="486"/>
      <c r="ASU255" s="486"/>
      <c r="ASV255" s="486"/>
      <c r="ASW255" s="486"/>
      <c r="ASX255" s="486"/>
      <c r="ASY255" s="486"/>
      <c r="ASZ255" s="486"/>
      <c r="ATA255" s="486"/>
      <c r="ATB255" s="486"/>
      <c r="ATC255" s="486"/>
      <c r="ATD255" s="486"/>
      <c r="ATE255" s="486"/>
      <c r="ATF255" s="486"/>
      <c r="ATG255" s="486"/>
      <c r="ATH255" s="486"/>
      <c r="ATI255" s="486"/>
      <c r="ATJ255" s="486"/>
      <c r="ATK255" s="486"/>
      <c r="ATL255" s="486"/>
      <c r="ATM255" s="486"/>
      <c r="ATN255" s="486"/>
      <c r="ATO255" s="486"/>
      <c r="ATP255" s="486"/>
      <c r="ATQ255" s="486"/>
      <c r="ATR255" s="486"/>
      <c r="ATS255" s="486"/>
      <c r="ATT255" s="486"/>
      <c r="ATU255" s="486"/>
      <c r="ATV255" s="486"/>
      <c r="ATW255" s="486"/>
      <c r="ATX255" s="486"/>
      <c r="ATY255" s="486"/>
      <c r="ATZ255" s="486"/>
      <c r="AUA255" s="486"/>
      <c r="AUB255" s="486"/>
      <c r="AUC255" s="486"/>
      <c r="AUD255" s="486"/>
      <c r="AUE255" s="486"/>
      <c r="AUF255" s="486"/>
      <c r="AUG255" s="486"/>
      <c r="AUH255" s="486"/>
      <c r="AUI255" s="486"/>
      <c r="AUJ255" s="486"/>
      <c r="AUK255" s="486"/>
      <c r="AUL255" s="486"/>
      <c r="AUM255" s="486"/>
      <c r="AUN255" s="486"/>
      <c r="AUO255" s="486"/>
      <c r="AUP255" s="486"/>
      <c r="AUQ255" s="486"/>
      <c r="AUR255" s="486"/>
      <c r="AUS255" s="486"/>
      <c r="AUT255" s="486"/>
      <c r="AUU255" s="486"/>
      <c r="AUV255" s="486"/>
      <c r="AUW255" s="486"/>
      <c r="AUX255" s="486"/>
      <c r="AUY255" s="486"/>
      <c r="AUZ255" s="486"/>
      <c r="AVA255" s="486"/>
      <c r="AVB255" s="486"/>
      <c r="AVC255" s="486"/>
      <c r="AVD255" s="486"/>
      <c r="AVE255" s="486"/>
      <c r="AVF255" s="486"/>
      <c r="AVG255" s="486"/>
      <c r="AVH255" s="486"/>
      <c r="AVI255" s="486"/>
      <c r="AVJ255" s="486"/>
      <c r="AVK255" s="486"/>
      <c r="AVL255" s="486"/>
      <c r="AVM255" s="486"/>
      <c r="AVN255" s="486"/>
      <c r="AVO255" s="486"/>
      <c r="AVP255" s="486"/>
      <c r="AVQ255" s="486"/>
      <c r="AVR255" s="486"/>
      <c r="AVS255" s="486"/>
      <c r="AVT255" s="486"/>
      <c r="AVU255" s="486"/>
      <c r="AVV255" s="486"/>
      <c r="AVW255" s="486"/>
      <c r="AVX255" s="486"/>
      <c r="AVY255" s="486"/>
      <c r="AVZ255" s="486"/>
      <c r="AWA255" s="486"/>
      <c r="AWB255" s="486"/>
      <c r="AWC255" s="486"/>
      <c r="AWD255" s="486"/>
      <c r="AWE255" s="486"/>
      <c r="AWF255" s="486"/>
      <c r="AWG255" s="486"/>
      <c r="AWH255" s="486"/>
      <c r="AWI255" s="486"/>
      <c r="AWJ255" s="486"/>
      <c r="AWK255" s="486"/>
      <c r="AWL255" s="486"/>
      <c r="AWM255" s="486"/>
      <c r="AWN255" s="486"/>
      <c r="AWO255" s="486"/>
      <c r="AWP255" s="486"/>
      <c r="AWQ255" s="486"/>
      <c r="AWR255" s="486"/>
      <c r="AWS255" s="486"/>
      <c r="AWT255" s="486"/>
      <c r="AWU255" s="486"/>
      <c r="AWV255" s="486"/>
      <c r="AWW255" s="486"/>
      <c r="AWX255" s="486"/>
      <c r="AWY255" s="486"/>
      <c r="AWZ255" s="486"/>
      <c r="AXA255" s="486"/>
      <c r="AXB255" s="486"/>
      <c r="AXC255" s="486"/>
      <c r="AXD255" s="486"/>
      <c r="AXE255" s="486"/>
      <c r="AXF255" s="486"/>
      <c r="AXG255" s="486"/>
      <c r="AXH255" s="486"/>
      <c r="AXI255" s="486"/>
      <c r="AXJ255" s="486"/>
      <c r="AXK255" s="486"/>
      <c r="AXL255" s="486"/>
      <c r="AXM255" s="486"/>
      <c r="AXN255" s="486"/>
      <c r="AXO255" s="486"/>
      <c r="AXP255" s="486"/>
      <c r="AXQ255" s="486"/>
      <c r="AXR255" s="486"/>
      <c r="AXS255" s="486"/>
      <c r="AXT255" s="486"/>
      <c r="AXU255" s="486"/>
      <c r="AXV255" s="486"/>
      <c r="AXW255" s="486"/>
      <c r="AXX255" s="486"/>
      <c r="AXY255" s="486"/>
      <c r="AXZ255" s="486"/>
      <c r="AYA255" s="486"/>
      <c r="AYB255" s="486"/>
      <c r="AYC255" s="486"/>
      <c r="AYD255" s="486"/>
      <c r="AYE255" s="486"/>
      <c r="AYF255" s="486"/>
      <c r="AYG255" s="486"/>
      <c r="AYH255" s="486"/>
      <c r="AYI255" s="486"/>
      <c r="AYJ255" s="486"/>
      <c r="AYK255" s="486"/>
      <c r="AYL255" s="486"/>
      <c r="AYM255" s="486"/>
      <c r="AYN255" s="486"/>
      <c r="AYO255" s="486"/>
      <c r="AYP255" s="486"/>
      <c r="AYQ255" s="486"/>
      <c r="AYR255" s="486"/>
      <c r="AYS255" s="486"/>
      <c r="AYT255" s="486"/>
      <c r="AYU255" s="486"/>
      <c r="AYV255" s="486"/>
      <c r="AYW255" s="486"/>
      <c r="AYX255" s="486"/>
      <c r="AYY255" s="486"/>
      <c r="AYZ255" s="486"/>
      <c r="AZA255" s="486"/>
      <c r="AZB255" s="486"/>
      <c r="AZC255" s="486"/>
      <c r="AZD255" s="486"/>
      <c r="AZE255" s="486"/>
      <c r="AZF255" s="486"/>
      <c r="AZG255" s="486"/>
      <c r="AZH255" s="486"/>
      <c r="AZI255" s="486"/>
      <c r="AZJ255" s="486"/>
      <c r="AZK255" s="486"/>
      <c r="AZL255" s="486"/>
      <c r="AZM255" s="486"/>
      <c r="AZN255" s="486"/>
      <c r="AZO255" s="486"/>
      <c r="AZP255" s="486"/>
      <c r="AZQ255" s="486"/>
      <c r="AZR255" s="486"/>
      <c r="AZS255" s="486"/>
      <c r="AZT255" s="486"/>
      <c r="AZU255" s="486"/>
      <c r="AZV255" s="486"/>
      <c r="AZW255" s="486"/>
      <c r="AZX255" s="486"/>
      <c r="AZY255" s="486"/>
      <c r="AZZ255" s="486"/>
      <c r="BAA255" s="486"/>
      <c r="BAB255" s="486"/>
      <c r="BAC255" s="486"/>
      <c r="BAD255" s="486"/>
      <c r="BAE255" s="486"/>
      <c r="BAF255" s="486"/>
      <c r="BAG255" s="486"/>
      <c r="BAH255" s="486"/>
      <c r="BAI255" s="486"/>
      <c r="BAJ255" s="486"/>
      <c r="BAK255" s="486"/>
      <c r="BAL255" s="486"/>
      <c r="BAM255" s="486"/>
      <c r="BAN255" s="486"/>
      <c r="BAO255" s="486"/>
      <c r="BAP255" s="486"/>
      <c r="BAQ255" s="486"/>
      <c r="BAR255" s="486"/>
      <c r="BAS255" s="486"/>
      <c r="BAT255" s="486"/>
      <c r="BAU255" s="486"/>
      <c r="BAV255" s="486"/>
      <c r="BAW255" s="486"/>
      <c r="BAX255" s="486"/>
      <c r="BAY255" s="486"/>
      <c r="BAZ255" s="486"/>
      <c r="BBA255" s="486"/>
      <c r="BBB255" s="486"/>
      <c r="BBC255" s="486"/>
      <c r="BBD255" s="486"/>
      <c r="BBE255" s="486"/>
      <c r="BBF255" s="486"/>
      <c r="BBG255" s="486"/>
      <c r="BBH255" s="486"/>
      <c r="BBI255" s="486"/>
      <c r="BBJ255" s="486"/>
      <c r="BBK255" s="486"/>
      <c r="BBL255" s="486"/>
      <c r="BBM255" s="486"/>
      <c r="BBN255" s="486"/>
      <c r="BBO255" s="486"/>
      <c r="BBP255" s="486"/>
      <c r="BBQ255" s="486"/>
      <c r="BBR255" s="486"/>
      <c r="BBS255" s="486"/>
      <c r="BBT255" s="486"/>
      <c r="BBU255" s="486"/>
      <c r="BBV255" s="486"/>
      <c r="BBW255" s="486"/>
      <c r="BBX255" s="486"/>
      <c r="BBY255" s="486"/>
      <c r="BBZ255" s="486"/>
      <c r="BCA255" s="486"/>
      <c r="BCB255" s="486"/>
      <c r="BCC255" s="486"/>
      <c r="BCD255" s="486"/>
      <c r="BCE255" s="486"/>
      <c r="BCF255" s="486"/>
      <c r="BCG255" s="486"/>
      <c r="BCH255" s="486"/>
      <c r="BCI255" s="486"/>
      <c r="BCJ255" s="486"/>
      <c r="BCK255" s="486"/>
      <c r="BCL255" s="486"/>
      <c r="BCM255" s="486"/>
      <c r="BCN255" s="486"/>
      <c r="BCO255" s="486"/>
      <c r="BCP255" s="486"/>
      <c r="BCQ255" s="486"/>
      <c r="BCR255" s="486"/>
      <c r="BCS255" s="486"/>
      <c r="BCT255" s="486"/>
      <c r="BCU255" s="486"/>
      <c r="BCV255" s="486"/>
      <c r="BCW255" s="486"/>
      <c r="BCX255" s="486"/>
      <c r="BCY255" s="486"/>
      <c r="BCZ255" s="486"/>
      <c r="BDA255" s="486"/>
      <c r="BDB255" s="486"/>
      <c r="BDC255" s="486"/>
      <c r="BDD255" s="486"/>
      <c r="BDE255" s="486"/>
      <c r="BDF255" s="486"/>
      <c r="BDG255" s="486"/>
      <c r="BDH255" s="486"/>
      <c r="BDI255" s="486"/>
      <c r="BDJ255" s="486"/>
      <c r="BDK255" s="486"/>
      <c r="BDL255" s="486"/>
      <c r="BDM255" s="486"/>
      <c r="BDN255" s="486"/>
      <c r="BDO255" s="486"/>
      <c r="BDP255" s="486"/>
      <c r="BDQ255" s="486"/>
      <c r="BDR255" s="486"/>
      <c r="BDS255" s="486"/>
      <c r="BDT255" s="486"/>
      <c r="BDU255" s="486"/>
      <c r="BDV255" s="486"/>
      <c r="BDW255" s="486"/>
      <c r="BDX255" s="486"/>
      <c r="BDY255" s="486"/>
      <c r="BDZ255" s="486"/>
      <c r="BEA255" s="486"/>
      <c r="BEB255" s="486"/>
      <c r="BEC255" s="486"/>
      <c r="BED255" s="486"/>
      <c r="BEE255" s="486"/>
      <c r="BEF255" s="486"/>
      <c r="BEG255" s="486"/>
      <c r="BEH255" s="486"/>
      <c r="BEI255" s="486"/>
      <c r="BEJ255" s="486"/>
      <c r="BEK255" s="486"/>
      <c r="BEL255" s="486"/>
      <c r="BEM255" s="486"/>
      <c r="BEN255" s="486"/>
      <c r="BEO255" s="486"/>
      <c r="BEP255" s="486"/>
      <c r="BEQ255" s="486"/>
      <c r="BER255" s="486"/>
      <c r="BES255" s="486"/>
      <c r="BET255" s="486"/>
      <c r="BEU255" s="486"/>
      <c r="BEV255" s="486"/>
      <c r="BEW255" s="486"/>
      <c r="BEX255" s="486"/>
      <c r="BEY255" s="486"/>
      <c r="BEZ255" s="486"/>
      <c r="BFA255" s="486"/>
      <c r="BFB255" s="486"/>
      <c r="BFC255" s="486"/>
      <c r="BFD255" s="486"/>
      <c r="BFE255" s="486"/>
      <c r="BFF255" s="486"/>
      <c r="BFG255" s="486"/>
      <c r="BFH255" s="486"/>
      <c r="BFI255" s="486"/>
      <c r="BFJ255" s="486"/>
      <c r="BFK255" s="486"/>
      <c r="BFL255" s="486"/>
      <c r="BFM255" s="486"/>
      <c r="BFN255" s="486"/>
      <c r="BFO255" s="486"/>
      <c r="BFP255" s="486"/>
      <c r="BFQ255" s="486"/>
      <c r="BFR255" s="486"/>
      <c r="BFS255" s="486"/>
      <c r="BFT255" s="486"/>
      <c r="BFU255" s="486"/>
      <c r="BFV255" s="486"/>
      <c r="BFW255" s="486"/>
      <c r="BFX255" s="486"/>
      <c r="BFY255" s="486"/>
      <c r="BFZ255" s="486"/>
      <c r="BGA255" s="486"/>
      <c r="BGB255" s="486"/>
      <c r="BGC255" s="486"/>
      <c r="BGD255" s="486"/>
      <c r="BGE255" s="486"/>
      <c r="BGF255" s="486"/>
      <c r="BGG255" s="486"/>
      <c r="BGH255" s="486"/>
      <c r="BGI255" s="486"/>
      <c r="BGJ255" s="486"/>
      <c r="BGK255" s="486"/>
      <c r="BGL255" s="486"/>
      <c r="BGM255" s="486"/>
      <c r="BGN255" s="486"/>
      <c r="BGO255" s="486"/>
      <c r="BGP255" s="486"/>
      <c r="BGQ255" s="486"/>
      <c r="BGR255" s="486"/>
      <c r="BGS255" s="486"/>
      <c r="BGT255" s="486"/>
      <c r="BGU255" s="486"/>
      <c r="BGV255" s="486"/>
      <c r="BGW255" s="486"/>
      <c r="BGX255" s="486"/>
      <c r="BGY255" s="486"/>
      <c r="BGZ255" s="486"/>
      <c r="BHA255" s="486"/>
      <c r="BHB255" s="486"/>
      <c r="BHC255" s="486"/>
      <c r="BHD255" s="486"/>
      <c r="BHE255" s="486"/>
      <c r="BHF255" s="486"/>
      <c r="BHG255" s="486"/>
      <c r="BHH255" s="486"/>
      <c r="BHI255" s="486"/>
      <c r="BHJ255" s="486"/>
      <c r="BHK255" s="486"/>
      <c r="BHL255" s="486"/>
      <c r="BHM255" s="486"/>
      <c r="BHN255" s="486"/>
      <c r="BHO255" s="486"/>
      <c r="BHP255" s="486"/>
      <c r="BHQ255" s="486"/>
      <c r="BHR255" s="486"/>
      <c r="BHS255" s="486"/>
      <c r="BHT255" s="486"/>
      <c r="BHU255" s="486"/>
      <c r="BHV255" s="486"/>
      <c r="BHW255" s="486"/>
      <c r="BHX255" s="486"/>
      <c r="BHY255" s="486"/>
      <c r="BHZ255" s="486"/>
      <c r="BIA255" s="486"/>
      <c r="BIB255" s="486"/>
      <c r="BIC255" s="486"/>
      <c r="BID255" s="486"/>
      <c r="BIE255" s="486"/>
      <c r="BIF255" s="486"/>
      <c r="BIG255" s="486"/>
      <c r="BIH255" s="486"/>
      <c r="BII255" s="486"/>
      <c r="BIJ255" s="486"/>
      <c r="BIK255" s="486"/>
      <c r="BIL255" s="486"/>
      <c r="BIM255" s="486"/>
      <c r="BIN255" s="486"/>
      <c r="BIO255" s="486"/>
      <c r="BIP255" s="486"/>
      <c r="BIQ255" s="486"/>
      <c r="BIR255" s="486"/>
      <c r="BIS255" s="486"/>
      <c r="BIT255" s="486"/>
      <c r="BIU255" s="486"/>
      <c r="BIV255" s="486"/>
      <c r="BIW255" s="486"/>
      <c r="BIX255" s="486"/>
      <c r="BIY255" s="486"/>
      <c r="BIZ255" s="486"/>
      <c r="BJA255" s="486"/>
      <c r="BJB255" s="486"/>
      <c r="BJC255" s="486"/>
      <c r="BJD255" s="486"/>
      <c r="BJE255" s="486"/>
      <c r="BJF255" s="486"/>
      <c r="BJG255" s="486"/>
      <c r="BJH255" s="486"/>
      <c r="BJI255" s="486"/>
      <c r="BJJ255" s="486"/>
      <c r="BJK255" s="486"/>
      <c r="BJL255" s="486"/>
      <c r="BJM255" s="486"/>
      <c r="BJN255" s="486"/>
      <c r="BJO255" s="486"/>
      <c r="BJP255" s="486"/>
      <c r="BJQ255" s="486"/>
      <c r="BJR255" s="486"/>
      <c r="BJS255" s="486"/>
      <c r="BJT255" s="486"/>
      <c r="BJU255" s="486"/>
      <c r="BJV255" s="486"/>
      <c r="BJW255" s="486"/>
      <c r="BJX255" s="486"/>
      <c r="BJY255" s="486"/>
      <c r="BJZ255" s="486"/>
      <c r="BKA255" s="486"/>
      <c r="BKB255" s="486"/>
      <c r="BKC255" s="486"/>
      <c r="BKD255" s="486"/>
      <c r="BKE255" s="486"/>
      <c r="BKF255" s="486"/>
      <c r="BKG255" s="486"/>
      <c r="BKH255" s="486"/>
      <c r="BKI255" s="486"/>
      <c r="BKJ255" s="486"/>
      <c r="BKK255" s="486"/>
      <c r="BKL255" s="486"/>
      <c r="BKM255" s="486"/>
      <c r="BKN255" s="486"/>
      <c r="BKO255" s="486"/>
      <c r="BKP255" s="486"/>
      <c r="BKQ255" s="486"/>
      <c r="BKR255" s="486"/>
      <c r="BKS255" s="486"/>
      <c r="BKT255" s="486"/>
      <c r="BKU255" s="486"/>
      <c r="BKV255" s="486"/>
      <c r="BKW255" s="486"/>
      <c r="BKX255" s="486"/>
      <c r="BKY255" s="486"/>
      <c r="BKZ255" s="486"/>
      <c r="BLA255" s="486"/>
      <c r="BLB255" s="486"/>
      <c r="BLC255" s="486"/>
      <c r="BLD255" s="486"/>
      <c r="BLE255" s="486"/>
      <c r="BLF255" s="486"/>
      <c r="BLG255" s="486"/>
      <c r="BLH255" s="486"/>
      <c r="BLI255" s="486"/>
      <c r="BLJ255" s="486"/>
      <c r="BLK255" s="486"/>
      <c r="BLL255" s="486"/>
      <c r="BLM255" s="486"/>
      <c r="BLN255" s="486"/>
      <c r="BLO255" s="486"/>
      <c r="BLP255" s="486"/>
      <c r="BLQ255" s="486"/>
      <c r="BLR255" s="486"/>
      <c r="BLS255" s="486"/>
      <c r="BLT255" s="486"/>
      <c r="BLU255" s="486"/>
      <c r="BLV255" s="486"/>
      <c r="BLW255" s="486"/>
      <c r="BLX255" s="486"/>
      <c r="BLY255" s="486"/>
      <c r="BLZ255" s="486"/>
      <c r="BMA255" s="486"/>
      <c r="BMB255" s="486"/>
      <c r="BMC255" s="486"/>
      <c r="BMD255" s="486"/>
      <c r="BME255" s="486"/>
      <c r="BMF255" s="486"/>
      <c r="BMG255" s="486"/>
      <c r="BMH255" s="486"/>
      <c r="BMI255" s="486"/>
      <c r="BMJ255" s="486"/>
      <c r="BMK255" s="486"/>
      <c r="BML255" s="486"/>
      <c r="BMM255" s="486"/>
      <c r="BMN255" s="486"/>
      <c r="BMO255" s="486"/>
      <c r="BMP255" s="486"/>
      <c r="BMQ255" s="486"/>
      <c r="BMR255" s="486"/>
      <c r="BMS255" s="486"/>
      <c r="BMT255" s="486"/>
      <c r="BMU255" s="486"/>
      <c r="BMV255" s="486"/>
      <c r="BMW255" s="486"/>
      <c r="BMX255" s="486"/>
      <c r="BMY255" s="486"/>
      <c r="BMZ255" s="486"/>
      <c r="BNA255" s="486"/>
      <c r="BNB255" s="486"/>
      <c r="BNC255" s="486"/>
      <c r="BND255" s="486"/>
      <c r="BNE255" s="486"/>
      <c r="BNF255" s="486"/>
      <c r="BNG255" s="486"/>
      <c r="BNH255" s="486"/>
      <c r="BNI255" s="486"/>
      <c r="BNJ255" s="486"/>
      <c r="BNK255" s="486"/>
      <c r="BNL255" s="486"/>
      <c r="BNM255" s="486"/>
      <c r="BNN255" s="486"/>
      <c r="BNO255" s="486"/>
      <c r="BNP255" s="486"/>
      <c r="BNQ255" s="486"/>
      <c r="BNR255" s="486"/>
      <c r="BNS255" s="486"/>
      <c r="BNT255" s="486"/>
      <c r="BNU255" s="486"/>
      <c r="BNV255" s="486"/>
      <c r="BNW255" s="486"/>
      <c r="BNX255" s="486"/>
      <c r="BNY255" s="486"/>
      <c r="BNZ255" s="486"/>
      <c r="BOA255" s="486"/>
      <c r="BOB255" s="486"/>
      <c r="BOC255" s="486"/>
      <c r="BOD255" s="486"/>
      <c r="BOE255" s="486"/>
      <c r="BOF255" s="486"/>
      <c r="BOG255" s="486"/>
      <c r="BOH255" s="486"/>
      <c r="BOI255" s="486"/>
      <c r="BOJ255" s="486"/>
      <c r="BOK255" s="486"/>
      <c r="BOL255" s="486"/>
      <c r="BOM255" s="486"/>
      <c r="BON255" s="486"/>
      <c r="BOO255" s="486"/>
      <c r="BOP255" s="486"/>
      <c r="BOQ255" s="486"/>
      <c r="BOR255" s="486"/>
      <c r="BOS255" s="486"/>
      <c r="BOT255" s="486"/>
      <c r="BOU255" s="486"/>
      <c r="BOV255" s="486"/>
      <c r="BOW255" s="486"/>
      <c r="BOX255" s="486"/>
      <c r="BOY255" s="486"/>
      <c r="BOZ255" s="486"/>
      <c r="BPA255" s="486"/>
      <c r="BPB255" s="486"/>
      <c r="BPC255" s="486"/>
      <c r="BPD255" s="486"/>
      <c r="BPE255" s="486"/>
      <c r="BPF255" s="486"/>
      <c r="BPG255" s="486"/>
      <c r="BPH255" s="486"/>
      <c r="BPI255" s="486"/>
      <c r="BPJ255" s="486"/>
      <c r="BPK255" s="486"/>
      <c r="BPL255" s="486"/>
      <c r="BPM255" s="486"/>
      <c r="BPN255" s="486"/>
      <c r="BPO255" s="486"/>
      <c r="BPP255" s="486"/>
      <c r="BPQ255" s="486"/>
      <c r="BPR255" s="486"/>
      <c r="BPS255" s="486"/>
      <c r="BPT255" s="486"/>
      <c r="BPU255" s="486"/>
      <c r="BPV255" s="486"/>
      <c r="BPW255" s="486"/>
      <c r="BPX255" s="486"/>
      <c r="BPY255" s="486"/>
      <c r="BPZ255" s="486"/>
      <c r="BQA255" s="486"/>
      <c r="BQB255" s="486"/>
      <c r="BQC255" s="486"/>
      <c r="BQD255" s="486"/>
      <c r="BQE255" s="486"/>
      <c r="BQF255" s="486"/>
      <c r="BQG255" s="486"/>
      <c r="BQH255" s="486"/>
      <c r="BQI255" s="486"/>
      <c r="BQJ255" s="486"/>
      <c r="BQK255" s="486"/>
      <c r="BQL255" s="486"/>
      <c r="BQM255" s="486"/>
      <c r="BQN255" s="486"/>
      <c r="BQO255" s="486"/>
      <c r="BQP255" s="486"/>
      <c r="BQQ255" s="486"/>
      <c r="BQR255" s="486"/>
      <c r="BQS255" s="486"/>
      <c r="BQT255" s="486"/>
      <c r="BQU255" s="486"/>
      <c r="BQV255" s="486"/>
      <c r="BQW255" s="486"/>
      <c r="BQX255" s="486"/>
      <c r="BQY255" s="486"/>
      <c r="BQZ255" s="486"/>
      <c r="BRA255" s="486"/>
      <c r="BRB255" s="486"/>
      <c r="BRC255" s="486"/>
      <c r="BRD255" s="486"/>
      <c r="BRE255" s="486"/>
      <c r="BRF255" s="486"/>
      <c r="BRG255" s="486"/>
      <c r="BRH255" s="486"/>
      <c r="BRI255" s="486"/>
      <c r="BRJ255" s="486"/>
      <c r="BRK255" s="486"/>
      <c r="BRL255" s="486"/>
      <c r="BRM255" s="486"/>
      <c r="BRN255" s="486"/>
      <c r="BRO255" s="486"/>
      <c r="BRP255" s="486"/>
      <c r="BRQ255" s="486"/>
      <c r="BRR255" s="486"/>
      <c r="BRS255" s="486"/>
      <c r="BRT255" s="486"/>
      <c r="BRU255" s="486"/>
      <c r="BRV255" s="486"/>
      <c r="BRW255" s="486"/>
      <c r="BRX255" s="486"/>
      <c r="BRY255" s="486"/>
      <c r="BRZ255" s="486"/>
      <c r="BSA255" s="486"/>
      <c r="BSB255" s="486"/>
      <c r="BSC255" s="486"/>
      <c r="BSD255" s="486"/>
      <c r="BSE255" s="486"/>
      <c r="BSF255" s="486"/>
      <c r="BSG255" s="486"/>
      <c r="BSH255" s="486"/>
      <c r="BSI255" s="486"/>
      <c r="BSJ255" s="486"/>
      <c r="BSK255" s="486"/>
      <c r="BSL255" s="486"/>
      <c r="BSM255" s="486"/>
      <c r="BSN255" s="486"/>
      <c r="BSO255" s="486"/>
      <c r="BSP255" s="486"/>
      <c r="BSQ255" s="486"/>
      <c r="BSR255" s="486"/>
      <c r="BSS255" s="486"/>
      <c r="BST255" s="486"/>
      <c r="BSU255" s="486"/>
      <c r="BSV255" s="486"/>
      <c r="BSW255" s="486"/>
      <c r="BSX255" s="486"/>
      <c r="BSY255" s="486"/>
      <c r="BSZ255" s="486"/>
      <c r="BTA255" s="486"/>
      <c r="BTB255" s="486"/>
      <c r="BTC255" s="486"/>
      <c r="BTD255" s="486"/>
      <c r="BTE255" s="486"/>
      <c r="BTF255" s="486"/>
      <c r="BTG255" s="486"/>
      <c r="BTH255" s="486"/>
      <c r="BTI255" s="486"/>
    </row>
    <row r="256" spans="1:1881" s="485" customFormat="1" ht="15.75" thickBot="1" x14ac:dyDescent="0.3">
      <c r="A256" s="492"/>
      <c r="B256" s="720"/>
      <c r="C256" s="720"/>
      <c r="D256" s="721"/>
      <c r="E256" s="714"/>
      <c r="F256" s="580"/>
      <c r="G256" s="563"/>
      <c r="H256" s="487"/>
      <c r="I256" s="405"/>
      <c r="J256" s="486"/>
      <c r="K256" s="486"/>
      <c r="L256" s="486"/>
      <c r="M256" s="486"/>
      <c r="N256"/>
      <c r="O256" s="486"/>
      <c r="P256" s="486"/>
      <c r="Q256" s="486"/>
      <c r="R256" s="486"/>
      <c r="S256" s="486"/>
      <c r="T256" s="486"/>
      <c r="U256" s="486"/>
      <c r="V256" s="486"/>
      <c r="W256" s="486"/>
      <c r="X256" s="486"/>
      <c r="Y256" s="486"/>
      <c r="Z256" s="486"/>
      <c r="AA256" s="486"/>
      <c r="AB256" s="486"/>
      <c r="AC256" s="486"/>
      <c r="AD256" s="486"/>
      <c r="AE256" s="486"/>
      <c r="AF256" s="486"/>
      <c r="AG256" s="486"/>
      <c r="AH256" s="486"/>
      <c r="AI256" s="486"/>
      <c r="AJ256" s="486"/>
      <c r="AK256" s="486"/>
      <c r="AL256" s="486"/>
      <c r="AM256" s="486"/>
      <c r="AN256" s="486"/>
      <c r="AO256" s="486"/>
      <c r="AP256" s="486"/>
      <c r="AQ256" s="486"/>
      <c r="AR256" s="486"/>
      <c r="AS256" s="486"/>
      <c r="AT256" s="486"/>
      <c r="AU256" s="486"/>
      <c r="AV256" s="486"/>
      <c r="AW256" s="486"/>
      <c r="AX256" s="486"/>
      <c r="AY256" s="486"/>
      <c r="AZ256" s="486"/>
      <c r="BA256" s="486"/>
      <c r="BB256" s="486"/>
      <c r="BC256" s="486"/>
      <c r="BD256" s="486"/>
      <c r="BE256" s="486"/>
      <c r="BF256" s="486"/>
      <c r="BG256" s="486"/>
      <c r="BH256" s="486"/>
      <c r="BI256" s="486"/>
      <c r="BJ256" s="486"/>
      <c r="BK256" s="486"/>
      <c r="BL256" s="486"/>
      <c r="BM256" s="486"/>
      <c r="BN256" s="486"/>
      <c r="BO256" s="486"/>
      <c r="BP256" s="486"/>
      <c r="BQ256" s="486"/>
      <c r="BR256" s="486"/>
      <c r="BS256" s="486"/>
      <c r="BT256" s="486"/>
      <c r="BU256" s="486"/>
      <c r="BV256" s="486"/>
      <c r="BW256" s="486"/>
      <c r="BX256" s="486"/>
      <c r="BY256" s="486"/>
      <c r="BZ256" s="486"/>
      <c r="CA256" s="486"/>
      <c r="CB256" s="486"/>
      <c r="CC256" s="486"/>
      <c r="CD256" s="486"/>
      <c r="CE256" s="486"/>
      <c r="CF256" s="486"/>
      <c r="CG256" s="486"/>
      <c r="CH256" s="486"/>
      <c r="CI256" s="486"/>
      <c r="CJ256" s="486"/>
      <c r="CK256" s="486"/>
      <c r="CL256" s="486"/>
      <c r="CM256" s="486"/>
      <c r="CN256" s="486"/>
      <c r="CO256" s="486"/>
      <c r="CP256" s="486"/>
      <c r="CQ256" s="486"/>
      <c r="CR256" s="486"/>
      <c r="CS256" s="486"/>
      <c r="CT256" s="486"/>
      <c r="CU256" s="486"/>
      <c r="CV256" s="486"/>
      <c r="CW256" s="486"/>
      <c r="CX256" s="486"/>
      <c r="CY256" s="486"/>
      <c r="CZ256" s="486"/>
      <c r="DA256" s="486"/>
      <c r="DB256" s="486"/>
      <c r="DC256" s="486"/>
      <c r="DD256" s="486"/>
      <c r="DE256" s="486"/>
      <c r="DF256" s="486"/>
      <c r="DG256" s="486"/>
      <c r="DH256" s="486"/>
      <c r="DI256" s="486"/>
      <c r="DJ256" s="486"/>
      <c r="DK256" s="486"/>
      <c r="DL256" s="486"/>
      <c r="DM256" s="486"/>
      <c r="DN256" s="486"/>
      <c r="DO256" s="486"/>
      <c r="DP256" s="486"/>
      <c r="DQ256" s="486"/>
      <c r="DR256" s="486"/>
      <c r="DS256" s="486"/>
      <c r="DT256" s="486"/>
      <c r="DU256" s="486"/>
      <c r="DV256" s="486"/>
      <c r="DW256" s="486"/>
      <c r="DX256" s="486"/>
      <c r="DY256" s="486"/>
      <c r="DZ256" s="486"/>
      <c r="EA256" s="486"/>
      <c r="EB256" s="486"/>
      <c r="EC256" s="486"/>
      <c r="ED256" s="486"/>
      <c r="EE256" s="486"/>
      <c r="EF256" s="486"/>
      <c r="EG256" s="486"/>
      <c r="EH256" s="486"/>
      <c r="EI256" s="486"/>
      <c r="EJ256" s="486"/>
      <c r="EK256" s="486"/>
      <c r="EL256" s="486"/>
      <c r="EM256" s="486"/>
      <c r="EN256" s="486"/>
      <c r="EO256" s="486"/>
      <c r="EP256" s="486"/>
      <c r="EQ256" s="486"/>
      <c r="ER256" s="486"/>
      <c r="ES256" s="486"/>
      <c r="ET256" s="486"/>
      <c r="EU256" s="486"/>
      <c r="EV256" s="486"/>
      <c r="EW256" s="486"/>
      <c r="EX256" s="486"/>
      <c r="EY256" s="486"/>
      <c r="EZ256" s="486"/>
      <c r="FA256" s="486"/>
      <c r="FB256" s="486"/>
      <c r="FC256" s="486"/>
      <c r="FD256" s="486"/>
      <c r="FE256" s="486"/>
      <c r="FF256" s="486"/>
      <c r="FG256" s="486"/>
      <c r="FH256" s="486"/>
      <c r="FI256" s="486"/>
      <c r="FJ256" s="486"/>
      <c r="FK256" s="486"/>
      <c r="FL256" s="486"/>
      <c r="FM256" s="486"/>
      <c r="FN256" s="486"/>
      <c r="FO256" s="486"/>
      <c r="FP256" s="486"/>
      <c r="FQ256" s="486"/>
      <c r="FR256" s="486"/>
      <c r="FS256" s="486"/>
      <c r="FT256" s="486"/>
      <c r="FU256" s="486"/>
      <c r="FV256" s="486"/>
      <c r="FW256" s="486"/>
      <c r="FX256" s="486"/>
      <c r="FY256" s="486"/>
      <c r="FZ256" s="486"/>
      <c r="GA256" s="486"/>
      <c r="GB256" s="486"/>
      <c r="GC256" s="486"/>
      <c r="GD256" s="486"/>
      <c r="GE256" s="486"/>
      <c r="GF256" s="486"/>
      <c r="GG256" s="486"/>
      <c r="GH256" s="486"/>
      <c r="GI256" s="486"/>
      <c r="GJ256" s="486"/>
      <c r="GK256" s="486"/>
      <c r="GL256" s="486"/>
      <c r="GM256" s="486"/>
      <c r="GN256" s="486"/>
      <c r="GO256" s="486"/>
      <c r="GP256" s="486"/>
      <c r="GQ256" s="486"/>
      <c r="GR256" s="486"/>
      <c r="GS256" s="486"/>
      <c r="GT256" s="486"/>
      <c r="GU256" s="486"/>
      <c r="GV256" s="486"/>
      <c r="GW256" s="486"/>
      <c r="GX256" s="486"/>
      <c r="GY256" s="486"/>
      <c r="GZ256" s="486"/>
      <c r="HA256" s="486"/>
      <c r="HB256" s="486"/>
      <c r="HC256" s="486"/>
      <c r="HD256" s="486"/>
      <c r="HE256" s="486"/>
      <c r="HF256" s="486"/>
      <c r="HG256" s="486"/>
      <c r="HH256" s="486"/>
      <c r="HI256" s="486"/>
      <c r="HJ256" s="486"/>
      <c r="HK256" s="486"/>
      <c r="HL256" s="486"/>
      <c r="HM256" s="486"/>
      <c r="HN256" s="486"/>
      <c r="HO256" s="486"/>
      <c r="HP256" s="486"/>
      <c r="HQ256" s="486"/>
      <c r="HR256" s="486"/>
      <c r="HS256" s="486"/>
      <c r="HT256" s="486"/>
      <c r="HU256" s="486"/>
      <c r="HV256" s="486"/>
      <c r="HW256" s="486"/>
      <c r="HX256" s="486"/>
      <c r="HY256" s="486"/>
      <c r="HZ256" s="486"/>
      <c r="IA256" s="486"/>
      <c r="IB256" s="486"/>
      <c r="IC256" s="486"/>
      <c r="ID256" s="486"/>
      <c r="IE256" s="486"/>
      <c r="IF256" s="486"/>
      <c r="IG256" s="486"/>
      <c r="IH256" s="486"/>
      <c r="II256" s="486"/>
      <c r="IJ256" s="486"/>
      <c r="IK256" s="486"/>
      <c r="IL256" s="486"/>
      <c r="IM256" s="486"/>
      <c r="IN256" s="486"/>
      <c r="IO256" s="486"/>
      <c r="IP256" s="486"/>
      <c r="IQ256" s="486"/>
      <c r="IR256" s="486"/>
      <c r="IS256" s="486"/>
      <c r="IT256" s="486"/>
      <c r="IU256" s="486"/>
      <c r="IV256" s="486"/>
      <c r="IW256" s="486"/>
      <c r="IX256" s="486"/>
      <c r="IY256" s="486"/>
      <c r="IZ256" s="486"/>
      <c r="JA256" s="486"/>
      <c r="JB256" s="486"/>
      <c r="JC256" s="486"/>
      <c r="JD256" s="486"/>
      <c r="JE256" s="486"/>
      <c r="JF256" s="486"/>
      <c r="JG256" s="486"/>
      <c r="JH256" s="486"/>
      <c r="JI256" s="486"/>
      <c r="JJ256" s="486"/>
      <c r="JK256" s="486"/>
      <c r="JL256" s="486"/>
      <c r="JM256" s="486"/>
      <c r="JN256" s="486"/>
      <c r="JO256" s="486"/>
      <c r="JP256" s="486"/>
      <c r="JQ256" s="486"/>
      <c r="JR256" s="486"/>
      <c r="JS256" s="486"/>
      <c r="JT256" s="486"/>
      <c r="JU256" s="486"/>
      <c r="JV256" s="486"/>
      <c r="JW256" s="486"/>
      <c r="JX256" s="486"/>
      <c r="JY256" s="486"/>
      <c r="JZ256" s="486"/>
      <c r="KA256" s="486"/>
      <c r="KB256" s="486"/>
      <c r="KC256" s="486"/>
      <c r="KD256" s="486"/>
      <c r="KE256" s="486"/>
      <c r="KF256" s="486"/>
      <c r="KG256" s="486"/>
      <c r="KH256" s="486"/>
      <c r="KI256" s="486"/>
      <c r="KJ256" s="486"/>
      <c r="KK256" s="486"/>
      <c r="KL256" s="486"/>
      <c r="KM256" s="486"/>
      <c r="KN256" s="486"/>
      <c r="KO256" s="486"/>
      <c r="KP256" s="486"/>
      <c r="KQ256" s="486"/>
      <c r="KR256" s="486"/>
      <c r="KS256" s="486"/>
      <c r="KT256" s="486"/>
      <c r="KU256" s="486"/>
      <c r="KV256" s="486"/>
      <c r="KW256" s="486"/>
      <c r="KX256" s="486"/>
      <c r="KY256" s="486"/>
      <c r="KZ256" s="486"/>
      <c r="LA256" s="486"/>
      <c r="LB256" s="486"/>
      <c r="LC256" s="486"/>
      <c r="LD256" s="486"/>
      <c r="LE256" s="486"/>
      <c r="LF256" s="486"/>
      <c r="LG256" s="486"/>
      <c r="LH256" s="486"/>
      <c r="LI256" s="486"/>
      <c r="LJ256" s="486"/>
      <c r="LK256" s="486"/>
      <c r="LL256" s="486"/>
      <c r="LM256" s="486"/>
      <c r="LN256" s="486"/>
      <c r="LO256" s="486"/>
      <c r="LP256" s="486"/>
      <c r="LQ256" s="486"/>
      <c r="LR256" s="486"/>
      <c r="LS256" s="486"/>
      <c r="LT256" s="486"/>
      <c r="LU256" s="486"/>
      <c r="LV256" s="486"/>
      <c r="LW256" s="486"/>
      <c r="LX256" s="486"/>
      <c r="LY256" s="486"/>
      <c r="LZ256" s="486"/>
      <c r="MA256" s="486"/>
      <c r="MB256" s="486"/>
      <c r="MC256" s="486"/>
      <c r="MD256" s="486"/>
      <c r="ME256" s="486"/>
      <c r="MF256" s="486"/>
      <c r="MG256" s="486"/>
      <c r="MH256" s="486"/>
      <c r="MI256" s="486"/>
      <c r="MJ256" s="486"/>
      <c r="MK256" s="486"/>
      <c r="ML256" s="486"/>
      <c r="MM256" s="486"/>
      <c r="MN256" s="486"/>
      <c r="MO256" s="486"/>
      <c r="MP256" s="486"/>
      <c r="MQ256" s="486"/>
      <c r="MR256" s="486"/>
      <c r="MS256" s="486"/>
      <c r="MT256" s="486"/>
      <c r="MU256" s="486"/>
      <c r="MV256" s="486"/>
      <c r="MW256" s="486"/>
      <c r="MX256" s="486"/>
      <c r="MY256" s="486"/>
      <c r="MZ256" s="486"/>
      <c r="NA256" s="486"/>
      <c r="NB256" s="486"/>
      <c r="NC256" s="486"/>
      <c r="ND256" s="486"/>
      <c r="NE256" s="486"/>
      <c r="NF256" s="486"/>
      <c r="NG256" s="486"/>
      <c r="NH256" s="486"/>
      <c r="NI256" s="486"/>
      <c r="NJ256" s="486"/>
      <c r="NK256" s="486"/>
      <c r="NL256" s="486"/>
      <c r="NM256" s="486"/>
      <c r="NN256" s="486"/>
      <c r="NO256" s="486"/>
      <c r="NP256" s="486"/>
      <c r="NQ256" s="486"/>
      <c r="NR256" s="486"/>
      <c r="NS256" s="486"/>
      <c r="NT256" s="486"/>
      <c r="NU256" s="486"/>
      <c r="NV256" s="486"/>
      <c r="NW256" s="486"/>
      <c r="NX256" s="486"/>
      <c r="NY256" s="486"/>
      <c r="NZ256" s="486"/>
      <c r="OA256" s="486"/>
      <c r="OB256" s="486"/>
      <c r="OC256" s="486"/>
      <c r="OD256" s="486"/>
      <c r="OE256" s="486"/>
      <c r="OF256" s="486"/>
      <c r="OG256" s="486"/>
      <c r="OH256" s="486"/>
      <c r="OI256" s="486"/>
      <c r="OJ256" s="486"/>
      <c r="OK256" s="486"/>
      <c r="OL256" s="486"/>
      <c r="OM256" s="486"/>
      <c r="ON256" s="486"/>
      <c r="OO256" s="486"/>
      <c r="OP256" s="486"/>
      <c r="OQ256" s="486"/>
      <c r="OR256" s="486"/>
      <c r="OS256" s="486"/>
      <c r="OT256" s="486"/>
      <c r="OU256" s="486"/>
      <c r="OV256" s="486"/>
      <c r="OW256" s="486"/>
      <c r="OX256" s="486"/>
      <c r="OY256" s="486"/>
      <c r="OZ256" s="486"/>
      <c r="PA256" s="486"/>
      <c r="PB256" s="486"/>
      <c r="PC256" s="486"/>
      <c r="PD256" s="486"/>
      <c r="PE256" s="486"/>
      <c r="PF256" s="486"/>
      <c r="PG256" s="486"/>
      <c r="PH256" s="486"/>
      <c r="PI256" s="486"/>
      <c r="PJ256" s="486"/>
      <c r="PK256" s="486"/>
      <c r="PL256" s="486"/>
      <c r="PM256" s="486"/>
      <c r="PN256" s="486"/>
      <c r="PO256" s="486"/>
      <c r="PP256" s="486"/>
      <c r="PQ256" s="486"/>
      <c r="PR256" s="486"/>
      <c r="PS256" s="486"/>
      <c r="PT256" s="486"/>
      <c r="PU256" s="486"/>
      <c r="PV256" s="486"/>
      <c r="PW256" s="486"/>
      <c r="PX256" s="486"/>
      <c r="PY256" s="486"/>
      <c r="PZ256" s="486"/>
      <c r="QA256" s="486"/>
      <c r="QB256" s="486"/>
      <c r="QC256" s="486"/>
      <c r="QD256" s="486"/>
      <c r="QE256" s="486"/>
      <c r="QF256" s="486"/>
      <c r="QG256" s="486"/>
      <c r="QH256" s="486"/>
      <c r="QI256" s="486"/>
      <c r="QJ256" s="486"/>
      <c r="QK256" s="486"/>
      <c r="QL256" s="486"/>
      <c r="QM256" s="486"/>
      <c r="QN256" s="486"/>
      <c r="QO256" s="486"/>
      <c r="QP256" s="486"/>
      <c r="QQ256" s="486"/>
      <c r="QR256" s="486"/>
      <c r="QS256" s="486"/>
      <c r="QT256" s="486"/>
      <c r="QU256" s="486"/>
      <c r="QV256" s="486"/>
      <c r="QW256" s="486"/>
      <c r="QX256" s="486"/>
      <c r="QY256" s="486"/>
      <c r="QZ256" s="486"/>
      <c r="RA256" s="486"/>
      <c r="RB256" s="486"/>
      <c r="RC256" s="486"/>
      <c r="RD256" s="486"/>
      <c r="RE256" s="486"/>
      <c r="RF256" s="486"/>
      <c r="RG256" s="486"/>
      <c r="RH256" s="486"/>
      <c r="RI256" s="486"/>
      <c r="RJ256" s="486"/>
      <c r="RK256" s="486"/>
      <c r="RL256" s="486"/>
      <c r="RM256" s="486"/>
      <c r="RN256" s="486"/>
      <c r="RO256" s="486"/>
      <c r="RP256" s="486"/>
      <c r="RQ256" s="486"/>
      <c r="RR256" s="486"/>
      <c r="RS256" s="486"/>
      <c r="RT256" s="486"/>
      <c r="RU256" s="486"/>
      <c r="RV256" s="486"/>
      <c r="RW256" s="486"/>
      <c r="RX256" s="486"/>
      <c r="RY256" s="486"/>
      <c r="RZ256" s="486"/>
      <c r="SA256" s="486"/>
      <c r="SB256" s="486"/>
      <c r="SC256" s="486"/>
      <c r="SD256" s="486"/>
      <c r="SE256" s="486"/>
      <c r="SF256" s="486"/>
      <c r="SG256" s="486"/>
      <c r="SH256" s="486"/>
      <c r="SI256" s="486"/>
      <c r="SJ256" s="486"/>
      <c r="SK256" s="486"/>
      <c r="SL256" s="486"/>
      <c r="SM256" s="486"/>
      <c r="SN256" s="486"/>
      <c r="SO256" s="486"/>
      <c r="SP256" s="486"/>
      <c r="SQ256" s="486"/>
      <c r="SR256" s="486"/>
      <c r="SS256" s="486"/>
      <c r="ST256" s="486"/>
      <c r="SU256" s="486"/>
      <c r="SV256" s="486"/>
      <c r="SW256" s="486"/>
      <c r="SX256" s="486"/>
      <c r="SY256" s="486"/>
      <c r="SZ256" s="486"/>
      <c r="TA256" s="486"/>
      <c r="TB256" s="486"/>
      <c r="TC256" s="486"/>
      <c r="TD256" s="486"/>
      <c r="TE256" s="486"/>
      <c r="TF256" s="486"/>
      <c r="TG256" s="486"/>
      <c r="TH256" s="486"/>
      <c r="TI256" s="486"/>
      <c r="TJ256" s="486"/>
      <c r="TK256" s="486"/>
      <c r="TL256" s="486"/>
      <c r="TM256" s="486"/>
      <c r="TN256" s="486"/>
      <c r="TO256" s="486"/>
      <c r="TP256" s="486"/>
      <c r="TQ256" s="486"/>
      <c r="TR256" s="486"/>
      <c r="TS256" s="486"/>
      <c r="TT256" s="486"/>
      <c r="TU256" s="486"/>
      <c r="TV256" s="486"/>
      <c r="TW256" s="486"/>
      <c r="TX256" s="486"/>
      <c r="TY256" s="486"/>
      <c r="TZ256" s="486"/>
      <c r="UA256" s="486"/>
      <c r="UB256" s="486"/>
      <c r="UC256" s="486"/>
      <c r="UD256" s="486"/>
      <c r="UE256" s="486"/>
      <c r="UF256" s="486"/>
      <c r="UG256" s="486"/>
      <c r="UH256" s="486"/>
      <c r="UI256" s="486"/>
      <c r="UJ256" s="486"/>
      <c r="UK256" s="486"/>
      <c r="UL256" s="486"/>
      <c r="UM256" s="486"/>
      <c r="UN256" s="486"/>
      <c r="UO256" s="486"/>
      <c r="UP256" s="486"/>
      <c r="UQ256" s="486"/>
      <c r="UR256" s="486"/>
      <c r="US256" s="486"/>
      <c r="UT256" s="486"/>
      <c r="UU256" s="486"/>
      <c r="UV256" s="486"/>
      <c r="UW256" s="486"/>
      <c r="UX256" s="486"/>
      <c r="UY256" s="486"/>
      <c r="UZ256" s="486"/>
      <c r="VA256" s="486"/>
      <c r="VB256" s="486"/>
      <c r="VC256" s="486"/>
      <c r="VD256" s="486"/>
      <c r="VE256" s="486"/>
      <c r="VF256" s="486"/>
      <c r="VG256" s="486"/>
      <c r="VH256" s="486"/>
      <c r="VI256" s="486"/>
      <c r="VJ256" s="486"/>
      <c r="VK256" s="486"/>
      <c r="VL256" s="486"/>
      <c r="VM256" s="486"/>
      <c r="VN256" s="486"/>
      <c r="VO256" s="486"/>
      <c r="VP256" s="486"/>
      <c r="VQ256" s="486"/>
      <c r="VR256" s="486"/>
      <c r="VS256" s="486"/>
      <c r="VT256" s="486"/>
      <c r="VU256" s="486"/>
      <c r="VV256" s="486"/>
      <c r="VW256" s="486"/>
      <c r="VX256" s="486"/>
      <c r="VY256" s="486"/>
      <c r="VZ256" s="486"/>
      <c r="WA256" s="486"/>
      <c r="WB256" s="486"/>
      <c r="WC256" s="486"/>
      <c r="WD256" s="486"/>
      <c r="WE256" s="486"/>
      <c r="WF256" s="486"/>
      <c r="WG256" s="486"/>
      <c r="WH256" s="486"/>
      <c r="WI256" s="486"/>
      <c r="WJ256" s="486"/>
      <c r="WK256" s="486"/>
      <c r="WL256" s="486"/>
      <c r="WM256" s="486"/>
      <c r="WN256" s="486"/>
      <c r="WO256" s="486"/>
      <c r="WP256" s="486"/>
      <c r="WQ256" s="486"/>
      <c r="WR256" s="486"/>
      <c r="WS256" s="486"/>
      <c r="WT256" s="486"/>
      <c r="WU256" s="486"/>
      <c r="WV256" s="486"/>
      <c r="WW256" s="486"/>
      <c r="WX256" s="486"/>
      <c r="WY256" s="486"/>
      <c r="WZ256" s="486"/>
      <c r="XA256" s="486"/>
      <c r="XB256" s="486"/>
      <c r="XC256" s="486"/>
      <c r="XD256" s="486"/>
      <c r="XE256" s="486"/>
      <c r="XF256" s="486"/>
      <c r="XG256" s="486"/>
      <c r="XH256" s="486"/>
      <c r="XI256" s="486"/>
      <c r="XJ256" s="486"/>
      <c r="XK256" s="486"/>
      <c r="XL256" s="486"/>
      <c r="XM256" s="486"/>
      <c r="XN256" s="486"/>
      <c r="XO256" s="486"/>
      <c r="XP256" s="486"/>
      <c r="XQ256" s="486"/>
      <c r="XR256" s="486"/>
      <c r="XS256" s="486"/>
      <c r="XT256" s="486"/>
      <c r="XU256" s="486"/>
      <c r="XV256" s="486"/>
      <c r="XW256" s="486"/>
      <c r="XX256" s="486"/>
      <c r="XY256" s="486"/>
      <c r="XZ256" s="486"/>
      <c r="YA256" s="486"/>
      <c r="YB256" s="486"/>
      <c r="YC256" s="486"/>
      <c r="YD256" s="486"/>
      <c r="YE256" s="486"/>
      <c r="YF256" s="486"/>
      <c r="YG256" s="486"/>
      <c r="YH256" s="486"/>
      <c r="YI256" s="486"/>
      <c r="YJ256" s="486"/>
      <c r="YK256" s="486"/>
      <c r="YL256" s="486"/>
      <c r="YM256" s="486"/>
      <c r="YN256" s="486"/>
      <c r="YO256" s="486"/>
      <c r="YP256" s="486"/>
      <c r="YQ256" s="486"/>
      <c r="YR256" s="486"/>
      <c r="YS256" s="486"/>
      <c r="YT256" s="486"/>
      <c r="YU256" s="486"/>
      <c r="YV256" s="486"/>
      <c r="YW256" s="486"/>
      <c r="YX256" s="486"/>
      <c r="YY256" s="486"/>
      <c r="YZ256" s="486"/>
      <c r="ZA256" s="486"/>
      <c r="ZB256" s="486"/>
      <c r="ZC256" s="486"/>
      <c r="ZD256" s="486"/>
      <c r="ZE256" s="486"/>
      <c r="ZF256" s="486"/>
      <c r="ZG256" s="486"/>
      <c r="ZH256" s="486"/>
      <c r="ZI256" s="486"/>
      <c r="ZJ256" s="486"/>
      <c r="ZK256" s="486"/>
      <c r="ZL256" s="486"/>
      <c r="ZM256" s="486"/>
      <c r="ZN256" s="486"/>
      <c r="ZO256" s="486"/>
      <c r="ZP256" s="486"/>
      <c r="ZQ256" s="486"/>
      <c r="ZR256" s="486"/>
      <c r="ZS256" s="486"/>
      <c r="ZT256" s="486"/>
      <c r="ZU256" s="486"/>
      <c r="ZV256" s="486"/>
      <c r="ZW256" s="486"/>
      <c r="ZX256" s="486"/>
      <c r="ZY256" s="486"/>
      <c r="ZZ256" s="486"/>
      <c r="AAA256" s="486"/>
      <c r="AAB256" s="486"/>
      <c r="AAC256" s="486"/>
      <c r="AAD256" s="486"/>
      <c r="AAE256" s="486"/>
      <c r="AAF256" s="486"/>
      <c r="AAG256" s="486"/>
      <c r="AAH256" s="486"/>
      <c r="AAI256" s="486"/>
      <c r="AAJ256" s="486"/>
      <c r="AAK256" s="486"/>
      <c r="AAL256" s="486"/>
      <c r="AAM256" s="486"/>
      <c r="AAN256" s="486"/>
      <c r="AAO256" s="486"/>
      <c r="AAP256" s="486"/>
      <c r="AAQ256" s="486"/>
      <c r="AAR256" s="486"/>
      <c r="AAS256" s="486"/>
      <c r="AAT256" s="486"/>
      <c r="AAU256" s="486"/>
      <c r="AAV256" s="486"/>
      <c r="AAW256" s="486"/>
      <c r="AAX256" s="486"/>
      <c r="AAY256" s="486"/>
      <c r="AAZ256" s="486"/>
      <c r="ABA256" s="486"/>
      <c r="ABB256" s="486"/>
      <c r="ABC256" s="486"/>
      <c r="ABD256" s="486"/>
      <c r="ABE256" s="486"/>
      <c r="ABF256" s="486"/>
      <c r="ABG256" s="486"/>
      <c r="ABH256" s="486"/>
      <c r="ABI256" s="486"/>
      <c r="ABJ256" s="486"/>
      <c r="ABK256" s="486"/>
      <c r="ABL256" s="486"/>
      <c r="ABM256" s="486"/>
      <c r="ABN256" s="486"/>
      <c r="ABO256" s="486"/>
      <c r="ABP256" s="486"/>
      <c r="ABQ256" s="486"/>
      <c r="ABR256" s="486"/>
      <c r="ABS256" s="486"/>
      <c r="ABT256" s="486"/>
      <c r="ABU256" s="486"/>
      <c r="ABV256" s="486"/>
      <c r="ABW256" s="486"/>
      <c r="ABX256" s="486"/>
      <c r="ABY256" s="486"/>
      <c r="ABZ256" s="486"/>
      <c r="ACA256" s="486"/>
      <c r="ACB256" s="486"/>
      <c r="ACC256" s="486"/>
      <c r="ACD256" s="486"/>
      <c r="ACE256" s="486"/>
      <c r="ACF256" s="486"/>
      <c r="ACG256" s="486"/>
      <c r="ACH256" s="486"/>
      <c r="ACI256" s="486"/>
      <c r="ACJ256" s="486"/>
      <c r="ACK256" s="486"/>
      <c r="ACL256" s="486"/>
      <c r="ACM256" s="486"/>
      <c r="ACN256" s="486"/>
      <c r="ACO256" s="486"/>
      <c r="ACP256" s="486"/>
      <c r="ACQ256" s="486"/>
      <c r="ACR256" s="486"/>
      <c r="ACS256" s="486"/>
      <c r="ACT256" s="486"/>
      <c r="ACU256" s="486"/>
      <c r="ACV256" s="486"/>
      <c r="ACW256" s="486"/>
      <c r="ACX256" s="486"/>
      <c r="ACY256" s="486"/>
      <c r="ACZ256" s="486"/>
      <c r="ADA256" s="486"/>
      <c r="ADB256" s="486"/>
      <c r="ADC256" s="486"/>
      <c r="ADD256" s="486"/>
      <c r="ADE256" s="486"/>
      <c r="ADF256" s="486"/>
      <c r="ADG256" s="486"/>
      <c r="ADH256" s="486"/>
      <c r="ADI256" s="486"/>
      <c r="ADJ256" s="486"/>
      <c r="ADK256" s="486"/>
      <c r="ADL256" s="486"/>
      <c r="ADM256" s="486"/>
      <c r="ADN256" s="486"/>
      <c r="ADO256" s="486"/>
      <c r="ADP256" s="486"/>
      <c r="ADQ256" s="486"/>
      <c r="ADR256" s="486"/>
      <c r="ADS256" s="486"/>
      <c r="ADT256" s="486"/>
      <c r="ADU256" s="486"/>
      <c r="ADV256" s="486"/>
      <c r="ADW256" s="486"/>
      <c r="ADX256" s="486"/>
      <c r="ADY256" s="486"/>
      <c r="ADZ256" s="486"/>
      <c r="AEA256" s="486"/>
      <c r="AEB256" s="486"/>
      <c r="AEC256" s="486"/>
      <c r="AED256" s="486"/>
      <c r="AEE256" s="486"/>
      <c r="AEF256" s="486"/>
      <c r="AEG256" s="486"/>
      <c r="AEH256" s="486"/>
      <c r="AEI256" s="486"/>
      <c r="AEJ256" s="486"/>
      <c r="AEK256" s="486"/>
      <c r="AEL256" s="486"/>
      <c r="AEM256" s="486"/>
      <c r="AEN256" s="486"/>
      <c r="AEO256" s="486"/>
      <c r="AEP256" s="486"/>
      <c r="AEQ256" s="486"/>
      <c r="AER256" s="486"/>
      <c r="AES256" s="486"/>
      <c r="AET256" s="486"/>
      <c r="AEU256" s="486"/>
      <c r="AEV256" s="486"/>
      <c r="AEW256" s="486"/>
      <c r="AEX256" s="486"/>
      <c r="AEY256" s="486"/>
      <c r="AEZ256" s="486"/>
      <c r="AFA256" s="486"/>
      <c r="AFB256" s="486"/>
      <c r="AFC256" s="486"/>
      <c r="AFD256" s="486"/>
      <c r="AFE256" s="486"/>
      <c r="AFF256" s="486"/>
      <c r="AFG256" s="486"/>
      <c r="AFH256" s="486"/>
      <c r="AFI256" s="486"/>
      <c r="AFJ256" s="486"/>
      <c r="AFK256" s="486"/>
      <c r="AFL256" s="486"/>
      <c r="AFM256" s="486"/>
      <c r="AFN256" s="486"/>
      <c r="AFO256" s="486"/>
      <c r="AFP256" s="486"/>
      <c r="AFQ256" s="486"/>
      <c r="AFR256" s="486"/>
      <c r="AFS256" s="486"/>
      <c r="AFT256" s="486"/>
      <c r="AFU256" s="486"/>
      <c r="AFV256" s="486"/>
      <c r="AFW256" s="486"/>
      <c r="AFX256" s="486"/>
      <c r="AFY256" s="486"/>
      <c r="AFZ256" s="486"/>
      <c r="AGA256" s="486"/>
      <c r="AGB256" s="486"/>
      <c r="AGC256" s="486"/>
      <c r="AGD256" s="486"/>
      <c r="AGE256" s="486"/>
      <c r="AGF256" s="486"/>
      <c r="AGG256" s="486"/>
      <c r="AGH256" s="486"/>
      <c r="AGI256" s="486"/>
      <c r="AGJ256" s="486"/>
      <c r="AGK256" s="486"/>
      <c r="AGL256" s="486"/>
      <c r="AGM256" s="486"/>
      <c r="AGN256" s="486"/>
      <c r="AGO256" s="486"/>
      <c r="AGP256" s="486"/>
      <c r="AGQ256" s="486"/>
      <c r="AGR256" s="486"/>
      <c r="AGS256" s="486"/>
      <c r="AGT256" s="486"/>
      <c r="AGU256" s="486"/>
      <c r="AGV256" s="486"/>
      <c r="AGW256" s="486"/>
      <c r="AGX256" s="486"/>
      <c r="AGY256" s="486"/>
      <c r="AGZ256" s="486"/>
      <c r="AHA256" s="486"/>
      <c r="AHB256" s="486"/>
      <c r="AHC256" s="486"/>
      <c r="AHD256" s="486"/>
      <c r="AHE256" s="486"/>
      <c r="AHF256" s="486"/>
      <c r="AHG256" s="486"/>
      <c r="AHH256" s="486"/>
      <c r="AHI256" s="486"/>
      <c r="AHJ256" s="486"/>
      <c r="AHK256" s="486"/>
      <c r="AHL256" s="486"/>
      <c r="AHM256" s="486"/>
      <c r="AHN256" s="486"/>
      <c r="AHO256" s="486"/>
      <c r="AHP256" s="486"/>
      <c r="AHQ256" s="486"/>
      <c r="AHR256" s="486"/>
      <c r="AHS256" s="486"/>
      <c r="AHT256" s="486"/>
      <c r="AHU256" s="486"/>
      <c r="AHV256" s="486"/>
      <c r="AHW256" s="486"/>
      <c r="AHX256" s="486"/>
      <c r="AHY256" s="486"/>
      <c r="AHZ256" s="486"/>
      <c r="AIA256" s="486"/>
      <c r="AIB256" s="486"/>
      <c r="AIC256" s="486"/>
      <c r="AID256" s="486"/>
      <c r="AIE256" s="486"/>
      <c r="AIF256" s="486"/>
      <c r="AIG256" s="486"/>
      <c r="AIH256" s="486"/>
      <c r="AII256" s="486"/>
      <c r="AIJ256" s="486"/>
      <c r="AIK256" s="486"/>
      <c r="AIL256" s="486"/>
      <c r="AIM256" s="486"/>
      <c r="AIN256" s="486"/>
      <c r="AIO256" s="486"/>
      <c r="AIP256" s="486"/>
      <c r="AIQ256" s="486"/>
      <c r="AIR256" s="486"/>
      <c r="AIS256" s="486"/>
      <c r="AIT256" s="486"/>
      <c r="AIU256" s="486"/>
      <c r="AIV256" s="486"/>
      <c r="AIW256" s="486"/>
      <c r="AIX256" s="486"/>
      <c r="AIY256" s="486"/>
      <c r="AIZ256" s="486"/>
      <c r="AJA256" s="486"/>
      <c r="AJB256" s="486"/>
      <c r="AJC256" s="486"/>
      <c r="AJD256" s="486"/>
      <c r="AJE256" s="486"/>
      <c r="AJF256" s="486"/>
      <c r="AJG256" s="486"/>
      <c r="AJH256" s="486"/>
      <c r="AJI256" s="486"/>
      <c r="AJJ256" s="486"/>
      <c r="AJK256" s="486"/>
      <c r="AJL256" s="486"/>
      <c r="AJM256" s="486"/>
      <c r="AJN256" s="486"/>
      <c r="AJO256" s="486"/>
      <c r="AJP256" s="486"/>
      <c r="AJQ256" s="486"/>
      <c r="AJR256" s="486"/>
      <c r="AJS256" s="486"/>
      <c r="AJT256" s="486"/>
      <c r="AJU256" s="486"/>
      <c r="AJV256" s="486"/>
      <c r="AJW256" s="486"/>
      <c r="AJX256" s="486"/>
      <c r="AJY256" s="486"/>
      <c r="AJZ256" s="486"/>
      <c r="AKA256" s="486"/>
      <c r="AKB256" s="486"/>
      <c r="AKC256" s="486"/>
      <c r="AKD256" s="486"/>
      <c r="AKE256" s="486"/>
      <c r="AKF256" s="486"/>
      <c r="AKG256" s="486"/>
      <c r="AKH256" s="486"/>
      <c r="AKI256" s="486"/>
      <c r="AKJ256" s="486"/>
      <c r="AKK256" s="486"/>
      <c r="AKL256" s="486"/>
      <c r="AKM256" s="486"/>
      <c r="AKN256" s="486"/>
      <c r="AKO256" s="486"/>
      <c r="AKP256" s="486"/>
      <c r="AKQ256" s="486"/>
      <c r="AKR256" s="486"/>
      <c r="AKS256" s="486"/>
      <c r="AKT256" s="486"/>
      <c r="AKU256" s="486"/>
      <c r="AKV256" s="486"/>
      <c r="AKW256" s="486"/>
      <c r="AKX256" s="486"/>
      <c r="AKY256" s="486"/>
      <c r="AKZ256" s="486"/>
      <c r="ALA256" s="486"/>
      <c r="ALB256" s="486"/>
      <c r="ALC256" s="486"/>
      <c r="ALD256" s="486"/>
      <c r="ALE256" s="486"/>
      <c r="ALF256" s="486"/>
      <c r="ALG256" s="486"/>
      <c r="ALH256" s="486"/>
      <c r="ALI256" s="486"/>
      <c r="ALJ256" s="486"/>
      <c r="ALK256" s="486"/>
      <c r="ALL256" s="486"/>
      <c r="ALM256" s="486"/>
      <c r="ALN256" s="486"/>
      <c r="ALO256" s="486"/>
      <c r="ALP256" s="486"/>
      <c r="ALQ256" s="486"/>
      <c r="ALR256" s="486"/>
      <c r="ALS256" s="486"/>
      <c r="ALT256" s="486"/>
      <c r="ALU256" s="486"/>
      <c r="ALV256" s="486"/>
      <c r="ALW256" s="486"/>
      <c r="ALX256" s="486"/>
      <c r="ALY256" s="486"/>
      <c r="ALZ256" s="486"/>
      <c r="AMA256" s="486"/>
      <c r="AMB256" s="486"/>
      <c r="AMC256" s="486"/>
      <c r="AMD256" s="486"/>
      <c r="AME256" s="486"/>
      <c r="AMF256" s="486"/>
      <c r="AMG256" s="486"/>
      <c r="AMH256" s="486"/>
      <c r="AMI256" s="486"/>
      <c r="AMJ256" s="486"/>
      <c r="AMK256" s="486"/>
      <c r="AML256" s="486"/>
      <c r="AMM256" s="486"/>
      <c r="AMN256" s="486"/>
      <c r="AMO256" s="486"/>
      <c r="AMP256" s="486"/>
      <c r="AMQ256" s="486"/>
      <c r="AMR256" s="486"/>
      <c r="AMS256" s="486"/>
      <c r="AMT256" s="486"/>
      <c r="AMU256" s="486"/>
      <c r="AMV256" s="486"/>
      <c r="AMW256" s="486"/>
      <c r="AMX256" s="486"/>
      <c r="AMY256" s="486"/>
      <c r="AMZ256" s="486"/>
      <c r="ANA256" s="486"/>
      <c r="ANB256" s="486"/>
      <c r="ANC256" s="486"/>
      <c r="AND256" s="486"/>
      <c r="ANE256" s="486"/>
      <c r="ANF256" s="486"/>
      <c r="ANG256" s="486"/>
      <c r="ANH256" s="486"/>
      <c r="ANI256" s="486"/>
      <c r="ANJ256" s="486"/>
      <c r="ANK256" s="486"/>
      <c r="ANL256" s="486"/>
      <c r="ANM256" s="486"/>
      <c r="ANN256" s="486"/>
      <c r="ANO256" s="486"/>
      <c r="ANP256" s="486"/>
      <c r="ANQ256" s="486"/>
      <c r="ANR256" s="486"/>
      <c r="ANS256" s="486"/>
      <c r="ANT256" s="486"/>
      <c r="ANU256" s="486"/>
      <c r="ANV256" s="486"/>
      <c r="ANW256" s="486"/>
      <c r="ANX256" s="486"/>
      <c r="ANY256" s="486"/>
      <c r="ANZ256" s="486"/>
      <c r="AOA256" s="486"/>
      <c r="AOB256" s="486"/>
      <c r="AOC256" s="486"/>
      <c r="AOD256" s="486"/>
      <c r="AOE256" s="486"/>
      <c r="AOF256" s="486"/>
      <c r="AOG256" s="486"/>
      <c r="AOH256" s="486"/>
      <c r="AOI256" s="486"/>
      <c r="AOJ256" s="486"/>
      <c r="AOK256" s="486"/>
      <c r="AOL256" s="486"/>
      <c r="AOM256" s="486"/>
      <c r="AON256" s="486"/>
      <c r="AOO256" s="486"/>
      <c r="AOP256" s="486"/>
      <c r="AOQ256" s="486"/>
      <c r="AOR256" s="486"/>
      <c r="AOS256" s="486"/>
      <c r="AOT256" s="486"/>
      <c r="AOU256" s="486"/>
      <c r="AOV256" s="486"/>
      <c r="AOW256" s="486"/>
      <c r="AOX256" s="486"/>
      <c r="AOY256" s="486"/>
      <c r="AOZ256" s="486"/>
      <c r="APA256" s="486"/>
      <c r="APB256" s="486"/>
      <c r="APC256" s="486"/>
      <c r="APD256" s="486"/>
      <c r="APE256" s="486"/>
      <c r="APF256" s="486"/>
      <c r="APG256" s="486"/>
      <c r="APH256" s="486"/>
      <c r="API256" s="486"/>
      <c r="APJ256" s="486"/>
      <c r="APK256" s="486"/>
      <c r="APL256" s="486"/>
      <c r="APM256" s="486"/>
      <c r="APN256" s="486"/>
      <c r="APO256" s="486"/>
      <c r="APP256" s="486"/>
      <c r="APQ256" s="486"/>
      <c r="APR256" s="486"/>
      <c r="APS256" s="486"/>
      <c r="APT256" s="486"/>
      <c r="APU256" s="486"/>
      <c r="APV256" s="486"/>
      <c r="APW256" s="486"/>
      <c r="APX256" s="486"/>
      <c r="APY256" s="486"/>
      <c r="APZ256" s="486"/>
      <c r="AQA256" s="486"/>
      <c r="AQB256" s="486"/>
      <c r="AQC256" s="486"/>
      <c r="AQD256" s="486"/>
      <c r="AQE256" s="486"/>
      <c r="AQF256" s="486"/>
      <c r="AQG256" s="486"/>
      <c r="AQH256" s="486"/>
      <c r="AQI256" s="486"/>
      <c r="AQJ256" s="486"/>
      <c r="AQK256" s="486"/>
      <c r="AQL256" s="486"/>
      <c r="AQM256" s="486"/>
      <c r="AQN256" s="486"/>
      <c r="AQO256" s="486"/>
      <c r="AQP256" s="486"/>
      <c r="AQQ256" s="486"/>
      <c r="AQR256" s="486"/>
      <c r="AQS256" s="486"/>
      <c r="AQT256" s="486"/>
      <c r="AQU256" s="486"/>
      <c r="AQV256" s="486"/>
      <c r="AQW256" s="486"/>
      <c r="AQX256" s="486"/>
      <c r="AQY256" s="486"/>
      <c r="AQZ256" s="486"/>
      <c r="ARA256" s="486"/>
      <c r="ARB256" s="486"/>
      <c r="ARC256" s="486"/>
      <c r="ARD256" s="486"/>
      <c r="ARE256" s="486"/>
      <c r="ARF256" s="486"/>
      <c r="ARG256" s="486"/>
      <c r="ARH256" s="486"/>
      <c r="ARI256" s="486"/>
      <c r="ARJ256" s="486"/>
      <c r="ARK256" s="486"/>
      <c r="ARL256" s="486"/>
      <c r="ARM256" s="486"/>
      <c r="ARN256" s="486"/>
      <c r="ARO256" s="486"/>
      <c r="ARP256" s="486"/>
      <c r="ARQ256" s="486"/>
      <c r="ARR256" s="486"/>
      <c r="ARS256" s="486"/>
      <c r="ART256" s="486"/>
      <c r="ARU256" s="486"/>
      <c r="ARV256" s="486"/>
      <c r="ARW256" s="486"/>
      <c r="ARX256" s="486"/>
      <c r="ARY256" s="486"/>
      <c r="ARZ256" s="486"/>
      <c r="ASA256" s="486"/>
      <c r="ASB256" s="486"/>
      <c r="ASC256" s="486"/>
      <c r="ASD256" s="486"/>
      <c r="ASE256" s="486"/>
      <c r="ASF256" s="486"/>
      <c r="ASG256" s="486"/>
      <c r="ASH256" s="486"/>
      <c r="ASI256" s="486"/>
      <c r="ASJ256" s="486"/>
      <c r="ASK256" s="486"/>
      <c r="ASL256" s="486"/>
      <c r="ASM256" s="486"/>
      <c r="ASN256" s="486"/>
      <c r="ASO256" s="486"/>
      <c r="ASP256" s="486"/>
      <c r="ASQ256" s="486"/>
      <c r="ASR256" s="486"/>
      <c r="ASS256" s="486"/>
      <c r="AST256" s="486"/>
      <c r="ASU256" s="486"/>
      <c r="ASV256" s="486"/>
      <c r="ASW256" s="486"/>
      <c r="ASX256" s="486"/>
      <c r="ASY256" s="486"/>
      <c r="ASZ256" s="486"/>
      <c r="ATA256" s="486"/>
      <c r="ATB256" s="486"/>
      <c r="ATC256" s="486"/>
      <c r="ATD256" s="486"/>
      <c r="ATE256" s="486"/>
      <c r="ATF256" s="486"/>
      <c r="ATG256" s="486"/>
      <c r="ATH256" s="486"/>
      <c r="ATI256" s="486"/>
      <c r="ATJ256" s="486"/>
      <c r="ATK256" s="486"/>
      <c r="ATL256" s="486"/>
      <c r="ATM256" s="486"/>
      <c r="ATN256" s="486"/>
      <c r="ATO256" s="486"/>
      <c r="ATP256" s="486"/>
      <c r="ATQ256" s="486"/>
      <c r="ATR256" s="486"/>
      <c r="ATS256" s="486"/>
      <c r="ATT256" s="486"/>
      <c r="ATU256" s="486"/>
      <c r="ATV256" s="486"/>
      <c r="ATW256" s="486"/>
      <c r="ATX256" s="486"/>
      <c r="ATY256" s="486"/>
      <c r="ATZ256" s="486"/>
      <c r="AUA256" s="486"/>
      <c r="AUB256" s="486"/>
      <c r="AUC256" s="486"/>
      <c r="AUD256" s="486"/>
      <c r="AUE256" s="486"/>
      <c r="AUF256" s="486"/>
      <c r="AUG256" s="486"/>
      <c r="AUH256" s="486"/>
      <c r="AUI256" s="486"/>
      <c r="AUJ256" s="486"/>
      <c r="AUK256" s="486"/>
      <c r="AUL256" s="486"/>
      <c r="AUM256" s="486"/>
      <c r="AUN256" s="486"/>
      <c r="AUO256" s="486"/>
      <c r="AUP256" s="486"/>
      <c r="AUQ256" s="486"/>
      <c r="AUR256" s="486"/>
      <c r="AUS256" s="486"/>
      <c r="AUT256" s="486"/>
      <c r="AUU256" s="486"/>
      <c r="AUV256" s="486"/>
      <c r="AUW256" s="486"/>
      <c r="AUX256" s="486"/>
      <c r="AUY256" s="486"/>
      <c r="AUZ256" s="486"/>
      <c r="AVA256" s="486"/>
      <c r="AVB256" s="486"/>
      <c r="AVC256" s="486"/>
      <c r="AVD256" s="486"/>
      <c r="AVE256" s="486"/>
      <c r="AVF256" s="486"/>
      <c r="AVG256" s="486"/>
      <c r="AVH256" s="486"/>
      <c r="AVI256" s="486"/>
      <c r="AVJ256" s="486"/>
      <c r="AVK256" s="486"/>
      <c r="AVL256" s="486"/>
      <c r="AVM256" s="486"/>
      <c r="AVN256" s="486"/>
      <c r="AVO256" s="486"/>
      <c r="AVP256" s="486"/>
      <c r="AVQ256" s="486"/>
      <c r="AVR256" s="486"/>
      <c r="AVS256" s="486"/>
      <c r="AVT256" s="486"/>
      <c r="AVU256" s="486"/>
      <c r="AVV256" s="486"/>
      <c r="AVW256" s="486"/>
      <c r="AVX256" s="486"/>
      <c r="AVY256" s="486"/>
      <c r="AVZ256" s="486"/>
      <c r="AWA256" s="486"/>
      <c r="AWB256" s="486"/>
      <c r="AWC256" s="486"/>
      <c r="AWD256" s="486"/>
      <c r="AWE256" s="486"/>
      <c r="AWF256" s="486"/>
      <c r="AWG256" s="486"/>
      <c r="AWH256" s="486"/>
      <c r="AWI256" s="486"/>
      <c r="AWJ256" s="486"/>
      <c r="AWK256" s="486"/>
      <c r="AWL256" s="486"/>
      <c r="AWM256" s="486"/>
      <c r="AWN256" s="486"/>
      <c r="AWO256" s="486"/>
      <c r="AWP256" s="486"/>
      <c r="AWQ256" s="486"/>
      <c r="AWR256" s="486"/>
      <c r="AWS256" s="486"/>
      <c r="AWT256" s="486"/>
      <c r="AWU256" s="486"/>
      <c r="AWV256" s="486"/>
      <c r="AWW256" s="486"/>
      <c r="AWX256" s="486"/>
      <c r="AWY256" s="486"/>
      <c r="AWZ256" s="486"/>
      <c r="AXA256" s="486"/>
      <c r="AXB256" s="486"/>
      <c r="AXC256" s="486"/>
      <c r="AXD256" s="486"/>
      <c r="AXE256" s="486"/>
      <c r="AXF256" s="486"/>
      <c r="AXG256" s="486"/>
      <c r="AXH256" s="486"/>
      <c r="AXI256" s="486"/>
      <c r="AXJ256" s="486"/>
      <c r="AXK256" s="486"/>
      <c r="AXL256" s="486"/>
      <c r="AXM256" s="486"/>
      <c r="AXN256" s="486"/>
      <c r="AXO256" s="486"/>
      <c r="AXP256" s="486"/>
      <c r="AXQ256" s="486"/>
      <c r="AXR256" s="486"/>
      <c r="AXS256" s="486"/>
      <c r="AXT256" s="486"/>
      <c r="AXU256" s="486"/>
      <c r="AXV256" s="486"/>
      <c r="AXW256" s="486"/>
      <c r="AXX256" s="486"/>
      <c r="AXY256" s="486"/>
      <c r="AXZ256" s="486"/>
      <c r="AYA256" s="486"/>
      <c r="AYB256" s="486"/>
      <c r="AYC256" s="486"/>
      <c r="AYD256" s="486"/>
      <c r="AYE256" s="486"/>
      <c r="AYF256" s="486"/>
      <c r="AYG256" s="486"/>
      <c r="AYH256" s="486"/>
      <c r="AYI256" s="486"/>
      <c r="AYJ256" s="486"/>
      <c r="AYK256" s="486"/>
      <c r="AYL256" s="486"/>
      <c r="AYM256" s="486"/>
      <c r="AYN256" s="486"/>
      <c r="AYO256" s="486"/>
      <c r="AYP256" s="486"/>
      <c r="AYQ256" s="486"/>
      <c r="AYR256" s="486"/>
      <c r="AYS256" s="486"/>
      <c r="AYT256" s="486"/>
      <c r="AYU256" s="486"/>
      <c r="AYV256" s="486"/>
      <c r="AYW256" s="486"/>
      <c r="AYX256" s="486"/>
      <c r="AYY256" s="486"/>
      <c r="AYZ256" s="486"/>
      <c r="AZA256" s="486"/>
      <c r="AZB256" s="486"/>
      <c r="AZC256" s="486"/>
      <c r="AZD256" s="486"/>
      <c r="AZE256" s="486"/>
      <c r="AZF256" s="486"/>
      <c r="AZG256" s="486"/>
      <c r="AZH256" s="486"/>
      <c r="AZI256" s="486"/>
      <c r="AZJ256" s="486"/>
      <c r="AZK256" s="486"/>
      <c r="AZL256" s="486"/>
      <c r="AZM256" s="486"/>
      <c r="AZN256" s="486"/>
      <c r="AZO256" s="486"/>
      <c r="AZP256" s="486"/>
      <c r="AZQ256" s="486"/>
      <c r="AZR256" s="486"/>
      <c r="AZS256" s="486"/>
      <c r="AZT256" s="486"/>
      <c r="AZU256" s="486"/>
      <c r="AZV256" s="486"/>
      <c r="AZW256" s="486"/>
      <c r="AZX256" s="486"/>
      <c r="AZY256" s="486"/>
      <c r="AZZ256" s="486"/>
      <c r="BAA256" s="486"/>
      <c r="BAB256" s="486"/>
      <c r="BAC256" s="486"/>
      <c r="BAD256" s="486"/>
      <c r="BAE256" s="486"/>
      <c r="BAF256" s="486"/>
      <c r="BAG256" s="486"/>
      <c r="BAH256" s="486"/>
      <c r="BAI256" s="486"/>
      <c r="BAJ256" s="486"/>
      <c r="BAK256" s="486"/>
      <c r="BAL256" s="486"/>
      <c r="BAM256" s="486"/>
      <c r="BAN256" s="486"/>
      <c r="BAO256" s="486"/>
      <c r="BAP256" s="486"/>
      <c r="BAQ256" s="486"/>
      <c r="BAR256" s="486"/>
      <c r="BAS256" s="486"/>
      <c r="BAT256" s="486"/>
      <c r="BAU256" s="486"/>
      <c r="BAV256" s="486"/>
      <c r="BAW256" s="486"/>
      <c r="BAX256" s="486"/>
      <c r="BAY256" s="486"/>
      <c r="BAZ256" s="486"/>
      <c r="BBA256" s="486"/>
      <c r="BBB256" s="486"/>
      <c r="BBC256" s="486"/>
      <c r="BBD256" s="486"/>
      <c r="BBE256" s="486"/>
      <c r="BBF256" s="486"/>
      <c r="BBG256" s="486"/>
      <c r="BBH256" s="486"/>
      <c r="BBI256" s="486"/>
      <c r="BBJ256" s="486"/>
      <c r="BBK256" s="486"/>
      <c r="BBL256" s="486"/>
      <c r="BBM256" s="486"/>
      <c r="BBN256" s="486"/>
      <c r="BBO256" s="486"/>
      <c r="BBP256" s="486"/>
      <c r="BBQ256" s="486"/>
      <c r="BBR256" s="486"/>
      <c r="BBS256" s="486"/>
      <c r="BBT256" s="486"/>
      <c r="BBU256" s="486"/>
      <c r="BBV256" s="486"/>
      <c r="BBW256" s="486"/>
      <c r="BBX256" s="486"/>
      <c r="BBY256" s="486"/>
      <c r="BBZ256" s="486"/>
      <c r="BCA256" s="486"/>
      <c r="BCB256" s="486"/>
      <c r="BCC256" s="486"/>
      <c r="BCD256" s="486"/>
      <c r="BCE256" s="486"/>
      <c r="BCF256" s="486"/>
      <c r="BCG256" s="486"/>
      <c r="BCH256" s="486"/>
      <c r="BCI256" s="486"/>
      <c r="BCJ256" s="486"/>
      <c r="BCK256" s="486"/>
      <c r="BCL256" s="486"/>
      <c r="BCM256" s="486"/>
      <c r="BCN256" s="486"/>
      <c r="BCO256" s="486"/>
      <c r="BCP256" s="486"/>
      <c r="BCQ256" s="486"/>
      <c r="BCR256" s="486"/>
      <c r="BCS256" s="486"/>
      <c r="BCT256" s="486"/>
      <c r="BCU256" s="486"/>
      <c r="BCV256" s="486"/>
      <c r="BCW256" s="486"/>
      <c r="BCX256" s="486"/>
      <c r="BCY256" s="486"/>
      <c r="BCZ256" s="486"/>
      <c r="BDA256" s="486"/>
      <c r="BDB256" s="486"/>
      <c r="BDC256" s="486"/>
      <c r="BDD256" s="486"/>
      <c r="BDE256" s="486"/>
      <c r="BDF256" s="486"/>
      <c r="BDG256" s="486"/>
      <c r="BDH256" s="486"/>
      <c r="BDI256" s="486"/>
      <c r="BDJ256" s="486"/>
      <c r="BDK256" s="486"/>
      <c r="BDL256" s="486"/>
      <c r="BDM256" s="486"/>
      <c r="BDN256" s="486"/>
      <c r="BDO256" s="486"/>
      <c r="BDP256" s="486"/>
      <c r="BDQ256" s="486"/>
      <c r="BDR256" s="486"/>
      <c r="BDS256" s="486"/>
      <c r="BDT256" s="486"/>
      <c r="BDU256" s="486"/>
      <c r="BDV256" s="486"/>
      <c r="BDW256" s="486"/>
      <c r="BDX256" s="486"/>
      <c r="BDY256" s="486"/>
      <c r="BDZ256" s="486"/>
      <c r="BEA256" s="486"/>
      <c r="BEB256" s="486"/>
      <c r="BEC256" s="486"/>
      <c r="BED256" s="486"/>
      <c r="BEE256" s="486"/>
      <c r="BEF256" s="486"/>
      <c r="BEG256" s="486"/>
      <c r="BEH256" s="486"/>
      <c r="BEI256" s="486"/>
      <c r="BEJ256" s="486"/>
      <c r="BEK256" s="486"/>
      <c r="BEL256" s="486"/>
      <c r="BEM256" s="486"/>
      <c r="BEN256" s="486"/>
      <c r="BEO256" s="486"/>
      <c r="BEP256" s="486"/>
      <c r="BEQ256" s="486"/>
      <c r="BER256" s="486"/>
      <c r="BES256" s="486"/>
      <c r="BET256" s="486"/>
      <c r="BEU256" s="486"/>
      <c r="BEV256" s="486"/>
      <c r="BEW256" s="486"/>
      <c r="BEX256" s="486"/>
      <c r="BEY256" s="486"/>
      <c r="BEZ256" s="486"/>
      <c r="BFA256" s="486"/>
      <c r="BFB256" s="486"/>
      <c r="BFC256" s="486"/>
      <c r="BFD256" s="486"/>
      <c r="BFE256" s="486"/>
      <c r="BFF256" s="486"/>
      <c r="BFG256" s="486"/>
      <c r="BFH256" s="486"/>
      <c r="BFI256" s="486"/>
      <c r="BFJ256" s="486"/>
      <c r="BFK256" s="486"/>
      <c r="BFL256" s="486"/>
      <c r="BFM256" s="486"/>
      <c r="BFN256" s="486"/>
      <c r="BFO256" s="486"/>
      <c r="BFP256" s="486"/>
      <c r="BFQ256" s="486"/>
      <c r="BFR256" s="486"/>
      <c r="BFS256" s="486"/>
      <c r="BFT256" s="486"/>
      <c r="BFU256" s="486"/>
      <c r="BFV256" s="486"/>
      <c r="BFW256" s="486"/>
      <c r="BFX256" s="486"/>
      <c r="BFY256" s="486"/>
      <c r="BFZ256" s="486"/>
      <c r="BGA256" s="486"/>
      <c r="BGB256" s="486"/>
      <c r="BGC256" s="486"/>
      <c r="BGD256" s="486"/>
      <c r="BGE256" s="486"/>
      <c r="BGF256" s="486"/>
      <c r="BGG256" s="486"/>
      <c r="BGH256" s="486"/>
      <c r="BGI256" s="486"/>
      <c r="BGJ256" s="486"/>
      <c r="BGK256" s="486"/>
      <c r="BGL256" s="486"/>
      <c r="BGM256" s="486"/>
      <c r="BGN256" s="486"/>
      <c r="BGO256" s="486"/>
      <c r="BGP256" s="486"/>
      <c r="BGQ256" s="486"/>
      <c r="BGR256" s="486"/>
      <c r="BGS256" s="486"/>
      <c r="BGT256" s="486"/>
      <c r="BGU256" s="486"/>
      <c r="BGV256" s="486"/>
      <c r="BGW256" s="486"/>
      <c r="BGX256" s="486"/>
      <c r="BGY256" s="486"/>
      <c r="BGZ256" s="486"/>
      <c r="BHA256" s="486"/>
      <c r="BHB256" s="486"/>
      <c r="BHC256" s="486"/>
      <c r="BHD256" s="486"/>
      <c r="BHE256" s="486"/>
      <c r="BHF256" s="486"/>
      <c r="BHG256" s="486"/>
      <c r="BHH256" s="486"/>
      <c r="BHI256" s="486"/>
      <c r="BHJ256" s="486"/>
      <c r="BHK256" s="486"/>
      <c r="BHL256" s="486"/>
      <c r="BHM256" s="486"/>
      <c r="BHN256" s="486"/>
      <c r="BHO256" s="486"/>
      <c r="BHP256" s="486"/>
      <c r="BHQ256" s="486"/>
      <c r="BHR256" s="486"/>
      <c r="BHS256" s="486"/>
      <c r="BHT256" s="486"/>
      <c r="BHU256" s="486"/>
      <c r="BHV256" s="486"/>
      <c r="BHW256" s="486"/>
      <c r="BHX256" s="486"/>
      <c r="BHY256" s="486"/>
      <c r="BHZ256" s="486"/>
      <c r="BIA256" s="486"/>
      <c r="BIB256" s="486"/>
      <c r="BIC256" s="486"/>
      <c r="BID256" s="486"/>
      <c r="BIE256" s="486"/>
      <c r="BIF256" s="486"/>
      <c r="BIG256" s="486"/>
      <c r="BIH256" s="486"/>
      <c r="BII256" s="486"/>
      <c r="BIJ256" s="486"/>
      <c r="BIK256" s="486"/>
      <c r="BIL256" s="486"/>
      <c r="BIM256" s="486"/>
      <c r="BIN256" s="486"/>
      <c r="BIO256" s="486"/>
      <c r="BIP256" s="486"/>
      <c r="BIQ256" s="486"/>
      <c r="BIR256" s="486"/>
      <c r="BIS256" s="486"/>
      <c r="BIT256" s="486"/>
      <c r="BIU256" s="486"/>
      <c r="BIV256" s="486"/>
      <c r="BIW256" s="486"/>
      <c r="BIX256" s="486"/>
      <c r="BIY256" s="486"/>
      <c r="BIZ256" s="486"/>
      <c r="BJA256" s="486"/>
      <c r="BJB256" s="486"/>
      <c r="BJC256" s="486"/>
      <c r="BJD256" s="486"/>
      <c r="BJE256" s="486"/>
      <c r="BJF256" s="486"/>
      <c r="BJG256" s="486"/>
      <c r="BJH256" s="486"/>
      <c r="BJI256" s="486"/>
      <c r="BJJ256" s="486"/>
      <c r="BJK256" s="486"/>
      <c r="BJL256" s="486"/>
      <c r="BJM256" s="486"/>
      <c r="BJN256" s="486"/>
      <c r="BJO256" s="486"/>
      <c r="BJP256" s="486"/>
      <c r="BJQ256" s="486"/>
      <c r="BJR256" s="486"/>
      <c r="BJS256" s="486"/>
      <c r="BJT256" s="486"/>
      <c r="BJU256" s="486"/>
      <c r="BJV256" s="486"/>
      <c r="BJW256" s="486"/>
      <c r="BJX256" s="486"/>
      <c r="BJY256" s="486"/>
      <c r="BJZ256" s="486"/>
      <c r="BKA256" s="486"/>
      <c r="BKB256" s="486"/>
      <c r="BKC256" s="486"/>
      <c r="BKD256" s="486"/>
      <c r="BKE256" s="486"/>
      <c r="BKF256" s="486"/>
      <c r="BKG256" s="486"/>
      <c r="BKH256" s="486"/>
      <c r="BKI256" s="486"/>
      <c r="BKJ256" s="486"/>
      <c r="BKK256" s="486"/>
      <c r="BKL256" s="486"/>
      <c r="BKM256" s="486"/>
      <c r="BKN256" s="486"/>
      <c r="BKO256" s="486"/>
      <c r="BKP256" s="486"/>
      <c r="BKQ256" s="486"/>
      <c r="BKR256" s="486"/>
      <c r="BKS256" s="486"/>
      <c r="BKT256" s="486"/>
      <c r="BKU256" s="486"/>
      <c r="BKV256" s="486"/>
      <c r="BKW256" s="486"/>
      <c r="BKX256" s="486"/>
      <c r="BKY256" s="486"/>
      <c r="BKZ256" s="486"/>
      <c r="BLA256" s="486"/>
      <c r="BLB256" s="486"/>
      <c r="BLC256" s="486"/>
      <c r="BLD256" s="486"/>
      <c r="BLE256" s="486"/>
      <c r="BLF256" s="486"/>
      <c r="BLG256" s="486"/>
      <c r="BLH256" s="486"/>
      <c r="BLI256" s="486"/>
      <c r="BLJ256" s="486"/>
      <c r="BLK256" s="486"/>
      <c r="BLL256" s="486"/>
      <c r="BLM256" s="486"/>
      <c r="BLN256" s="486"/>
      <c r="BLO256" s="486"/>
      <c r="BLP256" s="486"/>
      <c r="BLQ256" s="486"/>
      <c r="BLR256" s="486"/>
      <c r="BLS256" s="486"/>
      <c r="BLT256" s="486"/>
      <c r="BLU256" s="486"/>
      <c r="BLV256" s="486"/>
      <c r="BLW256" s="486"/>
      <c r="BLX256" s="486"/>
      <c r="BLY256" s="486"/>
      <c r="BLZ256" s="486"/>
      <c r="BMA256" s="486"/>
      <c r="BMB256" s="486"/>
      <c r="BMC256" s="486"/>
      <c r="BMD256" s="486"/>
      <c r="BME256" s="486"/>
      <c r="BMF256" s="486"/>
      <c r="BMG256" s="486"/>
      <c r="BMH256" s="486"/>
      <c r="BMI256" s="486"/>
      <c r="BMJ256" s="486"/>
      <c r="BMK256" s="486"/>
      <c r="BML256" s="486"/>
      <c r="BMM256" s="486"/>
      <c r="BMN256" s="486"/>
      <c r="BMO256" s="486"/>
      <c r="BMP256" s="486"/>
      <c r="BMQ256" s="486"/>
      <c r="BMR256" s="486"/>
      <c r="BMS256" s="486"/>
      <c r="BMT256" s="486"/>
      <c r="BMU256" s="486"/>
      <c r="BMV256" s="486"/>
      <c r="BMW256" s="486"/>
      <c r="BMX256" s="486"/>
      <c r="BMY256" s="486"/>
      <c r="BMZ256" s="486"/>
      <c r="BNA256" s="486"/>
      <c r="BNB256" s="486"/>
      <c r="BNC256" s="486"/>
      <c r="BND256" s="486"/>
      <c r="BNE256" s="486"/>
      <c r="BNF256" s="486"/>
      <c r="BNG256" s="486"/>
      <c r="BNH256" s="486"/>
      <c r="BNI256" s="486"/>
      <c r="BNJ256" s="486"/>
      <c r="BNK256" s="486"/>
      <c r="BNL256" s="486"/>
      <c r="BNM256" s="486"/>
      <c r="BNN256" s="486"/>
      <c r="BNO256" s="486"/>
      <c r="BNP256" s="486"/>
      <c r="BNQ256" s="486"/>
      <c r="BNR256" s="486"/>
      <c r="BNS256" s="486"/>
      <c r="BNT256" s="486"/>
      <c r="BNU256" s="486"/>
      <c r="BNV256" s="486"/>
      <c r="BNW256" s="486"/>
      <c r="BNX256" s="486"/>
      <c r="BNY256" s="486"/>
      <c r="BNZ256" s="486"/>
      <c r="BOA256" s="486"/>
      <c r="BOB256" s="486"/>
      <c r="BOC256" s="486"/>
      <c r="BOD256" s="486"/>
      <c r="BOE256" s="486"/>
      <c r="BOF256" s="486"/>
      <c r="BOG256" s="486"/>
      <c r="BOH256" s="486"/>
      <c r="BOI256" s="486"/>
      <c r="BOJ256" s="486"/>
      <c r="BOK256" s="486"/>
      <c r="BOL256" s="486"/>
      <c r="BOM256" s="486"/>
      <c r="BON256" s="486"/>
      <c r="BOO256" s="486"/>
      <c r="BOP256" s="486"/>
      <c r="BOQ256" s="486"/>
      <c r="BOR256" s="486"/>
      <c r="BOS256" s="486"/>
      <c r="BOT256" s="486"/>
      <c r="BOU256" s="486"/>
      <c r="BOV256" s="486"/>
      <c r="BOW256" s="486"/>
      <c r="BOX256" s="486"/>
      <c r="BOY256" s="486"/>
      <c r="BOZ256" s="486"/>
      <c r="BPA256" s="486"/>
      <c r="BPB256" s="486"/>
      <c r="BPC256" s="486"/>
      <c r="BPD256" s="486"/>
      <c r="BPE256" s="486"/>
      <c r="BPF256" s="486"/>
      <c r="BPG256" s="486"/>
      <c r="BPH256" s="486"/>
      <c r="BPI256" s="486"/>
      <c r="BPJ256" s="486"/>
      <c r="BPK256" s="486"/>
      <c r="BPL256" s="486"/>
      <c r="BPM256" s="486"/>
      <c r="BPN256" s="486"/>
      <c r="BPO256" s="486"/>
      <c r="BPP256" s="486"/>
      <c r="BPQ256" s="486"/>
      <c r="BPR256" s="486"/>
      <c r="BPS256" s="486"/>
      <c r="BPT256" s="486"/>
      <c r="BPU256" s="486"/>
      <c r="BPV256" s="486"/>
      <c r="BPW256" s="486"/>
      <c r="BPX256" s="486"/>
      <c r="BPY256" s="486"/>
      <c r="BPZ256" s="486"/>
      <c r="BQA256" s="486"/>
      <c r="BQB256" s="486"/>
      <c r="BQC256" s="486"/>
      <c r="BQD256" s="486"/>
      <c r="BQE256" s="486"/>
      <c r="BQF256" s="486"/>
      <c r="BQG256" s="486"/>
      <c r="BQH256" s="486"/>
      <c r="BQI256" s="486"/>
      <c r="BQJ256" s="486"/>
      <c r="BQK256" s="486"/>
      <c r="BQL256" s="486"/>
      <c r="BQM256" s="486"/>
      <c r="BQN256" s="486"/>
      <c r="BQO256" s="486"/>
      <c r="BQP256" s="486"/>
      <c r="BQQ256" s="486"/>
      <c r="BQR256" s="486"/>
      <c r="BQS256" s="486"/>
      <c r="BQT256" s="486"/>
      <c r="BQU256" s="486"/>
      <c r="BQV256" s="486"/>
      <c r="BQW256" s="486"/>
      <c r="BQX256" s="486"/>
      <c r="BQY256" s="486"/>
      <c r="BQZ256" s="486"/>
      <c r="BRA256" s="486"/>
      <c r="BRB256" s="486"/>
      <c r="BRC256" s="486"/>
      <c r="BRD256" s="486"/>
      <c r="BRE256" s="486"/>
      <c r="BRF256" s="486"/>
      <c r="BRG256" s="486"/>
      <c r="BRH256" s="486"/>
      <c r="BRI256" s="486"/>
      <c r="BRJ256" s="486"/>
      <c r="BRK256" s="486"/>
      <c r="BRL256" s="486"/>
      <c r="BRM256" s="486"/>
      <c r="BRN256" s="486"/>
      <c r="BRO256" s="486"/>
      <c r="BRP256" s="486"/>
      <c r="BRQ256" s="486"/>
      <c r="BRR256" s="486"/>
      <c r="BRS256" s="486"/>
      <c r="BRT256" s="486"/>
      <c r="BRU256" s="486"/>
      <c r="BRV256" s="486"/>
      <c r="BRW256" s="486"/>
      <c r="BRX256" s="486"/>
      <c r="BRY256" s="486"/>
      <c r="BRZ256" s="486"/>
      <c r="BSA256" s="486"/>
      <c r="BSB256" s="486"/>
      <c r="BSC256" s="486"/>
      <c r="BSD256" s="486"/>
      <c r="BSE256" s="486"/>
      <c r="BSF256" s="486"/>
      <c r="BSG256" s="486"/>
      <c r="BSH256" s="486"/>
      <c r="BSI256" s="486"/>
      <c r="BSJ256" s="486"/>
      <c r="BSK256" s="486"/>
      <c r="BSL256" s="486"/>
      <c r="BSM256" s="486"/>
      <c r="BSN256" s="486"/>
      <c r="BSO256" s="486"/>
      <c r="BSP256" s="486"/>
      <c r="BSQ256" s="486"/>
      <c r="BSR256" s="486"/>
      <c r="BSS256" s="486"/>
      <c r="BST256" s="486"/>
      <c r="BSU256" s="486"/>
      <c r="BSV256" s="486"/>
      <c r="BSW256" s="486"/>
      <c r="BSX256" s="486"/>
      <c r="BSY256" s="486"/>
      <c r="BSZ256" s="486"/>
      <c r="BTA256" s="486"/>
      <c r="BTB256" s="486"/>
      <c r="BTC256" s="486"/>
      <c r="BTD256" s="486"/>
      <c r="BTE256" s="486"/>
      <c r="BTF256" s="486"/>
      <c r="BTG256" s="486"/>
      <c r="BTH256" s="486"/>
      <c r="BTI256" s="486"/>
    </row>
    <row r="257" spans="1:1881" s="485" customFormat="1" ht="15.75" thickBot="1" x14ac:dyDescent="0.3">
      <c r="B257" s="715" t="s">
        <v>924</v>
      </c>
      <c r="C257" s="717" t="s">
        <v>925</v>
      </c>
      <c r="D257" s="716"/>
      <c r="E257" s="718"/>
      <c r="F257" s="368"/>
      <c r="G257" s="563"/>
      <c r="H257" s="487"/>
      <c r="I257" s="405"/>
      <c r="J257" s="486"/>
      <c r="K257" s="486"/>
      <c r="L257" s="486"/>
      <c r="M257" s="486"/>
      <c r="N257"/>
      <c r="O257" s="486"/>
      <c r="P257" s="486"/>
      <c r="Q257" s="486"/>
      <c r="R257" s="486"/>
      <c r="S257" s="486"/>
      <c r="T257" s="486"/>
      <c r="U257" s="486"/>
      <c r="V257" s="486"/>
      <c r="W257" s="486"/>
      <c r="X257" s="486"/>
      <c r="Y257" s="486"/>
      <c r="Z257" s="486"/>
      <c r="AA257" s="486"/>
      <c r="AB257" s="486"/>
      <c r="AC257" s="486"/>
      <c r="AD257" s="486"/>
      <c r="AE257" s="486"/>
      <c r="AF257" s="486"/>
      <c r="AG257" s="486"/>
      <c r="AH257" s="486"/>
      <c r="AI257" s="486"/>
      <c r="AJ257" s="486"/>
      <c r="AK257" s="486"/>
      <c r="AL257" s="486"/>
      <c r="AM257" s="486"/>
      <c r="AN257" s="486"/>
      <c r="AO257" s="486"/>
      <c r="AP257" s="486"/>
      <c r="AQ257" s="486"/>
      <c r="AR257" s="486"/>
      <c r="AS257" s="486"/>
      <c r="AT257" s="486"/>
      <c r="AU257" s="486"/>
      <c r="AV257" s="486"/>
      <c r="AW257" s="486"/>
      <c r="AX257" s="486"/>
      <c r="AY257" s="486"/>
      <c r="AZ257" s="486"/>
      <c r="BA257" s="486"/>
      <c r="BB257" s="486"/>
      <c r="BC257" s="486"/>
      <c r="BD257" s="486"/>
      <c r="BE257" s="486"/>
      <c r="BF257" s="486"/>
      <c r="BG257" s="486"/>
      <c r="BH257" s="486"/>
      <c r="BI257" s="486"/>
      <c r="BJ257" s="486"/>
      <c r="BK257" s="486"/>
      <c r="BL257" s="486"/>
      <c r="BM257" s="486"/>
      <c r="BN257" s="486"/>
      <c r="BO257" s="486"/>
      <c r="BP257" s="486"/>
      <c r="BQ257" s="486"/>
      <c r="BR257" s="486"/>
      <c r="BS257" s="486"/>
      <c r="BT257" s="486"/>
      <c r="BU257" s="486"/>
      <c r="BV257" s="486"/>
      <c r="BW257" s="486"/>
      <c r="BX257" s="486"/>
      <c r="BY257" s="486"/>
      <c r="BZ257" s="486"/>
      <c r="CA257" s="486"/>
      <c r="CB257" s="486"/>
      <c r="CC257" s="486"/>
      <c r="CD257" s="486"/>
      <c r="CE257" s="486"/>
      <c r="CF257" s="486"/>
      <c r="CG257" s="486"/>
      <c r="CH257" s="486"/>
      <c r="CI257" s="486"/>
      <c r="CJ257" s="486"/>
      <c r="CK257" s="486"/>
      <c r="CL257" s="486"/>
      <c r="CM257" s="486"/>
      <c r="CN257" s="486"/>
      <c r="CO257" s="486"/>
      <c r="CP257" s="486"/>
      <c r="CQ257" s="486"/>
      <c r="CR257" s="486"/>
      <c r="CS257" s="486"/>
      <c r="CT257" s="486"/>
      <c r="CU257" s="486"/>
      <c r="CV257" s="486"/>
      <c r="CW257" s="486"/>
      <c r="CX257" s="486"/>
      <c r="CY257" s="486"/>
      <c r="CZ257" s="486"/>
      <c r="DA257" s="486"/>
      <c r="DB257" s="486"/>
      <c r="DC257" s="486"/>
      <c r="DD257" s="486"/>
      <c r="DE257" s="486"/>
      <c r="DF257" s="486"/>
      <c r="DG257" s="486"/>
      <c r="DH257" s="486"/>
      <c r="DI257" s="486"/>
      <c r="DJ257" s="486"/>
      <c r="DK257" s="486"/>
      <c r="DL257" s="486"/>
      <c r="DM257" s="486"/>
      <c r="DN257" s="486"/>
      <c r="DO257" s="486"/>
      <c r="DP257" s="486"/>
      <c r="DQ257" s="486"/>
      <c r="DR257" s="486"/>
      <c r="DS257" s="486"/>
      <c r="DT257" s="486"/>
      <c r="DU257" s="486"/>
      <c r="DV257" s="486"/>
      <c r="DW257" s="486"/>
      <c r="DX257" s="486"/>
      <c r="DY257" s="486"/>
      <c r="DZ257" s="486"/>
      <c r="EA257" s="486"/>
      <c r="EB257" s="486"/>
      <c r="EC257" s="486"/>
      <c r="ED257" s="486"/>
      <c r="EE257" s="486"/>
      <c r="EF257" s="486"/>
      <c r="EG257" s="486"/>
      <c r="EH257" s="486"/>
      <c r="EI257" s="486"/>
      <c r="EJ257" s="486"/>
      <c r="EK257" s="486"/>
      <c r="EL257" s="486"/>
      <c r="EM257" s="486"/>
      <c r="EN257" s="486"/>
      <c r="EO257" s="486"/>
      <c r="EP257" s="486"/>
      <c r="EQ257" s="486"/>
      <c r="ER257" s="486"/>
      <c r="ES257" s="486"/>
      <c r="ET257" s="486"/>
      <c r="EU257" s="486"/>
      <c r="EV257" s="486"/>
      <c r="EW257" s="486"/>
      <c r="EX257" s="486"/>
      <c r="EY257" s="486"/>
      <c r="EZ257" s="486"/>
      <c r="FA257" s="486"/>
      <c r="FB257" s="486"/>
      <c r="FC257" s="486"/>
      <c r="FD257" s="486"/>
      <c r="FE257" s="486"/>
      <c r="FF257" s="486"/>
      <c r="FG257" s="486"/>
      <c r="FH257" s="486"/>
      <c r="FI257" s="486"/>
      <c r="FJ257" s="486"/>
      <c r="FK257" s="486"/>
      <c r="FL257" s="486"/>
      <c r="FM257" s="486"/>
      <c r="FN257" s="486"/>
      <c r="FO257" s="486"/>
      <c r="FP257" s="486"/>
      <c r="FQ257" s="486"/>
      <c r="FR257" s="486"/>
      <c r="FS257" s="486"/>
      <c r="FT257" s="486"/>
      <c r="FU257" s="486"/>
      <c r="FV257" s="486"/>
      <c r="FW257" s="486"/>
      <c r="FX257" s="486"/>
      <c r="FY257" s="486"/>
      <c r="FZ257" s="486"/>
      <c r="GA257" s="486"/>
      <c r="GB257" s="486"/>
      <c r="GC257" s="486"/>
      <c r="GD257" s="486"/>
      <c r="GE257" s="486"/>
      <c r="GF257" s="486"/>
      <c r="GG257" s="486"/>
      <c r="GH257" s="486"/>
      <c r="GI257" s="486"/>
      <c r="GJ257" s="486"/>
      <c r="GK257" s="486"/>
      <c r="GL257" s="486"/>
      <c r="GM257" s="486"/>
      <c r="GN257" s="486"/>
      <c r="GO257" s="486"/>
      <c r="GP257" s="486"/>
      <c r="GQ257" s="486"/>
      <c r="GR257" s="486"/>
      <c r="GS257" s="486"/>
      <c r="GT257" s="486"/>
      <c r="GU257" s="486"/>
      <c r="GV257" s="486"/>
      <c r="GW257" s="486"/>
      <c r="GX257" s="486"/>
      <c r="GY257" s="486"/>
      <c r="GZ257" s="486"/>
      <c r="HA257" s="486"/>
      <c r="HB257" s="486"/>
      <c r="HC257" s="486"/>
      <c r="HD257" s="486"/>
      <c r="HE257" s="486"/>
      <c r="HF257" s="486"/>
      <c r="HG257" s="486"/>
      <c r="HH257" s="486"/>
      <c r="HI257" s="486"/>
      <c r="HJ257" s="486"/>
      <c r="HK257" s="486"/>
      <c r="HL257" s="486"/>
      <c r="HM257" s="486"/>
      <c r="HN257" s="486"/>
      <c r="HO257" s="486"/>
      <c r="HP257" s="486"/>
      <c r="HQ257" s="486"/>
      <c r="HR257" s="486"/>
      <c r="HS257" s="486"/>
      <c r="HT257" s="486"/>
      <c r="HU257" s="486"/>
      <c r="HV257" s="486"/>
      <c r="HW257" s="486"/>
      <c r="HX257" s="486"/>
      <c r="HY257" s="486"/>
      <c r="HZ257" s="486"/>
      <c r="IA257" s="486"/>
      <c r="IB257" s="486"/>
      <c r="IC257" s="486"/>
      <c r="ID257" s="486"/>
      <c r="IE257" s="486"/>
      <c r="IF257" s="486"/>
      <c r="IG257" s="486"/>
      <c r="IH257" s="486"/>
      <c r="II257" s="486"/>
      <c r="IJ257" s="486"/>
      <c r="IK257" s="486"/>
      <c r="IL257" s="486"/>
      <c r="IM257" s="486"/>
      <c r="IN257" s="486"/>
      <c r="IO257" s="486"/>
      <c r="IP257" s="486"/>
      <c r="IQ257" s="486"/>
      <c r="IR257" s="486"/>
      <c r="IS257" s="486"/>
      <c r="IT257" s="486"/>
      <c r="IU257" s="486"/>
      <c r="IV257" s="486"/>
      <c r="IW257" s="486"/>
      <c r="IX257" s="486"/>
      <c r="IY257" s="486"/>
      <c r="IZ257" s="486"/>
      <c r="JA257" s="486"/>
      <c r="JB257" s="486"/>
      <c r="JC257" s="486"/>
      <c r="JD257" s="486"/>
      <c r="JE257" s="486"/>
      <c r="JF257" s="486"/>
      <c r="JG257" s="486"/>
      <c r="JH257" s="486"/>
      <c r="JI257" s="486"/>
      <c r="JJ257" s="486"/>
      <c r="JK257" s="486"/>
      <c r="JL257" s="486"/>
      <c r="JM257" s="486"/>
      <c r="JN257" s="486"/>
      <c r="JO257" s="486"/>
      <c r="JP257" s="486"/>
      <c r="JQ257" s="486"/>
      <c r="JR257" s="486"/>
      <c r="JS257" s="486"/>
      <c r="JT257" s="486"/>
      <c r="JU257" s="486"/>
      <c r="JV257" s="486"/>
      <c r="JW257" s="486"/>
      <c r="JX257" s="486"/>
      <c r="JY257" s="486"/>
      <c r="JZ257" s="486"/>
      <c r="KA257" s="486"/>
      <c r="KB257" s="486"/>
      <c r="KC257" s="486"/>
      <c r="KD257" s="486"/>
      <c r="KE257" s="486"/>
      <c r="KF257" s="486"/>
      <c r="KG257" s="486"/>
      <c r="KH257" s="486"/>
      <c r="KI257" s="486"/>
      <c r="KJ257" s="486"/>
      <c r="KK257" s="486"/>
      <c r="KL257" s="486"/>
      <c r="KM257" s="486"/>
      <c r="KN257" s="486"/>
      <c r="KO257" s="486"/>
      <c r="KP257" s="486"/>
      <c r="KQ257" s="486"/>
      <c r="KR257" s="486"/>
      <c r="KS257" s="486"/>
      <c r="KT257" s="486"/>
      <c r="KU257" s="486"/>
      <c r="KV257" s="486"/>
      <c r="KW257" s="486"/>
      <c r="KX257" s="486"/>
      <c r="KY257" s="486"/>
      <c r="KZ257" s="486"/>
      <c r="LA257" s="486"/>
      <c r="LB257" s="486"/>
      <c r="LC257" s="486"/>
      <c r="LD257" s="486"/>
      <c r="LE257" s="486"/>
      <c r="LF257" s="486"/>
      <c r="LG257" s="486"/>
      <c r="LH257" s="486"/>
      <c r="LI257" s="486"/>
      <c r="LJ257" s="486"/>
      <c r="LK257" s="486"/>
      <c r="LL257" s="486"/>
      <c r="LM257" s="486"/>
      <c r="LN257" s="486"/>
      <c r="LO257" s="486"/>
      <c r="LP257" s="486"/>
      <c r="LQ257" s="486"/>
      <c r="LR257" s="486"/>
      <c r="LS257" s="486"/>
      <c r="LT257" s="486"/>
      <c r="LU257" s="486"/>
      <c r="LV257" s="486"/>
      <c r="LW257" s="486"/>
      <c r="LX257" s="486"/>
      <c r="LY257" s="486"/>
      <c r="LZ257" s="486"/>
      <c r="MA257" s="486"/>
      <c r="MB257" s="486"/>
      <c r="MC257" s="486"/>
      <c r="MD257" s="486"/>
      <c r="ME257" s="486"/>
      <c r="MF257" s="486"/>
      <c r="MG257" s="486"/>
      <c r="MH257" s="486"/>
      <c r="MI257" s="486"/>
      <c r="MJ257" s="486"/>
      <c r="MK257" s="486"/>
      <c r="ML257" s="486"/>
      <c r="MM257" s="486"/>
      <c r="MN257" s="486"/>
      <c r="MO257" s="486"/>
      <c r="MP257" s="486"/>
      <c r="MQ257" s="486"/>
      <c r="MR257" s="486"/>
      <c r="MS257" s="486"/>
      <c r="MT257" s="486"/>
      <c r="MU257" s="486"/>
      <c r="MV257" s="486"/>
      <c r="MW257" s="486"/>
      <c r="MX257" s="486"/>
      <c r="MY257" s="486"/>
      <c r="MZ257" s="486"/>
      <c r="NA257" s="486"/>
      <c r="NB257" s="486"/>
      <c r="NC257" s="486"/>
      <c r="ND257" s="486"/>
      <c r="NE257" s="486"/>
      <c r="NF257" s="486"/>
      <c r="NG257" s="486"/>
      <c r="NH257" s="486"/>
      <c r="NI257" s="486"/>
      <c r="NJ257" s="486"/>
      <c r="NK257" s="486"/>
      <c r="NL257" s="486"/>
      <c r="NM257" s="486"/>
      <c r="NN257" s="486"/>
      <c r="NO257" s="486"/>
      <c r="NP257" s="486"/>
      <c r="NQ257" s="486"/>
      <c r="NR257" s="486"/>
      <c r="NS257" s="486"/>
      <c r="NT257" s="486"/>
      <c r="NU257" s="486"/>
      <c r="NV257" s="486"/>
      <c r="NW257" s="486"/>
      <c r="NX257" s="486"/>
      <c r="NY257" s="486"/>
      <c r="NZ257" s="486"/>
      <c r="OA257" s="486"/>
      <c r="OB257" s="486"/>
      <c r="OC257" s="486"/>
      <c r="OD257" s="486"/>
      <c r="OE257" s="486"/>
      <c r="OF257" s="486"/>
      <c r="OG257" s="486"/>
      <c r="OH257" s="486"/>
      <c r="OI257" s="486"/>
      <c r="OJ257" s="486"/>
      <c r="OK257" s="486"/>
      <c r="OL257" s="486"/>
      <c r="OM257" s="486"/>
      <c r="ON257" s="486"/>
      <c r="OO257" s="486"/>
      <c r="OP257" s="486"/>
      <c r="OQ257" s="486"/>
      <c r="OR257" s="486"/>
      <c r="OS257" s="486"/>
      <c r="OT257" s="486"/>
      <c r="OU257" s="486"/>
      <c r="OV257" s="486"/>
      <c r="OW257" s="486"/>
      <c r="OX257" s="486"/>
      <c r="OY257" s="486"/>
      <c r="OZ257" s="486"/>
      <c r="PA257" s="486"/>
      <c r="PB257" s="486"/>
      <c r="PC257" s="486"/>
      <c r="PD257" s="486"/>
      <c r="PE257" s="486"/>
      <c r="PF257" s="486"/>
      <c r="PG257" s="486"/>
      <c r="PH257" s="486"/>
      <c r="PI257" s="486"/>
      <c r="PJ257" s="486"/>
      <c r="PK257" s="486"/>
      <c r="PL257" s="486"/>
      <c r="PM257" s="486"/>
      <c r="PN257" s="486"/>
      <c r="PO257" s="486"/>
      <c r="PP257" s="486"/>
      <c r="PQ257" s="486"/>
      <c r="PR257" s="486"/>
      <c r="PS257" s="486"/>
      <c r="PT257" s="486"/>
      <c r="PU257" s="486"/>
      <c r="PV257" s="486"/>
      <c r="PW257" s="486"/>
      <c r="PX257" s="486"/>
      <c r="PY257" s="486"/>
      <c r="PZ257" s="486"/>
      <c r="QA257" s="486"/>
      <c r="QB257" s="486"/>
      <c r="QC257" s="486"/>
      <c r="QD257" s="486"/>
      <c r="QE257" s="486"/>
      <c r="QF257" s="486"/>
      <c r="QG257" s="486"/>
      <c r="QH257" s="486"/>
      <c r="QI257" s="486"/>
      <c r="QJ257" s="486"/>
      <c r="QK257" s="486"/>
      <c r="QL257" s="486"/>
      <c r="QM257" s="486"/>
      <c r="QN257" s="486"/>
      <c r="QO257" s="486"/>
      <c r="QP257" s="486"/>
      <c r="QQ257" s="486"/>
      <c r="QR257" s="486"/>
      <c r="QS257" s="486"/>
      <c r="QT257" s="486"/>
      <c r="QU257" s="486"/>
      <c r="QV257" s="486"/>
      <c r="QW257" s="486"/>
      <c r="QX257" s="486"/>
      <c r="QY257" s="486"/>
      <c r="QZ257" s="486"/>
      <c r="RA257" s="486"/>
      <c r="RB257" s="486"/>
      <c r="RC257" s="486"/>
      <c r="RD257" s="486"/>
      <c r="RE257" s="486"/>
      <c r="RF257" s="486"/>
      <c r="RG257" s="486"/>
      <c r="RH257" s="486"/>
      <c r="RI257" s="486"/>
      <c r="RJ257" s="486"/>
      <c r="RK257" s="486"/>
      <c r="RL257" s="486"/>
      <c r="RM257" s="486"/>
      <c r="RN257" s="486"/>
      <c r="RO257" s="486"/>
      <c r="RP257" s="486"/>
      <c r="RQ257" s="486"/>
      <c r="RR257" s="486"/>
      <c r="RS257" s="486"/>
      <c r="RT257" s="486"/>
      <c r="RU257" s="486"/>
      <c r="RV257" s="486"/>
      <c r="RW257" s="486"/>
      <c r="RX257" s="486"/>
      <c r="RY257" s="486"/>
      <c r="RZ257" s="486"/>
      <c r="SA257" s="486"/>
      <c r="SB257" s="486"/>
      <c r="SC257" s="486"/>
      <c r="SD257" s="486"/>
      <c r="SE257" s="486"/>
      <c r="SF257" s="486"/>
      <c r="SG257" s="486"/>
      <c r="SH257" s="486"/>
      <c r="SI257" s="486"/>
      <c r="SJ257" s="486"/>
      <c r="SK257" s="486"/>
      <c r="SL257" s="486"/>
      <c r="SM257" s="486"/>
      <c r="SN257" s="486"/>
      <c r="SO257" s="486"/>
      <c r="SP257" s="486"/>
      <c r="SQ257" s="486"/>
      <c r="SR257" s="486"/>
      <c r="SS257" s="486"/>
      <c r="ST257" s="486"/>
      <c r="SU257" s="486"/>
      <c r="SV257" s="486"/>
      <c r="SW257" s="486"/>
      <c r="SX257" s="486"/>
      <c r="SY257" s="486"/>
      <c r="SZ257" s="486"/>
      <c r="TA257" s="486"/>
      <c r="TB257" s="486"/>
      <c r="TC257" s="486"/>
      <c r="TD257" s="486"/>
      <c r="TE257" s="486"/>
      <c r="TF257" s="486"/>
      <c r="TG257" s="486"/>
      <c r="TH257" s="486"/>
      <c r="TI257" s="486"/>
      <c r="TJ257" s="486"/>
      <c r="TK257" s="486"/>
      <c r="TL257" s="486"/>
      <c r="TM257" s="486"/>
      <c r="TN257" s="486"/>
      <c r="TO257" s="486"/>
      <c r="TP257" s="486"/>
      <c r="TQ257" s="486"/>
      <c r="TR257" s="486"/>
      <c r="TS257" s="486"/>
      <c r="TT257" s="486"/>
      <c r="TU257" s="486"/>
      <c r="TV257" s="486"/>
      <c r="TW257" s="486"/>
      <c r="TX257" s="486"/>
      <c r="TY257" s="486"/>
      <c r="TZ257" s="486"/>
      <c r="UA257" s="486"/>
      <c r="UB257" s="486"/>
      <c r="UC257" s="486"/>
      <c r="UD257" s="486"/>
      <c r="UE257" s="486"/>
      <c r="UF257" s="486"/>
      <c r="UG257" s="486"/>
      <c r="UH257" s="486"/>
      <c r="UI257" s="486"/>
      <c r="UJ257" s="486"/>
      <c r="UK257" s="486"/>
      <c r="UL257" s="486"/>
      <c r="UM257" s="486"/>
      <c r="UN257" s="486"/>
      <c r="UO257" s="486"/>
      <c r="UP257" s="486"/>
      <c r="UQ257" s="486"/>
      <c r="UR257" s="486"/>
      <c r="US257" s="486"/>
      <c r="UT257" s="486"/>
      <c r="UU257" s="486"/>
      <c r="UV257" s="486"/>
      <c r="UW257" s="486"/>
      <c r="UX257" s="486"/>
      <c r="UY257" s="486"/>
      <c r="UZ257" s="486"/>
      <c r="VA257" s="486"/>
      <c r="VB257" s="486"/>
      <c r="VC257" s="486"/>
      <c r="VD257" s="486"/>
      <c r="VE257" s="486"/>
      <c r="VF257" s="486"/>
      <c r="VG257" s="486"/>
      <c r="VH257" s="486"/>
      <c r="VI257" s="486"/>
      <c r="VJ257" s="486"/>
      <c r="VK257" s="486"/>
      <c r="VL257" s="486"/>
      <c r="VM257" s="486"/>
      <c r="VN257" s="486"/>
      <c r="VO257" s="486"/>
      <c r="VP257" s="486"/>
      <c r="VQ257" s="486"/>
      <c r="VR257" s="486"/>
      <c r="VS257" s="486"/>
      <c r="VT257" s="486"/>
      <c r="VU257" s="486"/>
      <c r="VV257" s="486"/>
      <c r="VW257" s="486"/>
      <c r="VX257" s="486"/>
      <c r="VY257" s="486"/>
      <c r="VZ257" s="486"/>
      <c r="WA257" s="486"/>
      <c r="WB257" s="486"/>
      <c r="WC257" s="486"/>
      <c r="WD257" s="486"/>
      <c r="WE257" s="486"/>
      <c r="WF257" s="486"/>
      <c r="WG257" s="486"/>
      <c r="WH257" s="486"/>
      <c r="WI257" s="486"/>
      <c r="WJ257" s="486"/>
      <c r="WK257" s="486"/>
      <c r="WL257" s="486"/>
      <c r="WM257" s="486"/>
      <c r="WN257" s="486"/>
      <c r="WO257" s="486"/>
      <c r="WP257" s="486"/>
      <c r="WQ257" s="486"/>
      <c r="WR257" s="486"/>
      <c r="WS257" s="486"/>
      <c r="WT257" s="486"/>
      <c r="WU257" s="486"/>
      <c r="WV257" s="486"/>
      <c r="WW257" s="486"/>
      <c r="WX257" s="486"/>
      <c r="WY257" s="486"/>
      <c r="WZ257" s="486"/>
      <c r="XA257" s="486"/>
      <c r="XB257" s="486"/>
      <c r="XC257" s="486"/>
      <c r="XD257" s="486"/>
      <c r="XE257" s="486"/>
      <c r="XF257" s="486"/>
      <c r="XG257" s="486"/>
      <c r="XH257" s="486"/>
      <c r="XI257" s="486"/>
      <c r="XJ257" s="486"/>
      <c r="XK257" s="486"/>
      <c r="XL257" s="486"/>
      <c r="XM257" s="486"/>
      <c r="XN257" s="486"/>
      <c r="XO257" s="486"/>
      <c r="XP257" s="486"/>
      <c r="XQ257" s="486"/>
      <c r="XR257" s="486"/>
      <c r="XS257" s="486"/>
      <c r="XT257" s="486"/>
      <c r="XU257" s="486"/>
      <c r="XV257" s="486"/>
      <c r="XW257" s="486"/>
      <c r="XX257" s="486"/>
      <c r="XY257" s="486"/>
      <c r="XZ257" s="486"/>
      <c r="YA257" s="486"/>
      <c r="YB257" s="486"/>
      <c r="YC257" s="486"/>
      <c r="YD257" s="486"/>
      <c r="YE257" s="486"/>
      <c r="YF257" s="486"/>
      <c r="YG257" s="486"/>
      <c r="YH257" s="486"/>
      <c r="YI257" s="486"/>
      <c r="YJ257" s="486"/>
      <c r="YK257" s="486"/>
      <c r="YL257" s="486"/>
      <c r="YM257" s="486"/>
      <c r="YN257" s="486"/>
      <c r="YO257" s="486"/>
      <c r="YP257" s="486"/>
      <c r="YQ257" s="486"/>
      <c r="YR257" s="486"/>
      <c r="YS257" s="486"/>
      <c r="YT257" s="486"/>
      <c r="YU257" s="486"/>
      <c r="YV257" s="486"/>
      <c r="YW257" s="486"/>
      <c r="YX257" s="486"/>
      <c r="YY257" s="486"/>
      <c r="YZ257" s="486"/>
      <c r="ZA257" s="486"/>
      <c r="ZB257" s="486"/>
      <c r="ZC257" s="486"/>
      <c r="ZD257" s="486"/>
      <c r="ZE257" s="486"/>
      <c r="ZF257" s="486"/>
      <c r="ZG257" s="486"/>
      <c r="ZH257" s="486"/>
      <c r="ZI257" s="486"/>
      <c r="ZJ257" s="486"/>
      <c r="ZK257" s="486"/>
      <c r="ZL257" s="486"/>
      <c r="ZM257" s="486"/>
      <c r="ZN257" s="486"/>
      <c r="ZO257" s="486"/>
      <c r="ZP257" s="486"/>
      <c r="ZQ257" s="486"/>
      <c r="ZR257" s="486"/>
      <c r="ZS257" s="486"/>
      <c r="ZT257" s="486"/>
      <c r="ZU257" s="486"/>
      <c r="ZV257" s="486"/>
      <c r="ZW257" s="486"/>
      <c r="ZX257" s="486"/>
      <c r="ZY257" s="486"/>
      <c r="ZZ257" s="486"/>
      <c r="AAA257" s="486"/>
      <c r="AAB257" s="486"/>
      <c r="AAC257" s="486"/>
      <c r="AAD257" s="486"/>
      <c r="AAE257" s="486"/>
      <c r="AAF257" s="486"/>
      <c r="AAG257" s="486"/>
      <c r="AAH257" s="486"/>
      <c r="AAI257" s="486"/>
      <c r="AAJ257" s="486"/>
      <c r="AAK257" s="486"/>
      <c r="AAL257" s="486"/>
      <c r="AAM257" s="486"/>
      <c r="AAN257" s="486"/>
      <c r="AAO257" s="486"/>
      <c r="AAP257" s="486"/>
      <c r="AAQ257" s="486"/>
      <c r="AAR257" s="486"/>
      <c r="AAS257" s="486"/>
      <c r="AAT257" s="486"/>
      <c r="AAU257" s="486"/>
      <c r="AAV257" s="486"/>
      <c r="AAW257" s="486"/>
      <c r="AAX257" s="486"/>
      <c r="AAY257" s="486"/>
      <c r="AAZ257" s="486"/>
      <c r="ABA257" s="486"/>
      <c r="ABB257" s="486"/>
      <c r="ABC257" s="486"/>
      <c r="ABD257" s="486"/>
      <c r="ABE257" s="486"/>
      <c r="ABF257" s="486"/>
      <c r="ABG257" s="486"/>
      <c r="ABH257" s="486"/>
      <c r="ABI257" s="486"/>
      <c r="ABJ257" s="486"/>
      <c r="ABK257" s="486"/>
      <c r="ABL257" s="486"/>
      <c r="ABM257" s="486"/>
      <c r="ABN257" s="486"/>
      <c r="ABO257" s="486"/>
      <c r="ABP257" s="486"/>
      <c r="ABQ257" s="486"/>
      <c r="ABR257" s="486"/>
      <c r="ABS257" s="486"/>
      <c r="ABT257" s="486"/>
      <c r="ABU257" s="486"/>
      <c r="ABV257" s="486"/>
      <c r="ABW257" s="486"/>
      <c r="ABX257" s="486"/>
      <c r="ABY257" s="486"/>
      <c r="ABZ257" s="486"/>
      <c r="ACA257" s="486"/>
      <c r="ACB257" s="486"/>
      <c r="ACC257" s="486"/>
      <c r="ACD257" s="486"/>
      <c r="ACE257" s="486"/>
      <c r="ACF257" s="486"/>
      <c r="ACG257" s="486"/>
      <c r="ACH257" s="486"/>
      <c r="ACI257" s="486"/>
      <c r="ACJ257" s="486"/>
      <c r="ACK257" s="486"/>
      <c r="ACL257" s="486"/>
      <c r="ACM257" s="486"/>
      <c r="ACN257" s="486"/>
      <c r="ACO257" s="486"/>
      <c r="ACP257" s="486"/>
      <c r="ACQ257" s="486"/>
      <c r="ACR257" s="486"/>
      <c r="ACS257" s="486"/>
      <c r="ACT257" s="486"/>
      <c r="ACU257" s="486"/>
      <c r="ACV257" s="486"/>
      <c r="ACW257" s="486"/>
      <c r="ACX257" s="486"/>
      <c r="ACY257" s="486"/>
      <c r="ACZ257" s="486"/>
      <c r="ADA257" s="486"/>
      <c r="ADB257" s="486"/>
      <c r="ADC257" s="486"/>
      <c r="ADD257" s="486"/>
      <c r="ADE257" s="486"/>
      <c r="ADF257" s="486"/>
      <c r="ADG257" s="486"/>
      <c r="ADH257" s="486"/>
      <c r="ADI257" s="486"/>
      <c r="ADJ257" s="486"/>
      <c r="ADK257" s="486"/>
      <c r="ADL257" s="486"/>
      <c r="ADM257" s="486"/>
      <c r="ADN257" s="486"/>
      <c r="ADO257" s="486"/>
      <c r="ADP257" s="486"/>
      <c r="ADQ257" s="486"/>
      <c r="ADR257" s="486"/>
      <c r="ADS257" s="486"/>
      <c r="ADT257" s="486"/>
      <c r="ADU257" s="486"/>
      <c r="ADV257" s="486"/>
      <c r="ADW257" s="486"/>
      <c r="ADX257" s="486"/>
      <c r="ADY257" s="486"/>
      <c r="ADZ257" s="486"/>
      <c r="AEA257" s="486"/>
      <c r="AEB257" s="486"/>
      <c r="AEC257" s="486"/>
      <c r="AED257" s="486"/>
      <c r="AEE257" s="486"/>
      <c r="AEF257" s="486"/>
      <c r="AEG257" s="486"/>
      <c r="AEH257" s="486"/>
      <c r="AEI257" s="486"/>
      <c r="AEJ257" s="486"/>
      <c r="AEK257" s="486"/>
      <c r="AEL257" s="486"/>
      <c r="AEM257" s="486"/>
      <c r="AEN257" s="486"/>
      <c r="AEO257" s="486"/>
      <c r="AEP257" s="486"/>
      <c r="AEQ257" s="486"/>
      <c r="AER257" s="486"/>
      <c r="AES257" s="486"/>
      <c r="AET257" s="486"/>
      <c r="AEU257" s="486"/>
      <c r="AEV257" s="486"/>
      <c r="AEW257" s="486"/>
      <c r="AEX257" s="486"/>
      <c r="AEY257" s="486"/>
      <c r="AEZ257" s="486"/>
      <c r="AFA257" s="486"/>
      <c r="AFB257" s="486"/>
      <c r="AFC257" s="486"/>
      <c r="AFD257" s="486"/>
      <c r="AFE257" s="486"/>
      <c r="AFF257" s="486"/>
      <c r="AFG257" s="486"/>
      <c r="AFH257" s="486"/>
      <c r="AFI257" s="486"/>
      <c r="AFJ257" s="486"/>
      <c r="AFK257" s="486"/>
      <c r="AFL257" s="486"/>
      <c r="AFM257" s="486"/>
      <c r="AFN257" s="486"/>
      <c r="AFO257" s="486"/>
      <c r="AFP257" s="486"/>
      <c r="AFQ257" s="486"/>
      <c r="AFR257" s="486"/>
      <c r="AFS257" s="486"/>
      <c r="AFT257" s="486"/>
      <c r="AFU257" s="486"/>
      <c r="AFV257" s="486"/>
      <c r="AFW257" s="486"/>
      <c r="AFX257" s="486"/>
      <c r="AFY257" s="486"/>
      <c r="AFZ257" s="486"/>
      <c r="AGA257" s="486"/>
      <c r="AGB257" s="486"/>
      <c r="AGC257" s="486"/>
      <c r="AGD257" s="486"/>
      <c r="AGE257" s="486"/>
      <c r="AGF257" s="486"/>
      <c r="AGG257" s="486"/>
      <c r="AGH257" s="486"/>
      <c r="AGI257" s="486"/>
      <c r="AGJ257" s="486"/>
      <c r="AGK257" s="486"/>
      <c r="AGL257" s="486"/>
      <c r="AGM257" s="486"/>
      <c r="AGN257" s="486"/>
      <c r="AGO257" s="486"/>
      <c r="AGP257" s="486"/>
      <c r="AGQ257" s="486"/>
      <c r="AGR257" s="486"/>
      <c r="AGS257" s="486"/>
      <c r="AGT257" s="486"/>
      <c r="AGU257" s="486"/>
      <c r="AGV257" s="486"/>
      <c r="AGW257" s="486"/>
      <c r="AGX257" s="486"/>
      <c r="AGY257" s="486"/>
      <c r="AGZ257" s="486"/>
      <c r="AHA257" s="486"/>
      <c r="AHB257" s="486"/>
      <c r="AHC257" s="486"/>
      <c r="AHD257" s="486"/>
      <c r="AHE257" s="486"/>
      <c r="AHF257" s="486"/>
      <c r="AHG257" s="486"/>
      <c r="AHH257" s="486"/>
      <c r="AHI257" s="486"/>
      <c r="AHJ257" s="486"/>
      <c r="AHK257" s="486"/>
      <c r="AHL257" s="486"/>
      <c r="AHM257" s="486"/>
      <c r="AHN257" s="486"/>
      <c r="AHO257" s="486"/>
      <c r="AHP257" s="486"/>
      <c r="AHQ257" s="486"/>
      <c r="AHR257" s="486"/>
      <c r="AHS257" s="486"/>
      <c r="AHT257" s="486"/>
      <c r="AHU257" s="486"/>
      <c r="AHV257" s="486"/>
      <c r="AHW257" s="486"/>
      <c r="AHX257" s="486"/>
      <c r="AHY257" s="486"/>
      <c r="AHZ257" s="486"/>
      <c r="AIA257" s="486"/>
      <c r="AIB257" s="486"/>
      <c r="AIC257" s="486"/>
      <c r="AID257" s="486"/>
      <c r="AIE257" s="486"/>
      <c r="AIF257" s="486"/>
      <c r="AIG257" s="486"/>
      <c r="AIH257" s="486"/>
      <c r="AII257" s="486"/>
      <c r="AIJ257" s="486"/>
      <c r="AIK257" s="486"/>
      <c r="AIL257" s="486"/>
      <c r="AIM257" s="486"/>
      <c r="AIN257" s="486"/>
      <c r="AIO257" s="486"/>
      <c r="AIP257" s="486"/>
      <c r="AIQ257" s="486"/>
      <c r="AIR257" s="486"/>
      <c r="AIS257" s="486"/>
      <c r="AIT257" s="486"/>
      <c r="AIU257" s="486"/>
      <c r="AIV257" s="486"/>
      <c r="AIW257" s="486"/>
      <c r="AIX257" s="486"/>
      <c r="AIY257" s="486"/>
      <c r="AIZ257" s="486"/>
      <c r="AJA257" s="486"/>
      <c r="AJB257" s="486"/>
      <c r="AJC257" s="486"/>
      <c r="AJD257" s="486"/>
      <c r="AJE257" s="486"/>
      <c r="AJF257" s="486"/>
      <c r="AJG257" s="486"/>
      <c r="AJH257" s="486"/>
      <c r="AJI257" s="486"/>
      <c r="AJJ257" s="486"/>
      <c r="AJK257" s="486"/>
      <c r="AJL257" s="486"/>
      <c r="AJM257" s="486"/>
      <c r="AJN257" s="486"/>
      <c r="AJO257" s="486"/>
      <c r="AJP257" s="486"/>
      <c r="AJQ257" s="486"/>
      <c r="AJR257" s="486"/>
      <c r="AJS257" s="486"/>
      <c r="AJT257" s="486"/>
      <c r="AJU257" s="486"/>
      <c r="AJV257" s="486"/>
      <c r="AJW257" s="486"/>
      <c r="AJX257" s="486"/>
      <c r="AJY257" s="486"/>
      <c r="AJZ257" s="486"/>
      <c r="AKA257" s="486"/>
      <c r="AKB257" s="486"/>
      <c r="AKC257" s="486"/>
      <c r="AKD257" s="486"/>
      <c r="AKE257" s="486"/>
      <c r="AKF257" s="486"/>
      <c r="AKG257" s="486"/>
      <c r="AKH257" s="486"/>
      <c r="AKI257" s="486"/>
      <c r="AKJ257" s="486"/>
      <c r="AKK257" s="486"/>
      <c r="AKL257" s="486"/>
      <c r="AKM257" s="486"/>
      <c r="AKN257" s="486"/>
      <c r="AKO257" s="486"/>
      <c r="AKP257" s="486"/>
      <c r="AKQ257" s="486"/>
      <c r="AKR257" s="486"/>
      <c r="AKS257" s="486"/>
      <c r="AKT257" s="486"/>
      <c r="AKU257" s="486"/>
      <c r="AKV257" s="486"/>
      <c r="AKW257" s="486"/>
      <c r="AKX257" s="486"/>
      <c r="AKY257" s="486"/>
      <c r="AKZ257" s="486"/>
      <c r="ALA257" s="486"/>
      <c r="ALB257" s="486"/>
      <c r="ALC257" s="486"/>
      <c r="ALD257" s="486"/>
      <c r="ALE257" s="486"/>
      <c r="ALF257" s="486"/>
      <c r="ALG257" s="486"/>
      <c r="ALH257" s="486"/>
      <c r="ALI257" s="486"/>
      <c r="ALJ257" s="486"/>
      <c r="ALK257" s="486"/>
      <c r="ALL257" s="486"/>
      <c r="ALM257" s="486"/>
      <c r="ALN257" s="486"/>
      <c r="ALO257" s="486"/>
      <c r="ALP257" s="486"/>
      <c r="ALQ257" s="486"/>
      <c r="ALR257" s="486"/>
      <c r="ALS257" s="486"/>
      <c r="ALT257" s="486"/>
      <c r="ALU257" s="486"/>
      <c r="ALV257" s="486"/>
      <c r="ALW257" s="486"/>
      <c r="ALX257" s="486"/>
      <c r="ALY257" s="486"/>
      <c r="ALZ257" s="486"/>
      <c r="AMA257" s="486"/>
      <c r="AMB257" s="486"/>
      <c r="AMC257" s="486"/>
      <c r="AMD257" s="486"/>
      <c r="AME257" s="486"/>
      <c r="AMF257" s="486"/>
      <c r="AMG257" s="486"/>
      <c r="AMH257" s="486"/>
      <c r="AMI257" s="486"/>
      <c r="AMJ257" s="486"/>
      <c r="AMK257" s="486"/>
      <c r="AML257" s="486"/>
      <c r="AMM257" s="486"/>
      <c r="AMN257" s="486"/>
      <c r="AMO257" s="486"/>
      <c r="AMP257" s="486"/>
      <c r="AMQ257" s="486"/>
      <c r="AMR257" s="486"/>
      <c r="AMS257" s="486"/>
      <c r="AMT257" s="486"/>
      <c r="AMU257" s="486"/>
      <c r="AMV257" s="486"/>
      <c r="AMW257" s="486"/>
      <c r="AMX257" s="486"/>
      <c r="AMY257" s="486"/>
      <c r="AMZ257" s="486"/>
      <c r="ANA257" s="486"/>
      <c r="ANB257" s="486"/>
      <c r="ANC257" s="486"/>
      <c r="AND257" s="486"/>
      <c r="ANE257" s="486"/>
      <c r="ANF257" s="486"/>
      <c r="ANG257" s="486"/>
      <c r="ANH257" s="486"/>
      <c r="ANI257" s="486"/>
      <c r="ANJ257" s="486"/>
      <c r="ANK257" s="486"/>
      <c r="ANL257" s="486"/>
      <c r="ANM257" s="486"/>
      <c r="ANN257" s="486"/>
      <c r="ANO257" s="486"/>
      <c r="ANP257" s="486"/>
      <c r="ANQ257" s="486"/>
      <c r="ANR257" s="486"/>
      <c r="ANS257" s="486"/>
      <c r="ANT257" s="486"/>
      <c r="ANU257" s="486"/>
      <c r="ANV257" s="486"/>
      <c r="ANW257" s="486"/>
      <c r="ANX257" s="486"/>
      <c r="ANY257" s="486"/>
      <c r="ANZ257" s="486"/>
      <c r="AOA257" s="486"/>
      <c r="AOB257" s="486"/>
      <c r="AOC257" s="486"/>
      <c r="AOD257" s="486"/>
      <c r="AOE257" s="486"/>
      <c r="AOF257" s="486"/>
      <c r="AOG257" s="486"/>
      <c r="AOH257" s="486"/>
      <c r="AOI257" s="486"/>
      <c r="AOJ257" s="486"/>
      <c r="AOK257" s="486"/>
      <c r="AOL257" s="486"/>
      <c r="AOM257" s="486"/>
      <c r="AON257" s="486"/>
      <c r="AOO257" s="486"/>
      <c r="AOP257" s="486"/>
      <c r="AOQ257" s="486"/>
      <c r="AOR257" s="486"/>
      <c r="AOS257" s="486"/>
      <c r="AOT257" s="486"/>
      <c r="AOU257" s="486"/>
      <c r="AOV257" s="486"/>
      <c r="AOW257" s="486"/>
      <c r="AOX257" s="486"/>
      <c r="AOY257" s="486"/>
      <c r="AOZ257" s="486"/>
      <c r="APA257" s="486"/>
      <c r="APB257" s="486"/>
      <c r="APC257" s="486"/>
      <c r="APD257" s="486"/>
      <c r="APE257" s="486"/>
      <c r="APF257" s="486"/>
      <c r="APG257" s="486"/>
      <c r="APH257" s="486"/>
      <c r="API257" s="486"/>
      <c r="APJ257" s="486"/>
      <c r="APK257" s="486"/>
      <c r="APL257" s="486"/>
      <c r="APM257" s="486"/>
      <c r="APN257" s="486"/>
      <c r="APO257" s="486"/>
      <c r="APP257" s="486"/>
      <c r="APQ257" s="486"/>
      <c r="APR257" s="486"/>
      <c r="APS257" s="486"/>
      <c r="APT257" s="486"/>
      <c r="APU257" s="486"/>
      <c r="APV257" s="486"/>
      <c r="APW257" s="486"/>
      <c r="APX257" s="486"/>
      <c r="APY257" s="486"/>
      <c r="APZ257" s="486"/>
      <c r="AQA257" s="486"/>
      <c r="AQB257" s="486"/>
      <c r="AQC257" s="486"/>
      <c r="AQD257" s="486"/>
      <c r="AQE257" s="486"/>
      <c r="AQF257" s="486"/>
      <c r="AQG257" s="486"/>
      <c r="AQH257" s="486"/>
      <c r="AQI257" s="486"/>
      <c r="AQJ257" s="486"/>
      <c r="AQK257" s="486"/>
      <c r="AQL257" s="486"/>
      <c r="AQM257" s="486"/>
      <c r="AQN257" s="486"/>
      <c r="AQO257" s="486"/>
      <c r="AQP257" s="486"/>
      <c r="AQQ257" s="486"/>
      <c r="AQR257" s="486"/>
      <c r="AQS257" s="486"/>
      <c r="AQT257" s="486"/>
      <c r="AQU257" s="486"/>
      <c r="AQV257" s="486"/>
      <c r="AQW257" s="486"/>
      <c r="AQX257" s="486"/>
      <c r="AQY257" s="486"/>
      <c r="AQZ257" s="486"/>
      <c r="ARA257" s="486"/>
      <c r="ARB257" s="486"/>
      <c r="ARC257" s="486"/>
      <c r="ARD257" s="486"/>
      <c r="ARE257" s="486"/>
      <c r="ARF257" s="486"/>
      <c r="ARG257" s="486"/>
      <c r="ARH257" s="486"/>
      <c r="ARI257" s="486"/>
      <c r="ARJ257" s="486"/>
      <c r="ARK257" s="486"/>
      <c r="ARL257" s="486"/>
      <c r="ARM257" s="486"/>
      <c r="ARN257" s="486"/>
      <c r="ARO257" s="486"/>
      <c r="ARP257" s="486"/>
      <c r="ARQ257" s="486"/>
      <c r="ARR257" s="486"/>
      <c r="ARS257" s="486"/>
      <c r="ART257" s="486"/>
      <c r="ARU257" s="486"/>
      <c r="ARV257" s="486"/>
      <c r="ARW257" s="486"/>
      <c r="ARX257" s="486"/>
      <c r="ARY257" s="486"/>
      <c r="ARZ257" s="486"/>
      <c r="ASA257" s="486"/>
      <c r="ASB257" s="486"/>
      <c r="ASC257" s="486"/>
      <c r="ASD257" s="486"/>
      <c r="ASE257" s="486"/>
      <c r="ASF257" s="486"/>
      <c r="ASG257" s="486"/>
      <c r="ASH257" s="486"/>
      <c r="ASI257" s="486"/>
      <c r="ASJ257" s="486"/>
      <c r="ASK257" s="486"/>
      <c r="ASL257" s="486"/>
      <c r="ASM257" s="486"/>
      <c r="ASN257" s="486"/>
      <c r="ASO257" s="486"/>
      <c r="ASP257" s="486"/>
      <c r="ASQ257" s="486"/>
      <c r="ASR257" s="486"/>
      <c r="ASS257" s="486"/>
      <c r="AST257" s="486"/>
      <c r="ASU257" s="486"/>
      <c r="ASV257" s="486"/>
      <c r="ASW257" s="486"/>
      <c r="ASX257" s="486"/>
      <c r="ASY257" s="486"/>
      <c r="ASZ257" s="486"/>
      <c r="ATA257" s="486"/>
      <c r="ATB257" s="486"/>
      <c r="ATC257" s="486"/>
      <c r="ATD257" s="486"/>
      <c r="ATE257" s="486"/>
      <c r="ATF257" s="486"/>
      <c r="ATG257" s="486"/>
      <c r="ATH257" s="486"/>
      <c r="ATI257" s="486"/>
      <c r="ATJ257" s="486"/>
      <c r="ATK257" s="486"/>
      <c r="ATL257" s="486"/>
      <c r="ATM257" s="486"/>
      <c r="ATN257" s="486"/>
      <c r="ATO257" s="486"/>
      <c r="ATP257" s="486"/>
      <c r="ATQ257" s="486"/>
      <c r="ATR257" s="486"/>
      <c r="ATS257" s="486"/>
      <c r="ATT257" s="486"/>
      <c r="ATU257" s="486"/>
      <c r="ATV257" s="486"/>
      <c r="ATW257" s="486"/>
      <c r="ATX257" s="486"/>
      <c r="ATY257" s="486"/>
      <c r="ATZ257" s="486"/>
      <c r="AUA257" s="486"/>
      <c r="AUB257" s="486"/>
      <c r="AUC257" s="486"/>
      <c r="AUD257" s="486"/>
      <c r="AUE257" s="486"/>
      <c r="AUF257" s="486"/>
      <c r="AUG257" s="486"/>
      <c r="AUH257" s="486"/>
      <c r="AUI257" s="486"/>
      <c r="AUJ257" s="486"/>
      <c r="AUK257" s="486"/>
      <c r="AUL257" s="486"/>
      <c r="AUM257" s="486"/>
      <c r="AUN257" s="486"/>
      <c r="AUO257" s="486"/>
      <c r="AUP257" s="486"/>
      <c r="AUQ257" s="486"/>
      <c r="AUR257" s="486"/>
      <c r="AUS257" s="486"/>
      <c r="AUT257" s="486"/>
      <c r="AUU257" s="486"/>
      <c r="AUV257" s="486"/>
      <c r="AUW257" s="486"/>
      <c r="AUX257" s="486"/>
      <c r="AUY257" s="486"/>
      <c r="AUZ257" s="486"/>
      <c r="AVA257" s="486"/>
      <c r="AVB257" s="486"/>
      <c r="AVC257" s="486"/>
      <c r="AVD257" s="486"/>
      <c r="AVE257" s="486"/>
      <c r="AVF257" s="486"/>
      <c r="AVG257" s="486"/>
      <c r="AVH257" s="486"/>
      <c r="AVI257" s="486"/>
      <c r="AVJ257" s="486"/>
      <c r="AVK257" s="486"/>
      <c r="AVL257" s="486"/>
      <c r="AVM257" s="486"/>
      <c r="AVN257" s="486"/>
      <c r="AVO257" s="486"/>
      <c r="AVP257" s="486"/>
      <c r="AVQ257" s="486"/>
      <c r="AVR257" s="486"/>
      <c r="AVS257" s="486"/>
      <c r="AVT257" s="486"/>
      <c r="AVU257" s="486"/>
      <c r="AVV257" s="486"/>
      <c r="AVW257" s="486"/>
      <c r="AVX257" s="486"/>
      <c r="AVY257" s="486"/>
      <c r="AVZ257" s="486"/>
      <c r="AWA257" s="486"/>
      <c r="AWB257" s="486"/>
      <c r="AWC257" s="486"/>
      <c r="AWD257" s="486"/>
      <c r="AWE257" s="486"/>
      <c r="AWF257" s="486"/>
      <c r="AWG257" s="486"/>
      <c r="AWH257" s="486"/>
      <c r="AWI257" s="486"/>
      <c r="AWJ257" s="486"/>
      <c r="AWK257" s="486"/>
      <c r="AWL257" s="486"/>
      <c r="AWM257" s="486"/>
      <c r="AWN257" s="486"/>
      <c r="AWO257" s="486"/>
      <c r="AWP257" s="486"/>
      <c r="AWQ257" s="486"/>
      <c r="AWR257" s="486"/>
      <c r="AWS257" s="486"/>
      <c r="AWT257" s="486"/>
      <c r="AWU257" s="486"/>
      <c r="AWV257" s="486"/>
      <c r="AWW257" s="486"/>
      <c r="AWX257" s="486"/>
      <c r="AWY257" s="486"/>
      <c r="AWZ257" s="486"/>
      <c r="AXA257" s="486"/>
      <c r="AXB257" s="486"/>
      <c r="AXC257" s="486"/>
      <c r="AXD257" s="486"/>
      <c r="AXE257" s="486"/>
      <c r="AXF257" s="486"/>
      <c r="AXG257" s="486"/>
      <c r="AXH257" s="486"/>
      <c r="AXI257" s="486"/>
      <c r="AXJ257" s="486"/>
      <c r="AXK257" s="486"/>
      <c r="AXL257" s="486"/>
      <c r="AXM257" s="486"/>
      <c r="AXN257" s="486"/>
      <c r="AXO257" s="486"/>
      <c r="AXP257" s="486"/>
      <c r="AXQ257" s="486"/>
      <c r="AXR257" s="486"/>
      <c r="AXS257" s="486"/>
      <c r="AXT257" s="486"/>
      <c r="AXU257" s="486"/>
      <c r="AXV257" s="486"/>
      <c r="AXW257" s="486"/>
      <c r="AXX257" s="486"/>
      <c r="AXY257" s="486"/>
      <c r="AXZ257" s="486"/>
      <c r="AYA257" s="486"/>
      <c r="AYB257" s="486"/>
      <c r="AYC257" s="486"/>
      <c r="AYD257" s="486"/>
      <c r="AYE257" s="486"/>
      <c r="AYF257" s="486"/>
      <c r="AYG257" s="486"/>
      <c r="AYH257" s="486"/>
      <c r="AYI257" s="486"/>
      <c r="AYJ257" s="486"/>
      <c r="AYK257" s="486"/>
      <c r="AYL257" s="486"/>
      <c r="AYM257" s="486"/>
      <c r="AYN257" s="486"/>
      <c r="AYO257" s="486"/>
      <c r="AYP257" s="486"/>
      <c r="AYQ257" s="486"/>
      <c r="AYR257" s="486"/>
      <c r="AYS257" s="486"/>
      <c r="AYT257" s="486"/>
      <c r="AYU257" s="486"/>
      <c r="AYV257" s="486"/>
      <c r="AYW257" s="486"/>
      <c r="AYX257" s="486"/>
      <c r="AYY257" s="486"/>
      <c r="AYZ257" s="486"/>
      <c r="AZA257" s="486"/>
      <c r="AZB257" s="486"/>
      <c r="AZC257" s="486"/>
      <c r="AZD257" s="486"/>
      <c r="AZE257" s="486"/>
      <c r="AZF257" s="486"/>
      <c r="AZG257" s="486"/>
      <c r="AZH257" s="486"/>
      <c r="AZI257" s="486"/>
      <c r="AZJ257" s="486"/>
      <c r="AZK257" s="486"/>
      <c r="AZL257" s="486"/>
      <c r="AZM257" s="486"/>
      <c r="AZN257" s="486"/>
      <c r="AZO257" s="486"/>
      <c r="AZP257" s="486"/>
      <c r="AZQ257" s="486"/>
      <c r="AZR257" s="486"/>
      <c r="AZS257" s="486"/>
      <c r="AZT257" s="486"/>
      <c r="AZU257" s="486"/>
      <c r="AZV257" s="486"/>
      <c r="AZW257" s="486"/>
      <c r="AZX257" s="486"/>
      <c r="AZY257" s="486"/>
      <c r="AZZ257" s="486"/>
      <c r="BAA257" s="486"/>
      <c r="BAB257" s="486"/>
      <c r="BAC257" s="486"/>
      <c r="BAD257" s="486"/>
      <c r="BAE257" s="486"/>
      <c r="BAF257" s="486"/>
      <c r="BAG257" s="486"/>
      <c r="BAH257" s="486"/>
      <c r="BAI257" s="486"/>
      <c r="BAJ257" s="486"/>
      <c r="BAK257" s="486"/>
      <c r="BAL257" s="486"/>
      <c r="BAM257" s="486"/>
      <c r="BAN257" s="486"/>
      <c r="BAO257" s="486"/>
      <c r="BAP257" s="486"/>
      <c r="BAQ257" s="486"/>
      <c r="BAR257" s="486"/>
      <c r="BAS257" s="486"/>
      <c r="BAT257" s="486"/>
      <c r="BAU257" s="486"/>
      <c r="BAV257" s="486"/>
      <c r="BAW257" s="486"/>
      <c r="BAX257" s="486"/>
      <c r="BAY257" s="486"/>
      <c r="BAZ257" s="486"/>
      <c r="BBA257" s="486"/>
      <c r="BBB257" s="486"/>
      <c r="BBC257" s="486"/>
      <c r="BBD257" s="486"/>
      <c r="BBE257" s="486"/>
      <c r="BBF257" s="486"/>
      <c r="BBG257" s="486"/>
      <c r="BBH257" s="486"/>
      <c r="BBI257" s="486"/>
      <c r="BBJ257" s="486"/>
      <c r="BBK257" s="486"/>
      <c r="BBL257" s="486"/>
      <c r="BBM257" s="486"/>
      <c r="BBN257" s="486"/>
      <c r="BBO257" s="486"/>
      <c r="BBP257" s="486"/>
      <c r="BBQ257" s="486"/>
      <c r="BBR257" s="486"/>
      <c r="BBS257" s="486"/>
      <c r="BBT257" s="486"/>
      <c r="BBU257" s="486"/>
      <c r="BBV257" s="486"/>
      <c r="BBW257" s="486"/>
      <c r="BBX257" s="486"/>
      <c r="BBY257" s="486"/>
      <c r="BBZ257" s="486"/>
      <c r="BCA257" s="486"/>
      <c r="BCB257" s="486"/>
      <c r="BCC257" s="486"/>
      <c r="BCD257" s="486"/>
      <c r="BCE257" s="486"/>
      <c r="BCF257" s="486"/>
      <c r="BCG257" s="486"/>
      <c r="BCH257" s="486"/>
      <c r="BCI257" s="486"/>
      <c r="BCJ257" s="486"/>
      <c r="BCK257" s="486"/>
      <c r="BCL257" s="486"/>
      <c r="BCM257" s="486"/>
      <c r="BCN257" s="486"/>
      <c r="BCO257" s="486"/>
      <c r="BCP257" s="486"/>
      <c r="BCQ257" s="486"/>
      <c r="BCR257" s="486"/>
      <c r="BCS257" s="486"/>
      <c r="BCT257" s="486"/>
      <c r="BCU257" s="486"/>
      <c r="BCV257" s="486"/>
      <c r="BCW257" s="486"/>
      <c r="BCX257" s="486"/>
      <c r="BCY257" s="486"/>
      <c r="BCZ257" s="486"/>
      <c r="BDA257" s="486"/>
      <c r="BDB257" s="486"/>
      <c r="BDC257" s="486"/>
      <c r="BDD257" s="486"/>
      <c r="BDE257" s="486"/>
      <c r="BDF257" s="486"/>
      <c r="BDG257" s="486"/>
      <c r="BDH257" s="486"/>
      <c r="BDI257" s="486"/>
      <c r="BDJ257" s="486"/>
      <c r="BDK257" s="486"/>
      <c r="BDL257" s="486"/>
      <c r="BDM257" s="486"/>
      <c r="BDN257" s="486"/>
      <c r="BDO257" s="486"/>
      <c r="BDP257" s="486"/>
      <c r="BDQ257" s="486"/>
      <c r="BDR257" s="486"/>
      <c r="BDS257" s="486"/>
      <c r="BDT257" s="486"/>
      <c r="BDU257" s="486"/>
      <c r="BDV257" s="486"/>
      <c r="BDW257" s="486"/>
      <c r="BDX257" s="486"/>
      <c r="BDY257" s="486"/>
      <c r="BDZ257" s="486"/>
      <c r="BEA257" s="486"/>
      <c r="BEB257" s="486"/>
      <c r="BEC257" s="486"/>
      <c r="BED257" s="486"/>
      <c r="BEE257" s="486"/>
      <c r="BEF257" s="486"/>
      <c r="BEG257" s="486"/>
      <c r="BEH257" s="486"/>
      <c r="BEI257" s="486"/>
      <c r="BEJ257" s="486"/>
      <c r="BEK257" s="486"/>
      <c r="BEL257" s="486"/>
      <c r="BEM257" s="486"/>
      <c r="BEN257" s="486"/>
      <c r="BEO257" s="486"/>
      <c r="BEP257" s="486"/>
      <c r="BEQ257" s="486"/>
      <c r="BER257" s="486"/>
      <c r="BES257" s="486"/>
      <c r="BET257" s="486"/>
      <c r="BEU257" s="486"/>
      <c r="BEV257" s="486"/>
      <c r="BEW257" s="486"/>
      <c r="BEX257" s="486"/>
      <c r="BEY257" s="486"/>
      <c r="BEZ257" s="486"/>
      <c r="BFA257" s="486"/>
      <c r="BFB257" s="486"/>
      <c r="BFC257" s="486"/>
      <c r="BFD257" s="486"/>
      <c r="BFE257" s="486"/>
      <c r="BFF257" s="486"/>
      <c r="BFG257" s="486"/>
      <c r="BFH257" s="486"/>
      <c r="BFI257" s="486"/>
      <c r="BFJ257" s="486"/>
      <c r="BFK257" s="486"/>
      <c r="BFL257" s="486"/>
      <c r="BFM257" s="486"/>
      <c r="BFN257" s="486"/>
      <c r="BFO257" s="486"/>
      <c r="BFP257" s="486"/>
      <c r="BFQ257" s="486"/>
      <c r="BFR257" s="486"/>
      <c r="BFS257" s="486"/>
      <c r="BFT257" s="486"/>
      <c r="BFU257" s="486"/>
      <c r="BFV257" s="486"/>
      <c r="BFW257" s="486"/>
      <c r="BFX257" s="486"/>
      <c r="BFY257" s="486"/>
      <c r="BFZ257" s="486"/>
      <c r="BGA257" s="486"/>
      <c r="BGB257" s="486"/>
      <c r="BGC257" s="486"/>
      <c r="BGD257" s="486"/>
      <c r="BGE257" s="486"/>
      <c r="BGF257" s="486"/>
      <c r="BGG257" s="486"/>
      <c r="BGH257" s="486"/>
      <c r="BGI257" s="486"/>
      <c r="BGJ257" s="486"/>
      <c r="BGK257" s="486"/>
      <c r="BGL257" s="486"/>
      <c r="BGM257" s="486"/>
      <c r="BGN257" s="486"/>
      <c r="BGO257" s="486"/>
      <c r="BGP257" s="486"/>
      <c r="BGQ257" s="486"/>
      <c r="BGR257" s="486"/>
      <c r="BGS257" s="486"/>
      <c r="BGT257" s="486"/>
      <c r="BGU257" s="486"/>
      <c r="BGV257" s="486"/>
      <c r="BGW257" s="486"/>
      <c r="BGX257" s="486"/>
      <c r="BGY257" s="486"/>
      <c r="BGZ257" s="486"/>
      <c r="BHA257" s="486"/>
      <c r="BHB257" s="486"/>
      <c r="BHC257" s="486"/>
      <c r="BHD257" s="486"/>
      <c r="BHE257" s="486"/>
      <c r="BHF257" s="486"/>
      <c r="BHG257" s="486"/>
      <c r="BHH257" s="486"/>
      <c r="BHI257" s="486"/>
      <c r="BHJ257" s="486"/>
      <c r="BHK257" s="486"/>
      <c r="BHL257" s="486"/>
      <c r="BHM257" s="486"/>
      <c r="BHN257" s="486"/>
      <c r="BHO257" s="486"/>
      <c r="BHP257" s="486"/>
      <c r="BHQ257" s="486"/>
      <c r="BHR257" s="486"/>
      <c r="BHS257" s="486"/>
      <c r="BHT257" s="486"/>
      <c r="BHU257" s="486"/>
      <c r="BHV257" s="486"/>
      <c r="BHW257" s="486"/>
      <c r="BHX257" s="486"/>
      <c r="BHY257" s="486"/>
      <c r="BHZ257" s="486"/>
      <c r="BIA257" s="486"/>
      <c r="BIB257" s="486"/>
      <c r="BIC257" s="486"/>
      <c r="BID257" s="486"/>
      <c r="BIE257" s="486"/>
      <c r="BIF257" s="486"/>
      <c r="BIG257" s="486"/>
      <c r="BIH257" s="486"/>
      <c r="BII257" s="486"/>
      <c r="BIJ257" s="486"/>
      <c r="BIK257" s="486"/>
      <c r="BIL257" s="486"/>
      <c r="BIM257" s="486"/>
      <c r="BIN257" s="486"/>
      <c r="BIO257" s="486"/>
      <c r="BIP257" s="486"/>
      <c r="BIQ257" s="486"/>
      <c r="BIR257" s="486"/>
      <c r="BIS257" s="486"/>
      <c r="BIT257" s="486"/>
      <c r="BIU257" s="486"/>
      <c r="BIV257" s="486"/>
      <c r="BIW257" s="486"/>
      <c r="BIX257" s="486"/>
      <c r="BIY257" s="486"/>
      <c r="BIZ257" s="486"/>
      <c r="BJA257" s="486"/>
      <c r="BJB257" s="486"/>
      <c r="BJC257" s="486"/>
      <c r="BJD257" s="486"/>
      <c r="BJE257" s="486"/>
      <c r="BJF257" s="486"/>
      <c r="BJG257" s="486"/>
      <c r="BJH257" s="486"/>
      <c r="BJI257" s="486"/>
      <c r="BJJ257" s="486"/>
      <c r="BJK257" s="486"/>
      <c r="BJL257" s="486"/>
      <c r="BJM257" s="486"/>
      <c r="BJN257" s="486"/>
      <c r="BJO257" s="486"/>
      <c r="BJP257" s="486"/>
      <c r="BJQ257" s="486"/>
      <c r="BJR257" s="486"/>
      <c r="BJS257" s="486"/>
      <c r="BJT257" s="486"/>
      <c r="BJU257" s="486"/>
      <c r="BJV257" s="486"/>
      <c r="BJW257" s="486"/>
      <c r="BJX257" s="486"/>
      <c r="BJY257" s="486"/>
      <c r="BJZ257" s="486"/>
      <c r="BKA257" s="486"/>
      <c r="BKB257" s="486"/>
      <c r="BKC257" s="486"/>
      <c r="BKD257" s="486"/>
      <c r="BKE257" s="486"/>
      <c r="BKF257" s="486"/>
      <c r="BKG257" s="486"/>
      <c r="BKH257" s="486"/>
      <c r="BKI257" s="486"/>
      <c r="BKJ257" s="486"/>
      <c r="BKK257" s="486"/>
      <c r="BKL257" s="486"/>
      <c r="BKM257" s="486"/>
      <c r="BKN257" s="486"/>
      <c r="BKO257" s="486"/>
      <c r="BKP257" s="486"/>
      <c r="BKQ257" s="486"/>
      <c r="BKR257" s="486"/>
      <c r="BKS257" s="486"/>
      <c r="BKT257" s="486"/>
      <c r="BKU257" s="486"/>
      <c r="BKV257" s="486"/>
      <c r="BKW257" s="486"/>
      <c r="BKX257" s="486"/>
      <c r="BKY257" s="486"/>
      <c r="BKZ257" s="486"/>
      <c r="BLA257" s="486"/>
      <c r="BLB257" s="486"/>
      <c r="BLC257" s="486"/>
      <c r="BLD257" s="486"/>
      <c r="BLE257" s="486"/>
      <c r="BLF257" s="486"/>
      <c r="BLG257" s="486"/>
      <c r="BLH257" s="486"/>
      <c r="BLI257" s="486"/>
      <c r="BLJ257" s="486"/>
      <c r="BLK257" s="486"/>
      <c r="BLL257" s="486"/>
      <c r="BLM257" s="486"/>
      <c r="BLN257" s="486"/>
      <c r="BLO257" s="486"/>
      <c r="BLP257" s="486"/>
      <c r="BLQ257" s="486"/>
      <c r="BLR257" s="486"/>
      <c r="BLS257" s="486"/>
      <c r="BLT257" s="486"/>
      <c r="BLU257" s="486"/>
      <c r="BLV257" s="486"/>
      <c r="BLW257" s="486"/>
      <c r="BLX257" s="486"/>
      <c r="BLY257" s="486"/>
      <c r="BLZ257" s="486"/>
      <c r="BMA257" s="486"/>
      <c r="BMB257" s="486"/>
      <c r="BMC257" s="486"/>
      <c r="BMD257" s="486"/>
      <c r="BME257" s="486"/>
      <c r="BMF257" s="486"/>
      <c r="BMG257" s="486"/>
      <c r="BMH257" s="486"/>
      <c r="BMI257" s="486"/>
      <c r="BMJ257" s="486"/>
      <c r="BMK257" s="486"/>
      <c r="BML257" s="486"/>
      <c r="BMM257" s="486"/>
      <c r="BMN257" s="486"/>
      <c r="BMO257" s="486"/>
      <c r="BMP257" s="486"/>
      <c r="BMQ257" s="486"/>
      <c r="BMR257" s="486"/>
      <c r="BMS257" s="486"/>
      <c r="BMT257" s="486"/>
      <c r="BMU257" s="486"/>
      <c r="BMV257" s="486"/>
      <c r="BMW257" s="486"/>
      <c r="BMX257" s="486"/>
      <c r="BMY257" s="486"/>
      <c r="BMZ257" s="486"/>
      <c r="BNA257" s="486"/>
      <c r="BNB257" s="486"/>
      <c r="BNC257" s="486"/>
      <c r="BND257" s="486"/>
      <c r="BNE257" s="486"/>
      <c r="BNF257" s="486"/>
      <c r="BNG257" s="486"/>
      <c r="BNH257" s="486"/>
      <c r="BNI257" s="486"/>
      <c r="BNJ257" s="486"/>
      <c r="BNK257" s="486"/>
      <c r="BNL257" s="486"/>
      <c r="BNM257" s="486"/>
      <c r="BNN257" s="486"/>
      <c r="BNO257" s="486"/>
      <c r="BNP257" s="486"/>
      <c r="BNQ257" s="486"/>
      <c r="BNR257" s="486"/>
      <c r="BNS257" s="486"/>
      <c r="BNT257" s="486"/>
      <c r="BNU257" s="486"/>
      <c r="BNV257" s="486"/>
      <c r="BNW257" s="486"/>
      <c r="BNX257" s="486"/>
      <c r="BNY257" s="486"/>
      <c r="BNZ257" s="486"/>
      <c r="BOA257" s="486"/>
      <c r="BOB257" s="486"/>
      <c r="BOC257" s="486"/>
      <c r="BOD257" s="486"/>
      <c r="BOE257" s="486"/>
      <c r="BOF257" s="486"/>
      <c r="BOG257" s="486"/>
      <c r="BOH257" s="486"/>
      <c r="BOI257" s="486"/>
      <c r="BOJ257" s="486"/>
      <c r="BOK257" s="486"/>
      <c r="BOL257" s="486"/>
      <c r="BOM257" s="486"/>
      <c r="BON257" s="486"/>
      <c r="BOO257" s="486"/>
      <c r="BOP257" s="486"/>
      <c r="BOQ257" s="486"/>
      <c r="BOR257" s="486"/>
      <c r="BOS257" s="486"/>
      <c r="BOT257" s="486"/>
      <c r="BOU257" s="486"/>
      <c r="BOV257" s="486"/>
      <c r="BOW257" s="486"/>
      <c r="BOX257" s="486"/>
      <c r="BOY257" s="486"/>
      <c r="BOZ257" s="486"/>
      <c r="BPA257" s="486"/>
      <c r="BPB257" s="486"/>
      <c r="BPC257" s="486"/>
      <c r="BPD257" s="486"/>
      <c r="BPE257" s="486"/>
      <c r="BPF257" s="486"/>
      <c r="BPG257" s="486"/>
      <c r="BPH257" s="486"/>
      <c r="BPI257" s="486"/>
      <c r="BPJ257" s="486"/>
      <c r="BPK257" s="486"/>
      <c r="BPL257" s="486"/>
      <c r="BPM257" s="486"/>
      <c r="BPN257" s="486"/>
      <c r="BPO257" s="486"/>
      <c r="BPP257" s="486"/>
      <c r="BPQ257" s="486"/>
      <c r="BPR257" s="486"/>
      <c r="BPS257" s="486"/>
      <c r="BPT257" s="486"/>
      <c r="BPU257" s="486"/>
      <c r="BPV257" s="486"/>
      <c r="BPW257" s="486"/>
      <c r="BPX257" s="486"/>
      <c r="BPY257" s="486"/>
      <c r="BPZ257" s="486"/>
      <c r="BQA257" s="486"/>
      <c r="BQB257" s="486"/>
      <c r="BQC257" s="486"/>
      <c r="BQD257" s="486"/>
      <c r="BQE257" s="486"/>
      <c r="BQF257" s="486"/>
      <c r="BQG257" s="486"/>
      <c r="BQH257" s="486"/>
      <c r="BQI257" s="486"/>
      <c r="BQJ257" s="486"/>
      <c r="BQK257" s="486"/>
      <c r="BQL257" s="486"/>
      <c r="BQM257" s="486"/>
      <c r="BQN257" s="486"/>
      <c r="BQO257" s="486"/>
      <c r="BQP257" s="486"/>
      <c r="BQQ257" s="486"/>
      <c r="BQR257" s="486"/>
      <c r="BQS257" s="486"/>
      <c r="BQT257" s="486"/>
      <c r="BQU257" s="486"/>
      <c r="BQV257" s="486"/>
      <c r="BQW257" s="486"/>
      <c r="BQX257" s="486"/>
      <c r="BQY257" s="486"/>
      <c r="BQZ257" s="486"/>
      <c r="BRA257" s="486"/>
      <c r="BRB257" s="486"/>
      <c r="BRC257" s="486"/>
      <c r="BRD257" s="486"/>
      <c r="BRE257" s="486"/>
      <c r="BRF257" s="486"/>
      <c r="BRG257" s="486"/>
      <c r="BRH257" s="486"/>
      <c r="BRI257" s="486"/>
      <c r="BRJ257" s="486"/>
      <c r="BRK257" s="486"/>
      <c r="BRL257" s="486"/>
      <c r="BRM257" s="486"/>
      <c r="BRN257" s="486"/>
      <c r="BRO257" s="486"/>
      <c r="BRP257" s="486"/>
      <c r="BRQ257" s="486"/>
      <c r="BRR257" s="486"/>
      <c r="BRS257" s="486"/>
      <c r="BRT257" s="486"/>
      <c r="BRU257" s="486"/>
      <c r="BRV257" s="486"/>
      <c r="BRW257" s="486"/>
      <c r="BRX257" s="486"/>
      <c r="BRY257" s="486"/>
      <c r="BRZ257" s="486"/>
      <c r="BSA257" s="486"/>
      <c r="BSB257" s="486"/>
      <c r="BSC257" s="486"/>
      <c r="BSD257" s="486"/>
      <c r="BSE257" s="486"/>
      <c r="BSF257" s="486"/>
      <c r="BSG257" s="486"/>
      <c r="BSH257" s="486"/>
      <c r="BSI257" s="486"/>
      <c r="BSJ257" s="486"/>
      <c r="BSK257" s="486"/>
      <c r="BSL257" s="486"/>
      <c r="BSM257" s="486"/>
      <c r="BSN257" s="486"/>
      <c r="BSO257" s="486"/>
      <c r="BSP257" s="486"/>
      <c r="BSQ257" s="486"/>
      <c r="BSR257" s="486"/>
      <c r="BSS257" s="486"/>
      <c r="BST257" s="486"/>
      <c r="BSU257" s="486"/>
      <c r="BSV257" s="486"/>
      <c r="BSW257" s="486"/>
      <c r="BSX257" s="486"/>
      <c r="BSY257" s="486"/>
      <c r="BSZ257" s="486"/>
      <c r="BTA257" s="486"/>
      <c r="BTB257" s="486"/>
      <c r="BTC257" s="486"/>
      <c r="BTD257" s="486"/>
      <c r="BTE257" s="486"/>
      <c r="BTF257" s="486"/>
      <c r="BTG257" s="486"/>
      <c r="BTH257" s="486"/>
      <c r="BTI257" s="486"/>
    </row>
    <row r="258" spans="1:1881" s="485" customFormat="1" ht="44.25" customHeight="1" thickBot="1" x14ac:dyDescent="0.3">
      <c r="B258" s="719" t="s">
        <v>1094</v>
      </c>
      <c r="C258" s="844"/>
      <c r="D258" s="844"/>
      <c r="E258" s="845"/>
      <c r="F258" s="846"/>
      <c r="G258" s="846"/>
      <c r="H258" s="487"/>
      <c r="I258" s="405"/>
      <c r="J258" s="486"/>
      <c r="K258" s="486"/>
      <c r="L258" s="486"/>
      <c r="M258" s="486"/>
      <c r="N258"/>
      <c r="O258" s="486"/>
      <c r="P258" s="486"/>
      <c r="Q258" s="486"/>
      <c r="R258" s="486"/>
      <c r="S258" s="486"/>
      <c r="T258" s="486"/>
      <c r="U258" s="486"/>
      <c r="V258" s="486"/>
      <c r="W258" s="486"/>
      <c r="X258" s="486"/>
      <c r="Y258" s="486"/>
      <c r="Z258" s="486"/>
      <c r="AA258" s="486"/>
      <c r="AB258" s="486"/>
      <c r="AC258" s="486"/>
      <c r="AD258" s="486"/>
      <c r="AE258" s="486"/>
      <c r="AF258" s="486"/>
      <c r="AG258" s="486"/>
      <c r="AH258" s="486"/>
      <c r="AI258" s="486"/>
      <c r="AJ258" s="486"/>
      <c r="AK258" s="486"/>
      <c r="AL258" s="486"/>
      <c r="AM258" s="486"/>
      <c r="AN258" s="486"/>
      <c r="AO258" s="486"/>
      <c r="AP258" s="486"/>
      <c r="AQ258" s="486"/>
      <c r="AR258" s="486"/>
      <c r="AS258" s="486"/>
      <c r="AT258" s="486"/>
      <c r="AU258" s="486"/>
      <c r="AV258" s="486"/>
      <c r="AW258" s="486"/>
      <c r="AX258" s="486"/>
      <c r="AY258" s="486"/>
      <c r="AZ258" s="486"/>
      <c r="BA258" s="486"/>
      <c r="BB258" s="486"/>
      <c r="BC258" s="486"/>
      <c r="BD258" s="486"/>
      <c r="BE258" s="486"/>
      <c r="BF258" s="486"/>
      <c r="BG258" s="486"/>
      <c r="BH258" s="486"/>
      <c r="BI258" s="486"/>
      <c r="BJ258" s="486"/>
      <c r="BK258" s="486"/>
      <c r="BL258" s="486"/>
      <c r="BM258" s="486"/>
      <c r="BN258" s="486"/>
      <c r="BO258" s="486"/>
      <c r="BP258" s="486"/>
      <c r="BQ258" s="486"/>
      <c r="BR258" s="486"/>
      <c r="BS258" s="486"/>
      <c r="BT258" s="486"/>
      <c r="BU258" s="486"/>
      <c r="BV258" s="486"/>
      <c r="BW258" s="486"/>
      <c r="BX258" s="486"/>
      <c r="BY258" s="486"/>
      <c r="BZ258" s="486"/>
      <c r="CA258" s="486"/>
      <c r="CB258" s="486"/>
      <c r="CC258" s="486"/>
      <c r="CD258" s="486"/>
      <c r="CE258" s="486"/>
      <c r="CF258" s="486"/>
      <c r="CG258" s="486"/>
      <c r="CH258" s="486"/>
      <c r="CI258" s="486"/>
      <c r="CJ258" s="486"/>
      <c r="CK258" s="486"/>
      <c r="CL258" s="486"/>
      <c r="CM258" s="486"/>
      <c r="CN258" s="486"/>
      <c r="CO258" s="486"/>
      <c r="CP258" s="486"/>
      <c r="CQ258" s="486"/>
      <c r="CR258" s="486"/>
      <c r="CS258" s="486"/>
      <c r="CT258" s="486"/>
      <c r="CU258" s="486"/>
      <c r="CV258" s="486"/>
      <c r="CW258" s="486"/>
      <c r="CX258" s="486"/>
      <c r="CY258" s="486"/>
      <c r="CZ258" s="486"/>
      <c r="DA258" s="486"/>
      <c r="DB258" s="486"/>
      <c r="DC258" s="486"/>
      <c r="DD258" s="486"/>
      <c r="DE258" s="486"/>
      <c r="DF258" s="486"/>
      <c r="DG258" s="486"/>
      <c r="DH258" s="486"/>
      <c r="DI258" s="486"/>
      <c r="DJ258" s="486"/>
      <c r="DK258" s="486"/>
      <c r="DL258" s="486"/>
      <c r="DM258" s="486"/>
      <c r="DN258" s="486"/>
      <c r="DO258" s="486"/>
      <c r="DP258" s="486"/>
      <c r="DQ258" s="486"/>
      <c r="DR258" s="486"/>
      <c r="DS258" s="486"/>
      <c r="DT258" s="486"/>
      <c r="DU258" s="486"/>
      <c r="DV258" s="486"/>
      <c r="DW258" s="486"/>
      <c r="DX258" s="486"/>
      <c r="DY258" s="486"/>
      <c r="DZ258" s="486"/>
      <c r="EA258" s="486"/>
      <c r="EB258" s="486"/>
      <c r="EC258" s="486"/>
      <c r="ED258" s="486"/>
      <c r="EE258" s="486"/>
      <c r="EF258" s="486"/>
      <c r="EG258" s="486"/>
      <c r="EH258" s="486"/>
      <c r="EI258" s="486"/>
      <c r="EJ258" s="486"/>
      <c r="EK258" s="486"/>
      <c r="EL258" s="486"/>
      <c r="EM258" s="486"/>
      <c r="EN258" s="486"/>
      <c r="EO258" s="486"/>
      <c r="EP258" s="486"/>
      <c r="EQ258" s="486"/>
      <c r="ER258" s="486"/>
      <c r="ES258" s="486"/>
      <c r="ET258" s="486"/>
      <c r="EU258" s="486"/>
      <c r="EV258" s="486"/>
      <c r="EW258" s="486"/>
      <c r="EX258" s="486"/>
      <c r="EY258" s="486"/>
      <c r="EZ258" s="486"/>
      <c r="FA258" s="486"/>
      <c r="FB258" s="486"/>
      <c r="FC258" s="486"/>
      <c r="FD258" s="486"/>
      <c r="FE258" s="486"/>
      <c r="FF258" s="486"/>
      <c r="FG258" s="486"/>
      <c r="FH258" s="486"/>
      <c r="FI258" s="486"/>
      <c r="FJ258" s="486"/>
      <c r="FK258" s="486"/>
      <c r="FL258" s="486"/>
      <c r="FM258" s="486"/>
      <c r="FN258" s="486"/>
      <c r="FO258" s="486"/>
      <c r="FP258" s="486"/>
      <c r="FQ258" s="486"/>
      <c r="FR258" s="486"/>
      <c r="FS258" s="486"/>
      <c r="FT258" s="486"/>
      <c r="FU258" s="486"/>
      <c r="FV258" s="486"/>
      <c r="FW258" s="486"/>
      <c r="FX258" s="486"/>
      <c r="FY258" s="486"/>
      <c r="FZ258" s="486"/>
      <c r="GA258" s="486"/>
      <c r="GB258" s="486"/>
      <c r="GC258" s="486"/>
      <c r="GD258" s="486"/>
      <c r="GE258" s="486"/>
      <c r="GF258" s="486"/>
      <c r="GG258" s="486"/>
      <c r="GH258" s="486"/>
      <c r="GI258" s="486"/>
      <c r="GJ258" s="486"/>
      <c r="GK258" s="486"/>
      <c r="GL258" s="486"/>
      <c r="GM258" s="486"/>
      <c r="GN258" s="486"/>
      <c r="GO258" s="486"/>
      <c r="GP258" s="486"/>
      <c r="GQ258" s="486"/>
      <c r="GR258" s="486"/>
      <c r="GS258" s="486"/>
      <c r="GT258" s="486"/>
      <c r="GU258" s="486"/>
      <c r="GV258" s="486"/>
      <c r="GW258" s="486"/>
      <c r="GX258" s="486"/>
      <c r="GY258" s="486"/>
      <c r="GZ258" s="486"/>
      <c r="HA258" s="486"/>
      <c r="HB258" s="486"/>
      <c r="HC258" s="486"/>
      <c r="HD258" s="486"/>
      <c r="HE258" s="486"/>
      <c r="HF258" s="486"/>
      <c r="HG258" s="486"/>
      <c r="HH258" s="486"/>
      <c r="HI258" s="486"/>
      <c r="HJ258" s="486"/>
      <c r="HK258" s="486"/>
      <c r="HL258" s="486"/>
      <c r="HM258" s="486"/>
      <c r="HN258" s="486"/>
      <c r="HO258" s="486"/>
      <c r="HP258" s="486"/>
      <c r="HQ258" s="486"/>
      <c r="HR258" s="486"/>
      <c r="HS258" s="486"/>
      <c r="HT258" s="486"/>
      <c r="HU258" s="486"/>
      <c r="HV258" s="486"/>
      <c r="HW258" s="486"/>
      <c r="HX258" s="486"/>
      <c r="HY258" s="486"/>
      <c r="HZ258" s="486"/>
      <c r="IA258" s="486"/>
      <c r="IB258" s="486"/>
      <c r="IC258" s="486"/>
      <c r="ID258" s="486"/>
      <c r="IE258" s="486"/>
      <c r="IF258" s="486"/>
      <c r="IG258" s="486"/>
      <c r="IH258" s="486"/>
      <c r="II258" s="486"/>
      <c r="IJ258" s="486"/>
      <c r="IK258" s="486"/>
      <c r="IL258" s="486"/>
      <c r="IM258" s="486"/>
      <c r="IN258" s="486"/>
      <c r="IO258" s="486"/>
      <c r="IP258" s="486"/>
      <c r="IQ258" s="486"/>
      <c r="IR258" s="486"/>
      <c r="IS258" s="486"/>
      <c r="IT258" s="486"/>
      <c r="IU258" s="486"/>
      <c r="IV258" s="486"/>
      <c r="IW258" s="486"/>
      <c r="IX258" s="486"/>
      <c r="IY258" s="486"/>
      <c r="IZ258" s="486"/>
      <c r="JA258" s="486"/>
      <c r="JB258" s="486"/>
      <c r="JC258" s="486"/>
      <c r="JD258" s="486"/>
      <c r="JE258" s="486"/>
      <c r="JF258" s="486"/>
      <c r="JG258" s="486"/>
      <c r="JH258" s="486"/>
      <c r="JI258" s="486"/>
      <c r="JJ258" s="486"/>
      <c r="JK258" s="486"/>
      <c r="JL258" s="486"/>
      <c r="JM258" s="486"/>
      <c r="JN258" s="486"/>
      <c r="JO258" s="486"/>
      <c r="JP258" s="486"/>
      <c r="JQ258" s="486"/>
      <c r="JR258" s="486"/>
      <c r="JS258" s="486"/>
      <c r="JT258" s="486"/>
      <c r="JU258" s="486"/>
      <c r="JV258" s="486"/>
      <c r="JW258" s="486"/>
      <c r="JX258" s="486"/>
      <c r="JY258" s="486"/>
      <c r="JZ258" s="486"/>
      <c r="KA258" s="486"/>
      <c r="KB258" s="486"/>
      <c r="KC258" s="486"/>
      <c r="KD258" s="486"/>
      <c r="KE258" s="486"/>
      <c r="KF258" s="486"/>
      <c r="KG258" s="486"/>
      <c r="KH258" s="486"/>
      <c r="KI258" s="486"/>
      <c r="KJ258" s="486"/>
      <c r="KK258" s="486"/>
      <c r="KL258" s="486"/>
      <c r="KM258" s="486"/>
      <c r="KN258" s="486"/>
      <c r="KO258" s="486"/>
      <c r="KP258" s="486"/>
      <c r="KQ258" s="486"/>
      <c r="KR258" s="486"/>
      <c r="KS258" s="486"/>
      <c r="KT258" s="486"/>
      <c r="KU258" s="486"/>
      <c r="KV258" s="486"/>
      <c r="KW258" s="486"/>
      <c r="KX258" s="486"/>
      <c r="KY258" s="486"/>
      <c r="KZ258" s="486"/>
      <c r="LA258" s="486"/>
      <c r="LB258" s="486"/>
      <c r="LC258" s="486"/>
      <c r="LD258" s="486"/>
      <c r="LE258" s="486"/>
      <c r="LF258" s="486"/>
      <c r="LG258" s="486"/>
      <c r="LH258" s="486"/>
      <c r="LI258" s="486"/>
      <c r="LJ258" s="486"/>
      <c r="LK258" s="486"/>
      <c r="LL258" s="486"/>
      <c r="LM258" s="486"/>
      <c r="LN258" s="486"/>
      <c r="LO258" s="486"/>
      <c r="LP258" s="486"/>
      <c r="LQ258" s="486"/>
      <c r="LR258" s="486"/>
      <c r="LS258" s="486"/>
      <c r="LT258" s="486"/>
      <c r="LU258" s="486"/>
      <c r="LV258" s="486"/>
      <c r="LW258" s="486"/>
      <c r="LX258" s="486"/>
      <c r="LY258" s="486"/>
      <c r="LZ258" s="486"/>
      <c r="MA258" s="486"/>
      <c r="MB258" s="486"/>
      <c r="MC258" s="486"/>
      <c r="MD258" s="486"/>
      <c r="ME258" s="486"/>
      <c r="MF258" s="486"/>
      <c r="MG258" s="486"/>
      <c r="MH258" s="486"/>
      <c r="MI258" s="486"/>
      <c r="MJ258" s="486"/>
      <c r="MK258" s="486"/>
      <c r="ML258" s="486"/>
      <c r="MM258" s="486"/>
      <c r="MN258" s="486"/>
      <c r="MO258" s="486"/>
      <c r="MP258" s="486"/>
      <c r="MQ258" s="486"/>
      <c r="MR258" s="486"/>
      <c r="MS258" s="486"/>
      <c r="MT258" s="486"/>
      <c r="MU258" s="486"/>
      <c r="MV258" s="486"/>
      <c r="MW258" s="486"/>
      <c r="MX258" s="486"/>
      <c r="MY258" s="486"/>
      <c r="MZ258" s="486"/>
      <c r="NA258" s="486"/>
      <c r="NB258" s="486"/>
      <c r="NC258" s="486"/>
      <c r="ND258" s="486"/>
      <c r="NE258" s="486"/>
      <c r="NF258" s="486"/>
      <c r="NG258" s="486"/>
      <c r="NH258" s="486"/>
      <c r="NI258" s="486"/>
      <c r="NJ258" s="486"/>
      <c r="NK258" s="486"/>
      <c r="NL258" s="486"/>
      <c r="NM258" s="486"/>
      <c r="NN258" s="486"/>
      <c r="NO258" s="486"/>
      <c r="NP258" s="486"/>
      <c r="NQ258" s="486"/>
      <c r="NR258" s="486"/>
      <c r="NS258" s="486"/>
      <c r="NT258" s="486"/>
      <c r="NU258" s="486"/>
      <c r="NV258" s="486"/>
      <c r="NW258" s="486"/>
      <c r="NX258" s="486"/>
      <c r="NY258" s="486"/>
      <c r="NZ258" s="486"/>
      <c r="OA258" s="486"/>
      <c r="OB258" s="486"/>
      <c r="OC258" s="486"/>
      <c r="OD258" s="486"/>
      <c r="OE258" s="486"/>
      <c r="OF258" s="486"/>
      <c r="OG258" s="486"/>
      <c r="OH258" s="486"/>
      <c r="OI258" s="486"/>
      <c r="OJ258" s="486"/>
      <c r="OK258" s="486"/>
      <c r="OL258" s="486"/>
      <c r="OM258" s="486"/>
      <c r="ON258" s="486"/>
      <c r="OO258" s="486"/>
      <c r="OP258" s="486"/>
      <c r="OQ258" s="486"/>
      <c r="OR258" s="486"/>
      <c r="OS258" s="486"/>
      <c r="OT258" s="486"/>
      <c r="OU258" s="486"/>
      <c r="OV258" s="486"/>
      <c r="OW258" s="486"/>
      <c r="OX258" s="486"/>
      <c r="OY258" s="486"/>
      <c r="OZ258" s="486"/>
      <c r="PA258" s="486"/>
      <c r="PB258" s="486"/>
      <c r="PC258" s="486"/>
      <c r="PD258" s="486"/>
      <c r="PE258" s="486"/>
      <c r="PF258" s="486"/>
      <c r="PG258" s="486"/>
      <c r="PH258" s="486"/>
      <c r="PI258" s="486"/>
      <c r="PJ258" s="486"/>
      <c r="PK258" s="486"/>
      <c r="PL258" s="486"/>
      <c r="PM258" s="486"/>
      <c r="PN258" s="486"/>
      <c r="PO258" s="486"/>
      <c r="PP258" s="486"/>
      <c r="PQ258" s="486"/>
      <c r="PR258" s="486"/>
      <c r="PS258" s="486"/>
      <c r="PT258" s="486"/>
      <c r="PU258" s="486"/>
      <c r="PV258" s="486"/>
      <c r="PW258" s="486"/>
      <c r="PX258" s="486"/>
      <c r="PY258" s="486"/>
      <c r="PZ258" s="486"/>
      <c r="QA258" s="486"/>
      <c r="QB258" s="486"/>
      <c r="QC258" s="486"/>
      <c r="QD258" s="486"/>
      <c r="QE258" s="486"/>
      <c r="QF258" s="486"/>
      <c r="QG258" s="486"/>
      <c r="QH258" s="486"/>
      <c r="QI258" s="486"/>
      <c r="QJ258" s="486"/>
      <c r="QK258" s="486"/>
      <c r="QL258" s="486"/>
      <c r="QM258" s="486"/>
      <c r="QN258" s="486"/>
      <c r="QO258" s="486"/>
      <c r="QP258" s="486"/>
      <c r="QQ258" s="486"/>
      <c r="QR258" s="486"/>
      <c r="QS258" s="486"/>
      <c r="QT258" s="486"/>
      <c r="QU258" s="486"/>
      <c r="QV258" s="486"/>
      <c r="QW258" s="486"/>
      <c r="QX258" s="486"/>
      <c r="QY258" s="486"/>
      <c r="QZ258" s="486"/>
      <c r="RA258" s="486"/>
      <c r="RB258" s="486"/>
      <c r="RC258" s="486"/>
      <c r="RD258" s="486"/>
      <c r="RE258" s="486"/>
      <c r="RF258" s="486"/>
      <c r="RG258" s="486"/>
      <c r="RH258" s="486"/>
      <c r="RI258" s="486"/>
      <c r="RJ258" s="486"/>
      <c r="RK258" s="486"/>
      <c r="RL258" s="486"/>
      <c r="RM258" s="486"/>
      <c r="RN258" s="486"/>
      <c r="RO258" s="486"/>
      <c r="RP258" s="486"/>
      <c r="RQ258" s="486"/>
      <c r="RR258" s="486"/>
      <c r="RS258" s="486"/>
      <c r="RT258" s="486"/>
      <c r="RU258" s="486"/>
      <c r="RV258" s="486"/>
      <c r="RW258" s="486"/>
      <c r="RX258" s="486"/>
      <c r="RY258" s="486"/>
      <c r="RZ258" s="486"/>
      <c r="SA258" s="486"/>
      <c r="SB258" s="486"/>
      <c r="SC258" s="486"/>
      <c r="SD258" s="486"/>
      <c r="SE258" s="486"/>
      <c r="SF258" s="486"/>
      <c r="SG258" s="486"/>
      <c r="SH258" s="486"/>
      <c r="SI258" s="486"/>
      <c r="SJ258" s="486"/>
      <c r="SK258" s="486"/>
      <c r="SL258" s="486"/>
      <c r="SM258" s="486"/>
      <c r="SN258" s="486"/>
      <c r="SO258" s="486"/>
      <c r="SP258" s="486"/>
      <c r="SQ258" s="486"/>
      <c r="SR258" s="486"/>
      <c r="SS258" s="486"/>
      <c r="ST258" s="486"/>
      <c r="SU258" s="486"/>
      <c r="SV258" s="486"/>
      <c r="SW258" s="486"/>
      <c r="SX258" s="486"/>
      <c r="SY258" s="486"/>
      <c r="SZ258" s="486"/>
      <c r="TA258" s="486"/>
      <c r="TB258" s="486"/>
      <c r="TC258" s="486"/>
      <c r="TD258" s="486"/>
      <c r="TE258" s="486"/>
      <c r="TF258" s="486"/>
      <c r="TG258" s="486"/>
      <c r="TH258" s="486"/>
      <c r="TI258" s="486"/>
      <c r="TJ258" s="486"/>
      <c r="TK258" s="486"/>
      <c r="TL258" s="486"/>
      <c r="TM258" s="486"/>
      <c r="TN258" s="486"/>
      <c r="TO258" s="486"/>
      <c r="TP258" s="486"/>
      <c r="TQ258" s="486"/>
      <c r="TR258" s="486"/>
      <c r="TS258" s="486"/>
      <c r="TT258" s="486"/>
      <c r="TU258" s="486"/>
      <c r="TV258" s="486"/>
      <c r="TW258" s="486"/>
      <c r="TX258" s="486"/>
      <c r="TY258" s="486"/>
      <c r="TZ258" s="486"/>
      <c r="UA258" s="486"/>
      <c r="UB258" s="486"/>
      <c r="UC258" s="486"/>
      <c r="UD258" s="486"/>
      <c r="UE258" s="486"/>
      <c r="UF258" s="486"/>
      <c r="UG258" s="486"/>
      <c r="UH258" s="486"/>
      <c r="UI258" s="486"/>
      <c r="UJ258" s="486"/>
      <c r="UK258" s="486"/>
      <c r="UL258" s="486"/>
      <c r="UM258" s="486"/>
      <c r="UN258" s="486"/>
      <c r="UO258" s="486"/>
      <c r="UP258" s="486"/>
      <c r="UQ258" s="486"/>
      <c r="UR258" s="486"/>
      <c r="US258" s="486"/>
      <c r="UT258" s="486"/>
      <c r="UU258" s="486"/>
      <c r="UV258" s="486"/>
      <c r="UW258" s="486"/>
      <c r="UX258" s="486"/>
      <c r="UY258" s="486"/>
      <c r="UZ258" s="486"/>
      <c r="VA258" s="486"/>
      <c r="VB258" s="486"/>
      <c r="VC258" s="486"/>
      <c r="VD258" s="486"/>
      <c r="VE258" s="486"/>
      <c r="VF258" s="486"/>
      <c r="VG258" s="486"/>
      <c r="VH258" s="486"/>
      <c r="VI258" s="486"/>
      <c r="VJ258" s="486"/>
      <c r="VK258" s="486"/>
      <c r="VL258" s="486"/>
      <c r="VM258" s="486"/>
      <c r="VN258" s="486"/>
      <c r="VO258" s="486"/>
      <c r="VP258" s="486"/>
      <c r="VQ258" s="486"/>
      <c r="VR258" s="486"/>
      <c r="VS258" s="486"/>
      <c r="VT258" s="486"/>
      <c r="VU258" s="486"/>
      <c r="VV258" s="486"/>
      <c r="VW258" s="486"/>
      <c r="VX258" s="486"/>
      <c r="VY258" s="486"/>
      <c r="VZ258" s="486"/>
      <c r="WA258" s="486"/>
      <c r="WB258" s="486"/>
      <c r="WC258" s="486"/>
      <c r="WD258" s="486"/>
      <c r="WE258" s="486"/>
      <c r="WF258" s="486"/>
      <c r="WG258" s="486"/>
      <c r="WH258" s="486"/>
      <c r="WI258" s="486"/>
      <c r="WJ258" s="486"/>
      <c r="WK258" s="486"/>
      <c r="WL258" s="486"/>
      <c r="WM258" s="486"/>
      <c r="WN258" s="486"/>
      <c r="WO258" s="486"/>
      <c r="WP258" s="486"/>
      <c r="WQ258" s="486"/>
      <c r="WR258" s="486"/>
      <c r="WS258" s="486"/>
      <c r="WT258" s="486"/>
      <c r="WU258" s="486"/>
      <c r="WV258" s="486"/>
      <c r="WW258" s="486"/>
      <c r="WX258" s="486"/>
      <c r="WY258" s="486"/>
      <c r="WZ258" s="486"/>
      <c r="XA258" s="486"/>
      <c r="XB258" s="486"/>
      <c r="XC258" s="486"/>
      <c r="XD258" s="486"/>
      <c r="XE258" s="486"/>
      <c r="XF258" s="486"/>
      <c r="XG258" s="486"/>
      <c r="XH258" s="486"/>
      <c r="XI258" s="486"/>
      <c r="XJ258" s="486"/>
      <c r="XK258" s="486"/>
      <c r="XL258" s="486"/>
      <c r="XM258" s="486"/>
      <c r="XN258" s="486"/>
      <c r="XO258" s="486"/>
      <c r="XP258" s="486"/>
      <c r="XQ258" s="486"/>
      <c r="XR258" s="486"/>
      <c r="XS258" s="486"/>
      <c r="XT258" s="486"/>
      <c r="XU258" s="486"/>
      <c r="XV258" s="486"/>
      <c r="XW258" s="486"/>
      <c r="XX258" s="486"/>
      <c r="XY258" s="486"/>
      <c r="XZ258" s="486"/>
      <c r="YA258" s="486"/>
      <c r="YB258" s="486"/>
      <c r="YC258" s="486"/>
      <c r="YD258" s="486"/>
      <c r="YE258" s="486"/>
      <c r="YF258" s="486"/>
      <c r="YG258" s="486"/>
      <c r="YH258" s="486"/>
      <c r="YI258" s="486"/>
      <c r="YJ258" s="486"/>
      <c r="YK258" s="486"/>
      <c r="YL258" s="486"/>
      <c r="YM258" s="486"/>
      <c r="YN258" s="486"/>
      <c r="YO258" s="486"/>
      <c r="YP258" s="486"/>
      <c r="YQ258" s="486"/>
      <c r="YR258" s="486"/>
      <c r="YS258" s="486"/>
      <c r="YT258" s="486"/>
      <c r="YU258" s="486"/>
      <c r="YV258" s="486"/>
      <c r="YW258" s="486"/>
      <c r="YX258" s="486"/>
      <c r="YY258" s="486"/>
      <c r="YZ258" s="486"/>
      <c r="ZA258" s="486"/>
      <c r="ZB258" s="486"/>
      <c r="ZC258" s="486"/>
      <c r="ZD258" s="486"/>
      <c r="ZE258" s="486"/>
      <c r="ZF258" s="486"/>
      <c r="ZG258" s="486"/>
      <c r="ZH258" s="486"/>
      <c r="ZI258" s="486"/>
      <c r="ZJ258" s="486"/>
      <c r="ZK258" s="486"/>
      <c r="ZL258" s="486"/>
      <c r="ZM258" s="486"/>
      <c r="ZN258" s="486"/>
      <c r="ZO258" s="486"/>
      <c r="ZP258" s="486"/>
      <c r="ZQ258" s="486"/>
      <c r="ZR258" s="486"/>
      <c r="ZS258" s="486"/>
      <c r="ZT258" s="486"/>
      <c r="ZU258" s="486"/>
      <c r="ZV258" s="486"/>
      <c r="ZW258" s="486"/>
      <c r="ZX258" s="486"/>
      <c r="ZY258" s="486"/>
      <c r="ZZ258" s="486"/>
      <c r="AAA258" s="486"/>
      <c r="AAB258" s="486"/>
      <c r="AAC258" s="486"/>
      <c r="AAD258" s="486"/>
      <c r="AAE258" s="486"/>
      <c r="AAF258" s="486"/>
      <c r="AAG258" s="486"/>
      <c r="AAH258" s="486"/>
      <c r="AAI258" s="486"/>
      <c r="AAJ258" s="486"/>
      <c r="AAK258" s="486"/>
      <c r="AAL258" s="486"/>
      <c r="AAM258" s="486"/>
      <c r="AAN258" s="486"/>
      <c r="AAO258" s="486"/>
      <c r="AAP258" s="486"/>
      <c r="AAQ258" s="486"/>
      <c r="AAR258" s="486"/>
      <c r="AAS258" s="486"/>
      <c r="AAT258" s="486"/>
      <c r="AAU258" s="486"/>
      <c r="AAV258" s="486"/>
      <c r="AAW258" s="486"/>
      <c r="AAX258" s="486"/>
      <c r="AAY258" s="486"/>
      <c r="AAZ258" s="486"/>
      <c r="ABA258" s="486"/>
      <c r="ABB258" s="486"/>
      <c r="ABC258" s="486"/>
      <c r="ABD258" s="486"/>
      <c r="ABE258" s="486"/>
      <c r="ABF258" s="486"/>
      <c r="ABG258" s="486"/>
      <c r="ABH258" s="486"/>
      <c r="ABI258" s="486"/>
      <c r="ABJ258" s="486"/>
      <c r="ABK258" s="486"/>
      <c r="ABL258" s="486"/>
      <c r="ABM258" s="486"/>
      <c r="ABN258" s="486"/>
      <c r="ABO258" s="486"/>
      <c r="ABP258" s="486"/>
      <c r="ABQ258" s="486"/>
      <c r="ABR258" s="486"/>
      <c r="ABS258" s="486"/>
      <c r="ABT258" s="486"/>
      <c r="ABU258" s="486"/>
      <c r="ABV258" s="486"/>
      <c r="ABW258" s="486"/>
      <c r="ABX258" s="486"/>
      <c r="ABY258" s="486"/>
      <c r="ABZ258" s="486"/>
      <c r="ACA258" s="486"/>
      <c r="ACB258" s="486"/>
      <c r="ACC258" s="486"/>
      <c r="ACD258" s="486"/>
      <c r="ACE258" s="486"/>
      <c r="ACF258" s="486"/>
      <c r="ACG258" s="486"/>
      <c r="ACH258" s="486"/>
      <c r="ACI258" s="486"/>
      <c r="ACJ258" s="486"/>
      <c r="ACK258" s="486"/>
      <c r="ACL258" s="486"/>
      <c r="ACM258" s="486"/>
      <c r="ACN258" s="486"/>
      <c r="ACO258" s="486"/>
      <c r="ACP258" s="486"/>
      <c r="ACQ258" s="486"/>
      <c r="ACR258" s="486"/>
      <c r="ACS258" s="486"/>
      <c r="ACT258" s="486"/>
      <c r="ACU258" s="486"/>
      <c r="ACV258" s="486"/>
      <c r="ACW258" s="486"/>
      <c r="ACX258" s="486"/>
      <c r="ACY258" s="486"/>
      <c r="ACZ258" s="486"/>
      <c r="ADA258" s="486"/>
      <c r="ADB258" s="486"/>
      <c r="ADC258" s="486"/>
      <c r="ADD258" s="486"/>
      <c r="ADE258" s="486"/>
      <c r="ADF258" s="486"/>
      <c r="ADG258" s="486"/>
      <c r="ADH258" s="486"/>
      <c r="ADI258" s="486"/>
      <c r="ADJ258" s="486"/>
      <c r="ADK258" s="486"/>
      <c r="ADL258" s="486"/>
      <c r="ADM258" s="486"/>
      <c r="ADN258" s="486"/>
      <c r="ADO258" s="486"/>
      <c r="ADP258" s="486"/>
      <c r="ADQ258" s="486"/>
      <c r="ADR258" s="486"/>
      <c r="ADS258" s="486"/>
      <c r="ADT258" s="486"/>
      <c r="ADU258" s="486"/>
      <c r="ADV258" s="486"/>
      <c r="ADW258" s="486"/>
      <c r="ADX258" s="486"/>
      <c r="ADY258" s="486"/>
      <c r="ADZ258" s="486"/>
      <c r="AEA258" s="486"/>
      <c r="AEB258" s="486"/>
      <c r="AEC258" s="486"/>
      <c r="AED258" s="486"/>
      <c r="AEE258" s="486"/>
      <c r="AEF258" s="486"/>
      <c r="AEG258" s="486"/>
      <c r="AEH258" s="486"/>
      <c r="AEI258" s="486"/>
      <c r="AEJ258" s="486"/>
      <c r="AEK258" s="486"/>
      <c r="AEL258" s="486"/>
      <c r="AEM258" s="486"/>
      <c r="AEN258" s="486"/>
      <c r="AEO258" s="486"/>
      <c r="AEP258" s="486"/>
      <c r="AEQ258" s="486"/>
      <c r="AER258" s="486"/>
      <c r="AES258" s="486"/>
      <c r="AET258" s="486"/>
      <c r="AEU258" s="486"/>
      <c r="AEV258" s="486"/>
      <c r="AEW258" s="486"/>
      <c r="AEX258" s="486"/>
      <c r="AEY258" s="486"/>
      <c r="AEZ258" s="486"/>
      <c r="AFA258" s="486"/>
      <c r="AFB258" s="486"/>
      <c r="AFC258" s="486"/>
      <c r="AFD258" s="486"/>
      <c r="AFE258" s="486"/>
      <c r="AFF258" s="486"/>
      <c r="AFG258" s="486"/>
      <c r="AFH258" s="486"/>
      <c r="AFI258" s="486"/>
      <c r="AFJ258" s="486"/>
      <c r="AFK258" s="486"/>
      <c r="AFL258" s="486"/>
      <c r="AFM258" s="486"/>
      <c r="AFN258" s="486"/>
      <c r="AFO258" s="486"/>
      <c r="AFP258" s="486"/>
      <c r="AFQ258" s="486"/>
      <c r="AFR258" s="486"/>
      <c r="AFS258" s="486"/>
      <c r="AFT258" s="486"/>
      <c r="AFU258" s="486"/>
      <c r="AFV258" s="486"/>
      <c r="AFW258" s="486"/>
      <c r="AFX258" s="486"/>
      <c r="AFY258" s="486"/>
      <c r="AFZ258" s="486"/>
      <c r="AGA258" s="486"/>
      <c r="AGB258" s="486"/>
      <c r="AGC258" s="486"/>
      <c r="AGD258" s="486"/>
      <c r="AGE258" s="486"/>
      <c r="AGF258" s="486"/>
      <c r="AGG258" s="486"/>
      <c r="AGH258" s="486"/>
      <c r="AGI258" s="486"/>
      <c r="AGJ258" s="486"/>
      <c r="AGK258" s="486"/>
      <c r="AGL258" s="486"/>
      <c r="AGM258" s="486"/>
      <c r="AGN258" s="486"/>
      <c r="AGO258" s="486"/>
      <c r="AGP258" s="486"/>
      <c r="AGQ258" s="486"/>
      <c r="AGR258" s="486"/>
      <c r="AGS258" s="486"/>
      <c r="AGT258" s="486"/>
      <c r="AGU258" s="486"/>
      <c r="AGV258" s="486"/>
      <c r="AGW258" s="486"/>
      <c r="AGX258" s="486"/>
      <c r="AGY258" s="486"/>
      <c r="AGZ258" s="486"/>
      <c r="AHA258" s="486"/>
      <c r="AHB258" s="486"/>
      <c r="AHC258" s="486"/>
      <c r="AHD258" s="486"/>
      <c r="AHE258" s="486"/>
      <c r="AHF258" s="486"/>
      <c r="AHG258" s="486"/>
      <c r="AHH258" s="486"/>
      <c r="AHI258" s="486"/>
      <c r="AHJ258" s="486"/>
      <c r="AHK258" s="486"/>
      <c r="AHL258" s="486"/>
      <c r="AHM258" s="486"/>
      <c r="AHN258" s="486"/>
      <c r="AHO258" s="486"/>
      <c r="AHP258" s="486"/>
      <c r="AHQ258" s="486"/>
      <c r="AHR258" s="486"/>
      <c r="AHS258" s="486"/>
      <c r="AHT258" s="486"/>
      <c r="AHU258" s="486"/>
      <c r="AHV258" s="486"/>
      <c r="AHW258" s="486"/>
      <c r="AHX258" s="486"/>
      <c r="AHY258" s="486"/>
      <c r="AHZ258" s="486"/>
      <c r="AIA258" s="486"/>
      <c r="AIB258" s="486"/>
      <c r="AIC258" s="486"/>
      <c r="AID258" s="486"/>
      <c r="AIE258" s="486"/>
      <c r="AIF258" s="486"/>
      <c r="AIG258" s="486"/>
      <c r="AIH258" s="486"/>
      <c r="AII258" s="486"/>
      <c r="AIJ258" s="486"/>
      <c r="AIK258" s="486"/>
      <c r="AIL258" s="486"/>
      <c r="AIM258" s="486"/>
      <c r="AIN258" s="486"/>
      <c r="AIO258" s="486"/>
      <c r="AIP258" s="486"/>
      <c r="AIQ258" s="486"/>
      <c r="AIR258" s="486"/>
      <c r="AIS258" s="486"/>
      <c r="AIT258" s="486"/>
      <c r="AIU258" s="486"/>
      <c r="AIV258" s="486"/>
      <c r="AIW258" s="486"/>
      <c r="AIX258" s="486"/>
      <c r="AIY258" s="486"/>
      <c r="AIZ258" s="486"/>
      <c r="AJA258" s="486"/>
      <c r="AJB258" s="486"/>
      <c r="AJC258" s="486"/>
      <c r="AJD258" s="486"/>
      <c r="AJE258" s="486"/>
      <c r="AJF258" s="486"/>
      <c r="AJG258" s="486"/>
      <c r="AJH258" s="486"/>
      <c r="AJI258" s="486"/>
      <c r="AJJ258" s="486"/>
      <c r="AJK258" s="486"/>
      <c r="AJL258" s="486"/>
      <c r="AJM258" s="486"/>
      <c r="AJN258" s="486"/>
      <c r="AJO258" s="486"/>
      <c r="AJP258" s="486"/>
      <c r="AJQ258" s="486"/>
      <c r="AJR258" s="486"/>
      <c r="AJS258" s="486"/>
      <c r="AJT258" s="486"/>
      <c r="AJU258" s="486"/>
      <c r="AJV258" s="486"/>
      <c r="AJW258" s="486"/>
      <c r="AJX258" s="486"/>
      <c r="AJY258" s="486"/>
      <c r="AJZ258" s="486"/>
      <c r="AKA258" s="486"/>
      <c r="AKB258" s="486"/>
      <c r="AKC258" s="486"/>
      <c r="AKD258" s="486"/>
      <c r="AKE258" s="486"/>
      <c r="AKF258" s="486"/>
      <c r="AKG258" s="486"/>
      <c r="AKH258" s="486"/>
      <c r="AKI258" s="486"/>
      <c r="AKJ258" s="486"/>
      <c r="AKK258" s="486"/>
      <c r="AKL258" s="486"/>
      <c r="AKM258" s="486"/>
      <c r="AKN258" s="486"/>
      <c r="AKO258" s="486"/>
      <c r="AKP258" s="486"/>
      <c r="AKQ258" s="486"/>
      <c r="AKR258" s="486"/>
      <c r="AKS258" s="486"/>
      <c r="AKT258" s="486"/>
      <c r="AKU258" s="486"/>
      <c r="AKV258" s="486"/>
      <c r="AKW258" s="486"/>
      <c r="AKX258" s="486"/>
      <c r="AKY258" s="486"/>
      <c r="AKZ258" s="486"/>
      <c r="ALA258" s="486"/>
      <c r="ALB258" s="486"/>
      <c r="ALC258" s="486"/>
      <c r="ALD258" s="486"/>
      <c r="ALE258" s="486"/>
      <c r="ALF258" s="486"/>
      <c r="ALG258" s="486"/>
      <c r="ALH258" s="486"/>
      <c r="ALI258" s="486"/>
      <c r="ALJ258" s="486"/>
      <c r="ALK258" s="486"/>
      <c r="ALL258" s="486"/>
      <c r="ALM258" s="486"/>
      <c r="ALN258" s="486"/>
      <c r="ALO258" s="486"/>
      <c r="ALP258" s="486"/>
      <c r="ALQ258" s="486"/>
      <c r="ALR258" s="486"/>
      <c r="ALS258" s="486"/>
      <c r="ALT258" s="486"/>
      <c r="ALU258" s="486"/>
      <c r="ALV258" s="486"/>
      <c r="ALW258" s="486"/>
      <c r="ALX258" s="486"/>
      <c r="ALY258" s="486"/>
      <c r="ALZ258" s="486"/>
      <c r="AMA258" s="486"/>
      <c r="AMB258" s="486"/>
      <c r="AMC258" s="486"/>
      <c r="AMD258" s="486"/>
      <c r="AME258" s="486"/>
      <c r="AMF258" s="486"/>
      <c r="AMG258" s="486"/>
      <c r="AMH258" s="486"/>
      <c r="AMI258" s="486"/>
      <c r="AMJ258" s="486"/>
      <c r="AMK258" s="486"/>
      <c r="AML258" s="486"/>
      <c r="AMM258" s="486"/>
      <c r="AMN258" s="486"/>
      <c r="AMO258" s="486"/>
      <c r="AMP258" s="486"/>
      <c r="AMQ258" s="486"/>
      <c r="AMR258" s="486"/>
      <c r="AMS258" s="486"/>
      <c r="AMT258" s="486"/>
      <c r="AMU258" s="486"/>
      <c r="AMV258" s="486"/>
      <c r="AMW258" s="486"/>
      <c r="AMX258" s="486"/>
      <c r="AMY258" s="486"/>
      <c r="AMZ258" s="486"/>
      <c r="ANA258" s="486"/>
      <c r="ANB258" s="486"/>
      <c r="ANC258" s="486"/>
      <c r="AND258" s="486"/>
      <c r="ANE258" s="486"/>
      <c r="ANF258" s="486"/>
      <c r="ANG258" s="486"/>
      <c r="ANH258" s="486"/>
      <c r="ANI258" s="486"/>
      <c r="ANJ258" s="486"/>
      <c r="ANK258" s="486"/>
      <c r="ANL258" s="486"/>
      <c r="ANM258" s="486"/>
      <c r="ANN258" s="486"/>
      <c r="ANO258" s="486"/>
      <c r="ANP258" s="486"/>
      <c r="ANQ258" s="486"/>
      <c r="ANR258" s="486"/>
      <c r="ANS258" s="486"/>
      <c r="ANT258" s="486"/>
      <c r="ANU258" s="486"/>
      <c r="ANV258" s="486"/>
      <c r="ANW258" s="486"/>
      <c r="ANX258" s="486"/>
      <c r="ANY258" s="486"/>
      <c r="ANZ258" s="486"/>
      <c r="AOA258" s="486"/>
      <c r="AOB258" s="486"/>
      <c r="AOC258" s="486"/>
      <c r="AOD258" s="486"/>
      <c r="AOE258" s="486"/>
      <c r="AOF258" s="486"/>
      <c r="AOG258" s="486"/>
      <c r="AOH258" s="486"/>
      <c r="AOI258" s="486"/>
      <c r="AOJ258" s="486"/>
      <c r="AOK258" s="486"/>
      <c r="AOL258" s="486"/>
      <c r="AOM258" s="486"/>
      <c r="AON258" s="486"/>
      <c r="AOO258" s="486"/>
      <c r="AOP258" s="486"/>
      <c r="AOQ258" s="486"/>
      <c r="AOR258" s="486"/>
      <c r="AOS258" s="486"/>
      <c r="AOT258" s="486"/>
      <c r="AOU258" s="486"/>
      <c r="AOV258" s="486"/>
      <c r="AOW258" s="486"/>
      <c r="AOX258" s="486"/>
      <c r="AOY258" s="486"/>
      <c r="AOZ258" s="486"/>
      <c r="APA258" s="486"/>
      <c r="APB258" s="486"/>
      <c r="APC258" s="486"/>
      <c r="APD258" s="486"/>
      <c r="APE258" s="486"/>
      <c r="APF258" s="486"/>
      <c r="APG258" s="486"/>
      <c r="APH258" s="486"/>
      <c r="API258" s="486"/>
      <c r="APJ258" s="486"/>
      <c r="APK258" s="486"/>
      <c r="APL258" s="486"/>
      <c r="APM258" s="486"/>
      <c r="APN258" s="486"/>
      <c r="APO258" s="486"/>
      <c r="APP258" s="486"/>
      <c r="APQ258" s="486"/>
      <c r="APR258" s="486"/>
      <c r="APS258" s="486"/>
      <c r="APT258" s="486"/>
      <c r="APU258" s="486"/>
      <c r="APV258" s="486"/>
      <c r="APW258" s="486"/>
      <c r="APX258" s="486"/>
      <c r="APY258" s="486"/>
      <c r="APZ258" s="486"/>
      <c r="AQA258" s="486"/>
      <c r="AQB258" s="486"/>
      <c r="AQC258" s="486"/>
      <c r="AQD258" s="486"/>
      <c r="AQE258" s="486"/>
      <c r="AQF258" s="486"/>
      <c r="AQG258" s="486"/>
      <c r="AQH258" s="486"/>
      <c r="AQI258" s="486"/>
      <c r="AQJ258" s="486"/>
      <c r="AQK258" s="486"/>
      <c r="AQL258" s="486"/>
      <c r="AQM258" s="486"/>
      <c r="AQN258" s="486"/>
      <c r="AQO258" s="486"/>
      <c r="AQP258" s="486"/>
      <c r="AQQ258" s="486"/>
      <c r="AQR258" s="486"/>
      <c r="AQS258" s="486"/>
      <c r="AQT258" s="486"/>
      <c r="AQU258" s="486"/>
      <c r="AQV258" s="486"/>
      <c r="AQW258" s="486"/>
      <c r="AQX258" s="486"/>
      <c r="AQY258" s="486"/>
      <c r="AQZ258" s="486"/>
      <c r="ARA258" s="486"/>
      <c r="ARB258" s="486"/>
      <c r="ARC258" s="486"/>
      <c r="ARD258" s="486"/>
      <c r="ARE258" s="486"/>
      <c r="ARF258" s="486"/>
      <c r="ARG258" s="486"/>
      <c r="ARH258" s="486"/>
      <c r="ARI258" s="486"/>
      <c r="ARJ258" s="486"/>
      <c r="ARK258" s="486"/>
      <c r="ARL258" s="486"/>
      <c r="ARM258" s="486"/>
      <c r="ARN258" s="486"/>
      <c r="ARO258" s="486"/>
      <c r="ARP258" s="486"/>
      <c r="ARQ258" s="486"/>
      <c r="ARR258" s="486"/>
      <c r="ARS258" s="486"/>
      <c r="ART258" s="486"/>
      <c r="ARU258" s="486"/>
      <c r="ARV258" s="486"/>
      <c r="ARW258" s="486"/>
      <c r="ARX258" s="486"/>
      <c r="ARY258" s="486"/>
      <c r="ARZ258" s="486"/>
      <c r="ASA258" s="486"/>
      <c r="ASB258" s="486"/>
      <c r="ASC258" s="486"/>
      <c r="ASD258" s="486"/>
      <c r="ASE258" s="486"/>
      <c r="ASF258" s="486"/>
      <c r="ASG258" s="486"/>
      <c r="ASH258" s="486"/>
      <c r="ASI258" s="486"/>
      <c r="ASJ258" s="486"/>
      <c r="ASK258" s="486"/>
      <c r="ASL258" s="486"/>
      <c r="ASM258" s="486"/>
      <c r="ASN258" s="486"/>
      <c r="ASO258" s="486"/>
      <c r="ASP258" s="486"/>
      <c r="ASQ258" s="486"/>
      <c r="ASR258" s="486"/>
      <c r="ASS258" s="486"/>
      <c r="AST258" s="486"/>
      <c r="ASU258" s="486"/>
      <c r="ASV258" s="486"/>
      <c r="ASW258" s="486"/>
      <c r="ASX258" s="486"/>
      <c r="ASY258" s="486"/>
      <c r="ASZ258" s="486"/>
      <c r="ATA258" s="486"/>
      <c r="ATB258" s="486"/>
      <c r="ATC258" s="486"/>
      <c r="ATD258" s="486"/>
      <c r="ATE258" s="486"/>
      <c r="ATF258" s="486"/>
      <c r="ATG258" s="486"/>
      <c r="ATH258" s="486"/>
      <c r="ATI258" s="486"/>
      <c r="ATJ258" s="486"/>
      <c r="ATK258" s="486"/>
      <c r="ATL258" s="486"/>
      <c r="ATM258" s="486"/>
      <c r="ATN258" s="486"/>
      <c r="ATO258" s="486"/>
      <c r="ATP258" s="486"/>
      <c r="ATQ258" s="486"/>
      <c r="ATR258" s="486"/>
      <c r="ATS258" s="486"/>
      <c r="ATT258" s="486"/>
      <c r="ATU258" s="486"/>
      <c r="ATV258" s="486"/>
      <c r="ATW258" s="486"/>
      <c r="ATX258" s="486"/>
      <c r="ATY258" s="486"/>
      <c r="ATZ258" s="486"/>
      <c r="AUA258" s="486"/>
      <c r="AUB258" s="486"/>
      <c r="AUC258" s="486"/>
      <c r="AUD258" s="486"/>
      <c r="AUE258" s="486"/>
      <c r="AUF258" s="486"/>
      <c r="AUG258" s="486"/>
      <c r="AUH258" s="486"/>
      <c r="AUI258" s="486"/>
      <c r="AUJ258" s="486"/>
      <c r="AUK258" s="486"/>
      <c r="AUL258" s="486"/>
      <c r="AUM258" s="486"/>
      <c r="AUN258" s="486"/>
      <c r="AUO258" s="486"/>
      <c r="AUP258" s="486"/>
      <c r="AUQ258" s="486"/>
      <c r="AUR258" s="486"/>
      <c r="AUS258" s="486"/>
      <c r="AUT258" s="486"/>
      <c r="AUU258" s="486"/>
      <c r="AUV258" s="486"/>
      <c r="AUW258" s="486"/>
      <c r="AUX258" s="486"/>
      <c r="AUY258" s="486"/>
      <c r="AUZ258" s="486"/>
      <c r="AVA258" s="486"/>
      <c r="AVB258" s="486"/>
      <c r="AVC258" s="486"/>
      <c r="AVD258" s="486"/>
      <c r="AVE258" s="486"/>
      <c r="AVF258" s="486"/>
      <c r="AVG258" s="486"/>
      <c r="AVH258" s="486"/>
      <c r="AVI258" s="486"/>
      <c r="AVJ258" s="486"/>
      <c r="AVK258" s="486"/>
      <c r="AVL258" s="486"/>
      <c r="AVM258" s="486"/>
      <c r="AVN258" s="486"/>
      <c r="AVO258" s="486"/>
      <c r="AVP258" s="486"/>
      <c r="AVQ258" s="486"/>
      <c r="AVR258" s="486"/>
      <c r="AVS258" s="486"/>
      <c r="AVT258" s="486"/>
      <c r="AVU258" s="486"/>
      <c r="AVV258" s="486"/>
      <c r="AVW258" s="486"/>
      <c r="AVX258" s="486"/>
      <c r="AVY258" s="486"/>
      <c r="AVZ258" s="486"/>
      <c r="AWA258" s="486"/>
      <c r="AWB258" s="486"/>
      <c r="AWC258" s="486"/>
      <c r="AWD258" s="486"/>
      <c r="AWE258" s="486"/>
      <c r="AWF258" s="486"/>
      <c r="AWG258" s="486"/>
      <c r="AWH258" s="486"/>
      <c r="AWI258" s="486"/>
      <c r="AWJ258" s="486"/>
      <c r="AWK258" s="486"/>
      <c r="AWL258" s="486"/>
      <c r="AWM258" s="486"/>
      <c r="AWN258" s="486"/>
      <c r="AWO258" s="486"/>
      <c r="AWP258" s="486"/>
      <c r="AWQ258" s="486"/>
      <c r="AWR258" s="486"/>
      <c r="AWS258" s="486"/>
      <c r="AWT258" s="486"/>
      <c r="AWU258" s="486"/>
      <c r="AWV258" s="486"/>
      <c r="AWW258" s="486"/>
      <c r="AWX258" s="486"/>
      <c r="AWY258" s="486"/>
      <c r="AWZ258" s="486"/>
      <c r="AXA258" s="486"/>
      <c r="AXB258" s="486"/>
      <c r="AXC258" s="486"/>
      <c r="AXD258" s="486"/>
      <c r="AXE258" s="486"/>
      <c r="AXF258" s="486"/>
      <c r="AXG258" s="486"/>
      <c r="AXH258" s="486"/>
      <c r="AXI258" s="486"/>
      <c r="AXJ258" s="486"/>
      <c r="AXK258" s="486"/>
      <c r="AXL258" s="486"/>
      <c r="AXM258" s="486"/>
      <c r="AXN258" s="486"/>
      <c r="AXO258" s="486"/>
      <c r="AXP258" s="486"/>
      <c r="AXQ258" s="486"/>
      <c r="AXR258" s="486"/>
      <c r="AXS258" s="486"/>
      <c r="AXT258" s="486"/>
      <c r="AXU258" s="486"/>
      <c r="AXV258" s="486"/>
      <c r="AXW258" s="486"/>
      <c r="AXX258" s="486"/>
      <c r="AXY258" s="486"/>
      <c r="AXZ258" s="486"/>
      <c r="AYA258" s="486"/>
      <c r="AYB258" s="486"/>
      <c r="AYC258" s="486"/>
      <c r="AYD258" s="486"/>
      <c r="AYE258" s="486"/>
      <c r="AYF258" s="486"/>
      <c r="AYG258" s="486"/>
      <c r="AYH258" s="486"/>
      <c r="AYI258" s="486"/>
      <c r="AYJ258" s="486"/>
      <c r="AYK258" s="486"/>
      <c r="AYL258" s="486"/>
      <c r="AYM258" s="486"/>
      <c r="AYN258" s="486"/>
      <c r="AYO258" s="486"/>
      <c r="AYP258" s="486"/>
      <c r="AYQ258" s="486"/>
      <c r="AYR258" s="486"/>
      <c r="AYS258" s="486"/>
      <c r="AYT258" s="486"/>
      <c r="AYU258" s="486"/>
      <c r="AYV258" s="486"/>
      <c r="AYW258" s="486"/>
      <c r="AYX258" s="486"/>
      <c r="AYY258" s="486"/>
      <c r="AYZ258" s="486"/>
      <c r="AZA258" s="486"/>
      <c r="AZB258" s="486"/>
      <c r="AZC258" s="486"/>
      <c r="AZD258" s="486"/>
      <c r="AZE258" s="486"/>
      <c r="AZF258" s="486"/>
      <c r="AZG258" s="486"/>
      <c r="AZH258" s="486"/>
      <c r="AZI258" s="486"/>
      <c r="AZJ258" s="486"/>
      <c r="AZK258" s="486"/>
      <c r="AZL258" s="486"/>
      <c r="AZM258" s="486"/>
      <c r="AZN258" s="486"/>
      <c r="AZO258" s="486"/>
      <c r="AZP258" s="486"/>
      <c r="AZQ258" s="486"/>
      <c r="AZR258" s="486"/>
      <c r="AZS258" s="486"/>
      <c r="AZT258" s="486"/>
      <c r="AZU258" s="486"/>
      <c r="AZV258" s="486"/>
      <c r="AZW258" s="486"/>
      <c r="AZX258" s="486"/>
      <c r="AZY258" s="486"/>
      <c r="AZZ258" s="486"/>
      <c r="BAA258" s="486"/>
      <c r="BAB258" s="486"/>
      <c r="BAC258" s="486"/>
      <c r="BAD258" s="486"/>
      <c r="BAE258" s="486"/>
      <c r="BAF258" s="486"/>
      <c r="BAG258" s="486"/>
      <c r="BAH258" s="486"/>
      <c r="BAI258" s="486"/>
      <c r="BAJ258" s="486"/>
      <c r="BAK258" s="486"/>
      <c r="BAL258" s="486"/>
      <c r="BAM258" s="486"/>
      <c r="BAN258" s="486"/>
      <c r="BAO258" s="486"/>
      <c r="BAP258" s="486"/>
      <c r="BAQ258" s="486"/>
      <c r="BAR258" s="486"/>
      <c r="BAS258" s="486"/>
      <c r="BAT258" s="486"/>
      <c r="BAU258" s="486"/>
      <c r="BAV258" s="486"/>
      <c r="BAW258" s="486"/>
      <c r="BAX258" s="486"/>
      <c r="BAY258" s="486"/>
      <c r="BAZ258" s="486"/>
      <c r="BBA258" s="486"/>
      <c r="BBB258" s="486"/>
      <c r="BBC258" s="486"/>
      <c r="BBD258" s="486"/>
      <c r="BBE258" s="486"/>
      <c r="BBF258" s="486"/>
      <c r="BBG258" s="486"/>
      <c r="BBH258" s="486"/>
      <c r="BBI258" s="486"/>
      <c r="BBJ258" s="486"/>
      <c r="BBK258" s="486"/>
      <c r="BBL258" s="486"/>
      <c r="BBM258" s="486"/>
      <c r="BBN258" s="486"/>
      <c r="BBO258" s="486"/>
      <c r="BBP258" s="486"/>
      <c r="BBQ258" s="486"/>
      <c r="BBR258" s="486"/>
      <c r="BBS258" s="486"/>
      <c r="BBT258" s="486"/>
      <c r="BBU258" s="486"/>
      <c r="BBV258" s="486"/>
      <c r="BBW258" s="486"/>
      <c r="BBX258" s="486"/>
      <c r="BBY258" s="486"/>
      <c r="BBZ258" s="486"/>
      <c r="BCA258" s="486"/>
      <c r="BCB258" s="486"/>
      <c r="BCC258" s="486"/>
      <c r="BCD258" s="486"/>
      <c r="BCE258" s="486"/>
      <c r="BCF258" s="486"/>
      <c r="BCG258" s="486"/>
      <c r="BCH258" s="486"/>
      <c r="BCI258" s="486"/>
      <c r="BCJ258" s="486"/>
      <c r="BCK258" s="486"/>
      <c r="BCL258" s="486"/>
      <c r="BCM258" s="486"/>
      <c r="BCN258" s="486"/>
      <c r="BCO258" s="486"/>
      <c r="BCP258" s="486"/>
      <c r="BCQ258" s="486"/>
      <c r="BCR258" s="486"/>
      <c r="BCS258" s="486"/>
      <c r="BCT258" s="486"/>
      <c r="BCU258" s="486"/>
      <c r="BCV258" s="486"/>
      <c r="BCW258" s="486"/>
      <c r="BCX258" s="486"/>
      <c r="BCY258" s="486"/>
      <c r="BCZ258" s="486"/>
      <c r="BDA258" s="486"/>
      <c r="BDB258" s="486"/>
      <c r="BDC258" s="486"/>
      <c r="BDD258" s="486"/>
      <c r="BDE258" s="486"/>
      <c r="BDF258" s="486"/>
      <c r="BDG258" s="486"/>
      <c r="BDH258" s="486"/>
      <c r="BDI258" s="486"/>
      <c r="BDJ258" s="486"/>
      <c r="BDK258" s="486"/>
      <c r="BDL258" s="486"/>
      <c r="BDM258" s="486"/>
      <c r="BDN258" s="486"/>
      <c r="BDO258" s="486"/>
      <c r="BDP258" s="486"/>
      <c r="BDQ258" s="486"/>
      <c r="BDR258" s="486"/>
      <c r="BDS258" s="486"/>
      <c r="BDT258" s="486"/>
      <c r="BDU258" s="486"/>
      <c r="BDV258" s="486"/>
      <c r="BDW258" s="486"/>
      <c r="BDX258" s="486"/>
      <c r="BDY258" s="486"/>
      <c r="BDZ258" s="486"/>
      <c r="BEA258" s="486"/>
      <c r="BEB258" s="486"/>
      <c r="BEC258" s="486"/>
      <c r="BED258" s="486"/>
      <c r="BEE258" s="486"/>
      <c r="BEF258" s="486"/>
      <c r="BEG258" s="486"/>
      <c r="BEH258" s="486"/>
      <c r="BEI258" s="486"/>
      <c r="BEJ258" s="486"/>
      <c r="BEK258" s="486"/>
      <c r="BEL258" s="486"/>
      <c r="BEM258" s="486"/>
      <c r="BEN258" s="486"/>
      <c r="BEO258" s="486"/>
      <c r="BEP258" s="486"/>
      <c r="BEQ258" s="486"/>
      <c r="BER258" s="486"/>
      <c r="BES258" s="486"/>
      <c r="BET258" s="486"/>
      <c r="BEU258" s="486"/>
      <c r="BEV258" s="486"/>
      <c r="BEW258" s="486"/>
      <c r="BEX258" s="486"/>
      <c r="BEY258" s="486"/>
      <c r="BEZ258" s="486"/>
      <c r="BFA258" s="486"/>
      <c r="BFB258" s="486"/>
      <c r="BFC258" s="486"/>
      <c r="BFD258" s="486"/>
      <c r="BFE258" s="486"/>
      <c r="BFF258" s="486"/>
      <c r="BFG258" s="486"/>
      <c r="BFH258" s="486"/>
      <c r="BFI258" s="486"/>
      <c r="BFJ258" s="486"/>
      <c r="BFK258" s="486"/>
      <c r="BFL258" s="486"/>
      <c r="BFM258" s="486"/>
      <c r="BFN258" s="486"/>
      <c r="BFO258" s="486"/>
      <c r="BFP258" s="486"/>
      <c r="BFQ258" s="486"/>
      <c r="BFR258" s="486"/>
      <c r="BFS258" s="486"/>
      <c r="BFT258" s="486"/>
      <c r="BFU258" s="486"/>
      <c r="BFV258" s="486"/>
      <c r="BFW258" s="486"/>
      <c r="BFX258" s="486"/>
      <c r="BFY258" s="486"/>
      <c r="BFZ258" s="486"/>
      <c r="BGA258" s="486"/>
      <c r="BGB258" s="486"/>
      <c r="BGC258" s="486"/>
      <c r="BGD258" s="486"/>
      <c r="BGE258" s="486"/>
      <c r="BGF258" s="486"/>
      <c r="BGG258" s="486"/>
      <c r="BGH258" s="486"/>
      <c r="BGI258" s="486"/>
      <c r="BGJ258" s="486"/>
      <c r="BGK258" s="486"/>
      <c r="BGL258" s="486"/>
      <c r="BGM258" s="486"/>
      <c r="BGN258" s="486"/>
      <c r="BGO258" s="486"/>
      <c r="BGP258" s="486"/>
      <c r="BGQ258" s="486"/>
      <c r="BGR258" s="486"/>
      <c r="BGS258" s="486"/>
      <c r="BGT258" s="486"/>
      <c r="BGU258" s="486"/>
      <c r="BGV258" s="486"/>
      <c r="BGW258" s="486"/>
      <c r="BGX258" s="486"/>
      <c r="BGY258" s="486"/>
      <c r="BGZ258" s="486"/>
      <c r="BHA258" s="486"/>
      <c r="BHB258" s="486"/>
      <c r="BHC258" s="486"/>
      <c r="BHD258" s="486"/>
      <c r="BHE258" s="486"/>
      <c r="BHF258" s="486"/>
      <c r="BHG258" s="486"/>
      <c r="BHH258" s="486"/>
      <c r="BHI258" s="486"/>
      <c r="BHJ258" s="486"/>
      <c r="BHK258" s="486"/>
      <c r="BHL258" s="486"/>
      <c r="BHM258" s="486"/>
      <c r="BHN258" s="486"/>
      <c r="BHO258" s="486"/>
      <c r="BHP258" s="486"/>
      <c r="BHQ258" s="486"/>
      <c r="BHR258" s="486"/>
      <c r="BHS258" s="486"/>
      <c r="BHT258" s="486"/>
      <c r="BHU258" s="486"/>
      <c r="BHV258" s="486"/>
      <c r="BHW258" s="486"/>
      <c r="BHX258" s="486"/>
      <c r="BHY258" s="486"/>
      <c r="BHZ258" s="486"/>
      <c r="BIA258" s="486"/>
      <c r="BIB258" s="486"/>
      <c r="BIC258" s="486"/>
      <c r="BID258" s="486"/>
      <c r="BIE258" s="486"/>
      <c r="BIF258" s="486"/>
      <c r="BIG258" s="486"/>
      <c r="BIH258" s="486"/>
      <c r="BII258" s="486"/>
      <c r="BIJ258" s="486"/>
      <c r="BIK258" s="486"/>
      <c r="BIL258" s="486"/>
      <c r="BIM258" s="486"/>
      <c r="BIN258" s="486"/>
      <c r="BIO258" s="486"/>
      <c r="BIP258" s="486"/>
      <c r="BIQ258" s="486"/>
      <c r="BIR258" s="486"/>
      <c r="BIS258" s="486"/>
      <c r="BIT258" s="486"/>
      <c r="BIU258" s="486"/>
      <c r="BIV258" s="486"/>
      <c r="BIW258" s="486"/>
      <c r="BIX258" s="486"/>
      <c r="BIY258" s="486"/>
      <c r="BIZ258" s="486"/>
      <c r="BJA258" s="486"/>
      <c r="BJB258" s="486"/>
      <c r="BJC258" s="486"/>
      <c r="BJD258" s="486"/>
      <c r="BJE258" s="486"/>
      <c r="BJF258" s="486"/>
      <c r="BJG258" s="486"/>
      <c r="BJH258" s="486"/>
      <c r="BJI258" s="486"/>
      <c r="BJJ258" s="486"/>
      <c r="BJK258" s="486"/>
      <c r="BJL258" s="486"/>
      <c r="BJM258" s="486"/>
      <c r="BJN258" s="486"/>
      <c r="BJO258" s="486"/>
      <c r="BJP258" s="486"/>
      <c r="BJQ258" s="486"/>
      <c r="BJR258" s="486"/>
      <c r="BJS258" s="486"/>
      <c r="BJT258" s="486"/>
      <c r="BJU258" s="486"/>
      <c r="BJV258" s="486"/>
      <c r="BJW258" s="486"/>
      <c r="BJX258" s="486"/>
      <c r="BJY258" s="486"/>
      <c r="BJZ258" s="486"/>
      <c r="BKA258" s="486"/>
      <c r="BKB258" s="486"/>
      <c r="BKC258" s="486"/>
      <c r="BKD258" s="486"/>
      <c r="BKE258" s="486"/>
      <c r="BKF258" s="486"/>
      <c r="BKG258" s="486"/>
      <c r="BKH258" s="486"/>
      <c r="BKI258" s="486"/>
      <c r="BKJ258" s="486"/>
      <c r="BKK258" s="486"/>
      <c r="BKL258" s="486"/>
      <c r="BKM258" s="486"/>
      <c r="BKN258" s="486"/>
      <c r="BKO258" s="486"/>
      <c r="BKP258" s="486"/>
      <c r="BKQ258" s="486"/>
      <c r="BKR258" s="486"/>
      <c r="BKS258" s="486"/>
      <c r="BKT258" s="486"/>
      <c r="BKU258" s="486"/>
      <c r="BKV258" s="486"/>
      <c r="BKW258" s="486"/>
      <c r="BKX258" s="486"/>
      <c r="BKY258" s="486"/>
      <c r="BKZ258" s="486"/>
      <c r="BLA258" s="486"/>
      <c r="BLB258" s="486"/>
      <c r="BLC258" s="486"/>
      <c r="BLD258" s="486"/>
      <c r="BLE258" s="486"/>
      <c r="BLF258" s="486"/>
      <c r="BLG258" s="486"/>
      <c r="BLH258" s="486"/>
      <c r="BLI258" s="486"/>
      <c r="BLJ258" s="486"/>
      <c r="BLK258" s="486"/>
      <c r="BLL258" s="486"/>
      <c r="BLM258" s="486"/>
      <c r="BLN258" s="486"/>
      <c r="BLO258" s="486"/>
      <c r="BLP258" s="486"/>
      <c r="BLQ258" s="486"/>
      <c r="BLR258" s="486"/>
      <c r="BLS258" s="486"/>
      <c r="BLT258" s="486"/>
      <c r="BLU258" s="486"/>
      <c r="BLV258" s="486"/>
      <c r="BLW258" s="486"/>
      <c r="BLX258" s="486"/>
      <c r="BLY258" s="486"/>
      <c r="BLZ258" s="486"/>
      <c r="BMA258" s="486"/>
      <c r="BMB258" s="486"/>
      <c r="BMC258" s="486"/>
      <c r="BMD258" s="486"/>
      <c r="BME258" s="486"/>
      <c r="BMF258" s="486"/>
      <c r="BMG258" s="486"/>
      <c r="BMH258" s="486"/>
      <c r="BMI258" s="486"/>
      <c r="BMJ258" s="486"/>
      <c r="BMK258" s="486"/>
      <c r="BML258" s="486"/>
      <c r="BMM258" s="486"/>
      <c r="BMN258" s="486"/>
      <c r="BMO258" s="486"/>
      <c r="BMP258" s="486"/>
      <c r="BMQ258" s="486"/>
      <c r="BMR258" s="486"/>
      <c r="BMS258" s="486"/>
      <c r="BMT258" s="486"/>
      <c r="BMU258" s="486"/>
      <c r="BMV258" s="486"/>
      <c r="BMW258" s="486"/>
      <c r="BMX258" s="486"/>
      <c r="BMY258" s="486"/>
      <c r="BMZ258" s="486"/>
      <c r="BNA258" s="486"/>
      <c r="BNB258" s="486"/>
      <c r="BNC258" s="486"/>
      <c r="BND258" s="486"/>
      <c r="BNE258" s="486"/>
      <c r="BNF258" s="486"/>
      <c r="BNG258" s="486"/>
      <c r="BNH258" s="486"/>
      <c r="BNI258" s="486"/>
      <c r="BNJ258" s="486"/>
      <c r="BNK258" s="486"/>
      <c r="BNL258" s="486"/>
      <c r="BNM258" s="486"/>
      <c r="BNN258" s="486"/>
      <c r="BNO258" s="486"/>
      <c r="BNP258" s="486"/>
      <c r="BNQ258" s="486"/>
      <c r="BNR258" s="486"/>
      <c r="BNS258" s="486"/>
      <c r="BNT258" s="486"/>
      <c r="BNU258" s="486"/>
      <c r="BNV258" s="486"/>
      <c r="BNW258" s="486"/>
      <c r="BNX258" s="486"/>
      <c r="BNY258" s="486"/>
      <c r="BNZ258" s="486"/>
      <c r="BOA258" s="486"/>
      <c r="BOB258" s="486"/>
      <c r="BOC258" s="486"/>
      <c r="BOD258" s="486"/>
      <c r="BOE258" s="486"/>
      <c r="BOF258" s="486"/>
      <c r="BOG258" s="486"/>
      <c r="BOH258" s="486"/>
      <c r="BOI258" s="486"/>
      <c r="BOJ258" s="486"/>
      <c r="BOK258" s="486"/>
      <c r="BOL258" s="486"/>
      <c r="BOM258" s="486"/>
      <c r="BON258" s="486"/>
      <c r="BOO258" s="486"/>
      <c r="BOP258" s="486"/>
      <c r="BOQ258" s="486"/>
      <c r="BOR258" s="486"/>
      <c r="BOS258" s="486"/>
      <c r="BOT258" s="486"/>
      <c r="BOU258" s="486"/>
      <c r="BOV258" s="486"/>
      <c r="BOW258" s="486"/>
      <c r="BOX258" s="486"/>
      <c r="BOY258" s="486"/>
      <c r="BOZ258" s="486"/>
      <c r="BPA258" s="486"/>
      <c r="BPB258" s="486"/>
      <c r="BPC258" s="486"/>
      <c r="BPD258" s="486"/>
      <c r="BPE258" s="486"/>
      <c r="BPF258" s="486"/>
      <c r="BPG258" s="486"/>
      <c r="BPH258" s="486"/>
      <c r="BPI258" s="486"/>
      <c r="BPJ258" s="486"/>
      <c r="BPK258" s="486"/>
      <c r="BPL258" s="486"/>
      <c r="BPM258" s="486"/>
      <c r="BPN258" s="486"/>
      <c r="BPO258" s="486"/>
      <c r="BPP258" s="486"/>
      <c r="BPQ258" s="486"/>
      <c r="BPR258" s="486"/>
      <c r="BPS258" s="486"/>
      <c r="BPT258" s="486"/>
      <c r="BPU258" s="486"/>
      <c r="BPV258" s="486"/>
      <c r="BPW258" s="486"/>
      <c r="BPX258" s="486"/>
      <c r="BPY258" s="486"/>
      <c r="BPZ258" s="486"/>
      <c r="BQA258" s="486"/>
      <c r="BQB258" s="486"/>
      <c r="BQC258" s="486"/>
      <c r="BQD258" s="486"/>
      <c r="BQE258" s="486"/>
      <c r="BQF258" s="486"/>
      <c r="BQG258" s="486"/>
      <c r="BQH258" s="486"/>
      <c r="BQI258" s="486"/>
      <c r="BQJ258" s="486"/>
      <c r="BQK258" s="486"/>
      <c r="BQL258" s="486"/>
      <c r="BQM258" s="486"/>
      <c r="BQN258" s="486"/>
      <c r="BQO258" s="486"/>
      <c r="BQP258" s="486"/>
      <c r="BQQ258" s="486"/>
      <c r="BQR258" s="486"/>
      <c r="BQS258" s="486"/>
      <c r="BQT258" s="486"/>
      <c r="BQU258" s="486"/>
      <c r="BQV258" s="486"/>
      <c r="BQW258" s="486"/>
      <c r="BQX258" s="486"/>
      <c r="BQY258" s="486"/>
      <c r="BQZ258" s="486"/>
      <c r="BRA258" s="486"/>
      <c r="BRB258" s="486"/>
      <c r="BRC258" s="486"/>
      <c r="BRD258" s="486"/>
      <c r="BRE258" s="486"/>
      <c r="BRF258" s="486"/>
      <c r="BRG258" s="486"/>
      <c r="BRH258" s="486"/>
      <c r="BRI258" s="486"/>
      <c r="BRJ258" s="486"/>
      <c r="BRK258" s="486"/>
      <c r="BRL258" s="486"/>
      <c r="BRM258" s="486"/>
      <c r="BRN258" s="486"/>
      <c r="BRO258" s="486"/>
      <c r="BRP258" s="486"/>
      <c r="BRQ258" s="486"/>
      <c r="BRR258" s="486"/>
      <c r="BRS258" s="486"/>
      <c r="BRT258" s="486"/>
      <c r="BRU258" s="486"/>
      <c r="BRV258" s="486"/>
      <c r="BRW258" s="486"/>
      <c r="BRX258" s="486"/>
      <c r="BRY258" s="486"/>
      <c r="BRZ258" s="486"/>
      <c r="BSA258" s="486"/>
      <c r="BSB258" s="486"/>
      <c r="BSC258" s="486"/>
      <c r="BSD258" s="486"/>
      <c r="BSE258" s="486"/>
      <c r="BSF258" s="486"/>
      <c r="BSG258" s="486"/>
      <c r="BSH258" s="486"/>
      <c r="BSI258" s="486"/>
      <c r="BSJ258" s="486"/>
      <c r="BSK258" s="486"/>
      <c r="BSL258" s="486"/>
      <c r="BSM258" s="486"/>
      <c r="BSN258" s="486"/>
      <c r="BSO258" s="486"/>
      <c r="BSP258" s="486"/>
      <c r="BSQ258" s="486"/>
      <c r="BSR258" s="486"/>
      <c r="BSS258" s="486"/>
      <c r="BST258" s="486"/>
      <c r="BSU258" s="486"/>
      <c r="BSV258" s="486"/>
      <c r="BSW258" s="486"/>
      <c r="BSX258" s="486"/>
      <c r="BSY258" s="486"/>
      <c r="BSZ258" s="486"/>
      <c r="BTA258" s="486"/>
      <c r="BTB258" s="486"/>
      <c r="BTC258" s="486"/>
      <c r="BTD258" s="486"/>
      <c r="BTE258" s="486"/>
      <c r="BTF258" s="486"/>
      <c r="BTG258" s="486"/>
      <c r="BTH258" s="486"/>
      <c r="BTI258" s="486"/>
    </row>
    <row r="259" spans="1:1881" s="609" customFormat="1" ht="44.25" customHeight="1" thickBot="1" x14ac:dyDescent="0.3">
      <c r="B259" s="719"/>
      <c r="C259" s="844"/>
      <c r="D259" s="940" t="s">
        <v>1215</v>
      </c>
      <c r="E259" s="941"/>
      <c r="F259" s="846"/>
      <c r="G259" s="846"/>
      <c r="H259" s="612"/>
      <c r="I259" s="405"/>
      <c r="J259" s="610"/>
      <c r="K259" s="610"/>
      <c r="L259" s="610"/>
      <c r="M259" s="610"/>
      <c r="N259" s="833"/>
      <c r="O259" s="610"/>
      <c r="P259" s="610"/>
      <c r="Q259" s="610"/>
      <c r="R259" s="610"/>
      <c r="S259" s="610"/>
      <c r="T259" s="610"/>
      <c r="U259" s="610"/>
      <c r="V259" s="610"/>
      <c r="W259" s="610"/>
      <c r="X259" s="610"/>
      <c r="Y259" s="610"/>
      <c r="Z259" s="610"/>
      <c r="AA259" s="610"/>
      <c r="AB259" s="610"/>
      <c r="AC259" s="610"/>
      <c r="AD259" s="610"/>
      <c r="AE259" s="610"/>
      <c r="AF259" s="610"/>
      <c r="AG259" s="610"/>
      <c r="AH259" s="610"/>
      <c r="AI259" s="610"/>
      <c r="AJ259" s="610"/>
      <c r="AK259" s="610"/>
      <c r="AL259" s="610"/>
      <c r="AM259" s="610"/>
      <c r="AN259" s="610"/>
      <c r="AO259" s="610"/>
      <c r="AP259" s="610"/>
      <c r="AQ259" s="610"/>
      <c r="AR259" s="610"/>
      <c r="AS259" s="610"/>
      <c r="AT259" s="610"/>
      <c r="AU259" s="610"/>
      <c r="AV259" s="610"/>
      <c r="AW259" s="610"/>
      <c r="AX259" s="610"/>
      <c r="AY259" s="610"/>
      <c r="AZ259" s="610"/>
      <c r="BA259" s="610"/>
      <c r="BB259" s="610"/>
      <c r="BC259" s="610"/>
      <c r="BD259" s="610"/>
      <c r="BE259" s="610"/>
      <c r="BF259" s="610"/>
      <c r="BG259" s="610"/>
      <c r="BH259" s="610"/>
      <c r="BI259" s="610"/>
      <c r="BJ259" s="610"/>
      <c r="BK259" s="610"/>
      <c r="BL259" s="610"/>
      <c r="BM259" s="610"/>
      <c r="BN259" s="610"/>
      <c r="BO259" s="610"/>
      <c r="BP259" s="610"/>
      <c r="BQ259" s="610"/>
      <c r="BR259" s="610"/>
      <c r="BS259" s="610"/>
      <c r="BT259" s="610"/>
      <c r="BU259" s="610"/>
      <c r="BV259" s="610"/>
      <c r="BW259" s="610"/>
      <c r="BX259" s="610"/>
      <c r="BY259" s="610"/>
      <c r="BZ259" s="610"/>
      <c r="CA259" s="610"/>
      <c r="CB259" s="610"/>
      <c r="CC259" s="610"/>
      <c r="CD259" s="610"/>
      <c r="CE259" s="610"/>
      <c r="CF259" s="610"/>
      <c r="CG259" s="610"/>
      <c r="CH259" s="610"/>
      <c r="CI259" s="610"/>
      <c r="CJ259" s="610"/>
      <c r="CK259" s="610"/>
      <c r="CL259" s="610"/>
      <c r="CM259" s="610"/>
      <c r="CN259" s="610"/>
      <c r="CO259" s="610"/>
      <c r="CP259" s="610"/>
      <c r="CQ259" s="610"/>
      <c r="CR259" s="610"/>
      <c r="CS259" s="610"/>
      <c r="CT259" s="610"/>
      <c r="CU259" s="610"/>
      <c r="CV259" s="610"/>
      <c r="CW259" s="610"/>
      <c r="CX259" s="610"/>
      <c r="CY259" s="610"/>
      <c r="CZ259" s="610"/>
      <c r="DA259" s="610"/>
      <c r="DB259" s="610"/>
      <c r="DC259" s="610"/>
      <c r="DD259" s="610"/>
      <c r="DE259" s="610"/>
      <c r="DF259" s="610"/>
      <c r="DG259" s="610"/>
      <c r="DH259" s="610"/>
      <c r="DI259" s="610"/>
      <c r="DJ259" s="610"/>
      <c r="DK259" s="610"/>
      <c r="DL259" s="610"/>
      <c r="DM259" s="610"/>
      <c r="DN259" s="610"/>
      <c r="DO259" s="610"/>
      <c r="DP259" s="610"/>
      <c r="DQ259" s="610"/>
      <c r="DR259" s="610"/>
      <c r="DS259" s="610"/>
      <c r="DT259" s="610"/>
      <c r="DU259" s="610"/>
      <c r="DV259" s="610"/>
      <c r="DW259" s="610"/>
      <c r="DX259" s="610"/>
      <c r="DY259" s="610"/>
      <c r="DZ259" s="610"/>
      <c r="EA259" s="610"/>
      <c r="EB259" s="610"/>
      <c r="EC259" s="610"/>
      <c r="ED259" s="610"/>
      <c r="EE259" s="610"/>
      <c r="EF259" s="610"/>
      <c r="EG259" s="610"/>
      <c r="EH259" s="610"/>
      <c r="EI259" s="610"/>
      <c r="EJ259" s="610"/>
      <c r="EK259" s="610"/>
      <c r="EL259" s="610"/>
      <c r="EM259" s="610"/>
      <c r="EN259" s="610"/>
      <c r="EO259" s="610"/>
      <c r="EP259" s="610"/>
      <c r="EQ259" s="610"/>
      <c r="ER259" s="610"/>
      <c r="ES259" s="610"/>
      <c r="ET259" s="610"/>
      <c r="EU259" s="610"/>
      <c r="EV259" s="610"/>
      <c r="EW259" s="610"/>
      <c r="EX259" s="610"/>
      <c r="EY259" s="610"/>
      <c r="EZ259" s="610"/>
      <c r="FA259" s="610"/>
      <c r="FB259" s="610"/>
      <c r="FC259" s="610"/>
      <c r="FD259" s="610"/>
      <c r="FE259" s="610"/>
      <c r="FF259" s="610"/>
      <c r="FG259" s="610"/>
      <c r="FH259" s="610"/>
      <c r="FI259" s="610"/>
      <c r="FJ259" s="610"/>
      <c r="FK259" s="610"/>
      <c r="FL259" s="610"/>
      <c r="FM259" s="610"/>
      <c r="FN259" s="610"/>
      <c r="FO259" s="610"/>
      <c r="FP259" s="610"/>
      <c r="FQ259" s="610"/>
      <c r="FR259" s="610"/>
      <c r="FS259" s="610"/>
      <c r="FT259" s="610"/>
      <c r="FU259" s="610"/>
      <c r="FV259" s="610"/>
      <c r="FW259" s="610"/>
      <c r="FX259" s="610"/>
      <c r="FY259" s="610"/>
      <c r="FZ259" s="610"/>
      <c r="GA259" s="610"/>
      <c r="GB259" s="610"/>
      <c r="GC259" s="610"/>
      <c r="GD259" s="610"/>
      <c r="GE259" s="610"/>
      <c r="GF259" s="610"/>
      <c r="GG259" s="610"/>
      <c r="GH259" s="610"/>
      <c r="GI259" s="610"/>
      <c r="GJ259" s="610"/>
      <c r="GK259" s="610"/>
      <c r="GL259" s="610"/>
      <c r="GM259" s="610"/>
      <c r="GN259" s="610"/>
      <c r="GO259" s="610"/>
      <c r="GP259" s="610"/>
      <c r="GQ259" s="610"/>
      <c r="GR259" s="610"/>
      <c r="GS259" s="610"/>
      <c r="GT259" s="610"/>
      <c r="GU259" s="610"/>
      <c r="GV259" s="610"/>
      <c r="GW259" s="610"/>
      <c r="GX259" s="610"/>
      <c r="GY259" s="610"/>
      <c r="GZ259" s="610"/>
      <c r="HA259" s="610"/>
      <c r="HB259" s="610"/>
      <c r="HC259" s="610"/>
      <c r="HD259" s="610"/>
      <c r="HE259" s="610"/>
      <c r="HF259" s="610"/>
      <c r="HG259" s="610"/>
      <c r="HH259" s="610"/>
      <c r="HI259" s="610"/>
      <c r="HJ259" s="610"/>
      <c r="HK259" s="610"/>
      <c r="HL259" s="610"/>
      <c r="HM259" s="610"/>
      <c r="HN259" s="610"/>
      <c r="HO259" s="610"/>
      <c r="HP259" s="610"/>
      <c r="HQ259" s="610"/>
      <c r="HR259" s="610"/>
      <c r="HS259" s="610"/>
      <c r="HT259" s="610"/>
      <c r="HU259" s="610"/>
      <c r="HV259" s="610"/>
      <c r="HW259" s="610"/>
      <c r="HX259" s="610"/>
      <c r="HY259" s="610"/>
      <c r="HZ259" s="610"/>
      <c r="IA259" s="610"/>
      <c r="IB259" s="610"/>
      <c r="IC259" s="610"/>
      <c r="ID259" s="610"/>
      <c r="IE259" s="610"/>
      <c r="IF259" s="610"/>
      <c r="IG259" s="610"/>
      <c r="IH259" s="610"/>
      <c r="II259" s="610"/>
      <c r="IJ259" s="610"/>
      <c r="IK259" s="610"/>
      <c r="IL259" s="610"/>
      <c r="IM259" s="610"/>
      <c r="IN259" s="610"/>
      <c r="IO259" s="610"/>
      <c r="IP259" s="610"/>
      <c r="IQ259" s="610"/>
      <c r="IR259" s="610"/>
      <c r="IS259" s="610"/>
      <c r="IT259" s="610"/>
      <c r="IU259" s="610"/>
      <c r="IV259" s="610"/>
      <c r="IW259" s="610"/>
      <c r="IX259" s="610"/>
      <c r="IY259" s="610"/>
      <c r="IZ259" s="610"/>
      <c r="JA259" s="610"/>
      <c r="JB259" s="610"/>
      <c r="JC259" s="610"/>
      <c r="JD259" s="610"/>
      <c r="JE259" s="610"/>
      <c r="JF259" s="610"/>
      <c r="JG259" s="610"/>
      <c r="JH259" s="610"/>
      <c r="JI259" s="610"/>
      <c r="JJ259" s="610"/>
      <c r="JK259" s="610"/>
      <c r="JL259" s="610"/>
      <c r="JM259" s="610"/>
      <c r="JN259" s="610"/>
      <c r="JO259" s="610"/>
      <c r="JP259" s="610"/>
      <c r="JQ259" s="610"/>
      <c r="JR259" s="610"/>
      <c r="JS259" s="610"/>
      <c r="JT259" s="610"/>
      <c r="JU259" s="610"/>
      <c r="JV259" s="610"/>
      <c r="JW259" s="610"/>
      <c r="JX259" s="610"/>
      <c r="JY259" s="610"/>
      <c r="JZ259" s="610"/>
      <c r="KA259" s="610"/>
      <c r="KB259" s="610"/>
      <c r="KC259" s="610"/>
      <c r="KD259" s="610"/>
      <c r="KE259" s="610"/>
      <c r="KF259" s="610"/>
      <c r="KG259" s="610"/>
      <c r="KH259" s="610"/>
      <c r="KI259" s="610"/>
      <c r="KJ259" s="610"/>
      <c r="KK259" s="610"/>
      <c r="KL259" s="610"/>
      <c r="KM259" s="610"/>
      <c r="KN259" s="610"/>
      <c r="KO259" s="610"/>
      <c r="KP259" s="610"/>
      <c r="KQ259" s="610"/>
      <c r="KR259" s="610"/>
      <c r="KS259" s="610"/>
      <c r="KT259" s="610"/>
      <c r="KU259" s="610"/>
      <c r="KV259" s="610"/>
      <c r="KW259" s="610"/>
      <c r="KX259" s="610"/>
      <c r="KY259" s="610"/>
      <c r="KZ259" s="610"/>
      <c r="LA259" s="610"/>
      <c r="LB259" s="610"/>
      <c r="LC259" s="610"/>
      <c r="LD259" s="610"/>
      <c r="LE259" s="610"/>
      <c r="LF259" s="610"/>
      <c r="LG259" s="610"/>
      <c r="LH259" s="610"/>
      <c r="LI259" s="610"/>
      <c r="LJ259" s="610"/>
      <c r="LK259" s="610"/>
      <c r="LL259" s="610"/>
      <c r="LM259" s="610"/>
      <c r="LN259" s="610"/>
      <c r="LO259" s="610"/>
      <c r="LP259" s="610"/>
      <c r="LQ259" s="610"/>
      <c r="LR259" s="610"/>
      <c r="LS259" s="610"/>
      <c r="LT259" s="610"/>
      <c r="LU259" s="610"/>
      <c r="LV259" s="610"/>
      <c r="LW259" s="610"/>
      <c r="LX259" s="610"/>
      <c r="LY259" s="610"/>
      <c r="LZ259" s="610"/>
      <c r="MA259" s="610"/>
      <c r="MB259" s="610"/>
      <c r="MC259" s="610"/>
      <c r="MD259" s="610"/>
      <c r="ME259" s="610"/>
      <c r="MF259" s="610"/>
      <c r="MG259" s="610"/>
      <c r="MH259" s="610"/>
      <c r="MI259" s="610"/>
      <c r="MJ259" s="610"/>
      <c r="MK259" s="610"/>
      <c r="ML259" s="610"/>
      <c r="MM259" s="610"/>
      <c r="MN259" s="610"/>
      <c r="MO259" s="610"/>
      <c r="MP259" s="610"/>
      <c r="MQ259" s="610"/>
      <c r="MR259" s="610"/>
      <c r="MS259" s="610"/>
      <c r="MT259" s="610"/>
      <c r="MU259" s="610"/>
      <c r="MV259" s="610"/>
      <c r="MW259" s="610"/>
      <c r="MX259" s="610"/>
      <c r="MY259" s="610"/>
      <c r="MZ259" s="610"/>
      <c r="NA259" s="610"/>
      <c r="NB259" s="610"/>
      <c r="NC259" s="610"/>
      <c r="ND259" s="610"/>
      <c r="NE259" s="610"/>
      <c r="NF259" s="610"/>
      <c r="NG259" s="610"/>
      <c r="NH259" s="610"/>
      <c r="NI259" s="610"/>
      <c r="NJ259" s="610"/>
      <c r="NK259" s="610"/>
      <c r="NL259" s="610"/>
      <c r="NM259" s="610"/>
      <c r="NN259" s="610"/>
      <c r="NO259" s="610"/>
      <c r="NP259" s="610"/>
      <c r="NQ259" s="610"/>
      <c r="NR259" s="610"/>
      <c r="NS259" s="610"/>
      <c r="NT259" s="610"/>
      <c r="NU259" s="610"/>
      <c r="NV259" s="610"/>
      <c r="NW259" s="610"/>
      <c r="NX259" s="610"/>
      <c r="NY259" s="610"/>
      <c r="NZ259" s="610"/>
      <c r="OA259" s="610"/>
      <c r="OB259" s="610"/>
      <c r="OC259" s="610"/>
      <c r="OD259" s="610"/>
      <c r="OE259" s="610"/>
      <c r="OF259" s="610"/>
      <c r="OG259" s="610"/>
      <c r="OH259" s="610"/>
      <c r="OI259" s="610"/>
      <c r="OJ259" s="610"/>
      <c r="OK259" s="610"/>
      <c r="OL259" s="610"/>
      <c r="OM259" s="610"/>
      <c r="ON259" s="610"/>
      <c r="OO259" s="610"/>
      <c r="OP259" s="610"/>
      <c r="OQ259" s="610"/>
      <c r="OR259" s="610"/>
      <c r="OS259" s="610"/>
      <c r="OT259" s="610"/>
      <c r="OU259" s="610"/>
      <c r="OV259" s="610"/>
      <c r="OW259" s="610"/>
      <c r="OX259" s="610"/>
      <c r="OY259" s="610"/>
      <c r="OZ259" s="610"/>
      <c r="PA259" s="610"/>
      <c r="PB259" s="610"/>
      <c r="PC259" s="610"/>
      <c r="PD259" s="610"/>
      <c r="PE259" s="610"/>
      <c r="PF259" s="610"/>
      <c r="PG259" s="610"/>
      <c r="PH259" s="610"/>
      <c r="PI259" s="610"/>
      <c r="PJ259" s="610"/>
      <c r="PK259" s="610"/>
      <c r="PL259" s="610"/>
      <c r="PM259" s="610"/>
      <c r="PN259" s="610"/>
      <c r="PO259" s="610"/>
      <c r="PP259" s="610"/>
      <c r="PQ259" s="610"/>
      <c r="PR259" s="610"/>
      <c r="PS259" s="610"/>
      <c r="PT259" s="610"/>
      <c r="PU259" s="610"/>
      <c r="PV259" s="610"/>
      <c r="PW259" s="610"/>
      <c r="PX259" s="610"/>
      <c r="PY259" s="610"/>
      <c r="PZ259" s="610"/>
      <c r="QA259" s="610"/>
      <c r="QB259" s="610"/>
      <c r="QC259" s="610"/>
      <c r="QD259" s="610"/>
      <c r="QE259" s="610"/>
      <c r="QF259" s="610"/>
      <c r="QG259" s="610"/>
      <c r="QH259" s="610"/>
      <c r="QI259" s="610"/>
      <c r="QJ259" s="610"/>
      <c r="QK259" s="610"/>
      <c r="QL259" s="610"/>
      <c r="QM259" s="610"/>
      <c r="QN259" s="610"/>
      <c r="QO259" s="610"/>
      <c r="QP259" s="610"/>
      <c r="QQ259" s="610"/>
      <c r="QR259" s="610"/>
      <c r="QS259" s="610"/>
      <c r="QT259" s="610"/>
      <c r="QU259" s="610"/>
      <c r="QV259" s="610"/>
      <c r="QW259" s="610"/>
      <c r="QX259" s="610"/>
      <c r="QY259" s="610"/>
      <c r="QZ259" s="610"/>
      <c r="RA259" s="610"/>
      <c r="RB259" s="610"/>
      <c r="RC259" s="610"/>
      <c r="RD259" s="610"/>
      <c r="RE259" s="610"/>
      <c r="RF259" s="610"/>
      <c r="RG259" s="610"/>
      <c r="RH259" s="610"/>
      <c r="RI259" s="610"/>
      <c r="RJ259" s="610"/>
      <c r="RK259" s="610"/>
      <c r="RL259" s="610"/>
      <c r="RM259" s="610"/>
      <c r="RN259" s="610"/>
      <c r="RO259" s="610"/>
      <c r="RP259" s="610"/>
      <c r="RQ259" s="610"/>
      <c r="RR259" s="610"/>
      <c r="RS259" s="610"/>
      <c r="RT259" s="610"/>
      <c r="RU259" s="610"/>
      <c r="RV259" s="610"/>
      <c r="RW259" s="610"/>
      <c r="RX259" s="610"/>
      <c r="RY259" s="610"/>
      <c r="RZ259" s="610"/>
      <c r="SA259" s="610"/>
      <c r="SB259" s="610"/>
      <c r="SC259" s="610"/>
      <c r="SD259" s="610"/>
      <c r="SE259" s="610"/>
      <c r="SF259" s="610"/>
      <c r="SG259" s="610"/>
      <c r="SH259" s="610"/>
      <c r="SI259" s="610"/>
      <c r="SJ259" s="610"/>
      <c r="SK259" s="610"/>
      <c r="SL259" s="610"/>
      <c r="SM259" s="610"/>
      <c r="SN259" s="610"/>
      <c r="SO259" s="610"/>
      <c r="SP259" s="610"/>
      <c r="SQ259" s="610"/>
      <c r="SR259" s="610"/>
      <c r="SS259" s="610"/>
      <c r="ST259" s="610"/>
      <c r="SU259" s="610"/>
      <c r="SV259" s="610"/>
      <c r="SW259" s="610"/>
      <c r="SX259" s="610"/>
      <c r="SY259" s="610"/>
      <c r="SZ259" s="610"/>
      <c r="TA259" s="610"/>
      <c r="TB259" s="610"/>
      <c r="TC259" s="610"/>
      <c r="TD259" s="610"/>
      <c r="TE259" s="610"/>
      <c r="TF259" s="610"/>
      <c r="TG259" s="610"/>
      <c r="TH259" s="610"/>
      <c r="TI259" s="610"/>
      <c r="TJ259" s="610"/>
      <c r="TK259" s="610"/>
      <c r="TL259" s="610"/>
      <c r="TM259" s="610"/>
      <c r="TN259" s="610"/>
      <c r="TO259" s="610"/>
      <c r="TP259" s="610"/>
      <c r="TQ259" s="610"/>
      <c r="TR259" s="610"/>
      <c r="TS259" s="610"/>
      <c r="TT259" s="610"/>
      <c r="TU259" s="610"/>
      <c r="TV259" s="610"/>
      <c r="TW259" s="610"/>
      <c r="TX259" s="610"/>
      <c r="TY259" s="610"/>
      <c r="TZ259" s="610"/>
      <c r="UA259" s="610"/>
      <c r="UB259" s="610"/>
      <c r="UC259" s="610"/>
      <c r="UD259" s="610"/>
      <c r="UE259" s="610"/>
      <c r="UF259" s="610"/>
      <c r="UG259" s="610"/>
      <c r="UH259" s="610"/>
      <c r="UI259" s="610"/>
      <c r="UJ259" s="610"/>
      <c r="UK259" s="610"/>
      <c r="UL259" s="610"/>
      <c r="UM259" s="610"/>
      <c r="UN259" s="610"/>
      <c r="UO259" s="610"/>
      <c r="UP259" s="610"/>
      <c r="UQ259" s="610"/>
      <c r="UR259" s="610"/>
      <c r="US259" s="610"/>
      <c r="UT259" s="610"/>
      <c r="UU259" s="610"/>
      <c r="UV259" s="610"/>
      <c r="UW259" s="610"/>
      <c r="UX259" s="610"/>
      <c r="UY259" s="610"/>
      <c r="UZ259" s="610"/>
      <c r="VA259" s="610"/>
      <c r="VB259" s="610"/>
      <c r="VC259" s="610"/>
      <c r="VD259" s="610"/>
      <c r="VE259" s="610"/>
      <c r="VF259" s="610"/>
      <c r="VG259" s="610"/>
      <c r="VH259" s="610"/>
      <c r="VI259" s="610"/>
      <c r="VJ259" s="610"/>
      <c r="VK259" s="610"/>
      <c r="VL259" s="610"/>
      <c r="VM259" s="610"/>
      <c r="VN259" s="610"/>
      <c r="VO259" s="610"/>
      <c r="VP259" s="610"/>
      <c r="VQ259" s="610"/>
      <c r="VR259" s="610"/>
      <c r="VS259" s="610"/>
      <c r="VT259" s="610"/>
      <c r="VU259" s="610"/>
      <c r="VV259" s="610"/>
      <c r="VW259" s="610"/>
      <c r="VX259" s="610"/>
      <c r="VY259" s="610"/>
      <c r="VZ259" s="610"/>
      <c r="WA259" s="610"/>
      <c r="WB259" s="610"/>
      <c r="WC259" s="610"/>
      <c r="WD259" s="610"/>
      <c r="WE259" s="610"/>
      <c r="WF259" s="610"/>
      <c r="WG259" s="610"/>
      <c r="WH259" s="610"/>
      <c r="WI259" s="610"/>
      <c r="WJ259" s="610"/>
      <c r="WK259" s="610"/>
      <c r="WL259" s="610"/>
      <c r="WM259" s="610"/>
      <c r="WN259" s="610"/>
      <c r="WO259" s="610"/>
      <c r="WP259" s="610"/>
      <c r="WQ259" s="610"/>
      <c r="WR259" s="610"/>
      <c r="WS259" s="610"/>
      <c r="WT259" s="610"/>
      <c r="WU259" s="610"/>
      <c r="WV259" s="610"/>
      <c r="WW259" s="610"/>
      <c r="WX259" s="610"/>
      <c r="WY259" s="610"/>
      <c r="WZ259" s="610"/>
      <c r="XA259" s="610"/>
      <c r="XB259" s="610"/>
      <c r="XC259" s="610"/>
      <c r="XD259" s="610"/>
      <c r="XE259" s="610"/>
      <c r="XF259" s="610"/>
      <c r="XG259" s="610"/>
      <c r="XH259" s="610"/>
      <c r="XI259" s="610"/>
      <c r="XJ259" s="610"/>
      <c r="XK259" s="610"/>
      <c r="XL259" s="610"/>
      <c r="XM259" s="610"/>
      <c r="XN259" s="610"/>
      <c r="XO259" s="610"/>
      <c r="XP259" s="610"/>
      <c r="XQ259" s="610"/>
      <c r="XR259" s="610"/>
      <c r="XS259" s="610"/>
      <c r="XT259" s="610"/>
      <c r="XU259" s="610"/>
      <c r="XV259" s="610"/>
      <c r="XW259" s="610"/>
      <c r="XX259" s="610"/>
      <c r="XY259" s="610"/>
      <c r="XZ259" s="610"/>
      <c r="YA259" s="610"/>
      <c r="YB259" s="610"/>
      <c r="YC259" s="610"/>
      <c r="YD259" s="610"/>
      <c r="YE259" s="610"/>
      <c r="YF259" s="610"/>
      <c r="YG259" s="610"/>
      <c r="YH259" s="610"/>
      <c r="YI259" s="610"/>
      <c r="YJ259" s="610"/>
      <c r="YK259" s="610"/>
      <c r="YL259" s="610"/>
      <c r="YM259" s="610"/>
      <c r="YN259" s="610"/>
      <c r="YO259" s="610"/>
      <c r="YP259" s="610"/>
      <c r="YQ259" s="610"/>
      <c r="YR259" s="610"/>
      <c r="YS259" s="610"/>
      <c r="YT259" s="610"/>
      <c r="YU259" s="610"/>
      <c r="YV259" s="610"/>
      <c r="YW259" s="610"/>
      <c r="YX259" s="610"/>
      <c r="YY259" s="610"/>
      <c r="YZ259" s="610"/>
      <c r="ZA259" s="610"/>
      <c r="ZB259" s="610"/>
      <c r="ZC259" s="610"/>
      <c r="ZD259" s="610"/>
      <c r="ZE259" s="610"/>
      <c r="ZF259" s="610"/>
      <c r="ZG259" s="610"/>
      <c r="ZH259" s="610"/>
      <c r="ZI259" s="610"/>
      <c r="ZJ259" s="610"/>
      <c r="ZK259" s="610"/>
      <c r="ZL259" s="610"/>
      <c r="ZM259" s="610"/>
      <c r="ZN259" s="610"/>
      <c r="ZO259" s="610"/>
      <c r="ZP259" s="610"/>
      <c r="ZQ259" s="610"/>
      <c r="ZR259" s="610"/>
      <c r="ZS259" s="610"/>
      <c r="ZT259" s="610"/>
      <c r="ZU259" s="610"/>
      <c r="ZV259" s="610"/>
      <c r="ZW259" s="610"/>
      <c r="ZX259" s="610"/>
      <c r="ZY259" s="610"/>
      <c r="ZZ259" s="610"/>
      <c r="AAA259" s="610"/>
      <c r="AAB259" s="610"/>
      <c r="AAC259" s="610"/>
      <c r="AAD259" s="610"/>
      <c r="AAE259" s="610"/>
      <c r="AAF259" s="610"/>
      <c r="AAG259" s="610"/>
      <c r="AAH259" s="610"/>
      <c r="AAI259" s="610"/>
      <c r="AAJ259" s="610"/>
      <c r="AAK259" s="610"/>
      <c r="AAL259" s="610"/>
      <c r="AAM259" s="610"/>
      <c r="AAN259" s="610"/>
      <c r="AAO259" s="610"/>
      <c r="AAP259" s="610"/>
      <c r="AAQ259" s="610"/>
      <c r="AAR259" s="610"/>
      <c r="AAS259" s="610"/>
      <c r="AAT259" s="610"/>
      <c r="AAU259" s="610"/>
      <c r="AAV259" s="610"/>
      <c r="AAW259" s="610"/>
      <c r="AAX259" s="610"/>
      <c r="AAY259" s="610"/>
      <c r="AAZ259" s="610"/>
      <c r="ABA259" s="610"/>
      <c r="ABB259" s="610"/>
      <c r="ABC259" s="610"/>
      <c r="ABD259" s="610"/>
      <c r="ABE259" s="610"/>
      <c r="ABF259" s="610"/>
      <c r="ABG259" s="610"/>
      <c r="ABH259" s="610"/>
      <c r="ABI259" s="610"/>
      <c r="ABJ259" s="610"/>
      <c r="ABK259" s="610"/>
      <c r="ABL259" s="610"/>
      <c r="ABM259" s="610"/>
      <c r="ABN259" s="610"/>
      <c r="ABO259" s="610"/>
      <c r="ABP259" s="610"/>
      <c r="ABQ259" s="610"/>
      <c r="ABR259" s="610"/>
      <c r="ABS259" s="610"/>
      <c r="ABT259" s="610"/>
      <c r="ABU259" s="610"/>
      <c r="ABV259" s="610"/>
      <c r="ABW259" s="610"/>
      <c r="ABX259" s="610"/>
      <c r="ABY259" s="610"/>
      <c r="ABZ259" s="610"/>
      <c r="ACA259" s="610"/>
      <c r="ACB259" s="610"/>
      <c r="ACC259" s="610"/>
      <c r="ACD259" s="610"/>
      <c r="ACE259" s="610"/>
      <c r="ACF259" s="610"/>
      <c r="ACG259" s="610"/>
      <c r="ACH259" s="610"/>
      <c r="ACI259" s="610"/>
      <c r="ACJ259" s="610"/>
      <c r="ACK259" s="610"/>
      <c r="ACL259" s="610"/>
      <c r="ACM259" s="610"/>
      <c r="ACN259" s="610"/>
      <c r="ACO259" s="610"/>
      <c r="ACP259" s="610"/>
      <c r="ACQ259" s="610"/>
      <c r="ACR259" s="610"/>
      <c r="ACS259" s="610"/>
      <c r="ACT259" s="610"/>
      <c r="ACU259" s="610"/>
      <c r="ACV259" s="610"/>
      <c r="ACW259" s="610"/>
      <c r="ACX259" s="610"/>
      <c r="ACY259" s="610"/>
      <c r="ACZ259" s="610"/>
      <c r="ADA259" s="610"/>
      <c r="ADB259" s="610"/>
      <c r="ADC259" s="610"/>
      <c r="ADD259" s="610"/>
      <c r="ADE259" s="610"/>
      <c r="ADF259" s="610"/>
      <c r="ADG259" s="610"/>
      <c r="ADH259" s="610"/>
      <c r="ADI259" s="610"/>
      <c r="ADJ259" s="610"/>
      <c r="ADK259" s="610"/>
      <c r="ADL259" s="610"/>
      <c r="ADM259" s="610"/>
      <c r="ADN259" s="610"/>
      <c r="ADO259" s="610"/>
      <c r="ADP259" s="610"/>
      <c r="ADQ259" s="610"/>
      <c r="ADR259" s="610"/>
      <c r="ADS259" s="610"/>
      <c r="ADT259" s="610"/>
      <c r="ADU259" s="610"/>
      <c r="ADV259" s="610"/>
      <c r="ADW259" s="610"/>
      <c r="ADX259" s="610"/>
      <c r="ADY259" s="610"/>
      <c r="ADZ259" s="610"/>
      <c r="AEA259" s="610"/>
      <c r="AEB259" s="610"/>
      <c r="AEC259" s="610"/>
      <c r="AED259" s="610"/>
      <c r="AEE259" s="610"/>
      <c r="AEF259" s="610"/>
      <c r="AEG259" s="610"/>
      <c r="AEH259" s="610"/>
      <c r="AEI259" s="610"/>
      <c r="AEJ259" s="610"/>
      <c r="AEK259" s="610"/>
      <c r="AEL259" s="610"/>
      <c r="AEM259" s="610"/>
      <c r="AEN259" s="610"/>
      <c r="AEO259" s="610"/>
      <c r="AEP259" s="610"/>
      <c r="AEQ259" s="610"/>
      <c r="AER259" s="610"/>
      <c r="AES259" s="610"/>
      <c r="AET259" s="610"/>
      <c r="AEU259" s="610"/>
      <c r="AEV259" s="610"/>
      <c r="AEW259" s="610"/>
      <c r="AEX259" s="610"/>
      <c r="AEY259" s="610"/>
      <c r="AEZ259" s="610"/>
      <c r="AFA259" s="610"/>
      <c r="AFB259" s="610"/>
      <c r="AFC259" s="610"/>
      <c r="AFD259" s="610"/>
      <c r="AFE259" s="610"/>
      <c r="AFF259" s="610"/>
      <c r="AFG259" s="610"/>
      <c r="AFH259" s="610"/>
      <c r="AFI259" s="610"/>
      <c r="AFJ259" s="610"/>
      <c r="AFK259" s="610"/>
      <c r="AFL259" s="610"/>
      <c r="AFM259" s="610"/>
      <c r="AFN259" s="610"/>
      <c r="AFO259" s="610"/>
      <c r="AFP259" s="610"/>
      <c r="AFQ259" s="610"/>
      <c r="AFR259" s="610"/>
      <c r="AFS259" s="610"/>
      <c r="AFT259" s="610"/>
      <c r="AFU259" s="610"/>
      <c r="AFV259" s="610"/>
      <c r="AFW259" s="610"/>
      <c r="AFX259" s="610"/>
      <c r="AFY259" s="610"/>
      <c r="AFZ259" s="610"/>
      <c r="AGA259" s="610"/>
      <c r="AGB259" s="610"/>
      <c r="AGC259" s="610"/>
      <c r="AGD259" s="610"/>
      <c r="AGE259" s="610"/>
      <c r="AGF259" s="610"/>
      <c r="AGG259" s="610"/>
      <c r="AGH259" s="610"/>
      <c r="AGI259" s="610"/>
      <c r="AGJ259" s="610"/>
      <c r="AGK259" s="610"/>
      <c r="AGL259" s="610"/>
      <c r="AGM259" s="610"/>
      <c r="AGN259" s="610"/>
      <c r="AGO259" s="610"/>
      <c r="AGP259" s="610"/>
      <c r="AGQ259" s="610"/>
      <c r="AGR259" s="610"/>
      <c r="AGS259" s="610"/>
      <c r="AGT259" s="610"/>
      <c r="AGU259" s="610"/>
      <c r="AGV259" s="610"/>
      <c r="AGW259" s="610"/>
      <c r="AGX259" s="610"/>
      <c r="AGY259" s="610"/>
      <c r="AGZ259" s="610"/>
      <c r="AHA259" s="610"/>
      <c r="AHB259" s="610"/>
      <c r="AHC259" s="610"/>
      <c r="AHD259" s="610"/>
      <c r="AHE259" s="610"/>
      <c r="AHF259" s="610"/>
      <c r="AHG259" s="610"/>
      <c r="AHH259" s="610"/>
      <c r="AHI259" s="610"/>
      <c r="AHJ259" s="610"/>
      <c r="AHK259" s="610"/>
      <c r="AHL259" s="610"/>
      <c r="AHM259" s="610"/>
      <c r="AHN259" s="610"/>
      <c r="AHO259" s="610"/>
      <c r="AHP259" s="610"/>
      <c r="AHQ259" s="610"/>
      <c r="AHR259" s="610"/>
      <c r="AHS259" s="610"/>
      <c r="AHT259" s="610"/>
      <c r="AHU259" s="610"/>
      <c r="AHV259" s="610"/>
      <c r="AHW259" s="610"/>
      <c r="AHX259" s="610"/>
      <c r="AHY259" s="610"/>
      <c r="AHZ259" s="610"/>
      <c r="AIA259" s="610"/>
      <c r="AIB259" s="610"/>
      <c r="AIC259" s="610"/>
      <c r="AID259" s="610"/>
      <c r="AIE259" s="610"/>
      <c r="AIF259" s="610"/>
      <c r="AIG259" s="610"/>
      <c r="AIH259" s="610"/>
      <c r="AII259" s="610"/>
      <c r="AIJ259" s="610"/>
      <c r="AIK259" s="610"/>
      <c r="AIL259" s="610"/>
      <c r="AIM259" s="610"/>
      <c r="AIN259" s="610"/>
      <c r="AIO259" s="610"/>
      <c r="AIP259" s="610"/>
      <c r="AIQ259" s="610"/>
      <c r="AIR259" s="610"/>
      <c r="AIS259" s="610"/>
      <c r="AIT259" s="610"/>
      <c r="AIU259" s="610"/>
      <c r="AIV259" s="610"/>
      <c r="AIW259" s="610"/>
      <c r="AIX259" s="610"/>
      <c r="AIY259" s="610"/>
      <c r="AIZ259" s="610"/>
      <c r="AJA259" s="610"/>
      <c r="AJB259" s="610"/>
      <c r="AJC259" s="610"/>
      <c r="AJD259" s="610"/>
      <c r="AJE259" s="610"/>
      <c r="AJF259" s="610"/>
      <c r="AJG259" s="610"/>
      <c r="AJH259" s="610"/>
      <c r="AJI259" s="610"/>
      <c r="AJJ259" s="610"/>
      <c r="AJK259" s="610"/>
      <c r="AJL259" s="610"/>
      <c r="AJM259" s="610"/>
      <c r="AJN259" s="610"/>
      <c r="AJO259" s="610"/>
      <c r="AJP259" s="610"/>
      <c r="AJQ259" s="610"/>
      <c r="AJR259" s="610"/>
      <c r="AJS259" s="610"/>
      <c r="AJT259" s="610"/>
      <c r="AJU259" s="610"/>
      <c r="AJV259" s="610"/>
      <c r="AJW259" s="610"/>
      <c r="AJX259" s="610"/>
      <c r="AJY259" s="610"/>
      <c r="AJZ259" s="610"/>
      <c r="AKA259" s="610"/>
      <c r="AKB259" s="610"/>
      <c r="AKC259" s="610"/>
      <c r="AKD259" s="610"/>
      <c r="AKE259" s="610"/>
      <c r="AKF259" s="610"/>
      <c r="AKG259" s="610"/>
      <c r="AKH259" s="610"/>
      <c r="AKI259" s="610"/>
      <c r="AKJ259" s="610"/>
      <c r="AKK259" s="610"/>
      <c r="AKL259" s="610"/>
      <c r="AKM259" s="610"/>
      <c r="AKN259" s="610"/>
      <c r="AKO259" s="610"/>
      <c r="AKP259" s="610"/>
      <c r="AKQ259" s="610"/>
      <c r="AKR259" s="610"/>
      <c r="AKS259" s="610"/>
      <c r="AKT259" s="610"/>
      <c r="AKU259" s="610"/>
      <c r="AKV259" s="610"/>
      <c r="AKW259" s="610"/>
      <c r="AKX259" s="610"/>
      <c r="AKY259" s="610"/>
      <c r="AKZ259" s="610"/>
      <c r="ALA259" s="610"/>
      <c r="ALB259" s="610"/>
      <c r="ALC259" s="610"/>
      <c r="ALD259" s="610"/>
      <c r="ALE259" s="610"/>
      <c r="ALF259" s="610"/>
      <c r="ALG259" s="610"/>
      <c r="ALH259" s="610"/>
      <c r="ALI259" s="610"/>
      <c r="ALJ259" s="610"/>
      <c r="ALK259" s="610"/>
      <c r="ALL259" s="610"/>
      <c r="ALM259" s="610"/>
      <c r="ALN259" s="610"/>
      <c r="ALO259" s="610"/>
      <c r="ALP259" s="610"/>
      <c r="ALQ259" s="610"/>
      <c r="ALR259" s="610"/>
      <c r="ALS259" s="610"/>
      <c r="ALT259" s="610"/>
      <c r="ALU259" s="610"/>
      <c r="ALV259" s="610"/>
      <c r="ALW259" s="610"/>
      <c r="ALX259" s="610"/>
      <c r="ALY259" s="610"/>
      <c r="ALZ259" s="610"/>
      <c r="AMA259" s="610"/>
      <c r="AMB259" s="610"/>
      <c r="AMC259" s="610"/>
      <c r="AMD259" s="610"/>
      <c r="AME259" s="610"/>
      <c r="AMF259" s="610"/>
      <c r="AMG259" s="610"/>
      <c r="AMH259" s="610"/>
      <c r="AMI259" s="610"/>
      <c r="AMJ259" s="610"/>
      <c r="AMK259" s="610"/>
      <c r="AML259" s="610"/>
      <c r="AMM259" s="610"/>
      <c r="AMN259" s="610"/>
      <c r="AMO259" s="610"/>
      <c r="AMP259" s="610"/>
      <c r="AMQ259" s="610"/>
      <c r="AMR259" s="610"/>
      <c r="AMS259" s="610"/>
      <c r="AMT259" s="610"/>
      <c r="AMU259" s="610"/>
      <c r="AMV259" s="610"/>
      <c r="AMW259" s="610"/>
      <c r="AMX259" s="610"/>
      <c r="AMY259" s="610"/>
      <c r="AMZ259" s="610"/>
      <c r="ANA259" s="610"/>
      <c r="ANB259" s="610"/>
      <c r="ANC259" s="610"/>
      <c r="AND259" s="610"/>
      <c r="ANE259" s="610"/>
      <c r="ANF259" s="610"/>
      <c r="ANG259" s="610"/>
      <c r="ANH259" s="610"/>
      <c r="ANI259" s="610"/>
      <c r="ANJ259" s="610"/>
      <c r="ANK259" s="610"/>
      <c r="ANL259" s="610"/>
      <c r="ANM259" s="610"/>
      <c r="ANN259" s="610"/>
      <c r="ANO259" s="610"/>
      <c r="ANP259" s="610"/>
      <c r="ANQ259" s="610"/>
      <c r="ANR259" s="610"/>
      <c r="ANS259" s="610"/>
      <c r="ANT259" s="610"/>
      <c r="ANU259" s="610"/>
      <c r="ANV259" s="610"/>
      <c r="ANW259" s="610"/>
      <c r="ANX259" s="610"/>
      <c r="ANY259" s="610"/>
      <c r="ANZ259" s="610"/>
      <c r="AOA259" s="610"/>
      <c r="AOB259" s="610"/>
      <c r="AOC259" s="610"/>
      <c r="AOD259" s="610"/>
      <c r="AOE259" s="610"/>
      <c r="AOF259" s="610"/>
      <c r="AOG259" s="610"/>
      <c r="AOH259" s="610"/>
      <c r="AOI259" s="610"/>
      <c r="AOJ259" s="610"/>
      <c r="AOK259" s="610"/>
      <c r="AOL259" s="610"/>
      <c r="AOM259" s="610"/>
      <c r="AON259" s="610"/>
      <c r="AOO259" s="610"/>
      <c r="AOP259" s="610"/>
      <c r="AOQ259" s="610"/>
      <c r="AOR259" s="610"/>
      <c r="AOS259" s="610"/>
      <c r="AOT259" s="610"/>
      <c r="AOU259" s="610"/>
      <c r="AOV259" s="610"/>
      <c r="AOW259" s="610"/>
      <c r="AOX259" s="610"/>
      <c r="AOY259" s="610"/>
      <c r="AOZ259" s="610"/>
      <c r="APA259" s="610"/>
      <c r="APB259" s="610"/>
      <c r="APC259" s="610"/>
      <c r="APD259" s="610"/>
      <c r="APE259" s="610"/>
      <c r="APF259" s="610"/>
      <c r="APG259" s="610"/>
      <c r="APH259" s="610"/>
      <c r="API259" s="610"/>
      <c r="APJ259" s="610"/>
      <c r="APK259" s="610"/>
      <c r="APL259" s="610"/>
      <c r="APM259" s="610"/>
      <c r="APN259" s="610"/>
      <c r="APO259" s="610"/>
      <c r="APP259" s="610"/>
      <c r="APQ259" s="610"/>
      <c r="APR259" s="610"/>
      <c r="APS259" s="610"/>
      <c r="APT259" s="610"/>
      <c r="APU259" s="610"/>
      <c r="APV259" s="610"/>
      <c r="APW259" s="610"/>
      <c r="APX259" s="610"/>
      <c r="APY259" s="610"/>
      <c r="APZ259" s="610"/>
      <c r="AQA259" s="610"/>
      <c r="AQB259" s="610"/>
      <c r="AQC259" s="610"/>
      <c r="AQD259" s="610"/>
      <c r="AQE259" s="610"/>
      <c r="AQF259" s="610"/>
      <c r="AQG259" s="610"/>
      <c r="AQH259" s="610"/>
      <c r="AQI259" s="610"/>
      <c r="AQJ259" s="610"/>
      <c r="AQK259" s="610"/>
      <c r="AQL259" s="610"/>
      <c r="AQM259" s="610"/>
      <c r="AQN259" s="610"/>
      <c r="AQO259" s="610"/>
      <c r="AQP259" s="610"/>
      <c r="AQQ259" s="610"/>
      <c r="AQR259" s="610"/>
      <c r="AQS259" s="610"/>
      <c r="AQT259" s="610"/>
      <c r="AQU259" s="610"/>
      <c r="AQV259" s="610"/>
      <c r="AQW259" s="610"/>
      <c r="AQX259" s="610"/>
      <c r="AQY259" s="610"/>
      <c r="AQZ259" s="610"/>
      <c r="ARA259" s="610"/>
      <c r="ARB259" s="610"/>
      <c r="ARC259" s="610"/>
      <c r="ARD259" s="610"/>
      <c r="ARE259" s="610"/>
      <c r="ARF259" s="610"/>
      <c r="ARG259" s="610"/>
      <c r="ARH259" s="610"/>
      <c r="ARI259" s="610"/>
      <c r="ARJ259" s="610"/>
      <c r="ARK259" s="610"/>
      <c r="ARL259" s="610"/>
      <c r="ARM259" s="610"/>
      <c r="ARN259" s="610"/>
      <c r="ARO259" s="610"/>
      <c r="ARP259" s="610"/>
      <c r="ARQ259" s="610"/>
      <c r="ARR259" s="610"/>
      <c r="ARS259" s="610"/>
      <c r="ART259" s="610"/>
      <c r="ARU259" s="610"/>
      <c r="ARV259" s="610"/>
      <c r="ARW259" s="610"/>
      <c r="ARX259" s="610"/>
      <c r="ARY259" s="610"/>
      <c r="ARZ259" s="610"/>
      <c r="ASA259" s="610"/>
      <c r="ASB259" s="610"/>
      <c r="ASC259" s="610"/>
      <c r="ASD259" s="610"/>
      <c r="ASE259" s="610"/>
      <c r="ASF259" s="610"/>
      <c r="ASG259" s="610"/>
      <c r="ASH259" s="610"/>
      <c r="ASI259" s="610"/>
      <c r="ASJ259" s="610"/>
      <c r="ASK259" s="610"/>
      <c r="ASL259" s="610"/>
      <c r="ASM259" s="610"/>
      <c r="ASN259" s="610"/>
      <c r="ASO259" s="610"/>
      <c r="ASP259" s="610"/>
      <c r="ASQ259" s="610"/>
      <c r="ASR259" s="610"/>
      <c r="ASS259" s="610"/>
      <c r="AST259" s="610"/>
      <c r="ASU259" s="610"/>
      <c r="ASV259" s="610"/>
      <c r="ASW259" s="610"/>
      <c r="ASX259" s="610"/>
      <c r="ASY259" s="610"/>
      <c r="ASZ259" s="610"/>
      <c r="ATA259" s="610"/>
      <c r="ATB259" s="610"/>
      <c r="ATC259" s="610"/>
      <c r="ATD259" s="610"/>
      <c r="ATE259" s="610"/>
      <c r="ATF259" s="610"/>
      <c r="ATG259" s="610"/>
      <c r="ATH259" s="610"/>
      <c r="ATI259" s="610"/>
      <c r="ATJ259" s="610"/>
      <c r="ATK259" s="610"/>
      <c r="ATL259" s="610"/>
      <c r="ATM259" s="610"/>
      <c r="ATN259" s="610"/>
      <c r="ATO259" s="610"/>
      <c r="ATP259" s="610"/>
      <c r="ATQ259" s="610"/>
      <c r="ATR259" s="610"/>
      <c r="ATS259" s="610"/>
      <c r="ATT259" s="610"/>
      <c r="ATU259" s="610"/>
      <c r="ATV259" s="610"/>
      <c r="ATW259" s="610"/>
      <c r="ATX259" s="610"/>
      <c r="ATY259" s="610"/>
      <c r="ATZ259" s="610"/>
      <c r="AUA259" s="610"/>
      <c r="AUB259" s="610"/>
      <c r="AUC259" s="610"/>
      <c r="AUD259" s="610"/>
      <c r="AUE259" s="610"/>
      <c r="AUF259" s="610"/>
      <c r="AUG259" s="610"/>
      <c r="AUH259" s="610"/>
      <c r="AUI259" s="610"/>
      <c r="AUJ259" s="610"/>
      <c r="AUK259" s="610"/>
      <c r="AUL259" s="610"/>
      <c r="AUM259" s="610"/>
      <c r="AUN259" s="610"/>
      <c r="AUO259" s="610"/>
      <c r="AUP259" s="610"/>
      <c r="AUQ259" s="610"/>
      <c r="AUR259" s="610"/>
      <c r="AUS259" s="610"/>
      <c r="AUT259" s="610"/>
      <c r="AUU259" s="610"/>
      <c r="AUV259" s="610"/>
      <c r="AUW259" s="610"/>
      <c r="AUX259" s="610"/>
      <c r="AUY259" s="610"/>
      <c r="AUZ259" s="610"/>
      <c r="AVA259" s="610"/>
      <c r="AVB259" s="610"/>
      <c r="AVC259" s="610"/>
      <c r="AVD259" s="610"/>
      <c r="AVE259" s="610"/>
      <c r="AVF259" s="610"/>
      <c r="AVG259" s="610"/>
      <c r="AVH259" s="610"/>
      <c r="AVI259" s="610"/>
      <c r="AVJ259" s="610"/>
      <c r="AVK259" s="610"/>
      <c r="AVL259" s="610"/>
      <c r="AVM259" s="610"/>
      <c r="AVN259" s="610"/>
      <c r="AVO259" s="610"/>
      <c r="AVP259" s="610"/>
      <c r="AVQ259" s="610"/>
      <c r="AVR259" s="610"/>
      <c r="AVS259" s="610"/>
      <c r="AVT259" s="610"/>
      <c r="AVU259" s="610"/>
      <c r="AVV259" s="610"/>
      <c r="AVW259" s="610"/>
      <c r="AVX259" s="610"/>
      <c r="AVY259" s="610"/>
      <c r="AVZ259" s="610"/>
      <c r="AWA259" s="610"/>
      <c r="AWB259" s="610"/>
      <c r="AWC259" s="610"/>
      <c r="AWD259" s="610"/>
      <c r="AWE259" s="610"/>
      <c r="AWF259" s="610"/>
      <c r="AWG259" s="610"/>
      <c r="AWH259" s="610"/>
      <c r="AWI259" s="610"/>
      <c r="AWJ259" s="610"/>
      <c r="AWK259" s="610"/>
      <c r="AWL259" s="610"/>
      <c r="AWM259" s="610"/>
      <c r="AWN259" s="610"/>
      <c r="AWO259" s="610"/>
      <c r="AWP259" s="610"/>
      <c r="AWQ259" s="610"/>
      <c r="AWR259" s="610"/>
      <c r="AWS259" s="610"/>
      <c r="AWT259" s="610"/>
      <c r="AWU259" s="610"/>
      <c r="AWV259" s="610"/>
      <c r="AWW259" s="610"/>
      <c r="AWX259" s="610"/>
      <c r="AWY259" s="610"/>
      <c r="AWZ259" s="610"/>
      <c r="AXA259" s="610"/>
      <c r="AXB259" s="610"/>
      <c r="AXC259" s="610"/>
      <c r="AXD259" s="610"/>
      <c r="AXE259" s="610"/>
      <c r="AXF259" s="610"/>
      <c r="AXG259" s="610"/>
      <c r="AXH259" s="610"/>
      <c r="AXI259" s="610"/>
      <c r="AXJ259" s="610"/>
      <c r="AXK259" s="610"/>
      <c r="AXL259" s="610"/>
      <c r="AXM259" s="610"/>
      <c r="AXN259" s="610"/>
      <c r="AXO259" s="610"/>
      <c r="AXP259" s="610"/>
      <c r="AXQ259" s="610"/>
      <c r="AXR259" s="610"/>
      <c r="AXS259" s="610"/>
      <c r="AXT259" s="610"/>
      <c r="AXU259" s="610"/>
      <c r="AXV259" s="610"/>
      <c r="AXW259" s="610"/>
      <c r="AXX259" s="610"/>
      <c r="AXY259" s="610"/>
      <c r="AXZ259" s="610"/>
      <c r="AYA259" s="610"/>
      <c r="AYB259" s="610"/>
      <c r="AYC259" s="610"/>
      <c r="AYD259" s="610"/>
      <c r="AYE259" s="610"/>
      <c r="AYF259" s="610"/>
      <c r="AYG259" s="610"/>
      <c r="AYH259" s="610"/>
      <c r="AYI259" s="610"/>
      <c r="AYJ259" s="610"/>
      <c r="AYK259" s="610"/>
      <c r="AYL259" s="610"/>
      <c r="AYM259" s="610"/>
      <c r="AYN259" s="610"/>
      <c r="AYO259" s="610"/>
      <c r="AYP259" s="610"/>
      <c r="AYQ259" s="610"/>
      <c r="AYR259" s="610"/>
      <c r="AYS259" s="610"/>
      <c r="AYT259" s="610"/>
      <c r="AYU259" s="610"/>
      <c r="AYV259" s="610"/>
      <c r="AYW259" s="610"/>
      <c r="AYX259" s="610"/>
      <c r="AYY259" s="610"/>
      <c r="AYZ259" s="610"/>
      <c r="AZA259" s="610"/>
      <c r="AZB259" s="610"/>
      <c r="AZC259" s="610"/>
      <c r="AZD259" s="610"/>
      <c r="AZE259" s="610"/>
      <c r="AZF259" s="610"/>
      <c r="AZG259" s="610"/>
      <c r="AZH259" s="610"/>
      <c r="AZI259" s="610"/>
      <c r="AZJ259" s="610"/>
      <c r="AZK259" s="610"/>
      <c r="AZL259" s="610"/>
      <c r="AZM259" s="610"/>
      <c r="AZN259" s="610"/>
      <c r="AZO259" s="610"/>
      <c r="AZP259" s="610"/>
      <c r="AZQ259" s="610"/>
      <c r="AZR259" s="610"/>
      <c r="AZS259" s="610"/>
      <c r="AZT259" s="610"/>
      <c r="AZU259" s="610"/>
      <c r="AZV259" s="610"/>
      <c r="AZW259" s="610"/>
      <c r="AZX259" s="610"/>
      <c r="AZY259" s="610"/>
      <c r="AZZ259" s="610"/>
      <c r="BAA259" s="610"/>
      <c r="BAB259" s="610"/>
      <c r="BAC259" s="610"/>
      <c r="BAD259" s="610"/>
      <c r="BAE259" s="610"/>
      <c r="BAF259" s="610"/>
      <c r="BAG259" s="610"/>
      <c r="BAH259" s="610"/>
      <c r="BAI259" s="610"/>
      <c r="BAJ259" s="610"/>
      <c r="BAK259" s="610"/>
      <c r="BAL259" s="610"/>
      <c r="BAM259" s="610"/>
      <c r="BAN259" s="610"/>
      <c r="BAO259" s="610"/>
      <c r="BAP259" s="610"/>
      <c r="BAQ259" s="610"/>
      <c r="BAR259" s="610"/>
      <c r="BAS259" s="610"/>
      <c r="BAT259" s="610"/>
      <c r="BAU259" s="610"/>
      <c r="BAV259" s="610"/>
      <c r="BAW259" s="610"/>
      <c r="BAX259" s="610"/>
      <c r="BAY259" s="610"/>
      <c r="BAZ259" s="610"/>
      <c r="BBA259" s="610"/>
      <c r="BBB259" s="610"/>
      <c r="BBC259" s="610"/>
      <c r="BBD259" s="610"/>
      <c r="BBE259" s="610"/>
      <c r="BBF259" s="610"/>
      <c r="BBG259" s="610"/>
      <c r="BBH259" s="610"/>
      <c r="BBI259" s="610"/>
      <c r="BBJ259" s="610"/>
      <c r="BBK259" s="610"/>
      <c r="BBL259" s="610"/>
      <c r="BBM259" s="610"/>
      <c r="BBN259" s="610"/>
      <c r="BBO259" s="610"/>
      <c r="BBP259" s="610"/>
      <c r="BBQ259" s="610"/>
      <c r="BBR259" s="610"/>
      <c r="BBS259" s="610"/>
      <c r="BBT259" s="610"/>
      <c r="BBU259" s="610"/>
      <c r="BBV259" s="610"/>
      <c r="BBW259" s="610"/>
      <c r="BBX259" s="610"/>
      <c r="BBY259" s="610"/>
      <c r="BBZ259" s="610"/>
      <c r="BCA259" s="610"/>
      <c r="BCB259" s="610"/>
      <c r="BCC259" s="610"/>
      <c r="BCD259" s="610"/>
      <c r="BCE259" s="610"/>
      <c r="BCF259" s="610"/>
      <c r="BCG259" s="610"/>
      <c r="BCH259" s="610"/>
      <c r="BCI259" s="610"/>
      <c r="BCJ259" s="610"/>
      <c r="BCK259" s="610"/>
      <c r="BCL259" s="610"/>
      <c r="BCM259" s="610"/>
      <c r="BCN259" s="610"/>
      <c r="BCO259" s="610"/>
      <c r="BCP259" s="610"/>
      <c r="BCQ259" s="610"/>
      <c r="BCR259" s="610"/>
      <c r="BCS259" s="610"/>
      <c r="BCT259" s="610"/>
      <c r="BCU259" s="610"/>
      <c r="BCV259" s="610"/>
      <c r="BCW259" s="610"/>
      <c r="BCX259" s="610"/>
      <c r="BCY259" s="610"/>
      <c r="BCZ259" s="610"/>
      <c r="BDA259" s="610"/>
      <c r="BDB259" s="610"/>
      <c r="BDC259" s="610"/>
      <c r="BDD259" s="610"/>
      <c r="BDE259" s="610"/>
      <c r="BDF259" s="610"/>
      <c r="BDG259" s="610"/>
      <c r="BDH259" s="610"/>
      <c r="BDI259" s="610"/>
      <c r="BDJ259" s="610"/>
      <c r="BDK259" s="610"/>
      <c r="BDL259" s="610"/>
      <c r="BDM259" s="610"/>
      <c r="BDN259" s="610"/>
      <c r="BDO259" s="610"/>
      <c r="BDP259" s="610"/>
      <c r="BDQ259" s="610"/>
      <c r="BDR259" s="610"/>
      <c r="BDS259" s="610"/>
      <c r="BDT259" s="610"/>
      <c r="BDU259" s="610"/>
      <c r="BDV259" s="610"/>
      <c r="BDW259" s="610"/>
      <c r="BDX259" s="610"/>
      <c r="BDY259" s="610"/>
      <c r="BDZ259" s="610"/>
      <c r="BEA259" s="610"/>
      <c r="BEB259" s="610"/>
      <c r="BEC259" s="610"/>
      <c r="BED259" s="610"/>
      <c r="BEE259" s="610"/>
      <c r="BEF259" s="610"/>
      <c r="BEG259" s="610"/>
      <c r="BEH259" s="610"/>
      <c r="BEI259" s="610"/>
      <c r="BEJ259" s="610"/>
      <c r="BEK259" s="610"/>
      <c r="BEL259" s="610"/>
      <c r="BEM259" s="610"/>
      <c r="BEN259" s="610"/>
      <c r="BEO259" s="610"/>
      <c r="BEP259" s="610"/>
      <c r="BEQ259" s="610"/>
      <c r="BER259" s="610"/>
      <c r="BES259" s="610"/>
      <c r="BET259" s="610"/>
      <c r="BEU259" s="610"/>
      <c r="BEV259" s="610"/>
      <c r="BEW259" s="610"/>
      <c r="BEX259" s="610"/>
      <c r="BEY259" s="610"/>
      <c r="BEZ259" s="610"/>
      <c r="BFA259" s="610"/>
      <c r="BFB259" s="610"/>
      <c r="BFC259" s="610"/>
      <c r="BFD259" s="610"/>
      <c r="BFE259" s="610"/>
      <c r="BFF259" s="610"/>
      <c r="BFG259" s="610"/>
      <c r="BFH259" s="610"/>
      <c r="BFI259" s="610"/>
      <c r="BFJ259" s="610"/>
      <c r="BFK259" s="610"/>
      <c r="BFL259" s="610"/>
      <c r="BFM259" s="610"/>
      <c r="BFN259" s="610"/>
      <c r="BFO259" s="610"/>
      <c r="BFP259" s="610"/>
      <c r="BFQ259" s="610"/>
      <c r="BFR259" s="610"/>
      <c r="BFS259" s="610"/>
      <c r="BFT259" s="610"/>
      <c r="BFU259" s="610"/>
      <c r="BFV259" s="610"/>
      <c r="BFW259" s="610"/>
      <c r="BFX259" s="610"/>
      <c r="BFY259" s="610"/>
      <c r="BFZ259" s="610"/>
      <c r="BGA259" s="610"/>
      <c r="BGB259" s="610"/>
      <c r="BGC259" s="610"/>
      <c r="BGD259" s="610"/>
      <c r="BGE259" s="610"/>
      <c r="BGF259" s="610"/>
      <c r="BGG259" s="610"/>
      <c r="BGH259" s="610"/>
      <c r="BGI259" s="610"/>
      <c r="BGJ259" s="610"/>
      <c r="BGK259" s="610"/>
      <c r="BGL259" s="610"/>
      <c r="BGM259" s="610"/>
      <c r="BGN259" s="610"/>
      <c r="BGO259" s="610"/>
      <c r="BGP259" s="610"/>
      <c r="BGQ259" s="610"/>
      <c r="BGR259" s="610"/>
      <c r="BGS259" s="610"/>
      <c r="BGT259" s="610"/>
      <c r="BGU259" s="610"/>
      <c r="BGV259" s="610"/>
      <c r="BGW259" s="610"/>
      <c r="BGX259" s="610"/>
      <c r="BGY259" s="610"/>
      <c r="BGZ259" s="610"/>
      <c r="BHA259" s="610"/>
      <c r="BHB259" s="610"/>
      <c r="BHC259" s="610"/>
      <c r="BHD259" s="610"/>
      <c r="BHE259" s="610"/>
      <c r="BHF259" s="610"/>
      <c r="BHG259" s="610"/>
      <c r="BHH259" s="610"/>
      <c r="BHI259" s="610"/>
      <c r="BHJ259" s="610"/>
      <c r="BHK259" s="610"/>
      <c r="BHL259" s="610"/>
      <c r="BHM259" s="610"/>
      <c r="BHN259" s="610"/>
      <c r="BHO259" s="610"/>
      <c r="BHP259" s="610"/>
      <c r="BHQ259" s="610"/>
      <c r="BHR259" s="610"/>
      <c r="BHS259" s="610"/>
      <c r="BHT259" s="610"/>
      <c r="BHU259" s="610"/>
      <c r="BHV259" s="610"/>
      <c r="BHW259" s="610"/>
      <c r="BHX259" s="610"/>
      <c r="BHY259" s="610"/>
      <c r="BHZ259" s="610"/>
      <c r="BIA259" s="610"/>
      <c r="BIB259" s="610"/>
      <c r="BIC259" s="610"/>
      <c r="BID259" s="610"/>
      <c r="BIE259" s="610"/>
      <c r="BIF259" s="610"/>
      <c r="BIG259" s="610"/>
      <c r="BIH259" s="610"/>
      <c r="BII259" s="610"/>
      <c r="BIJ259" s="610"/>
      <c r="BIK259" s="610"/>
      <c r="BIL259" s="610"/>
      <c r="BIM259" s="610"/>
      <c r="BIN259" s="610"/>
      <c r="BIO259" s="610"/>
      <c r="BIP259" s="610"/>
      <c r="BIQ259" s="610"/>
      <c r="BIR259" s="610"/>
      <c r="BIS259" s="610"/>
      <c r="BIT259" s="610"/>
      <c r="BIU259" s="610"/>
      <c r="BIV259" s="610"/>
      <c r="BIW259" s="610"/>
      <c r="BIX259" s="610"/>
      <c r="BIY259" s="610"/>
      <c r="BIZ259" s="610"/>
      <c r="BJA259" s="610"/>
      <c r="BJB259" s="610"/>
      <c r="BJC259" s="610"/>
      <c r="BJD259" s="610"/>
      <c r="BJE259" s="610"/>
      <c r="BJF259" s="610"/>
      <c r="BJG259" s="610"/>
      <c r="BJH259" s="610"/>
      <c r="BJI259" s="610"/>
      <c r="BJJ259" s="610"/>
      <c r="BJK259" s="610"/>
      <c r="BJL259" s="610"/>
      <c r="BJM259" s="610"/>
      <c r="BJN259" s="610"/>
      <c r="BJO259" s="610"/>
      <c r="BJP259" s="610"/>
      <c r="BJQ259" s="610"/>
      <c r="BJR259" s="610"/>
      <c r="BJS259" s="610"/>
      <c r="BJT259" s="610"/>
      <c r="BJU259" s="610"/>
      <c r="BJV259" s="610"/>
      <c r="BJW259" s="610"/>
      <c r="BJX259" s="610"/>
      <c r="BJY259" s="610"/>
      <c r="BJZ259" s="610"/>
      <c r="BKA259" s="610"/>
      <c r="BKB259" s="610"/>
      <c r="BKC259" s="610"/>
      <c r="BKD259" s="610"/>
      <c r="BKE259" s="610"/>
      <c r="BKF259" s="610"/>
      <c r="BKG259" s="610"/>
      <c r="BKH259" s="610"/>
      <c r="BKI259" s="610"/>
      <c r="BKJ259" s="610"/>
      <c r="BKK259" s="610"/>
      <c r="BKL259" s="610"/>
      <c r="BKM259" s="610"/>
      <c r="BKN259" s="610"/>
      <c r="BKO259" s="610"/>
      <c r="BKP259" s="610"/>
      <c r="BKQ259" s="610"/>
      <c r="BKR259" s="610"/>
      <c r="BKS259" s="610"/>
      <c r="BKT259" s="610"/>
      <c r="BKU259" s="610"/>
      <c r="BKV259" s="610"/>
      <c r="BKW259" s="610"/>
      <c r="BKX259" s="610"/>
      <c r="BKY259" s="610"/>
      <c r="BKZ259" s="610"/>
      <c r="BLA259" s="610"/>
      <c r="BLB259" s="610"/>
      <c r="BLC259" s="610"/>
      <c r="BLD259" s="610"/>
      <c r="BLE259" s="610"/>
      <c r="BLF259" s="610"/>
      <c r="BLG259" s="610"/>
      <c r="BLH259" s="610"/>
      <c r="BLI259" s="610"/>
      <c r="BLJ259" s="610"/>
      <c r="BLK259" s="610"/>
      <c r="BLL259" s="610"/>
      <c r="BLM259" s="610"/>
      <c r="BLN259" s="610"/>
      <c r="BLO259" s="610"/>
      <c r="BLP259" s="610"/>
      <c r="BLQ259" s="610"/>
      <c r="BLR259" s="610"/>
      <c r="BLS259" s="610"/>
      <c r="BLT259" s="610"/>
      <c r="BLU259" s="610"/>
      <c r="BLV259" s="610"/>
      <c r="BLW259" s="610"/>
      <c r="BLX259" s="610"/>
      <c r="BLY259" s="610"/>
      <c r="BLZ259" s="610"/>
      <c r="BMA259" s="610"/>
      <c r="BMB259" s="610"/>
      <c r="BMC259" s="610"/>
      <c r="BMD259" s="610"/>
      <c r="BME259" s="610"/>
      <c r="BMF259" s="610"/>
      <c r="BMG259" s="610"/>
      <c r="BMH259" s="610"/>
      <c r="BMI259" s="610"/>
      <c r="BMJ259" s="610"/>
      <c r="BMK259" s="610"/>
      <c r="BML259" s="610"/>
      <c r="BMM259" s="610"/>
      <c r="BMN259" s="610"/>
      <c r="BMO259" s="610"/>
      <c r="BMP259" s="610"/>
      <c r="BMQ259" s="610"/>
      <c r="BMR259" s="610"/>
      <c r="BMS259" s="610"/>
      <c r="BMT259" s="610"/>
      <c r="BMU259" s="610"/>
      <c r="BMV259" s="610"/>
      <c r="BMW259" s="610"/>
      <c r="BMX259" s="610"/>
      <c r="BMY259" s="610"/>
      <c r="BMZ259" s="610"/>
      <c r="BNA259" s="610"/>
      <c r="BNB259" s="610"/>
      <c r="BNC259" s="610"/>
      <c r="BND259" s="610"/>
      <c r="BNE259" s="610"/>
      <c r="BNF259" s="610"/>
      <c r="BNG259" s="610"/>
      <c r="BNH259" s="610"/>
      <c r="BNI259" s="610"/>
      <c r="BNJ259" s="610"/>
      <c r="BNK259" s="610"/>
      <c r="BNL259" s="610"/>
      <c r="BNM259" s="610"/>
      <c r="BNN259" s="610"/>
      <c r="BNO259" s="610"/>
      <c r="BNP259" s="610"/>
      <c r="BNQ259" s="610"/>
      <c r="BNR259" s="610"/>
      <c r="BNS259" s="610"/>
      <c r="BNT259" s="610"/>
      <c r="BNU259" s="610"/>
      <c r="BNV259" s="610"/>
      <c r="BNW259" s="610"/>
      <c r="BNX259" s="610"/>
      <c r="BNY259" s="610"/>
      <c r="BNZ259" s="610"/>
      <c r="BOA259" s="610"/>
      <c r="BOB259" s="610"/>
      <c r="BOC259" s="610"/>
      <c r="BOD259" s="610"/>
      <c r="BOE259" s="610"/>
      <c r="BOF259" s="610"/>
      <c r="BOG259" s="610"/>
      <c r="BOH259" s="610"/>
      <c r="BOI259" s="610"/>
      <c r="BOJ259" s="610"/>
      <c r="BOK259" s="610"/>
      <c r="BOL259" s="610"/>
      <c r="BOM259" s="610"/>
      <c r="BON259" s="610"/>
      <c r="BOO259" s="610"/>
      <c r="BOP259" s="610"/>
      <c r="BOQ259" s="610"/>
      <c r="BOR259" s="610"/>
      <c r="BOS259" s="610"/>
      <c r="BOT259" s="610"/>
      <c r="BOU259" s="610"/>
      <c r="BOV259" s="610"/>
      <c r="BOW259" s="610"/>
      <c r="BOX259" s="610"/>
      <c r="BOY259" s="610"/>
      <c r="BOZ259" s="610"/>
      <c r="BPA259" s="610"/>
      <c r="BPB259" s="610"/>
      <c r="BPC259" s="610"/>
      <c r="BPD259" s="610"/>
      <c r="BPE259" s="610"/>
      <c r="BPF259" s="610"/>
      <c r="BPG259" s="610"/>
      <c r="BPH259" s="610"/>
      <c r="BPI259" s="610"/>
      <c r="BPJ259" s="610"/>
      <c r="BPK259" s="610"/>
      <c r="BPL259" s="610"/>
      <c r="BPM259" s="610"/>
      <c r="BPN259" s="610"/>
      <c r="BPO259" s="610"/>
      <c r="BPP259" s="610"/>
      <c r="BPQ259" s="610"/>
      <c r="BPR259" s="610"/>
      <c r="BPS259" s="610"/>
      <c r="BPT259" s="610"/>
      <c r="BPU259" s="610"/>
      <c r="BPV259" s="610"/>
      <c r="BPW259" s="610"/>
      <c r="BPX259" s="610"/>
      <c r="BPY259" s="610"/>
      <c r="BPZ259" s="610"/>
      <c r="BQA259" s="610"/>
      <c r="BQB259" s="610"/>
      <c r="BQC259" s="610"/>
      <c r="BQD259" s="610"/>
      <c r="BQE259" s="610"/>
      <c r="BQF259" s="610"/>
      <c r="BQG259" s="610"/>
      <c r="BQH259" s="610"/>
      <c r="BQI259" s="610"/>
      <c r="BQJ259" s="610"/>
      <c r="BQK259" s="610"/>
      <c r="BQL259" s="610"/>
      <c r="BQM259" s="610"/>
      <c r="BQN259" s="610"/>
      <c r="BQO259" s="610"/>
      <c r="BQP259" s="610"/>
      <c r="BQQ259" s="610"/>
      <c r="BQR259" s="610"/>
      <c r="BQS259" s="610"/>
      <c r="BQT259" s="610"/>
      <c r="BQU259" s="610"/>
      <c r="BQV259" s="610"/>
      <c r="BQW259" s="610"/>
      <c r="BQX259" s="610"/>
      <c r="BQY259" s="610"/>
      <c r="BQZ259" s="610"/>
      <c r="BRA259" s="610"/>
      <c r="BRB259" s="610"/>
      <c r="BRC259" s="610"/>
      <c r="BRD259" s="610"/>
      <c r="BRE259" s="610"/>
      <c r="BRF259" s="610"/>
      <c r="BRG259" s="610"/>
      <c r="BRH259" s="610"/>
      <c r="BRI259" s="610"/>
      <c r="BRJ259" s="610"/>
      <c r="BRK259" s="610"/>
      <c r="BRL259" s="610"/>
      <c r="BRM259" s="610"/>
      <c r="BRN259" s="610"/>
      <c r="BRO259" s="610"/>
      <c r="BRP259" s="610"/>
      <c r="BRQ259" s="610"/>
      <c r="BRR259" s="610"/>
      <c r="BRS259" s="610"/>
      <c r="BRT259" s="610"/>
      <c r="BRU259" s="610"/>
      <c r="BRV259" s="610"/>
      <c r="BRW259" s="610"/>
      <c r="BRX259" s="610"/>
      <c r="BRY259" s="610"/>
      <c r="BRZ259" s="610"/>
      <c r="BSA259" s="610"/>
      <c r="BSB259" s="610"/>
      <c r="BSC259" s="610"/>
      <c r="BSD259" s="610"/>
      <c r="BSE259" s="610"/>
      <c r="BSF259" s="610"/>
      <c r="BSG259" s="610"/>
      <c r="BSH259" s="610"/>
      <c r="BSI259" s="610"/>
      <c r="BSJ259" s="610"/>
      <c r="BSK259" s="610"/>
      <c r="BSL259" s="610"/>
      <c r="BSM259" s="610"/>
      <c r="BSN259" s="610"/>
      <c r="BSO259" s="610"/>
      <c r="BSP259" s="610"/>
      <c r="BSQ259" s="610"/>
      <c r="BSR259" s="610"/>
      <c r="BSS259" s="610"/>
      <c r="BST259" s="610"/>
      <c r="BSU259" s="610"/>
      <c r="BSV259" s="610"/>
      <c r="BSW259" s="610"/>
      <c r="BSX259" s="610"/>
      <c r="BSY259" s="610"/>
      <c r="BSZ259" s="610"/>
      <c r="BTA259" s="610"/>
      <c r="BTB259" s="610"/>
      <c r="BTC259" s="610"/>
      <c r="BTD259" s="610"/>
      <c r="BTE259" s="610"/>
      <c r="BTF259" s="610"/>
      <c r="BTG259" s="610"/>
      <c r="BTH259" s="610"/>
      <c r="BTI259" s="610"/>
    </row>
    <row r="260" spans="1:1881" s="485" customFormat="1" ht="30.75" customHeight="1" thickBot="1" x14ac:dyDescent="0.3">
      <c r="A260" s="567">
        <v>960</v>
      </c>
      <c r="B260" s="920" t="s">
        <v>1095</v>
      </c>
      <c r="C260" s="921"/>
      <c r="D260" s="924"/>
      <c r="E260" s="925"/>
      <c r="F260" s="847" t="str">
        <f>IF(ISBLANK($D260),"&lt;&lt;&lt;&lt;&lt;&lt;&lt;&lt;&lt;&lt;&lt;&lt;&lt;&lt;&lt;&lt;&lt;&lt;&lt;","")</f>
        <v>&lt;&lt;&lt;&lt;&lt;&lt;&lt;&lt;&lt;&lt;&lt;&lt;&lt;&lt;&lt;&lt;&lt;&lt;&lt;</v>
      </c>
      <c r="G260" s="847" t="str">
        <f>IF(ISBLANK($D260),"Cell D260 must be completed.","")</f>
        <v>Cell D260 must be completed.</v>
      </c>
      <c r="H260" s="487"/>
      <c r="I260" s="405"/>
      <c r="J260" s="486"/>
      <c r="K260" s="486"/>
      <c r="L260" s="486"/>
      <c r="M260" s="486"/>
      <c r="N260"/>
      <c r="O260" s="486"/>
      <c r="P260" s="486"/>
      <c r="Q260" s="486"/>
      <c r="R260" s="486"/>
      <c r="S260" s="486"/>
      <c r="T260" s="486"/>
      <c r="U260" s="486"/>
      <c r="V260" s="486"/>
      <c r="W260" s="486"/>
      <c r="X260" s="486"/>
      <c r="Y260" s="486"/>
      <c r="Z260" s="486"/>
      <c r="AA260" s="486"/>
      <c r="AB260" s="486"/>
      <c r="AC260" s="486"/>
      <c r="AD260" s="486"/>
      <c r="AE260" s="486"/>
      <c r="AF260" s="486"/>
      <c r="AG260" s="486"/>
      <c r="AH260" s="486"/>
      <c r="AI260" s="486"/>
      <c r="AJ260" s="486"/>
      <c r="AK260" s="486"/>
      <c r="AL260" s="486"/>
      <c r="AM260" s="486"/>
      <c r="AN260" s="486"/>
      <c r="AO260" s="486"/>
      <c r="AP260" s="486"/>
      <c r="AQ260" s="486"/>
      <c r="AR260" s="486"/>
      <c r="AS260" s="486"/>
      <c r="AT260" s="486"/>
      <c r="AU260" s="486"/>
      <c r="AV260" s="486"/>
      <c r="AW260" s="486"/>
      <c r="AX260" s="486"/>
      <c r="AY260" s="486"/>
      <c r="AZ260" s="486"/>
      <c r="BA260" s="486"/>
      <c r="BB260" s="486"/>
      <c r="BC260" s="486"/>
      <c r="BD260" s="486"/>
      <c r="BE260" s="486"/>
      <c r="BF260" s="486"/>
      <c r="BG260" s="486"/>
      <c r="BH260" s="486"/>
      <c r="BI260" s="486"/>
      <c r="BJ260" s="486"/>
      <c r="BK260" s="486"/>
      <c r="BL260" s="486"/>
      <c r="BM260" s="486"/>
      <c r="BN260" s="486"/>
      <c r="BO260" s="486"/>
      <c r="BP260" s="486"/>
      <c r="BQ260" s="486"/>
      <c r="BR260" s="486"/>
      <c r="BS260" s="486"/>
      <c r="BT260" s="486"/>
      <c r="BU260" s="486"/>
      <c r="BV260" s="486"/>
      <c r="BW260" s="486"/>
      <c r="BX260" s="486"/>
      <c r="BY260" s="486"/>
      <c r="BZ260" s="486"/>
      <c r="CA260" s="486"/>
      <c r="CB260" s="486"/>
      <c r="CC260" s="486"/>
      <c r="CD260" s="486"/>
      <c r="CE260" s="486"/>
      <c r="CF260" s="486"/>
      <c r="CG260" s="486"/>
      <c r="CH260" s="486"/>
      <c r="CI260" s="486"/>
      <c r="CJ260" s="486"/>
      <c r="CK260" s="486"/>
      <c r="CL260" s="486"/>
      <c r="CM260" s="486"/>
      <c r="CN260" s="486"/>
      <c r="CO260" s="486"/>
      <c r="CP260" s="486"/>
      <c r="CQ260" s="486"/>
      <c r="CR260" s="486"/>
      <c r="CS260" s="486"/>
      <c r="CT260" s="486"/>
      <c r="CU260" s="486"/>
      <c r="CV260" s="486"/>
      <c r="CW260" s="486"/>
      <c r="CX260" s="486"/>
      <c r="CY260" s="486"/>
      <c r="CZ260" s="486"/>
      <c r="DA260" s="486"/>
      <c r="DB260" s="486"/>
      <c r="DC260" s="486"/>
      <c r="DD260" s="486"/>
      <c r="DE260" s="486"/>
      <c r="DF260" s="486"/>
      <c r="DG260" s="486"/>
      <c r="DH260" s="486"/>
      <c r="DI260" s="486"/>
      <c r="DJ260" s="486"/>
      <c r="DK260" s="486"/>
      <c r="DL260" s="486"/>
      <c r="DM260" s="486"/>
      <c r="DN260" s="486"/>
      <c r="DO260" s="486"/>
      <c r="DP260" s="486"/>
      <c r="DQ260" s="486"/>
      <c r="DR260" s="486"/>
      <c r="DS260" s="486"/>
      <c r="DT260" s="486"/>
      <c r="DU260" s="486"/>
      <c r="DV260" s="486"/>
      <c r="DW260" s="486"/>
      <c r="DX260" s="486"/>
      <c r="DY260" s="486"/>
      <c r="DZ260" s="486"/>
      <c r="EA260" s="486"/>
      <c r="EB260" s="486"/>
      <c r="EC260" s="486"/>
      <c r="ED260" s="486"/>
      <c r="EE260" s="486"/>
      <c r="EF260" s="486"/>
      <c r="EG260" s="486"/>
      <c r="EH260" s="486"/>
      <c r="EI260" s="486"/>
      <c r="EJ260" s="486"/>
      <c r="EK260" s="486"/>
      <c r="EL260" s="486"/>
      <c r="EM260" s="486"/>
      <c r="EN260" s="486"/>
      <c r="EO260" s="486"/>
      <c r="EP260" s="486"/>
      <c r="EQ260" s="486"/>
      <c r="ER260" s="486"/>
      <c r="ES260" s="486"/>
      <c r="ET260" s="486"/>
      <c r="EU260" s="486"/>
      <c r="EV260" s="486"/>
      <c r="EW260" s="486"/>
      <c r="EX260" s="486"/>
      <c r="EY260" s="486"/>
      <c r="EZ260" s="486"/>
      <c r="FA260" s="486"/>
      <c r="FB260" s="486"/>
      <c r="FC260" s="486"/>
      <c r="FD260" s="486"/>
      <c r="FE260" s="486"/>
      <c r="FF260" s="486"/>
      <c r="FG260" s="486"/>
      <c r="FH260" s="486"/>
      <c r="FI260" s="486"/>
      <c r="FJ260" s="486"/>
      <c r="FK260" s="486"/>
      <c r="FL260" s="486"/>
      <c r="FM260" s="486"/>
      <c r="FN260" s="486"/>
      <c r="FO260" s="486"/>
      <c r="FP260" s="486"/>
      <c r="FQ260" s="486"/>
      <c r="FR260" s="486"/>
      <c r="FS260" s="486"/>
      <c r="FT260" s="486"/>
      <c r="FU260" s="486"/>
      <c r="FV260" s="486"/>
      <c r="FW260" s="486"/>
      <c r="FX260" s="486"/>
      <c r="FY260" s="486"/>
      <c r="FZ260" s="486"/>
      <c r="GA260" s="486"/>
      <c r="GB260" s="486"/>
      <c r="GC260" s="486"/>
      <c r="GD260" s="486"/>
      <c r="GE260" s="486"/>
      <c r="GF260" s="486"/>
      <c r="GG260" s="486"/>
      <c r="GH260" s="486"/>
      <c r="GI260" s="486"/>
      <c r="GJ260" s="486"/>
      <c r="GK260" s="486"/>
      <c r="GL260" s="486"/>
      <c r="GM260" s="486"/>
      <c r="GN260" s="486"/>
      <c r="GO260" s="486"/>
      <c r="GP260" s="486"/>
      <c r="GQ260" s="486"/>
      <c r="GR260" s="486"/>
      <c r="GS260" s="486"/>
      <c r="GT260" s="486"/>
      <c r="GU260" s="486"/>
      <c r="GV260" s="486"/>
      <c r="GW260" s="486"/>
      <c r="GX260" s="486"/>
      <c r="GY260" s="486"/>
      <c r="GZ260" s="486"/>
      <c r="HA260" s="486"/>
      <c r="HB260" s="486"/>
      <c r="HC260" s="486"/>
      <c r="HD260" s="486"/>
      <c r="HE260" s="486"/>
      <c r="HF260" s="486"/>
      <c r="HG260" s="486"/>
      <c r="HH260" s="486"/>
      <c r="HI260" s="486"/>
      <c r="HJ260" s="486"/>
      <c r="HK260" s="486"/>
      <c r="HL260" s="486"/>
      <c r="HM260" s="486"/>
      <c r="HN260" s="486"/>
      <c r="HO260" s="486"/>
      <c r="HP260" s="486"/>
      <c r="HQ260" s="486"/>
      <c r="HR260" s="486"/>
      <c r="HS260" s="486"/>
      <c r="HT260" s="486"/>
      <c r="HU260" s="486"/>
      <c r="HV260" s="486"/>
      <c r="HW260" s="486"/>
      <c r="HX260" s="486"/>
      <c r="HY260" s="486"/>
      <c r="HZ260" s="486"/>
      <c r="IA260" s="486"/>
      <c r="IB260" s="486"/>
      <c r="IC260" s="486"/>
      <c r="ID260" s="486"/>
      <c r="IE260" s="486"/>
      <c r="IF260" s="486"/>
      <c r="IG260" s="486"/>
      <c r="IH260" s="486"/>
      <c r="II260" s="486"/>
      <c r="IJ260" s="486"/>
      <c r="IK260" s="486"/>
      <c r="IL260" s="486"/>
      <c r="IM260" s="486"/>
      <c r="IN260" s="486"/>
      <c r="IO260" s="486"/>
      <c r="IP260" s="486"/>
      <c r="IQ260" s="486"/>
      <c r="IR260" s="486"/>
      <c r="IS260" s="486"/>
      <c r="IT260" s="486"/>
      <c r="IU260" s="486"/>
      <c r="IV260" s="486"/>
      <c r="IW260" s="486"/>
      <c r="IX260" s="486"/>
      <c r="IY260" s="486"/>
      <c r="IZ260" s="486"/>
      <c r="JA260" s="486"/>
      <c r="JB260" s="486"/>
      <c r="JC260" s="486"/>
      <c r="JD260" s="486"/>
      <c r="JE260" s="486"/>
      <c r="JF260" s="486"/>
      <c r="JG260" s="486"/>
      <c r="JH260" s="486"/>
      <c r="JI260" s="486"/>
      <c r="JJ260" s="486"/>
      <c r="JK260" s="486"/>
      <c r="JL260" s="486"/>
      <c r="JM260" s="486"/>
      <c r="JN260" s="486"/>
      <c r="JO260" s="486"/>
      <c r="JP260" s="486"/>
      <c r="JQ260" s="486"/>
      <c r="JR260" s="486"/>
      <c r="JS260" s="486"/>
      <c r="JT260" s="486"/>
      <c r="JU260" s="486"/>
      <c r="JV260" s="486"/>
      <c r="JW260" s="486"/>
      <c r="JX260" s="486"/>
      <c r="JY260" s="486"/>
      <c r="JZ260" s="486"/>
      <c r="KA260" s="486"/>
      <c r="KB260" s="486"/>
      <c r="KC260" s="486"/>
      <c r="KD260" s="486"/>
      <c r="KE260" s="486"/>
      <c r="KF260" s="486"/>
      <c r="KG260" s="486"/>
      <c r="KH260" s="486"/>
      <c r="KI260" s="486"/>
      <c r="KJ260" s="486"/>
      <c r="KK260" s="486"/>
      <c r="KL260" s="486"/>
      <c r="KM260" s="486"/>
      <c r="KN260" s="486"/>
      <c r="KO260" s="486"/>
      <c r="KP260" s="486"/>
      <c r="KQ260" s="486"/>
      <c r="KR260" s="486"/>
      <c r="KS260" s="486"/>
      <c r="KT260" s="486"/>
      <c r="KU260" s="486"/>
      <c r="KV260" s="486"/>
      <c r="KW260" s="486"/>
      <c r="KX260" s="486"/>
      <c r="KY260" s="486"/>
      <c r="KZ260" s="486"/>
      <c r="LA260" s="486"/>
      <c r="LB260" s="486"/>
      <c r="LC260" s="486"/>
      <c r="LD260" s="486"/>
      <c r="LE260" s="486"/>
      <c r="LF260" s="486"/>
      <c r="LG260" s="486"/>
      <c r="LH260" s="486"/>
      <c r="LI260" s="486"/>
      <c r="LJ260" s="486"/>
      <c r="LK260" s="486"/>
      <c r="LL260" s="486"/>
      <c r="LM260" s="486"/>
      <c r="LN260" s="486"/>
      <c r="LO260" s="486"/>
      <c r="LP260" s="486"/>
      <c r="LQ260" s="486"/>
      <c r="LR260" s="486"/>
      <c r="LS260" s="486"/>
      <c r="LT260" s="486"/>
      <c r="LU260" s="486"/>
      <c r="LV260" s="486"/>
      <c r="LW260" s="486"/>
      <c r="LX260" s="486"/>
      <c r="LY260" s="486"/>
      <c r="LZ260" s="486"/>
      <c r="MA260" s="486"/>
      <c r="MB260" s="486"/>
      <c r="MC260" s="486"/>
      <c r="MD260" s="486"/>
      <c r="ME260" s="486"/>
      <c r="MF260" s="486"/>
      <c r="MG260" s="486"/>
      <c r="MH260" s="486"/>
      <c r="MI260" s="486"/>
      <c r="MJ260" s="486"/>
      <c r="MK260" s="486"/>
      <c r="ML260" s="486"/>
      <c r="MM260" s="486"/>
      <c r="MN260" s="486"/>
      <c r="MO260" s="486"/>
      <c r="MP260" s="486"/>
      <c r="MQ260" s="486"/>
      <c r="MR260" s="486"/>
      <c r="MS260" s="486"/>
      <c r="MT260" s="486"/>
      <c r="MU260" s="486"/>
      <c r="MV260" s="486"/>
      <c r="MW260" s="486"/>
      <c r="MX260" s="486"/>
      <c r="MY260" s="486"/>
      <c r="MZ260" s="486"/>
      <c r="NA260" s="486"/>
      <c r="NB260" s="486"/>
      <c r="NC260" s="486"/>
      <c r="ND260" s="486"/>
      <c r="NE260" s="486"/>
      <c r="NF260" s="486"/>
      <c r="NG260" s="486"/>
      <c r="NH260" s="486"/>
      <c r="NI260" s="486"/>
      <c r="NJ260" s="486"/>
      <c r="NK260" s="486"/>
      <c r="NL260" s="486"/>
      <c r="NM260" s="486"/>
      <c r="NN260" s="486"/>
      <c r="NO260" s="486"/>
      <c r="NP260" s="486"/>
      <c r="NQ260" s="486"/>
      <c r="NR260" s="486"/>
      <c r="NS260" s="486"/>
      <c r="NT260" s="486"/>
      <c r="NU260" s="486"/>
      <c r="NV260" s="486"/>
      <c r="NW260" s="486"/>
      <c r="NX260" s="486"/>
      <c r="NY260" s="486"/>
      <c r="NZ260" s="486"/>
      <c r="OA260" s="486"/>
      <c r="OB260" s="486"/>
      <c r="OC260" s="486"/>
      <c r="OD260" s="486"/>
      <c r="OE260" s="486"/>
      <c r="OF260" s="486"/>
      <c r="OG260" s="486"/>
      <c r="OH260" s="486"/>
      <c r="OI260" s="486"/>
      <c r="OJ260" s="486"/>
      <c r="OK260" s="486"/>
      <c r="OL260" s="486"/>
      <c r="OM260" s="486"/>
      <c r="ON260" s="486"/>
      <c r="OO260" s="486"/>
      <c r="OP260" s="486"/>
      <c r="OQ260" s="486"/>
      <c r="OR260" s="486"/>
      <c r="OS260" s="486"/>
      <c r="OT260" s="486"/>
      <c r="OU260" s="486"/>
      <c r="OV260" s="486"/>
      <c r="OW260" s="486"/>
      <c r="OX260" s="486"/>
      <c r="OY260" s="486"/>
      <c r="OZ260" s="486"/>
      <c r="PA260" s="486"/>
      <c r="PB260" s="486"/>
      <c r="PC260" s="486"/>
      <c r="PD260" s="486"/>
      <c r="PE260" s="486"/>
      <c r="PF260" s="486"/>
      <c r="PG260" s="486"/>
      <c r="PH260" s="486"/>
      <c r="PI260" s="486"/>
      <c r="PJ260" s="486"/>
      <c r="PK260" s="486"/>
      <c r="PL260" s="486"/>
      <c r="PM260" s="486"/>
      <c r="PN260" s="486"/>
      <c r="PO260" s="486"/>
      <c r="PP260" s="486"/>
      <c r="PQ260" s="486"/>
      <c r="PR260" s="486"/>
      <c r="PS260" s="486"/>
      <c r="PT260" s="486"/>
      <c r="PU260" s="486"/>
      <c r="PV260" s="486"/>
      <c r="PW260" s="486"/>
      <c r="PX260" s="486"/>
      <c r="PY260" s="486"/>
      <c r="PZ260" s="486"/>
      <c r="QA260" s="486"/>
      <c r="QB260" s="486"/>
      <c r="QC260" s="486"/>
      <c r="QD260" s="486"/>
      <c r="QE260" s="486"/>
      <c r="QF260" s="486"/>
      <c r="QG260" s="486"/>
      <c r="QH260" s="486"/>
      <c r="QI260" s="486"/>
      <c r="QJ260" s="486"/>
      <c r="QK260" s="486"/>
      <c r="QL260" s="486"/>
      <c r="QM260" s="486"/>
      <c r="QN260" s="486"/>
      <c r="QO260" s="486"/>
      <c r="QP260" s="486"/>
      <c r="QQ260" s="486"/>
      <c r="QR260" s="486"/>
      <c r="QS260" s="486"/>
      <c r="QT260" s="486"/>
      <c r="QU260" s="486"/>
      <c r="QV260" s="486"/>
      <c r="QW260" s="486"/>
      <c r="QX260" s="486"/>
      <c r="QY260" s="486"/>
      <c r="QZ260" s="486"/>
      <c r="RA260" s="486"/>
      <c r="RB260" s="486"/>
      <c r="RC260" s="486"/>
      <c r="RD260" s="486"/>
      <c r="RE260" s="486"/>
      <c r="RF260" s="486"/>
      <c r="RG260" s="486"/>
      <c r="RH260" s="486"/>
      <c r="RI260" s="486"/>
      <c r="RJ260" s="486"/>
      <c r="RK260" s="486"/>
      <c r="RL260" s="486"/>
      <c r="RM260" s="486"/>
      <c r="RN260" s="486"/>
      <c r="RO260" s="486"/>
      <c r="RP260" s="486"/>
      <c r="RQ260" s="486"/>
      <c r="RR260" s="486"/>
      <c r="RS260" s="486"/>
      <c r="RT260" s="486"/>
      <c r="RU260" s="486"/>
      <c r="RV260" s="486"/>
      <c r="RW260" s="486"/>
      <c r="RX260" s="486"/>
      <c r="RY260" s="486"/>
      <c r="RZ260" s="486"/>
      <c r="SA260" s="486"/>
      <c r="SB260" s="486"/>
      <c r="SC260" s="486"/>
      <c r="SD260" s="486"/>
      <c r="SE260" s="486"/>
      <c r="SF260" s="486"/>
      <c r="SG260" s="486"/>
      <c r="SH260" s="486"/>
      <c r="SI260" s="486"/>
      <c r="SJ260" s="486"/>
      <c r="SK260" s="486"/>
      <c r="SL260" s="486"/>
      <c r="SM260" s="486"/>
      <c r="SN260" s="486"/>
      <c r="SO260" s="486"/>
      <c r="SP260" s="486"/>
      <c r="SQ260" s="486"/>
      <c r="SR260" s="486"/>
      <c r="SS260" s="486"/>
      <c r="ST260" s="486"/>
      <c r="SU260" s="486"/>
      <c r="SV260" s="486"/>
      <c r="SW260" s="486"/>
      <c r="SX260" s="486"/>
      <c r="SY260" s="486"/>
      <c r="SZ260" s="486"/>
      <c r="TA260" s="486"/>
      <c r="TB260" s="486"/>
      <c r="TC260" s="486"/>
      <c r="TD260" s="486"/>
      <c r="TE260" s="486"/>
      <c r="TF260" s="486"/>
      <c r="TG260" s="486"/>
      <c r="TH260" s="486"/>
      <c r="TI260" s="486"/>
      <c r="TJ260" s="486"/>
      <c r="TK260" s="486"/>
      <c r="TL260" s="486"/>
      <c r="TM260" s="486"/>
      <c r="TN260" s="486"/>
      <c r="TO260" s="486"/>
      <c r="TP260" s="486"/>
      <c r="TQ260" s="486"/>
      <c r="TR260" s="486"/>
      <c r="TS260" s="486"/>
      <c r="TT260" s="486"/>
      <c r="TU260" s="486"/>
      <c r="TV260" s="486"/>
      <c r="TW260" s="486"/>
      <c r="TX260" s="486"/>
      <c r="TY260" s="486"/>
      <c r="TZ260" s="486"/>
      <c r="UA260" s="486"/>
      <c r="UB260" s="486"/>
      <c r="UC260" s="486"/>
      <c r="UD260" s="486"/>
      <c r="UE260" s="486"/>
      <c r="UF260" s="486"/>
      <c r="UG260" s="486"/>
      <c r="UH260" s="486"/>
      <c r="UI260" s="486"/>
      <c r="UJ260" s="486"/>
      <c r="UK260" s="486"/>
      <c r="UL260" s="486"/>
      <c r="UM260" s="486"/>
      <c r="UN260" s="486"/>
      <c r="UO260" s="486"/>
      <c r="UP260" s="486"/>
      <c r="UQ260" s="486"/>
      <c r="UR260" s="486"/>
      <c r="US260" s="486"/>
      <c r="UT260" s="486"/>
      <c r="UU260" s="486"/>
      <c r="UV260" s="486"/>
      <c r="UW260" s="486"/>
      <c r="UX260" s="486"/>
      <c r="UY260" s="486"/>
      <c r="UZ260" s="486"/>
      <c r="VA260" s="486"/>
      <c r="VB260" s="486"/>
      <c r="VC260" s="486"/>
      <c r="VD260" s="486"/>
      <c r="VE260" s="486"/>
      <c r="VF260" s="486"/>
      <c r="VG260" s="486"/>
      <c r="VH260" s="486"/>
      <c r="VI260" s="486"/>
      <c r="VJ260" s="486"/>
      <c r="VK260" s="486"/>
      <c r="VL260" s="486"/>
      <c r="VM260" s="486"/>
      <c r="VN260" s="486"/>
      <c r="VO260" s="486"/>
      <c r="VP260" s="486"/>
      <c r="VQ260" s="486"/>
      <c r="VR260" s="486"/>
      <c r="VS260" s="486"/>
      <c r="VT260" s="486"/>
      <c r="VU260" s="486"/>
      <c r="VV260" s="486"/>
      <c r="VW260" s="486"/>
      <c r="VX260" s="486"/>
      <c r="VY260" s="486"/>
      <c r="VZ260" s="486"/>
      <c r="WA260" s="486"/>
      <c r="WB260" s="486"/>
      <c r="WC260" s="486"/>
      <c r="WD260" s="486"/>
      <c r="WE260" s="486"/>
      <c r="WF260" s="486"/>
      <c r="WG260" s="486"/>
      <c r="WH260" s="486"/>
      <c r="WI260" s="486"/>
      <c r="WJ260" s="486"/>
      <c r="WK260" s="486"/>
      <c r="WL260" s="486"/>
      <c r="WM260" s="486"/>
      <c r="WN260" s="486"/>
      <c r="WO260" s="486"/>
      <c r="WP260" s="486"/>
      <c r="WQ260" s="486"/>
      <c r="WR260" s="486"/>
      <c r="WS260" s="486"/>
      <c r="WT260" s="486"/>
      <c r="WU260" s="486"/>
      <c r="WV260" s="486"/>
      <c r="WW260" s="486"/>
      <c r="WX260" s="486"/>
      <c r="WY260" s="486"/>
      <c r="WZ260" s="486"/>
      <c r="XA260" s="486"/>
      <c r="XB260" s="486"/>
      <c r="XC260" s="486"/>
      <c r="XD260" s="486"/>
      <c r="XE260" s="486"/>
      <c r="XF260" s="486"/>
      <c r="XG260" s="486"/>
      <c r="XH260" s="486"/>
      <c r="XI260" s="486"/>
      <c r="XJ260" s="486"/>
      <c r="XK260" s="486"/>
      <c r="XL260" s="486"/>
      <c r="XM260" s="486"/>
      <c r="XN260" s="486"/>
      <c r="XO260" s="486"/>
      <c r="XP260" s="486"/>
      <c r="XQ260" s="486"/>
      <c r="XR260" s="486"/>
      <c r="XS260" s="486"/>
      <c r="XT260" s="486"/>
      <c r="XU260" s="486"/>
      <c r="XV260" s="486"/>
      <c r="XW260" s="486"/>
      <c r="XX260" s="486"/>
      <c r="XY260" s="486"/>
      <c r="XZ260" s="486"/>
      <c r="YA260" s="486"/>
      <c r="YB260" s="486"/>
      <c r="YC260" s="486"/>
      <c r="YD260" s="486"/>
      <c r="YE260" s="486"/>
      <c r="YF260" s="486"/>
      <c r="YG260" s="486"/>
      <c r="YH260" s="486"/>
      <c r="YI260" s="486"/>
      <c r="YJ260" s="486"/>
      <c r="YK260" s="486"/>
      <c r="YL260" s="486"/>
      <c r="YM260" s="486"/>
      <c r="YN260" s="486"/>
      <c r="YO260" s="486"/>
      <c r="YP260" s="486"/>
      <c r="YQ260" s="486"/>
      <c r="YR260" s="486"/>
      <c r="YS260" s="486"/>
      <c r="YT260" s="486"/>
      <c r="YU260" s="486"/>
      <c r="YV260" s="486"/>
      <c r="YW260" s="486"/>
      <c r="YX260" s="486"/>
      <c r="YY260" s="486"/>
      <c r="YZ260" s="486"/>
      <c r="ZA260" s="486"/>
      <c r="ZB260" s="486"/>
      <c r="ZC260" s="486"/>
      <c r="ZD260" s="486"/>
      <c r="ZE260" s="486"/>
      <c r="ZF260" s="486"/>
      <c r="ZG260" s="486"/>
      <c r="ZH260" s="486"/>
      <c r="ZI260" s="486"/>
      <c r="ZJ260" s="486"/>
      <c r="ZK260" s="486"/>
      <c r="ZL260" s="486"/>
      <c r="ZM260" s="486"/>
      <c r="ZN260" s="486"/>
      <c r="ZO260" s="486"/>
      <c r="ZP260" s="486"/>
      <c r="ZQ260" s="486"/>
      <c r="ZR260" s="486"/>
      <c r="ZS260" s="486"/>
      <c r="ZT260" s="486"/>
      <c r="ZU260" s="486"/>
      <c r="ZV260" s="486"/>
      <c r="ZW260" s="486"/>
      <c r="ZX260" s="486"/>
      <c r="ZY260" s="486"/>
      <c r="ZZ260" s="486"/>
      <c r="AAA260" s="486"/>
      <c r="AAB260" s="486"/>
      <c r="AAC260" s="486"/>
      <c r="AAD260" s="486"/>
      <c r="AAE260" s="486"/>
      <c r="AAF260" s="486"/>
      <c r="AAG260" s="486"/>
      <c r="AAH260" s="486"/>
      <c r="AAI260" s="486"/>
      <c r="AAJ260" s="486"/>
      <c r="AAK260" s="486"/>
      <c r="AAL260" s="486"/>
      <c r="AAM260" s="486"/>
      <c r="AAN260" s="486"/>
      <c r="AAO260" s="486"/>
      <c r="AAP260" s="486"/>
      <c r="AAQ260" s="486"/>
      <c r="AAR260" s="486"/>
      <c r="AAS260" s="486"/>
      <c r="AAT260" s="486"/>
      <c r="AAU260" s="486"/>
      <c r="AAV260" s="486"/>
      <c r="AAW260" s="486"/>
      <c r="AAX260" s="486"/>
      <c r="AAY260" s="486"/>
      <c r="AAZ260" s="486"/>
      <c r="ABA260" s="486"/>
      <c r="ABB260" s="486"/>
      <c r="ABC260" s="486"/>
      <c r="ABD260" s="486"/>
      <c r="ABE260" s="486"/>
      <c r="ABF260" s="486"/>
      <c r="ABG260" s="486"/>
      <c r="ABH260" s="486"/>
      <c r="ABI260" s="486"/>
      <c r="ABJ260" s="486"/>
      <c r="ABK260" s="486"/>
      <c r="ABL260" s="486"/>
      <c r="ABM260" s="486"/>
      <c r="ABN260" s="486"/>
      <c r="ABO260" s="486"/>
      <c r="ABP260" s="486"/>
      <c r="ABQ260" s="486"/>
      <c r="ABR260" s="486"/>
      <c r="ABS260" s="486"/>
      <c r="ABT260" s="486"/>
      <c r="ABU260" s="486"/>
      <c r="ABV260" s="486"/>
      <c r="ABW260" s="486"/>
      <c r="ABX260" s="486"/>
      <c r="ABY260" s="486"/>
      <c r="ABZ260" s="486"/>
      <c r="ACA260" s="486"/>
      <c r="ACB260" s="486"/>
      <c r="ACC260" s="486"/>
      <c r="ACD260" s="486"/>
      <c r="ACE260" s="486"/>
      <c r="ACF260" s="486"/>
      <c r="ACG260" s="486"/>
      <c r="ACH260" s="486"/>
      <c r="ACI260" s="486"/>
      <c r="ACJ260" s="486"/>
      <c r="ACK260" s="486"/>
      <c r="ACL260" s="486"/>
      <c r="ACM260" s="486"/>
      <c r="ACN260" s="486"/>
      <c r="ACO260" s="486"/>
      <c r="ACP260" s="486"/>
      <c r="ACQ260" s="486"/>
      <c r="ACR260" s="486"/>
      <c r="ACS260" s="486"/>
      <c r="ACT260" s="486"/>
      <c r="ACU260" s="486"/>
      <c r="ACV260" s="486"/>
      <c r="ACW260" s="486"/>
      <c r="ACX260" s="486"/>
      <c r="ACY260" s="486"/>
      <c r="ACZ260" s="486"/>
      <c r="ADA260" s="486"/>
      <c r="ADB260" s="486"/>
      <c r="ADC260" s="486"/>
      <c r="ADD260" s="486"/>
      <c r="ADE260" s="486"/>
      <c r="ADF260" s="486"/>
      <c r="ADG260" s="486"/>
      <c r="ADH260" s="486"/>
      <c r="ADI260" s="486"/>
      <c r="ADJ260" s="486"/>
      <c r="ADK260" s="486"/>
      <c r="ADL260" s="486"/>
      <c r="ADM260" s="486"/>
      <c r="ADN260" s="486"/>
      <c r="ADO260" s="486"/>
      <c r="ADP260" s="486"/>
      <c r="ADQ260" s="486"/>
      <c r="ADR260" s="486"/>
      <c r="ADS260" s="486"/>
      <c r="ADT260" s="486"/>
      <c r="ADU260" s="486"/>
      <c r="ADV260" s="486"/>
      <c r="ADW260" s="486"/>
      <c r="ADX260" s="486"/>
      <c r="ADY260" s="486"/>
      <c r="ADZ260" s="486"/>
      <c r="AEA260" s="486"/>
      <c r="AEB260" s="486"/>
      <c r="AEC260" s="486"/>
      <c r="AED260" s="486"/>
      <c r="AEE260" s="486"/>
      <c r="AEF260" s="486"/>
      <c r="AEG260" s="486"/>
      <c r="AEH260" s="486"/>
      <c r="AEI260" s="486"/>
      <c r="AEJ260" s="486"/>
      <c r="AEK260" s="486"/>
      <c r="AEL260" s="486"/>
      <c r="AEM260" s="486"/>
      <c r="AEN260" s="486"/>
      <c r="AEO260" s="486"/>
      <c r="AEP260" s="486"/>
      <c r="AEQ260" s="486"/>
      <c r="AER260" s="486"/>
      <c r="AES260" s="486"/>
      <c r="AET260" s="486"/>
      <c r="AEU260" s="486"/>
      <c r="AEV260" s="486"/>
      <c r="AEW260" s="486"/>
      <c r="AEX260" s="486"/>
      <c r="AEY260" s="486"/>
      <c r="AEZ260" s="486"/>
      <c r="AFA260" s="486"/>
      <c r="AFB260" s="486"/>
      <c r="AFC260" s="486"/>
      <c r="AFD260" s="486"/>
      <c r="AFE260" s="486"/>
      <c r="AFF260" s="486"/>
      <c r="AFG260" s="486"/>
      <c r="AFH260" s="486"/>
      <c r="AFI260" s="486"/>
      <c r="AFJ260" s="486"/>
      <c r="AFK260" s="486"/>
      <c r="AFL260" s="486"/>
      <c r="AFM260" s="486"/>
      <c r="AFN260" s="486"/>
      <c r="AFO260" s="486"/>
      <c r="AFP260" s="486"/>
      <c r="AFQ260" s="486"/>
      <c r="AFR260" s="486"/>
      <c r="AFS260" s="486"/>
      <c r="AFT260" s="486"/>
      <c r="AFU260" s="486"/>
      <c r="AFV260" s="486"/>
      <c r="AFW260" s="486"/>
      <c r="AFX260" s="486"/>
      <c r="AFY260" s="486"/>
      <c r="AFZ260" s="486"/>
      <c r="AGA260" s="486"/>
      <c r="AGB260" s="486"/>
      <c r="AGC260" s="486"/>
      <c r="AGD260" s="486"/>
      <c r="AGE260" s="486"/>
      <c r="AGF260" s="486"/>
      <c r="AGG260" s="486"/>
      <c r="AGH260" s="486"/>
      <c r="AGI260" s="486"/>
      <c r="AGJ260" s="486"/>
      <c r="AGK260" s="486"/>
      <c r="AGL260" s="486"/>
      <c r="AGM260" s="486"/>
      <c r="AGN260" s="486"/>
      <c r="AGO260" s="486"/>
      <c r="AGP260" s="486"/>
      <c r="AGQ260" s="486"/>
      <c r="AGR260" s="486"/>
      <c r="AGS260" s="486"/>
      <c r="AGT260" s="486"/>
      <c r="AGU260" s="486"/>
      <c r="AGV260" s="486"/>
      <c r="AGW260" s="486"/>
      <c r="AGX260" s="486"/>
      <c r="AGY260" s="486"/>
      <c r="AGZ260" s="486"/>
      <c r="AHA260" s="486"/>
      <c r="AHB260" s="486"/>
      <c r="AHC260" s="486"/>
      <c r="AHD260" s="486"/>
      <c r="AHE260" s="486"/>
      <c r="AHF260" s="486"/>
      <c r="AHG260" s="486"/>
      <c r="AHH260" s="486"/>
      <c r="AHI260" s="486"/>
      <c r="AHJ260" s="486"/>
      <c r="AHK260" s="486"/>
      <c r="AHL260" s="486"/>
      <c r="AHM260" s="486"/>
      <c r="AHN260" s="486"/>
      <c r="AHO260" s="486"/>
      <c r="AHP260" s="486"/>
      <c r="AHQ260" s="486"/>
      <c r="AHR260" s="486"/>
      <c r="AHS260" s="486"/>
      <c r="AHT260" s="486"/>
      <c r="AHU260" s="486"/>
      <c r="AHV260" s="486"/>
      <c r="AHW260" s="486"/>
      <c r="AHX260" s="486"/>
      <c r="AHY260" s="486"/>
      <c r="AHZ260" s="486"/>
      <c r="AIA260" s="486"/>
      <c r="AIB260" s="486"/>
      <c r="AIC260" s="486"/>
      <c r="AID260" s="486"/>
      <c r="AIE260" s="486"/>
      <c r="AIF260" s="486"/>
      <c r="AIG260" s="486"/>
      <c r="AIH260" s="486"/>
      <c r="AII260" s="486"/>
      <c r="AIJ260" s="486"/>
      <c r="AIK260" s="486"/>
      <c r="AIL260" s="486"/>
      <c r="AIM260" s="486"/>
      <c r="AIN260" s="486"/>
      <c r="AIO260" s="486"/>
      <c r="AIP260" s="486"/>
      <c r="AIQ260" s="486"/>
      <c r="AIR260" s="486"/>
      <c r="AIS260" s="486"/>
      <c r="AIT260" s="486"/>
      <c r="AIU260" s="486"/>
      <c r="AIV260" s="486"/>
      <c r="AIW260" s="486"/>
      <c r="AIX260" s="486"/>
      <c r="AIY260" s="486"/>
      <c r="AIZ260" s="486"/>
      <c r="AJA260" s="486"/>
      <c r="AJB260" s="486"/>
      <c r="AJC260" s="486"/>
      <c r="AJD260" s="486"/>
      <c r="AJE260" s="486"/>
      <c r="AJF260" s="486"/>
      <c r="AJG260" s="486"/>
      <c r="AJH260" s="486"/>
      <c r="AJI260" s="486"/>
      <c r="AJJ260" s="486"/>
      <c r="AJK260" s="486"/>
      <c r="AJL260" s="486"/>
      <c r="AJM260" s="486"/>
      <c r="AJN260" s="486"/>
      <c r="AJO260" s="486"/>
      <c r="AJP260" s="486"/>
      <c r="AJQ260" s="486"/>
      <c r="AJR260" s="486"/>
      <c r="AJS260" s="486"/>
      <c r="AJT260" s="486"/>
      <c r="AJU260" s="486"/>
      <c r="AJV260" s="486"/>
      <c r="AJW260" s="486"/>
      <c r="AJX260" s="486"/>
      <c r="AJY260" s="486"/>
      <c r="AJZ260" s="486"/>
      <c r="AKA260" s="486"/>
      <c r="AKB260" s="486"/>
      <c r="AKC260" s="486"/>
      <c r="AKD260" s="486"/>
      <c r="AKE260" s="486"/>
      <c r="AKF260" s="486"/>
      <c r="AKG260" s="486"/>
      <c r="AKH260" s="486"/>
      <c r="AKI260" s="486"/>
      <c r="AKJ260" s="486"/>
      <c r="AKK260" s="486"/>
      <c r="AKL260" s="486"/>
      <c r="AKM260" s="486"/>
      <c r="AKN260" s="486"/>
      <c r="AKO260" s="486"/>
      <c r="AKP260" s="486"/>
      <c r="AKQ260" s="486"/>
      <c r="AKR260" s="486"/>
      <c r="AKS260" s="486"/>
      <c r="AKT260" s="486"/>
      <c r="AKU260" s="486"/>
      <c r="AKV260" s="486"/>
      <c r="AKW260" s="486"/>
      <c r="AKX260" s="486"/>
      <c r="AKY260" s="486"/>
      <c r="AKZ260" s="486"/>
      <c r="ALA260" s="486"/>
      <c r="ALB260" s="486"/>
      <c r="ALC260" s="486"/>
      <c r="ALD260" s="486"/>
      <c r="ALE260" s="486"/>
      <c r="ALF260" s="486"/>
      <c r="ALG260" s="486"/>
      <c r="ALH260" s="486"/>
      <c r="ALI260" s="486"/>
      <c r="ALJ260" s="486"/>
      <c r="ALK260" s="486"/>
      <c r="ALL260" s="486"/>
      <c r="ALM260" s="486"/>
      <c r="ALN260" s="486"/>
      <c r="ALO260" s="486"/>
      <c r="ALP260" s="486"/>
      <c r="ALQ260" s="486"/>
      <c r="ALR260" s="486"/>
      <c r="ALS260" s="486"/>
      <c r="ALT260" s="486"/>
      <c r="ALU260" s="486"/>
      <c r="ALV260" s="486"/>
      <c r="ALW260" s="486"/>
      <c r="ALX260" s="486"/>
      <c r="ALY260" s="486"/>
      <c r="ALZ260" s="486"/>
      <c r="AMA260" s="486"/>
      <c r="AMB260" s="486"/>
      <c r="AMC260" s="486"/>
      <c r="AMD260" s="486"/>
      <c r="AME260" s="486"/>
      <c r="AMF260" s="486"/>
      <c r="AMG260" s="486"/>
      <c r="AMH260" s="486"/>
      <c r="AMI260" s="486"/>
      <c r="AMJ260" s="486"/>
      <c r="AMK260" s="486"/>
      <c r="AML260" s="486"/>
      <c r="AMM260" s="486"/>
      <c r="AMN260" s="486"/>
      <c r="AMO260" s="486"/>
      <c r="AMP260" s="486"/>
      <c r="AMQ260" s="486"/>
      <c r="AMR260" s="486"/>
      <c r="AMS260" s="486"/>
      <c r="AMT260" s="486"/>
      <c r="AMU260" s="486"/>
      <c r="AMV260" s="486"/>
      <c r="AMW260" s="486"/>
      <c r="AMX260" s="486"/>
      <c r="AMY260" s="486"/>
      <c r="AMZ260" s="486"/>
      <c r="ANA260" s="486"/>
      <c r="ANB260" s="486"/>
      <c r="ANC260" s="486"/>
      <c r="AND260" s="486"/>
      <c r="ANE260" s="486"/>
      <c r="ANF260" s="486"/>
      <c r="ANG260" s="486"/>
      <c r="ANH260" s="486"/>
      <c r="ANI260" s="486"/>
      <c r="ANJ260" s="486"/>
      <c r="ANK260" s="486"/>
      <c r="ANL260" s="486"/>
      <c r="ANM260" s="486"/>
      <c r="ANN260" s="486"/>
      <c r="ANO260" s="486"/>
      <c r="ANP260" s="486"/>
      <c r="ANQ260" s="486"/>
      <c r="ANR260" s="486"/>
      <c r="ANS260" s="486"/>
      <c r="ANT260" s="486"/>
      <c r="ANU260" s="486"/>
      <c r="ANV260" s="486"/>
      <c r="ANW260" s="486"/>
      <c r="ANX260" s="486"/>
      <c r="ANY260" s="486"/>
      <c r="ANZ260" s="486"/>
      <c r="AOA260" s="486"/>
      <c r="AOB260" s="486"/>
      <c r="AOC260" s="486"/>
      <c r="AOD260" s="486"/>
      <c r="AOE260" s="486"/>
      <c r="AOF260" s="486"/>
      <c r="AOG260" s="486"/>
      <c r="AOH260" s="486"/>
      <c r="AOI260" s="486"/>
      <c r="AOJ260" s="486"/>
      <c r="AOK260" s="486"/>
      <c r="AOL260" s="486"/>
      <c r="AOM260" s="486"/>
      <c r="AON260" s="486"/>
      <c r="AOO260" s="486"/>
      <c r="AOP260" s="486"/>
      <c r="AOQ260" s="486"/>
      <c r="AOR260" s="486"/>
      <c r="AOS260" s="486"/>
      <c r="AOT260" s="486"/>
      <c r="AOU260" s="486"/>
      <c r="AOV260" s="486"/>
      <c r="AOW260" s="486"/>
      <c r="AOX260" s="486"/>
      <c r="AOY260" s="486"/>
      <c r="AOZ260" s="486"/>
      <c r="APA260" s="486"/>
      <c r="APB260" s="486"/>
      <c r="APC260" s="486"/>
      <c r="APD260" s="486"/>
      <c r="APE260" s="486"/>
      <c r="APF260" s="486"/>
      <c r="APG260" s="486"/>
      <c r="APH260" s="486"/>
      <c r="API260" s="486"/>
      <c r="APJ260" s="486"/>
      <c r="APK260" s="486"/>
      <c r="APL260" s="486"/>
      <c r="APM260" s="486"/>
      <c r="APN260" s="486"/>
      <c r="APO260" s="486"/>
      <c r="APP260" s="486"/>
      <c r="APQ260" s="486"/>
      <c r="APR260" s="486"/>
      <c r="APS260" s="486"/>
      <c r="APT260" s="486"/>
      <c r="APU260" s="486"/>
      <c r="APV260" s="486"/>
      <c r="APW260" s="486"/>
      <c r="APX260" s="486"/>
      <c r="APY260" s="486"/>
      <c r="APZ260" s="486"/>
      <c r="AQA260" s="486"/>
      <c r="AQB260" s="486"/>
      <c r="AQC260" s="486"/>
      <c r="AQD260" s="486"/>
      <c r="AQE260" s="486"/>
      <c r="AQF260" s="486"/>
      <c r="AQG260" s="486"/>
      <c r="AQH260" s="486"/>
      <c r="AQI260" s="486"/>
      <c r="AQJ260" s="486"/>
      <c r="AQK260" s="486"/>
      <c r="AQL260" s="486"/>
      <c r="AQM260" s="486"/>
      <c r="AQN260" s="486"/>
      <c r="AQO260" s="486"/>
      <c r="AQP260" s="486"/>
      <c r="AQQ260" s="486"/>
      <c r="AQR260" s="486"/>
      <c r="AQS260" s="486"/>
      <c r="AQT260" s="486"/>
      <c r="AQU260" s="486"/>
      <c r="AQV260" s="486"/>
      <c r="AQW260" s="486"/>
      <c r="AQX260" s="486"/>
      <c r="AQY260" s="486"/>
      <c r="AQZ260" s="486"/>
      <c r="ARA260" s="486"/>
      <c r="ARB260" s="486"/>
      <c r="ARC260" s="486"/>
      <c r="ARD260" s="486"/>
      <c r="ARE260" s="486"/>
      <c r="ARF260" s="486"/>
      <c r="ARG260" s="486"/>
      <c r="ARH260" s="486"/>
      <c r="ARI260" s="486"/>
      <c r="ARJ260" s="486"/>
      <c r="ARK260" s="486"/>
      <c r="ARL260" s="486"/>
      <c r="ARM260" s="486"/>
      <c r="ARN260" s="486"/>
      <c r="ARO260" s="486"/>
      <c r="ARP260" s="486"/>
      <c r="ARQ260" s="486"/>
      <c r="ARR260" s="486"/>
      <c r="ARS260" s="486"/>
      <c r="ART260" s="486"/>
      <c r="ARU260" s="486"/>
      <c r="ARV260" s="486"/>
      <c r="ARW260" s="486"/>
      <c r="ARX260" s="486"/>
      <c r="ARY260" s="486"/>
      <c r="ARZ260" s="486"/>
      <c r="ASA260" s="486"/>
      <c r="ASB260" s="486"/>
      <c r="ASC260" s="486"/>
      <c r="ASD260" s="486"/>
      <c r="ASE260" s="486"/>
      <c r="ASF260" s="486"/>
      <c r="ASG260" s="486"/>
      <c r="ASH260" s="486"/>
      <c r="ASI260" s="486"/>
      <c r="ASJ260" s="486"/>
      <c r="ASK260" s="486"/>
      <c r="ASL260" s="486"/>
      <c r="ASM260" s="486"/>
      <c r="ASN260" s="486"/>
      <c r="ASO260" s="486"/>
      <c r="ASP260" s="486"/>
      <c r="ASQ260" s="486"/>
      <c r="ASR260" s="486"/>
      <c r="ASS260" s="486"/>
      <c r="AST260" s="486"/>
      <c r="ASU260" s="486"/>
      <c r="ASV260" s="486"/>
      <c r="ASW260" s="486"/>
      <c r="ASX260" s="486"/>
      <c r="ASY260" s="486"/>
      <c r="ASZ260" s="486"/>
      <c r="ATA260" s="486"/>
      <c r="ATB260" s="486"/>
      <c r="ATC260" s="486"/>
      <c r="ATD260" s="486"/>
      <c r="ATE260" s="486"/>
      <c r="ATF260" s="486"/>
      <c r="ATG260" s="486"/>
      <c r="ATH260" s="486"/>
      <c r="ATI260" s="486"/>
      <c r="ATJ260" s="486"/>
      <c r="ATK260" s="486"/>
      <c r="ATL260" s="486"/>
      <c r="ATM260" s="486"/>
      <c r="ATN260" s="486"/>
      <c r="ATO260" s="486"/>
      <c r="ATP260" s="486"/>
      <c r="ATQ260" s="486"/>
      <c r="ATR260" s="486"/>
      <c r="ATS260" s="486"/>
      <c r="ATT260" s="486"/>
      <c r="ATU260" s="486"/>
      <c r="ATV260" s="486"/>
      <c r="ATW260" s="486"/>
      <c r="ATX260" s="486"/>
      <c r="ATY260" s="486"/>
      <c r="ATZ260" s="486"/>
      <c r="AUA260" s="486"/>
      <c r="AUB260" s="486"/>
      <c r="AUC260" s="486"/>
      <c r="AUD260" s="486"/>
      <c r="AUE260" s="486"/>
      <c r="AUF260" s="486"/>
      <c r="AUG260" s="486"/>
      <c r="AUH260" s="486"/>
      <c r="AUI260" s="486"/>
      <c r="AUJ260" s="486"/>
      <c r="AUK260" s="486"/>
      <c r="AUL260" s="486"/>
      <c r="AUM260" s="486"/>
      <c r="AUN260" s="486"/>
      <c r="AUO260" s="486"/>
      <c r="AUP260" s="486"/>
      <c r="AUQ260" s="486"/>
      <c r="AUR260" s="486"/>
      <c r="AUS260" s="486"/>
      <c r="AUT260" s="486"/>
      <c r="AUU260" s="486"/>
      <c r="AUV260" s="486"/>
      <c r="AUW260" s="486"/>
      <c r="AUX260" s="486"/>
      <c r="AUY260" s="486"/>
      <c r="AUZ260" s="486"/>
      <c r="AVA260" s="486"/>
      <c r="AVB260" s="486"/>
      <c r="AVC260" s="486"/>
      <c r="AVD260" s="486"/>
      <c r="AVE260" s="486"/>
      <c r="AVF260" s="486"/>
      <c r="AVG260" s="486"/>
      <c r="AVH260" s="486"/>
      <c r="AVI260" s="486"/>
      <c r="AVJ260" s="486"/>
      <c r="AVK260" s="486"/>
      <c r="AVL260" s="486"/>
      <c r="AVM260" s="486"/>
      <c r="AVN260" s="486"/>
      <c r="AVO260" s="486"/>
      <c r="AVP260" s="486"/>
      <c r="AVQ260" s="486"/>
      <c r="AVR260" s="486"/>
      <c r="AVS260" s="486"/>
      <c r="AVT260" s="486"/>
      <c r="AVU260" s="486"/>
      <c r="AVV260" s="486"/>
      <c r="AVW260" s="486"/>
      <c r="AVX260" s="486"/>
      <c r="AVY260" s="486"/>
      <c r="AVZ260" s="486"/>
      <c r="AWA260" s="486"/>
      <c r="AWB260" s="486"/>
      <c r="AWC260" s="486"/>
      <c r="AWD260" s="486"/>
      <c r="AWE260" s="486"/>
      <c r="AWF260" s="486"/>
      <c r="AWG260" s="486"/>
      <c r="AWH260" s="486"/>
      <c r="AWI260" s="486"/>
      <c r="AWJ260" s="486"/>
      <c r="AWK260" s="486"/>
      <c r="AWL260" s="486"/>
      <c r="AWM260" s="486"/>
      <c r="AWN260" s="486"/>
      <c r="AWO260" s="486"/>
      <c r="AWP260" s="486"/>
      <c r="AWQ260" s="486"/>
      <c r="AWR260" s="486"/>
      <c r="AWS260" s="486"/>
      <c r="AWT260" s="486"/>
      <c r="AWU260" s="486"/>
      <c r="AWV260" s="486"/>
      <c r="AWW260" s="486"/>
      <c r="AWX260" s="486"/>
      <c r="AWY260" s="486"/>
      <c r="AWZ260" s="486"/>
      <c r="AXA260" s="486"/>
      <c r="AXB260" s="486"/>
      <c r="AXC260" s="486"/>
      <c r="AXD260" s="486"/>
      <c r="AXE260" s="486"/>
      <c r="AXF260" s="486"/>
      <c r="AXG260" s="486"/>
      <c r="AXH260" s="486"/>
      <c r="AXI260" s="486"/>
      <c r="AXJ260" s="486"/>
      <c r="AXK260" s="486"/>
      <c r="AXL260" s="486"/>
      <c r="AXM260" s="486"/>
      <c r="AXN260" s="486"/>
      <c r="AXO260" s="486"/>
      <c r="AXP260" s="486"/>
      <c r="AXQ260" s="486"/>
      <c r="AXR260" s="486"/>
      <c r="AXS260" s="486"/>
      <c r="AXT260" s="486"/>
      <c r="AXU260" s="486"/>
      <c r="AXV260" s="486"/>
      <c r="AXW260" s="486"/>
      <c r="AXX260" s="486"/>
      <c r="AXY260" s="486"/>
      <c r="AXZ260" s="486"/>
      <c r="AYA260" s="486"/>
      <c r="AYB260" s="486"/>
      <c r="AYC260" s="486"/>
      <c r="AYD260" s="486"/>
      <c r="AYE260" s="486"/>
      <c r="AYF260" s="486"/>
      <c r="AYG260" s="486"/>
      <c r="AYH260" s="486"/>
      <c r="AYI260" s="486"/>
      <c r="AYJ260" s="486"/>
      <c r="AYK260" s="486"/>
      <c r="AYL260" s="486"/>
      <c r="AYM260" s="486"/>
      <c r="AYN260" s="486"/>
      <c r="AYO260" s="486"/>
      <c r="AYP260" s="486"/>
      <c r="AYQ260" s="486"/>
      <c r="AYR260" s="486"/>
      <c r="AYS260" s="486"/>
      <c r="AYT260" s="486"/>
      <c r="AYU260" s="486"/>
      <c r="AYV260" s="486"/>
      <c r="AYW260" s="486"/>
      <c r="AYX260" s="486"/>
      <c r="AYY260" s="486"/>
      <c r="AYZ260" s="486"/>
      <c r="AZA260" s="486"/>
      <c r="AZB260" s="486"/>
      <c r="AZC260" s="486"/>
      <c r="AZD260" s="486"/>
      <c r="AZE260" s="486"/>
      <c r="AZF260" s="486"/>
      <c r="AZG260" s="486"/>
      <c r="AZH260" s="486"/>
      <c r="AZI260" s="486"/>
      <c r="AZJ260" s="486"/>
      <c r="AZK260" s="486"/>
      <c r="AZL260" s="486"/>
      <c r="AZM260" s="486"/>
      <c r="AZN260" s="486"/>
      <c r="AZO260" s="486"/>
      <c r="AZP260" s="486"/>
      <c r="AZQ260" s="486"/>
      <c r="AZR260" s="486"/>
      <c r="AZS260" s="486"/>
      <c r="AZT260" s="486"/>
      <c r="AZU260" s="486"/>
      <c r="AZV260" s="486"/>
      <c r="AZW260" s="486"/>
      <c r="AZX260" s="486"/>
      <c r="AZY260" s="486"/>
      <c r="AZZ260" s="486"/>
      <c r="BAA260" s="486"/>
      <c r="BAB260" s="486"/>
      <c r="BAC260" s="486"/>
      <c r="BAD260" s="486"/>
      <c r="BAE260" s="486"/>
      <c r="BAF260" s="486"/>
      <c r="BAG260" s="486"/>
      <c r="BAH260" s="486"/>
      <c r="BAI260" s="486"/>
      <c r="BAJ260" s="486"/>
      <c r="BAK260" s="486"/>
      <c r="BAL260" s="486"/>
      <c r="BAM260" s="486"/>
      <c r="BAN260" s="486"/>
      <c r="BAO260" s="486"/>
      <c r="BAP260" s="486"/>
      <c r="BAQ260" s="486"/>
      <c r="BAR260" s="486"/>
      <c r="BAS260" s="486"/>
      <c r="BAT260" s="486"/>
      <c r="BAU260" s="486"/>
      <c r="BAV260" s="486"/>
      <c r="BAW260" s="486"/>
      <c r="BAX260" s="486"/>
      <c r="BAY260" s="486"/>
      <c r="BAZ260" s="486"/>
      <c r="BBA260" s="486"/>
      <c r="BBB260" s="486"/>
      <c r="BBC260" s="486"/>
      <c r="BBD260" s="486"/>
      <c r="BBE260" s="486"/>
      <c r="BBF260" s="486"/>
      <c r="BBG260" s="486"/>
      <c r="BBH260" s="486"/>
      <c r="BBI260" s="486"/>
      <c r="BBJ260" s="486"/>
      <c r="BBK260" s="486"/>
      <c r="BBL260" s="486"/>
      <c r="BBM260" s="486"/>
      <c r="BBN260" s="486"/>
      <c r="BBO260" s="486"/>
      <c r="BBP260" s="486"/>
      <c r="BBQ260" s="486"/>
      <c r="BBR260" s="486"/>
      <c r="BBS260" s="486"/>
      <c r="BBT260" s="486"/>
      <c r="BBU260" s="486"/>
      <c r="BBV260" s="486"/>
      <c r="BBW260" s="486"/>
      <c r="BBX260" s="486"/>
      <c r="BBY260" s="486"/>
      <c r="BBZ260" s="486"/>
      <c r="BCA260" s="486"/>
      <c r="BCB260" s="486"/>
      <c r="BCC260" s="486"/>
      <c r="BCD260" s="486"/>
      <c r="BCE260" s="486"/>
      <c r="BCF260" s="486"/>
      <c r="BCG260" s="486"/>
      <c r="BCH260" s="486"/>
      <c r="BCI260" s="486"/>
      <c r="BCJ260" s="486"/>
      <c r="BCK260" s="486"/>
      <c r="BCL260" s="486"/>
      <c r="BCM260" s="486"/>
      <c r="BCN260" s="486"/>
      <c r="BCO260" s="486"/>
      <c r="BCP260" s="486"/>
      <c r="BCQ260" s="486"/>
      <c r="BCR260" s="486"/>
      <c r="BCS260" s="486"/>
      <c r="BCT260" s="486"/>
      <c r="BCU260" s="486"/>
      <c r="BCV260" s="486"/>
      <c r="BCW260" s="486"/>
      <c r="BCX260" s="486"/>
      <c r="BCY260" s="486"/>
      <c r="BCZ260" s="486"/>
      <c r="BDA260" s="486"/>
      <c r="BDB260" s="486"/>
      <c r="BDC260" s="486"/>
      <c r="BDD260" s="486"/>
      <c r="BDE260" s="486"/>
      <c r="BDF260" s="486"/>
      <c r="BDG260" s="486"/>
      <c r="BDH260" s="486"/>
      <c r="BDI260" s="486"/>
      <c r="BDJ260" s="486"/>
      <c r="BDK260" s="486"/>
      <c r="BDL260" s="486"/>
      <c r="BDM260" s="486"/>
      <c r="BDN260" s="486"/>
      <c r="BDO260" s="486"/>
      <c r="BDP260" s="486"/>
      <c r="BDQ260" s="486"/>
      <c r="BDR260" s="486"/>
      <c r="BDS260" s="486"/>
      <c r="BDT260" s="486"/>
      <c r="BDU260" s="486"/>
      <c r="BDV260" s="486"/>
      <c r="BDW260" s="486"/>
      <c r="BDX260" s="486"/>
      <c r="BDY260" s="486"/>
      <c r="BDZ260" s="486"/>
      <c r="BEA260" s="486"/>
      <c r="BEB260" s="486"/>
      <c r="BEC260" s="486"/>
      <c r="BED260" s="486"/>
      <c r="BEE260" s="486"/>
      <c r="BEF260" s="486"/>
      <c r="BEG260" s="486"/>
      <c r="BEH260" s="486"/>
      <c r="BEI260" s="486"/>
      <c r="BEJ260" s="486"/>
      <c r="BEK260" s="486"/>
      <c r="BEL260" s="486"/>
      <c r="BEM260" s="486"/>
      <c r="BEN260" s="486"/>
      <c r="BEO260" s="486"/>
      <c r="BEP260" s="486"/>
      <c r="BEQ260" s="486"/>
      <c r="BER260" s="486"/>
      <c r="BES260" s="486"/>
      <c r="BET260" s="486"/>
      <c r="BEU260" s="486"/>
      <c r="BEV260" s="486"/>
      <c r="BEW260" s="486"/>
      <c r="BEX260" s="486"/>
      <c r="BEY260" s="486"/>
      <c r="BEZ260" s="486"/>
      <c r="BFA260" s="486"/>
      <c r="BFB260" s="486"/>
      <c r="BFC260" s="486"/>
      <c r="BFD260" s="486"/>
      <c r="BFE260" s="486"/>
      <c r="BFF260" s="486"/>
      <c r="BFG260" s="486"/>
      <c r="BFH260" s="486"/>
      <c r="BFI260" s="486"/>
      <c r="BFJ260" s="486"/>
      <c r="BFK260" s="486"/>
      <c r="BFL260" s="486"/>
      <c r="BFM260" s="486"/>
      <c r="BFN260" s="486"/>
      <c r="BFO260" s="486"/>
      <c r="BFP260" s="486"/>
      <c r="BFQ260" s="486"/>
      <c r="BFR260" s="486"/>
      <c r="BFS260" s="486"/>
      <c r="BFT260" s="486"/>
      <c r="BFU260" s="486"/>
      <c r="BFV260" s="486"/>
      <c r="BFW260" s="486"/>
      <c r="BFX260" s="486"/>
      <c r="BFY260" s="486"/>
      <c r="BFZ260" s="486"/>
      <c r="BGA260" s="486"/>
      <c r="BGB260" s="486"/>
      <c r="BGC260" s="486"/>
      <c r="BGD260" s="486"/>
      <c r="BGE260" s="486"/>
      <c r="BGF260" s="486"/>
      <c r="BGG260" s="486"/>
      <c r="BGH260" s="486"/>
      <c r="BGI260" s="486"/>
      <c r="BGJ260" s="486"/>
      <c r="BGK260" s="486"/>
      <c r="BGL260" s="486"/>
      <c r="BGM260" s="486"/>
      <c r="BGN260" s="486"/>
      <c r="BGO260" s="486"/>
      <c r="BGP260" s="486"/>
      <c r="BGQ260" s="486"/>
      <c r="BGR260" s="486"/>
      <c r="BGS260" s="486"/>
      <c r="BGT260" s="486"/>
      <c r="BGU260" s="486"/>
      <c r="BGV260" s="486"/>
      <c r="BGW260" s="486"/>
      <c r="BGX260" s="486"/>
      <c r="BGY260" s="486"/>
      <c r="BGZ260" s="486"/>
      <c r="BHA260" s="486"/>
      <c r="BHB260" s="486"/>
      <c r="BHC260" s="486"/>
      <c r="BHD260" s="486"/>
      <c r="BHE260" s="486"/>
      <c r="BHF260" s="486"/>
      <c r="BHG260" s="486"/>
      <c r="BHH260" s="486"/>
      <c r="BHI260" s="486"/>
      <c r="BHJ260" s="486"/>
      <c r="BHK260" s="486"/>
      <c r="BHL260" s="486"/>
      <c r="BHM260" s="486"/>
      <c r="BHN260" s="486"/>
      <c r="BHO260" s="486"/>
      <c r="BHP260" s="486"/>
      <c r="BHQ260" s="486"/>
      <c r="BHR260" s="486"/>
      <c r="BHS260" s="486"/>
      <c r="BHT260" s="486"/>
      <c r="BHU260" s="486"/>
      <c r="BHV260" s="486"/>
      <c r="BHW260" s="486"/>
      <c r="BHX260" s="486"/>
      <c r="BHY260" s="486"/>
      <c r="BHZ260" s="486"/>
      <c r="BIA260" s="486"/>
      <c r="BIB260" s="486"/>
      <c r="BIC260" s="486"/>
      <c r="BID260" s="486"/>
      <c r="BIE260" s="486"/>
      <c r="BIF260" s="486"/>
      <c r="BIG260" s="486"/>
      <c r="BIH260" s="486"/>
      <c r="BII260" s="486"/>
      <c r="BIJ260" s="486"/>
      <c r="BIK260" s="486"/>
      <c r="BIL260" s="486"/>
      <c r="BIM260" s="486"/>
      <c r="BIN260" s="486"/>
      <c r="BIO260" s="486"/>
      <c r="BIP260" s="486"/>
      <c r="BIQ260" s="486"/>
      <c r="BIR260" s="486"/>
      <c r="BIS260" s="486"/>
      <c r="BIT260" s="486"/>
      <c r="BIU260" s="486"/>
      <c r="BIV260" s="486"/>
      <c r="BIW260" s="486"/>
      <c r="BIX260" s="486"/>
      <c r="BIY260" s="486"/>
      <c r="BIZ260" s="486"/>
      <c r="BJA260" s="486"/>
      <c r="BJB260" s="486"/>
      <c r="BJC260" s="486"/>
      <c r="BJD260" s="486"/>
      <c r="BJE260" s="486"/>
      <c r="BJF260" s="486"/>
      <c r="BJG260" s="486"/>
      <c r="BJH260" s="486"/>
      <c r="BJI260" s="486"/>
      <c r="BJJ260" s="486"/>
      <c r="BJK260" s="486"/>
      <c r="BJL260" s="486"/>
      <c r="BJM260" s="486"/>
      <c r="BJN260" s="486"/>
      <c r="BJO260" s="486"/>
      <c r="BJP260" s="486"/>
      <c r="BJQ260" s="486"/>
      <c r="BJR260" s="486"/>
      <c r="BJS260" s="486"/>
      <c r="BJT260" s="486"/>
      <c r="BJU260" s="486"/>
      <c r="BJV260" s="486"/>
      <c r="BJW260" s="486"/>
      <c r="BJX260" s="486"/>
      <c r="BJY260" s="486"/>
      <c r="BJZ260" s="486"/>
      <c r="BKA260" s="486"/>
      <c r="BKB260" s="486"/>
      <c r="BKC260" s="486"/>
      <c r="BKD260" s="486"/>
      <c r="BKE260" s="486"/>
      <c r="BKF260" s="486"/>
      <c r="BKG260" s="486"/>
      <c r="BKH260" s="486"/>
      <c r="BKI260" s="486"/>
      <c r="BKJ260" s="486"/>
      <c r="BKK260" s="486"/>
      <c r="BKL260" s="486"/>
      <c r="BKM260" s="486"/>
      <c r="BKN260" s="486"/>
      <c r="BKO260" s="486"/>
      <c r="BKP260" s="486"/>
      <c r="BKQ260" s="486"/>
      <c r="BKR260" s="486"/>
      <c r="BKS260" s="486"/>
      <c r="BKT260" s="486"/>
      <c r="BKU260" s="486"/>
      <c r="BKV260" s="486"/>
      <c r="BKW260" s="486"/>
      <c r="BKX260" s="486"/>
      <c r="BKY260" s="486"/>
      <c r="BKZ260" s="486"/>
      <c r="BLA260" s="486"/>
      <c r="BLB260" s="486"/>
      <c r="BLC260" s="486"/>
      <c r="BLD260" s="486"/>
      <c r="BLE260" s="486"/>
      <c r="BLF260" s="486"/>
      <c r="BLG260" s="486"/>
      <c r="BLH260" s="486"/>
      <c r="BLI260" s="486"/>
      <c r="BLJ260" s="486"/>
      <c r="BLK260" s="486"/>
      <c r="BLL260" s="486"/>
      <c r="BLM260" s="486"/>
      <c r="BLN260" s="486"/>
      <c r="BLO260" s="486"/>
      <c r="BLP260" s="486"/>
      <c r="BLQ260" s="486"/>
      <c r="BLR260" s="486"/>
      <c r="BLS260" s="486"/>
      <c r="BLT260" s="486"/>
      <c r="BLU260" s="486"/>
      <c r="BLV260" s="486"/>
      <c r="BLW260" s="486"/>
      <c r="BLX260" s="486"/>
      <c r="BLY260" s="486"/>
      <c r="BLZ260" s="486"/>
      <c r="BMA260" s="486"/>
      <c r="BMB260" s="486"/>
      <c r="BMC260" s="486"/>
      <c r="BMD260" s="486"/>
      <c r="BME260" s="486"/>
      <c r="BMF260" s="486"/>
      <c r="BMG260" s="486"/>
      <c r="BMH260" s="486"/>
      <c r="BMI260" s="486"/>
      <c r="BMJ260" s="486"/>
      <c r="BMK260" s="486"/>
      <c r="BML260" s="486"/>
      <c r="BMM260" s="486"/>
      <c r="BMN260" s="486"/>
      <c r="BMO260" s="486"/>
      <c r="BMP260" s="486"/>
      <c r="BMQ260" s="486"/>
      <c r="BMR260" s="486"/>
      <c r="BMS260" s="486"/>
      <c r="BMT260" s="486"/>
      <c r="BMU260" s="486"/>
      <c r="BMV260" s="486"/>
      <c r="BMW260" s="486"/>
      <c r="BMX260" s="486"/>
      <c r="BMY260" s="486"/>
      <c r="BMZ260" s="486"/>
      <c r="BNA260" s="486"/>
      <c r="BNB260" s="486"/>
      <c r="BNC260" s="486"/>
      <c r="BND260" s="486"/>
      <c r="BNE260" s="486"/>
      <c r="BNF260" s="486"/>
      <c r="BNG260" s="486"/>
      <c r="BNH260" s="486"/>
      <c r="BNI260" s="486"/>
      <c r="BNJ260" s="486"/>
      <c r="BNK260" s="486"/>
      <c r="BNL260" s="486"/>
      <c r="BNM260" s="486"/>
      <c r="BNN260" s="486"/>
      <c r="BNO260" s="486"/>
      <c r="BNP260" s="486"/>
      <c r="BNQ260" s="486"/>
      <c r="BNR260" s="486"/>
      <c r="BNS260" s="486"/>
      <c r="BNT260" s="486"/>
      <c r="BNU260" s="486"/>
      <c r="BNV260" s="486"/>
      <c r="BNW260" s="486"/>
      <c r="BNX260" s="486"/>
      <c r="BNY260" s="486"/>
      <c r="BNZ260" s="486"/>
      <c r="BOA260" s="486"/>
      <c r="BOB260" s="486"/>
      <c r="BOC260" s="486"/>
      <c r="BOD260" s="486"/>
      <c r="BOE260" s="486"/>
      <c r="BOF260" s="486"/>
      <c r="BOG260" s="486"/>
      <c r="BOH260" s="486"/>
      <c r="BOI260" s="486"/>
      <c r="BOJ260" s="486"/>
      <c r="BOK260" s="486"/>
      <c r="BOL260" s="486"/>
      <c r="BOM260" s="486"/>
      <c r="BON260" s="486"/>
      <c r="BOO260" s="486"/>
      <c r="BOP260" s="486"/>
      <c r="BOQ260" s="486"/>
      <c r="BOR260" s="486"/>
      <c r="BOS260" s="486"/>
      <c r="BOT260" s="486"/>
      <c r="BOU260" s="486"/>
      <c r="BOV260" s="486"/>
      <c r="BOW260" s="486"/>
      <c r="BOX260" s="486"/>
      <c r="BOY260" s="486"/>
      <c r="BOZ260" s="486"/>
      <c r="BPA260" s="486"/>
      <c r="BPB260" s="486"/>
      <c r="BPC260" s="486"/>
      <c r="BPD260" s="486"/>
      <c r="BPE260" s="486"/>
      <c r="BPF260" s="486"/>
      <c r="BPG260" s="486"/>
      <c r="BPH260" s="486"/>
      <c r="BPI260" s="486"/>
      <c r="BPJ260" s="486"/>
      <c r="BPK260" s="486"/>
      <c r="BPL260" s="486"/>
      <c r="BPM260" s="486"/>
      <c r="BPN260" s="486"/>
      <c r="BPO260" s="486"/>
      <c r="BPP260" s="486"/>
      <c r="BPQ260" s="486"/>
      <c r="BPR260" s="486"/>
      <c r="BPS260" s="486"/>
      <c r="BPT260" s="486"/>
      <c r="BPU260" s="486"/>
      <c r="BPV260" s="486"/>
      <c r="BPW260" s="486"/>
      <c r="BPX260" s="486"/>
      <c r="BPY260" s="486"/>
      <c r="BPZ260" s="486"/>
      <c r="BQA260" s="486"/>
      <c r="BQB260" s="486"/>
      <c r="BQC260" s="486"/>
      <c r="BQD260" s="486"/>
      <c r="BQE260" s="486"/>
      <c r="BQF260" s="486"/>
      <c r="BQG260" s="486"/>
      <c r="BQH260" s="486"/>
      <c r="BQI260" s="486"/>
      <c r="BQJ260" s="486"/>
      <c r="BQK260" s="486"/>
      <c r="BQL260" s="486"/>
      <c r="BQM260" s="486"/>
      <c r="BQN260" s="486"/>
      <c r="BQO260" s="486"/>
      <c r="BQP260" s="486"/>
      <c r="BQQ260" s="486"/>
      <c r="BQR260" s="486"/>
      <c r="BQS260" s="486"/>
      <c r="BQT260" s="486"/>
      <c r="BQU260" s="486"/>
      <c r="BQV260" s="486"/>
      <c r="BQW260" s="486"/>
      <c r="BQX260" s="486"/>
      <c r="BQY260" s="486"/>
      <c r="BQZ260" s="486"/>
      <c r="BRA260" s="486"/>
      <c r="BRB260" s="486"/>
      <c r="BRC260" s="486"/>
      <c r="BRD260" s="486"/>
      <c r="BRE260" s="486"/>
      <c r="BRF260" s="486"/>
      <c r="BRG260" s="486"/>
      <c r="BRH260" s="486"/>
      <c r="BRI260" s="486"/>
      <c r="BRJ260" s="486"/>
      <c r="BRK260" s="486"/>
      <c r="BRL260" s="486"/>
      <c r="BRM260" s="486"/>
      <c r="BRN260" s="486"/>
      <c r="BRO260" s="486"/>
      <c r="BRP260" s="486"/>
      <c r="BRQ260" s="486"/>
      <c r="BRR260" s="486"/>
      <c r="BRS260" s="486"/>
      <c r="BRT260" s="486"/>
      <c r="BRU260" s="486"/>
      <c r="BRV260" s="486"/>
      <c r="BRW260" s="486"/>
      <c r="BRX260" s="486"/>
      <c r="BRY260" s="486"/>
      <c r="BRZ260" s="486"/>
      <c r="BSA260" s="486"/>
      <c r="BSB260" s="486"/>
      <c r="BSC260" s="486"/>
      <c r="BSD260" s="486"/>
      <c r="BSE260" s="486"/>
      <c r="BSF260" s="486"/>
      <c r="BSG260" s="486"/>
      <c r="BSH260" s="486"/>
      <c r="BSI260" s="486"/>
      <c r="BSJ260" s="486"/>
      <c r="BSK260" s="486"/>
      <c r="BSL260" s="486"/>
      <c r="BSM260" s="486"/>
      <c r="BSN260" s="486"/>
      <c r="BSO260" s="486"/>
      <c r="BSP260" s="486"/>
      <c r="BSQ260" s="486"/>
      <c r="BSR260" s="486"/>
      <c r="BSS260" s="486"/>
      <c r="BST260" s="486"/>
      <c r="BSU260" s="486"/>
      <c r="BSV260" s="486"/>
      <c r="BSW260" s="486"/>
      <c r="BSX260" s="486"/>
      <c r="BSY260" s="486"/>
      <c r="BSZ260" s="486"/>
      <c r="BTA260" s="486"/>
      <c r="BTB260" s="486"/>
      <c r="BTC260" s="486"/>
      <c r="BTD260" s="486"/>
      <c r="BTE260" s="486"/>
      <c r="BTF260" s="486"/>
      <c r="BTG260" s="486"/>
      <c r="BTH260" s="486"/>
      <c r="BTI260" s="486"/>
    </row>
    <row r="261" spans="1:1881" s="485" customFormat="1" ht="30.75" customHeight="1" thickBot="1" x14ac:dyDescent="0.3">
      <c r="A261" s="567">
        <v>962</v>
      </c>
      <c r="B261" s="920" t="s">
        <v>926</v>
      </c>
      <c r="C261" s="921"/>
      <c r="D261" s="924"/>
      <c r="E261" s="925"/>
      <c r="F261" s="847" t="str">
        <f t="shared" ref="F261:F264" si="4">IF(ISBLANK($D261),"&lt;&lt;&lt;&lt;&lt;&lt;&lt;&lt;&lt;&lt;&lt;&lt;&lt;&lt;&lt;&lt;&lt;&lt;&lt;","")</f>
        <v>&lt;&lt;&lt;&lt;&lt;&lt;&lt;&lt;&lt;&lt;&lt;&lt;&lt;&lt;&lt;&lt;&lt;&lt;&lt;</v>
      </c>
      <c r="G261" s="847" t="str">
        <f>IF(ISBLANK($D261),"Cell D261 must be completed.","")</f>
        <v>Cell D261 must be completed.</v>
      </c>
      <c r="H261" s="487"/>
      <c r="I261" s="405"/>
      <c r="J261" s="486"/>
      <c r="K261" s="486"/>
      <c r="L261" s="486"/>
      <c r="M261" s="486"/>
      <c r="N261"/>
      <c r="O261" s="486"/>
      <c r="P261" s="486"/>
      <c r="Q261" s="486"/>
      <c r="R261" s="486"/>
      <c r="S261" s="486"/>
      <c r="T261" s="486"/>
      <c r="U261" s="486"/>
      <c r="V261" s="486"/>
      <c r="W261" s="486"/>
      <c r="X261" s="486"/>
      <c r="Y261" s="486"/>
      <c r="Z261" s="486"/>
      <c r="AA261" s="486"/>
      <c r="AB261" s="486"/>
      <c r="AC261" s="486"/>
      <c r="AD261" s="486"/>
      <c r="AE261" s="486"/>
      <c r="AF261" s="486"/>
      <c r="AG261" s="486"/>
      <c r="AH261" s="486"/>
      <c r="AI261" s="486"/>
      <c r="AJ261" s="486"/>
      <c r="AK261" s="486"/>
      <c r="AL261" s="486"/>
      <c r="AM261" s="486"/>
      <c r="AN261" s="486"/>
      <c r="AO261" s="486"/>
      <c r="AP261" s="486"/>
      <c r="AQ261" s="486"/>
      <c r="AR261" s="486"/>
      <c r="AS261" s="486"/>
      <c r="AT261" s="486"/>
      <c r="AU261" s="486"/>
      <c r="AV261" s="486"/>
      <c r="AW261" s="486"/>
      <c r="AX261" s="486"/>
      <c r="AY261" s="486"/>
      <c r="AZ261" s="486"/>
      <c r="BA261" s="486"/>
      <c r="BB261" s="486"/>
      <c r="BC261" s="486"/>
      <c r="BD261" s="486"/>
      <c r="BE261" s="486"/>
      <c r="BF261" s="486"/>
      <c r="BG261" s="486"/>
      <c r="BH261" s="486"/>
      <c r="BI261" s="486"/>
      <c r="BJ261" s="486"/>
      <c r="BK261" s="486"/>
      <c r="BL261" s="486"/>
      <c r="BM261" s="486"/>
      <c r="BN261" s="486"/>
      <c r="BO261" s="486"/>
      <c r="BP261" s="486"/>
      <c r="BQ261" s="486"/>
      <c r="BR261" s="486"/>
      <c r="BS261" s="486"/>
      <c r="BT261" s="486"/>
      <c r="BU261" s="486"/>
      <c r="BV261" s="486"/>
      <c r="BW261" s="486"/>
      <c r="BX261" s="486"/>
      <c r="BY261" s="486"/>
      <c r="BZ261" s="486"/>
      <c r="CA261" s="486"/>
      <c r="CB261" s="486"/>
      <c r="CC261" s="486"/>
      <c r="CD261" s="486"/>
      <c r="CE261" s="486"/>
      <c r="CF261" s="486"/>
      <c r="CG261" s="486"/>
      <c r="CH261" s="486"/>
      <c r="CI261" s="486"/>
      <c r="CJ261" s="486"/>
      <c r="CK261" s="486"/>
      <c r="CL261" s="486"/>
      <c r="CM261" s="486"/>
      <c r="CN261" s="486"/>
      <c r="CO261" s="486"/>
      <c r="CP261" s="486"/>
      <c r="CQ261" s="486"/>
      <c r="CR261" s="486"/>
      <c r="CS261" s="486"/>
      <c r="CT261" s="486"/>
      <c r="CU261" s="486"/>
      <c r="CV261" s="486"/>
      <c r="CW261" s="486"/>
      <c r="CX261" s="486"/>
      <c r="CY261" s="486"/>
      <c r="CZ261" s="486"/>
      <c r="DA261" s="486"/>
      <c r="DB261" s="486"/>
      <c r="DC261" s="486"/>
      <c r="DD261" s="486"/>
      <c r="DE261" s="486"/>
      <c r="DF261" s="486"/>
      <c r="DG261" s="486"/>
      <c r="DH261" s="486"/>
      <c r="DI261" s="486"/>
      <c r="DJ261" s="486"/>
      <c r="DK261" s="486"/>
      <c r="DL261" s="486"/>
      <c r="DM261" s="486"/>
      <c r="DN261" s="486"/>
      <c r="DO261" s="486"/>
      <c r="DP261" s="486"/>
      <c r="DQ261" s="486"/>
      <c r="DR261" s="486"/>
      <c r="DS261" s="486"/>
      <c r="DT261" s="486"/>
      <c r="DU261" s="486"/>
      <c r="DV261" s="486"/>
      <c r="DW261" s="486"/>
      <c r="DX261" s="486"/>
      <c r="DY261" s="486"/>
      <c r="DZ261" s="486"/>
      <c r="EA261" s="486"/>
      <c r="EB261" s="486"/>
      <c r="EC261" s="486"/>
      <c r="ED261" s="486"/>
      <c r="EE261" s="486"/>
      <c r="EF261" s="486"/>
      <c r="EG261" s="486"/>
      <c r="EH261" s="486"/>
      <c r="EI261" s="486"/>
      <c r="EJ261" s="486"/>
      <c r="EK261" s="486"/>
      <c r="EL261" s="486"/>
      <c r="EM261" s="486"/>
      <c r="EN261" s="486"/>
      <c r="EO261" s="486"/>
      <c r="EP261" s="486"/>
      <c r="EQ261" s="486"/>
      <c r="ER261" s="486"/>
      <c r="ES261" s="486"/>
      <c r="ET261" s="486"/>
      <c r="EU261" s="486"/>
      <c r="EV261" s="486"/>
      <c r="EW261" s="486"/>
      <c r="EX261" s="486"/>
      <c r="EY261" s="486"/>
      <c r="EZ261" s="486"/>
      <c r="FA261" s="486"/>
      <c r="FB261" s="486"/>
      <c r="FC261" s="486"/>
      <c r="FD261" s="486"/>
      <c r="FE261" s="486"/>
      <c r="FF261" s="486"/>
      <c r="FG261" s="486"/>
      <c r="FH261" s="486"/>
      <c r="FI261" s="486"/>
      <c r="FJ261" s="486"/>
      <c r="FK261" s="486"/>
      <c r="FL261" s="486"/>
      <c r="FM261" s="486"/>
      <c r="FN261" s="486"/>
      <c r="FO261" s="486"/>
      <c r="FP261" s="486"/>
      <c r="FQ261" s="486"/>
      <c r="FR261" s="486"/>
      <c r="FS261" s="486"/>
      <c r="FT261" s="486"/>
      <c r="FU261" s="486"/>
      <c r="FV261" s="486"/>
      <c r="FW261" s="486"/>
      <c r="FX261" s="486"/>
      <c r="FY261" s="486"/>
      <c r="FZ261" s="486"/>
      <c r="GA261" s="486"/>
      <c r="GB261" s="486"/>
      <c r="GC261" s="486"/>
      <c r="GD261" s="486"/>
      <c r="GE261" s="486"/>
      <c r="GF261" s="486"/>
      <c r="GG261" s="486"/>
      <c r="GH261" s="486"/>
      <c r="GI261" s="486"/>
      <c r="GJ261" s="486"/>
      <c r="GK261" s="486"/>
      <c r="GL261" s="486"/>
      <c r="GM261" s="486"/>
      <c r="GN261" s="486"/>
      <c r="GO261" s="486"/>
      <c r="GP261" s="486"/>
      <c r="GQ261" s="486"/>
      <c r="GR261" s="486"/>
      <c r="GS261" s="486"/>
      <c r="GT261" s="486"/>
      <c r="GU261" s="486"/>
      <c r="GV261" s="486"/>
      <c r="GW261" s="486"/>
      <c r="GX261" s="486"/>
      <c r="GY261" s="486"/>
      <c r="GZ261" s="486"/>
      <c r="HA261" s="486"/>
      <c r="HB261" s="486"/>
      <c r="HC261" s="486"/>
      <c r="HD261" s="486"/>
      <c r="HE261" s="486"/>
      <c r="HF261" s="486"/>
      <c r="HG261" s="486"/>
      <c r="HH261" s="486"/>
      <c r="HI261" s="486"/>
      <c r="HJ261" s="486"/>
      <c r="HK261" s="486"/>
      <c r="HL261" s="486"/>
      <c r="HM261" s="486"/>
      <c r="HN261" s="486"/>
      <c r="HO261" s="486"/>
      <c r="HP261" s="486"/>
      <c r="HQ261" s="486"/>
      <c r="HR261" s="486"/>
      <c r="HS261" s="486"/>
      <c r="HT261" s="486"/>
      <c r="HU261" s="486"/>
      <c r="HV261" s="486"/>
      <c r="HW261" s="486"/>
      <c r="HX261" s="486"/>
      <c r="HY261" s="486"/>
      <c r="HZ261" s="486"/>
      <c r="IA261" s="486"/>
      <c r="IB261" s="486"/>
      <c r="IC261" s="486"/>
      <c r="ID261" s="486"/>
      <c r="IE261" s="486"/>
      <c r="IF261" s="486"/>
      <c r="IG261" s="486"/>
      <c r="IH261" s="486"/>
      <c r="II261" s="486"/>
      <c r="IJ261" s="486"/>
      <c r="IK261" s="486"/>
      <c r="IL261" s="486"/>
      <c r="IM261" s="486"/>
      <c r="IN261" s="486"/>
      <c r="IO261" s="486"/>
      <c r="IP261" s="486"/>
      <c r="IQ261" s="486"/>
      <c r="IR261" s="486"/>
      <c r="IS261" s="486"/>
      <c r="IT261" s="486"/>
      <c r="IU261" s="486"/>
      <c r="IV261" s="486"/>
      <c r="IW261" s="486"/>
      <c r="IX261" s="486"/>
      <c r="IY261" s="486"/>
      <c r="IZ261" s="486"/>
      <c r="JA261" s="486"/>
      <c r="JB261" s="486"/>
      <c r="JC261" s="486"/>
      <c r="JD261" s="486"/>
      <c r="JE261" s="486"/>
      <c r="JF261" s="486"/>
      <c r="JG261" s="486"/>
      <c r="JH261" s="486"/>
      <c r="JI261" s="486"/>
      <c r="JJ261" s="486"/>
      <c r="JK261" s="486"/>
      <c r="JL261" s="486"/>
      <c r="JM261" s="486"/>
      <c r="JN261" s="486"/>
      <c r="JO261" s="486"/>
      <c r="JP261" s="486"/>
      <c r="JQ261" s="486"/>
      <c r="JR261" s="486"/>
      <c r="JS261" s="486"/>
      <c r="JT261" s="486"/>
      <c r="JU261" s="486"/>
      <c r="JV261" s="486"/>
      <c r="JW261" s="486"/>
      <c r="JX261" s="486"/>
      <c r="JY261" s="486"/>
      <c r="JZ261" s="486"/>
      <c r="KA261" s="486"/>
      <c r="KB261" s="486"/>
      <c r="KC261" s="486"/>
      <c r="KD261" s="486"/>
      <c r="KE261" s="486"/>
      <c r="KF261" s="486"/>
      <c r="KG261" s="486"/>
      <c r="KH261" s="486"/>
      <c r="KI261" s="486"/>
      <c r="KJ261" s="486"/>
      <c r="KK261" s="486"/>
      <c r="KL261" s="486"/>
      <c r="KM261" s="486"/>
      <c r="KN261" s="486"/>
      <c r="KO261" s="486"/>
      <c r="KP261" s="486"/>
      <c r="KQ261" s="486"/>
      <c r="KR261" s="486"/>
      <c r="KS261" s="486"/>
      <c r="KT261" s="486"/>
      <c r="KU261" s="486"/>
      <c r="KV261" s="486"/>
      <c r="KW261" s="486"/>
      <c r="KX261" s="486"/>
      <c r="KY261" s="486"/>
      <c r="KZ261" s="486"/>
      <c r="LA261" s="486"/>
      <c r="LB261" s="486"/>
      <c r="LC261" s="486"/>
      <c r="LD261" s="486"/>
      <c r="LE261" s="486"/>
      <c r="LF261" s="486"/>
      <c r="LG261" s="486"/>
      <c r="LH261" s="486"/>
      <c r="LI261" s="486"/>
      <c r="LJ261" s="486"/>
      <c r="LK261" s="486"/>
      <c r="LL261" s="486"/>
      <c r="LM261" s="486"/>
      <c r="LN261" s="486"/>
      <c r="LO261" s="486"/>
      <c r="LP261" s="486"/>
      <c r="LQ261" s="486"/>
      <c r="LR261" s="486"/>
      <c r="LS261" s="486"/>
      <c r="LT261" s="486"/>
      <c r="LU261" s="486"/>
      <c r="LV261" s="486"/>
      <c r="LW261" s="486"/>
      <c r="LX261" s="486"/>
      <c r="LY261" s="486"/>
      <c r="LZ261" s="486"/>
      <c r="MA261" s="486"/>
      <c r="MB261" s="486"/>
      <c r="MC261" s="486"/>
      <c r="MD261" s="486"/>
      <c r="ME261" s="486"/>
      <c r="MF261" s="486"/>
      <c r="MG261" s="486"/>
      <c r="MH261" s="486"/>
      <c r="MI261" s="486"/>
      <c r="MJ261" s="486"/>
      <c r="MK261" s="486"/>
      <c r="ML261" s="486"/>
      <c r="MM261" s="486"/>
      <c r="MN261" s="486"/>
      <c r="MO261" s="486"/>
      <c r="MP261" s="486"/>
      <c r="MQ261" s="486"/>
      <c r="MR261" s="486"/>
      <c r="MS261" s="486"/>
      <c r="MT261" s="486"/>
      <c r="MU261" s="486"/>
      <c r="MV261" s="486"/>
      <c r="MW261" s="486"/>
      <c r="MX261" s="486"/>
      <c r="MY261" s="486"/>
      <c r="MZ261" s="486"/>
      <c r="NA261" s="486"/>
      <c r="NB261" s="486"/>
      <c r="NC261" s="486"/>
      <c r="ND261" s="486"/>
      <c r="NE261" s="486"/>
      <c r="NF261" s="486"/>
      <c r="NG261" s="486"/>
      <c r="NH261" s="486"/>
      <c r="NI261" s="486"/>
      <c r="NJ261" s="486"/>
      <c r="NK261" s="486"/>
      <c r="NL261" s="486"/>
      <c r="NM261" s="486"/>
      <c r="NN261" s="486"/>
      <c r="NO261" s="486"/>
      <c r="NP261" s="486"/>
      <c r="NQ261" s="486"/>
      <c r="NR261" s="486"/>
      <c r="NS261" s="486"/>
      <c r="NT261" s="486"/>
      <c r="NU261" s="486"/>
      <c r="NV261" s="486"/>
      <c r="NW261" s="486"/>
      <c r="NX261" s="486"/>
      <c r="NY261" s="486"/>
      <c r="NZ261" s="486"/>
      <c r="OA261" s="486"/>
      <c r="OB261" s="486"/>
      <c r="OC261" s="486"/>
      <c r="OD261" s="486"/>
      <c r="OE261" s="486"/>
      <c r="OF261" s="486"/>
      <c r="OG261" s="486"/>
      <c r="OH261" s="486"/>
      <c r="OI261" s="486"/>
      <c r="OJ261" s="486"/>
      <c r="OK261" s="486"/>
      <c r="OL261" s="486"/>
      <c r="OM261" s="486"/>
      <c r="ON261" s="486"/>
      <c r="OO261" s="486"/>
      <c r="OP261" s="486"/>
      <c r="OQ261" s="486"/>
      <c r="OR261" s="486"/>
      <c r="OS261" s="486"/>
      <c r="OT261" s="486"/>
      <c r="OU261" s="486"/>
      <c r="OV261" s="486"/>
      <c r="OW261" s="486"/>
      <c r="OX261" s="486"/>
      <c r="OY261" s="486"/>
      <c r="OZ261" s="486"/>
      <c r="PA261" s="486"/>
      <c r="PB261" s="486"/>
      <c r="PC261" s="486"/>
      <c r="PD261" s="486"/>
      <c r="PE261" s="486"/>
      <c r="PF261" s="486"/>
      <c r="PG261" s="486"/>
      <c r="PH261" s="486"/>
      <c r="PI261" s="486"/>
      <c r="PJ261" s="486"/>
      <c r="PK261" s="486"/>
      <c r="PL261" s="486"/>
      <c r="PM261" s="486"/>
      <c r="PN261" s="486"/>
      <c r="PO261" s="486"/>
      <c r="PP261" s="486"/>
      <c r="PQ261" s="486"/>
      <c r="PR261" s="486"/>
      <c r="PS261" s="486"/>
      <c r="PT261" s="486"/>
      <c r="PU261" s="486"/>
      <c r="PV261" s="486"/>
      <c r="PW261" s="486"/>
      <c r="PX261" s="486"/>
      <c r="PY261" s="486"/>
      <c r="PZ261" s="486"/>
      <c r="QA261" s="486"/>
      <c r="QB261" s="486"/>
      <c r="QC261" s="486"/>
      <c r="QD261" s="486"/>
      <c r="QE261" s="486"/>
      <c r="QF261" s="486"/>
      <c r="QG261" s="486"/>
      <c r="QH261" s="486"/>
      <c r="QI261" s="486"/>
      <c r="QJ261" s="486"/>
      <c r="QK261" s="486"/>
      <c r="QL261" s="486"/>
      <c r="QM261" s="486"/>
      <c r="QN261" s="486"/>
      <c r="QO261" s="486"/>
      <c r="QP261" s="486"/>
      <c r="QQ261" s="486"/>
      <c r="QR261" s="486"/>
      <c r="QS261" s="486"/>
      <c r="QT261" s="486"/>
      <c r="QU261" s="486"/>
      <c r="QV261" s="486"/>
      <c r="QW261" s="486"/>
      <c r="QX261" s="486"/>
      <c r="QY261" s="486"/>
      <c r="QZ261" s="486"/>
      <c r="RA261" s="486"/>
      <c r="RB261" s="486"/>
      <c r="RC261" s="486"/>
      <c r="RD261" s="486"/>
      <c r="RE261" s="486"/>
      <c r="RF261" s="486"/>
      <c r="RG261" s="486"/>
      <c r="RH261" s="486"/>
      <c r="RI261" s="486"/>
      <c r="RJ261" s="486"/>
      <c r="RK261" s="486"/>
      <c r="RL261" s="486"/>
      <c r="RM261" s="486"/>
      <c r="RN261" s="486"/>
      <c r="RO261" s="486"/>
      <c r="RP261" s="486"/>
      <c r="RQ261" s="486"/>
      <c r="RR261" s="486"/>
      <c r="RS261" s="486"/>
      <c r="RT261" s="486"/>
      <c r="RU261" s="486"/>
      <c r="RV261" s="486"/>
      <c r="RW261" s="486"/>
      <c r="RX261" s="486"/>
      <c r="RY261" s="486"/>
      <c r="RZ261" s="486"/>
      <c r="SA261" s="486"/>
      <c r="SB261" s="486"/>
      <c r="SC261" s="486"/>
      <c r="SD261" s="486"/>
      <c r="SE261" s="486"/>
      <c r="SF261" s="486"/>
      <c r="SG261" s="486"/>
      <c r="SH261" s="486"/>
      <c r="SI261" s="486"/>
      <c r="SJ261" s="486"/>
      <c r="SK261" s="486"/>
      <c r="SL261" s="486"/>
      <c r="SM261" s="486"/>
      <c r="SN261" s="486"/>
      <c r="SO261" s="486"/>
      <c r="SP261" s="486"/>
      <c r="SQ261" s="486"/>
      <c r="SR261" s="486"/>
      <c r="SS261" s="486"/>
      <c r="ST261" s="486"/>
      <c r="SU261" s="486"/>
      <c r="SV261" s="486"/>
      <c r="SW261" s="486"/>
      <c r="SX261" s="486"/>
      <c r="SY261" s="486"/>
      <c r="SZ261" s="486"/>
      <c r="TA261" s="486"/>
      <c r="TB261" s="486"/>
      <c r="TC261" s="486"/>
      <c r="TD261" s="486"/>
      <c r="TE261" s="486"/>
      <c r="TF261" s="486"/>
      <c r="TG261" s="486"/>
      <c r="TH261" s="486"/>
      <c r="TI261" s="486"/>
      <c r="TJ261" s="486"/>
      <c r="TK261" s="486"/>
      <c r="TL261" s="486"/>
      <c r="TM261" s="486"/>
      <c r="TN261" s="486"/>
      <c r="TO261" s="486"/>
      <c r="TP261" s="486"/>
      <c r="TQ261" s="486"/>
      <c r="TR261" s="486"/>
      <c r="TS261" s="486"/>
      <c r="TT261" s="486"/>
      <c r="TU261" s="486"/>
      <c r="TV261" s="486"/>
      <c r="TW261" s="486"/>
      <c r="TX261" s="486"/>
      <c r="TY261" s="486"/>
      <c r="TZ261" s="486"/>
      <c r="UA261" s="486"/>
      <c r="UB261" s="486"/>
      <c r="UC261" s="486"/>
      <c r="UD261" s="486"/>
      <c r="UE261" s="486"/>
      <c r="UF261" s="486"/>
      <c r="UG261" s="486"/>
      <c r="UH261" s="486"/>
      <c r="UI261" s="486"/>
      <c r="UJ261" s="486"/>
      <c r="UK261" s="486"/>
      <c r="UL261" s="486"/>
      <c r="UM261" s="486"/>
      <c r="UN261" s="486"/>
      <c r="UO261" s="486"/>
      <c r="UP261" s="486"/>
      <c r="UQ261" s="486"/>
      <c r="UR261" s="486"/>
      <c r="US261" s="486"/>
      <c r="UT261" s="486"/>
      <c r="UU261" s="486"/>
      <c r="UV261" s="486"/>
      <c r="UW261" s="486"/>
      <c r="UX261" s="486"/>
      <c r="UY261" s="486"/>
      <c r="UZ261" s="486"/>
      <c r="VA261" s="486"/>
      <c r="VB261" s="486"/>
      <c r="VC261" s="486"/>
      <c r="VD261" s="486"/>
      <c r="VE261" s="486"/>
      <c r="VF261" s="486"/>
      <c r="VG261" s="486"/>
      <c r="VH261" s="486"/>
      <c r="VI261" s="486"/>
      <c r="VJ261" s="486"/>
      <c r="VK261" s="486"/>
      <c r="VL261" s="486"/>
      <c r="VM261" s="486"/>
      <c r="VN261" s="486"/>
      <c r="VO261" s="486"/>
      <c r="VP261" s="486"/>
      <c r="VQ261" s="486"/>
      <c r="VR261" s="486"/>
      <c r="VS261" s="486"/>
      <c r="VT261" s="486"/>
      <c r="VU261" s="486"/>
      <c r="VV261" s="486"/>
      <c r="VW261" s="486"/>
      <c r="VX261" s="486"/>
      <c r="VY261" s="486"/>
      <c r="VZ261" s="486"/>
      <c r="WA261" s="486"/>
      <c r="WB261" s="486"/>
      <c r="WC261" s="486"/>
      <c r="WD261" s="486"/>
      <c r="WE261" s="486"/>
      <c r="WF261" s="486"/>
      <c r="WG261" s="486"/>
      <c r="WH261" s="486"/>
      <c r="WI261" s="486"/>
      <c r="WJ261" s="486"/>
      <c r="WK261" s="486"/>
      <c r="WL261" s="486"/>
      <c r="WM261" s="486"/>
      <c r="WN261" s="486"/>
      <c r="WO261" s="486"/>
      <c r="WP261" s="486"/>
      <c r="WQ261" s="486"/>
      <c r="WR261" s="486"/>
      <c r="WS261" s="486"/>
      <c r="WT261" s="486"/>
      <c r="WU261" s="486"/>
      <c r="WV261" s="486"/>
      <c r="WW261" s="486"/>
      <c r="WX261" s="486"/>
      <c r="WY261" s="486"/>
      <c r="WZ261" s="486"/>
      <c r="XA261" s="486"/>
      <c r="XB261" s="486"/>
      <c r="XC261" s="486"/>
      <c r="XD261" s="486"/>
      <c r="XE261" s="486"/>
      <c r="XF261" s="486"/>
      <c r="XG261" s="486"/>
      <c r="XH261" s="486"/>
      <c r="XI261" s="486"/>
      <c r="XJ261" s="486"/>
      <c r="XK261" s="486"/>
      <c r="XL261" s="486"/>
      <c r="XM261" s="486"/>
      <c r="XN261" s="486"/>
      <c r="XO261" s="486"/>
      <c r="XP261" s="486"/>
      <c r="XQ261" s="486"/>
      <c r="XR261" s="486"/>
      <c r="XS261" s="486"/>
      <c r="XT261" s="486"/>
      <c r="XU261" s="486"/>
      <c r="XV261" s="486"/>
      <c r="XW261" s="486"/>
      <c r="XX261" s="486"/>
      <c r="XY261" s="486"/>
      <c r="XZ261" s="486"/>
      <c r="YA261" s="486"/>
      <c r="YB261" s="486"/>
      <c r="YC261" s="486"/>
      <c r="YD261" s="486"/>
      <c r="YE261" s="486"/>
      <c r="YF261" s="486"/>
      <c r="YG261" s="486"/>
      <c r="YH261" s="486"/>
      <c r="YI261" s="486"/>
      <c r="YJ261" s="486"/>
      <c r="YK261" s="486"/>
      <c r="YL261" s="486"/>
      <c r="YM261" s="486"/>
      <c r="YN261" s="486"/>
      <c r="YO261" s="486"/>
      <c r="YP261" s="486"/>
      <c r="YQ261" s="486"/>
      <c r="YR261" s="486"/>
      <c r="YS261" s="486"/>
      <c r="YT261" s="486"/>
      <c r="YU261" s="486"/>
      <c r="YV261" s="486"/>
      <c r="YW261" s="486"/>
      <c r="YX261" s="486"/>
      <c r="YY261" s="486"/>
      <c r="YZ261" s="486"/>
      <c r="ZA261" s="486"/>
      <c r="ZB261" s="486"/>
      <c r="ZC261" s="486"/>
      <c r="ZD261" s="486"/>
      <c r="ZE261" s="486"/>
      <c r="ZF261" s="486"/>
      <c r="ZG261" s="486"/>
      <c r="ZH261" s="486"/>
      <c r="ZI261" s="486"/>
      <c r="ZJ261" s="486"/>
      <c r="ZK261" s="486"/>
      <c r="ZL261" s="486"/>
      <c r="ZM261" s="486"/>
      <c r="ZN261" s="486"/>
      <c r="ZO261" s="486"/>
      <c r="ZP261" s="486"/>
      <c r="ZQ261" s="486"/>
      <c r="ZR261" s="486"/>
      <c r="ZS261" s="486"/>
      <c r="ZT261" s="486"/>
      <c r="ZU261" s="486"/>
      <c r="ZV261" s="486"/>
      <c r="ZW261" s="486"/>
      <c r="ZX261" s="486"/>
      <c r="ZY261" s="486"/>
      <c r="ZZ261" s="486"/>
      <c r="AAA261" s="486"/>
      <c r="AAB261" s="486"/>
      <c r="AAC261" s="486"/>
      <c r="AAD261" s="486"/>
      <c r="AAE261" s="486"/>
      <c r="AAF261" s="486"/>
      <c r="AAG261" s="486"/>
      <c r="AAH261" s="486"/>
      <c r="AAI261" s="486"/>
      <c r="AAJ261" s="486"/>
      <c r="AAK261" s="486"/>
      <c r="AAL261" s="486"/>
      <c r="AAM261" s="486"/>
      <c r="AAN261" s="486"/>
      <c r="AAO261" s="486"/>
      <c r="AAP261" s="486"/>
      <c r="AAQ261" s="486"/>
      <c r="AAR261" s="486"/>
      <c r="AAS261" s="486"/>
      <c r="AAT261" s="486"/>
      <c r="AAU261" s="486"/>
      <c r="AAV261" s="486"/>
      <c r="AAW261" s="486"/>
      <c r="AAX261" s="486"/>
      <c r="AAY261" s="486"/>
      <c r="AAZ261" s="486"/>
      <c r="ABA261" s="486"/>
      <c r="ABB261" s="486"/>
      <c r="ABC261" s="486"/>
      <c r="ABD261" s="486"/>
      <c r="ABE261" s="486"/>
      <c r="ABF261" s="486"/>
      <c r="ABG261" s="486"/>
      <c r="ABH261" s="486"/>
      <c r="ABI261" s="486"/>
      <c r="ABJ261" s="486"/>
      <c r="ABK261" s="486"/>
      <c r="ABL261" s="486"/>
      <c r="ABM261" s="486"/>
      <c r="ABN261" s="486"/>
      <c r="ABO261" s="486"/>
      <c r="ABP261" s="486"/>
      <c r="ABQ261" s="486"/>
      <c r="ABR261" s="486"/>
      <c r="ABS261" s="486"/>
      <c r="ABT261" s="486"/>
      <c r="ABU261" s="486"/>
      <c r="ABV261" s="486"/>
      <c r="ABW261" s="486"/>
      <c r="ABX261" s="486"/>
      <c r="ABY261" s="486"/>
      <c r="ABZ261" s="486"/>
      <c r="ACA261" s="486"/>
      <c r="ACB261" s="486"/>
      <c r="ACC261" s="486"/>
      <c r="ACD261" s="486"/>
      <c r="ACE261" s="486"/>
      <c r="ACF261" s="486"/>
      <c r="ACG261" s="486"/>
      <c r="ACH261" s="486"/>
      <c r="ACI261" s="486"/>
      <c r="ACJ261" s="486"/>
      <c r="ACK261" s="486"/>
      <c r="ACL261" s="486"/>
      <c r="ACM261" s="486"/>
      <c r="ACN261" s="486"/>
      <c r="ACO261" s="486"/>
      <c r="ACP261" s="486"/>
      <c r="ACQ261" s="486"/>
      <c r="ACR261" s="486"/>
      <c r="ACS261" s="486"/>
      <c r="ACT261" s="486"/>
      <c r="ACU261" s="486"/>
      <c r="ACV261" s="486"/>
      <c r="ACW261" s="486"/>
      <c r="ACX261" s="486"/>
      <c r="ACY261" s="486"/>
      <c r="ACZ261" s="486"/>
      <c r="ADA261" s="486"/>
      <c r="ADB261" s="486"/>
      <c r="ADC261" s="486"/>
      <c r="ADD261" s="486"/>
      <c r="ADE261" s="486"/>
      <c r="ADF261" s="486"/>
      <c r="ADG261" s="486"/>
      <c r="ADH261" s="486"/>
      <c r="ADI261" s="486"/>
      <c r="ADJ261" s="486"/>
      <c r="ADK261" s="486"/>
      <c r="ADL261" s="486"/>
      <c r="ADM261" s="486"/>
      <c r="ADN261" s="486"/>
      <c r="ADO261" s="486"/>
      <c r="ADP261" s="486"/>
      <c r="ADQ261" s="486"/>
      <c r="ADR261" s="486"/>
      <c r="ADS261" s="486"/>
      <c r="ADT261" s="486"/>
      <c r="ADU261" s="486"/>
      <c r="ADV261" s="486"/>
      <c r="ADW261" s="486"/>
      <c r="ADX261" s="486"/>
      <c r="ADY261" s="486"/>
      <c r="ADZ261" s="486"/>
      <c r="AEA261" s="486"/>
      <c r="AEB261" s="486"/>
      <c r="AEC261" s="486"/>
      <c r="AED261" s="486"/>
      <c r="AEE261" s="486"/>
      <c r="AEF261" s="486"/>
      <c r="AEG261" s="486"/>
      <c r="AEH261" s="486"/>
      <c r="AEI261" s="486"/>
      <c r="AEJ261" s="486"/>
      <c r="AEK261" s="486"/>
      <c r="AEL261" s="486"/>
      <c r="AEM261" s="486"/>
      <c r="AEN261" s="486"/>
      <c r="AEO261" s="486"/>
      <c r="AEP261" s="486"/>
      <c r="AEQ261" s="486"/>
      <c r="AER261" s="486"/>
      <c r="AES261" s="486"/>
      <c r="AET261" s="486"/>
      <c r="AEU261" s="486"/>
      <c r="AEV261" s="486"/>
      <c r="AEW261" s="486"/>
      <c r="AEX261" s="486"/>
      <c r="AEY261" s="486"/>
      <c r="AEZ261" s="486"/>
      <c r="AFA261" s="486"/>
      <c r="AFB261" s="486"/>
      <c r="AFC261" s="486"/>
      <c r="AFD261" s="486"/>
      <c r="AFE261" s="486"/>
      <c r="AFF261" s="486"/>
      <c r="AFG261" s="486"/>
      <c r="AFH261" s="486"/>
      <c r="AFI261" s="486"/>
      <c r="AFJ261" s="486"/>
      <c r="AFK261" s="486"/>
      <c r="AFL261" s="486"/>
      <c r="AFM261" s="486"/>
      <c r="AFN261" s="486"/>
      <c r="AFO261" s="486"/>
      <c r="AFP261" s="486"/>
      <c r="AFQ261" s="486"/>
      <c r="AFR261" s="486"/>
      <c r="AFS261" s="486"/>
      <c r="AFT261" s="486"/>
      <c r="AFU261" s="486"/>
      <c r="AFV261" s="486"/>
      <c r="AFW261" s="486"/>
      <c r="AFX261" s="486"/>
      <c r="AFY261" s="486"/>
      <c r="AFZ261" s="486"/>
      <c r="AGA261" s="486"/>
      <c r="AGB261" s="486"/>
      <c r="AGC261" s="486"/>
      <c r="AGD261" s="486"/>
      <c r="AGE261" s="486"/>
      <c r="AGF261" s="486"/>
      <c r="AGG261" s="486"/>
      <c r="AGH261" s="486"/>
      <c r="AGI261" s="486"/>
      <c r="AGJ261" s="486"/>
      <c r="AGK261" s="486"/>
      <c r="AGL261" s="486"/>
      <c r="AGM261" s="486"/>
      <c r="AGN261" s="486"/>
      <c r="AGO261" s="486"/>
      <c r="AGP261" s="486"/>
      <c r="AGQ261" s="486"/>
      <c r="AGR261" s="486"/>
      <c r="AGS261" s="486"/>
      <c r="AGT261" s="486"/>
      <c r="AGU261" s="486"/>
      <c r="AGV261" s="486"/>
      <c r="AGW261" s="486"/>
      <c r="AGX261" s="486"/>
      <c r="AGY261" s="486"/>
      <c r="AGZ261" s="486"/>
      <c r="AHA261" s="486"/>
      <c r="AHB261" s="486"/>
      <c r="AHC261" s="486"/>
      <c r="AHD261" s="486"/>
      <c r="AHE261" s="486"/>
      <c r="AHF261" s="486"/>
      <c r="AHG261" s="486"/>
      <c r="AHH261" s="486"/>
      <c r="AHI261" s="486"/>
      <c r="AHJ261" s="486"/>
      <c r="AHK261" s="486"/>
      <c r="AHL261" s="486"/>
      <c r="AHM261" s="486"/>
      <c r="AHN261" s="486"/>
      <c r="AHO261" s="486"/>
      <c r="AHP261" s="486"/>
      <c r="AHQ261" s="486"/>
      <c r="AHR261" s="486"/>
      <c r="AHS261" s="486"/>
      <c r="AHT261" s="486"/>
      <c r="AHU261" s="486"/>
      <c r="AHV261" s="486"/>
      <c r="AHW261" s="486"/>
      <c r="AHX261" s="486"/>
      <c r="AHY261" s="486"/>
      <c r="AHZ261" s="486"/>
      <c r="AIA261" s="486"/>
      <c r="AIB261" s="486"/>
      <c r="AIC261" s="486"/>
      <c r="AID261" s="486"/>
      <c r="AIE261" s="486"/>
      <c r="AIF261" s="486"/>
      <c r="AIG261" s="486"/>
      <c r="AIH261" s="486"/>
      <c r="AII261" s="486"/>
      <c r="AIJ261" s="486"/>
      <c r="AIK261" s="486"/>
      <c r="AIL261" s="486"/>
      <c r="AIM261" s="486"/>
      <c r="AIN261" s="486"/>
      <c r="AIO261" s="486"/>
      <c r="AIP261" s="486"/>
      <c r="AIQ261" s="486"/>
      <c r="AIR261" s="486"/>
      <c r="AIS261" s="486"/>
      <c r="AIT261" s="486"/>
      <c r="AIU261" s="486"/>
      <c r="AIV261" s="486"/>
      <c r="AIW261" s="486"/>
      <c r="AIX261" s="486"/>
      <c r="AIY261" s="486"/>
      <c r="AIZ261" s="486"/>
      <c r="AJA261" s="486"/>
      <c r="AJB261" s="486"/>
      <c r="AJC261" s="486"/>
      <c r="AJD261" s="486"/>
      <c r="AJE261" s="486"/>
      <c r="AJF261" s="486"/>
      <c r="AJG261" s="486"/>
      <c r="AJH261" s="486"/>
      <c r="AJI261" s="486"/>
      <c r="AJJ261" s="486"/>
      <c r="AJK261" s="486"/>
      <c r="AJL261" s="486"/>
      <c r="AJM261" s="486"/>
      <c r="AJN261" s="486"/>
      <c r="AJO261" s="486"/>
      <c r="AJP261" s="486"/>
      <c r="AJQ261" s="486"/>
      <c r="AJR261" s="486"/>
      <c r="AJS261" s="486"/>
      <c r="AJT261" s="486"/>
      <c r="AJU261" s="486"/>
      <c r="AJV261" s="486"/>
      <c r="AJW261" s="486"/>
      <c r="AJX261" s="486"/>
      <c r="AJY261" s="486"/>
      <c r="AJZ261" s="486"/>
      <c r="AKA261" s="486"/>
      <c r="AKB261" s="486"/>
      <c r="AKC261" s="486"/>
      <c r="AKD261" s="486"/>
      <c r="AKE261" s="486"/>
      <c r="AKF261" s="486"/>
      <c r="AKG261" s="486"/>
      <c r="AKH261" s="486"/>
      <c r="AKI261" s="486"/>
      <c r="AKJ261" s="486"/>
      <c r="AKK261" s="486"/>
      <c r="AKL261" s="486"/>
      <c r="AKM261" s="486"/>
      <c r="AKN261" s="486"/>
      <c r="AKO261" s="486"/>
      <c r="AKP261" s="486"/>
      <c r="AKQ261" s="486"/>
      <c r="AKR261" s="486"/>
      <c r="AKS261" s="486"/>
      <c r="AKT261" s="486"/>
      <c r="AKU261" s="486"/>
      <c r="AKV261" s="486"/>
      <c r="AKW261" s="486"/>
      <c r="AKX261" s="486"/>
      <c r="AKY261" s="486"/>
      <c r="AKZ261" s="486"/>
      <c r="ALA261" s="486"/>
      <c r="ALB261" s="486"/>
      <c r="ALC261" s="486"/>
      <c r="ALD261" s="486"/>
      <c r="ALE261" s="486"/>
      <c r="ALF261" s="486"/>
      <c r="ALG261" s="486"/>
      <c r="ALH261" s="486"/>
      <c r="ALI261" s="486"/>
      <c r="ALJ261" s="486"/>
      <c r="ALK261" s="486"/>
      <c r="ALL261" s="486"/>
      <c r="ALM261" s="486"/>
      <c r="ALN261" s="486"/>
      <c r="ALO261" s="486"/>
      <c r="ALP261" s="486"/>
      <c r="ALQ261" s="486"/>
      <c r="ALR261" s="486"/>
      <c r="ALS261" s="486"/>
      <c r="ALT261" s="486"/>
      <c r="ALU261" s="486"/>
      <c r="ALV261" s="486"/>
      <c r="ALW261" s="486"/>
      <c r="ALX261" s="486"/>
      <c r="ALY261" s="486"/>
      <c r="ALZ261" s="486"/>
      <c r="AMA261" s="486"/>
      <c r="AMB261" s="486"/>
      <c r="AMC261" s="486"/>
      <c r="AMD261" s="486"/>
      <c r="AME261" s="486"/>
      <c r="AMF261" s="486"/>
      <c r="AMG261" s="486"/>
      <c r="AMH261" s="486"/>
      <c r="AMI261" s="486"/>
      <c r="AMJ261" s="486"/>
      <c r="AMK261" s="486"/>
      <c r="AML261" s="486"/>
      <c r="AMM261" s="486"/>
      <c r="AMN261" s="486"/>
      <c r="AMO261" s="486"/>
      <c r="AMP261" s="486"/>
      <c r="AMQ261" s="486"/>
      <c r="AMR261" s="486"/>
      <c r="AMS261" s="486"/>
      <c r="AMT261" s="486"/>
      <c r="AMU261" s="486"/>
      <c r="AMV261" s="486"/>
      <c r="AMW261" s="486"/>
      <c r="AMX261" s="486"/>
      <c r="AMY261" s="486"/>
      <c r="AMZ261" s="486"/>
      <c r="ANA261" s="486"/>
      <c r="ANB261" s="486"/>
      <c r="ANC261" s="486"/>
      <c r="AND261" s="486"/>
      <c r="ANE261" s="486"/>
      <c r="ANF261" s="486"/>
      <c r="ANG261" s="486"/>
      <c r="ANH261" s="486"/>
      <c r="ANI261" s="486"/>
      <c r="ANJ261" s="486"/>
      <c r="ANK261" s="486"/>
      <c r="ANL261" s="486"/>
      <c r="ANM261" s="486"/>
      <c r="ANN261" s="486"/>
      <c r="ANO261" s="486"/>
      <c r="ANP261" s="486"/>
      <c r="ANQ261" s="486"/>
      <c r="ANR261" s="486"/>
      <c r="ANS261" s="486"/>
      <c r="ANT261" s="486"/>
      <c r="ANU261" s="486"/>
      <c r="ANV261" s="486"/>
      <c r="ANW261" s="486"/>
      <c r="ANX261" s="486"/>
      <c r="ANY261" s="486"/>
      <c r="ANZ261" s="486"/>
      <c r="AOA261" s="486"/>
      <c r="AOB261" s="486"/>
      <c r="AOC261" s="486"/>
      <c r="AOD261" s="486"/>
      <c r="AOE261" s="486"/>
      <c r="AOF261" s="486"/>
      <c r="AOG261" s="486"/>
      <c r="AOH261" s="486"/>
      <c r="AOI261" s="486"/>
      <c r="AOJ261" s="486"/>
      <c r="AOK261" s="486"/>
      <c r="AOL261" s="486"/>
      <c r="AOM261" s="486"/>
      <c r="AON261" s="486"/>
      <c r="AOO261" s="486"/>
      <c r="AOP261" s="486"/>
      <c r="AOQ261" s="486"/>
      <c r="AOR261" s="486"/>
      <c r="AOS261" s="486"/>
      <c r="AOT261" s="486"/>
      <c r="AOU261" s="486"/>
      <c r="AOV261" s="486"/>
      <c r="AOW261" s="486"/>
      <c r="AOX261" s="486"/>
      <c r="AOY261" s="486"/>
      <c r="AOZ261" s="486"/>
      <c r="APA261" s="486"/>
      <c r="APB261" s="486"/>
      <c r="APC261" s="486"/>
      <c r="APD261" s="486"/>
      <c r="APE261" s="486"/>
      <c r="APF261" s="486"/>
      <c r="APG261" s="486"/>
      <c r="APH261" s="486"/>
      <c r="API261" s="486"/>
      <c r="APJ261" s="486"/>
      <c r="APK261" s="486"/>
      <c r="APL261" s="486"/>
      <c r="APM261" s="486"/>
      <c r="APN261" s="486"/>
      <c r="APO261" s="486"/>
      <c r="APP261" s="486"/>
      <c r="APQ261" s="486"/>
      <c r="APR261" s="486"/>
      <c r="APS261" s="486"/>
      <c r="APT261" s="486"/>
      <c r="APU261" s="486"/>
      <c r="APV261" s="486"/>
      <c r="APW261" s="486"/>
      <c r="APX261" s="486"/>
      <c r="APY261" s="486"/>
      <c r="APZ261" s="486"/>
      <c r="AQA261" s="486"/>
      <c r="AQB261" s="486"/>
      <c r="AQC261" s="486"/>
      <c r="AQD261" s="486"/>
      <c r="AQE261" s="486"/>
      <c r="AQF261" s="486"/>
      <c r="AQG261" s="486"/>
      <c r="AQH261" s="486"/>
      <c r="AQI261" s="486"/>
      <c r="AQJ261" s="486"/>
      <c r="AQK261" s="486"/>
      <c r="AQL261" s="486"/>
      <c r="AQM261" s="486"/>
      <c r="AQN261" s="486"/>
      <c r="AQO261" s="486"/>
      <c r="AQP261" s="486"/>
      <c r="AQQ261" s="486"/>
      <c r="AQR261" s="486"/>
      <c r="AQS261" s="486"/>
      <c r="AQT261" s="486"/>
      <c r="AQU261" s="486"/>
      <c r="AQV261" s="486"/>
      <c r="AQW261" s="486"/>
      <c r="AQX261" s="486"/>
      <c r="AQY261" s="486"/>
      <c r="AQZ261" s="486"/>
      <c r="ARA261" s="486"/>
      <c r="ARB261" s="486"/>
      <c r="ARC261" s="486"/>
      <c r="ARD261" s="486"/>
      <c r="ARE261" s="486"/>
      <c r="ARF261" s="486"/>
      <c r="ARG261" s="486"/>
      <c r="ARH261" s="486"/>
      <c r="ARI261" s="486"/>
      <c r="ARJ261" s="486"/>
      <c r="ARK261" s="486"/>
      <c r="ARL261" s="486"/>
      <c r="ARM261" s="486"/>
      <c r="ARN261" s="486"/>
      <c r="ARO261" s="486"/>
      <c r="ARP261" s="486"/>
      <c r="ARQ261" s="486"/>
      <c r="ARR261" s="486"/>
      <c r="ARS261" s="486"/>
      <c r="ART261" s="486"/>
      <c r="ARU261" s="486"/>
      <c r="ARV261" s="486"/>
      <c r="ARW261" s="486"/>
      <c r="ARX261" s="486"/>
      <c r="ARY261" s="486"/>
      <c r="ARZ261" s="486"/>
      <c r="ASA261" s="486"/>
      <c r="ASB261" s="486"/>
      <c r="ASC261" s="486"/>
      <c r="ASD261" s="486"/>
      <c r="ASE261" s="486"/>
      <c r="ASF261" s="486"/>
      <c r="ASG261" s="486"/>
      <c r="ASH261" s="486"/>
      <c r="ASI261" s="486"/>
      <c r="ASJ261" s="486"/>
      <c r="ASK261" s="486"/>
      <c r="ASL261" s="486"/>
      <c r="ASM261" s="486"/>
      <c r="ASN261" s="486"/>
      <c r="ASO261" s="486"/>
      <c r="ASP261" s="486"/>
      <c r="ASQ261" s="486"/>
      <c r="ASR261" s="486"/>
      <c r="ASS261" s="486"/>
      <c r="AST261" s="486"/>
      <c r="ASU261" s="486"/>
      <c r="ASV261" s="486"/>
      <c r="ASW261" s="486"/>
      <c r="ASX261" s="486"/>
      <c r="ASY261" s="486"/>
      <c r="ASZ261" s="486"/>
      <c r="ATA261" s="486"/>
      <c r="ATB261" s="486"/>
      <c r="ATC261" s="486"/>
      <c r="ATD261" s="486"/>
      <c r="ATE261" s="486"/>
      <c r="ATF261" s="486"/>
      <c r="ATG261" s="486"/>
      <c r="ATH261" s="486"/>
      <c r="ATI261" s="486"/>
      <c r="ATJ261" s="486"/>
      <c r="ATK261" s="486"/>
      <c r="ATL261" s="486"/>
      <c r="ATM261" s="486"/>
      <c r="ATN261" s="486"/>
      <c r="ATO261" s="486"/>
      <c r="ATP261" s="486"/>
      <c r="ATQ261" s="486"/>
      <c r="ATR261" s="486"/>
      <c r="ATS261" s="486"/>
      <c r="ATT261" s="486"/>
      <c r="ATU261" s="486"/>
      <c r="ATV261" s="486"/>
      <c r="ATW261" s="486"/>
      <c r="ATX261" s="486"/>
      <c r="ATY261" s="486"/>
      <c r="ATZ261" s="486"/>
      <c r="AUA261" s="486"/>
      <c r="AUB261" s="486"/>
      <c r="AUC261" s="486"/>
      <c r="AUD261" s="486"/>
      <c r="AUE261" s="486"/>
      <c r="AUF261" s="486"/>
      <c r="AUG261" s="486"/>
      <c r="AUH261" s="486"/>
      <c r="AUI261" s="486"/>
      <c r="AUJ261" s="486"/>
      <c r="AUK261" s="486"/>
      <c r="AUL261" s="486"/>
      <c r="AUM261" s="486"/>
      <c r="AUN261" s="486"/>
      <c r="AUO261" s="486"/>
      <c r="AUP261" s="486"/>
      <c r="AUQ261" s="486"/>
      <c r="AUR261" s="486"/>
      <c r="AUS261" s="486"/>
      <c r="AUT261" s="486"/>
      <c r="AUU261" s="486"/>
      <c r="AUV261" s="486"/>
      <c r="AUW261" s="486"/>
      <c r="AUX261" s="486"/>
      <c r="AUY261" s="486"/>
      <c r="AUZ261" s="486"/>
      <c r="AVA261" s="486"/>
      <c r="AVB261" s="486"/>
      <c r="AVC261" s="486"/>
      <c r="AVD261" s="486"/>
      <c r="AVE261" s="486"/>
      <c r="AVF261" s="486"/>
      <c r="AVG261" s="486"/>
      <c r="AVH261" s="486"/>
      <c r="AVI261" s="486"/>
      <c r="AVJ261" s="486"/>
      <c r="AVK261" s="486"/>
      <c r="AVL261" s="486"/>
      <c r="AVM261" s="486"/>
      <c r="AVN261" s="486"/>
      <c r="AVO261" s="486"/>
      <c r="AVP261" s="486"/>
      <c r="AVQ261" s="486"/>
      <c r="AVR261" s="486"/>
      <c r="AVS261" s="486"/>
      <c r="AVT261" s="486"/>
      <c r="AVU261" s="486"/>
      <c r="AVV261" s="486"/>
      <c r="AVW261" s="486"/>
      <c r="AVX261" s="486"/>
      <c r="AVY261" s="486"/>
      <c r="AVZ261" s="486"/>
      <c r="AWA261" s="486"/>
      <c r="AWB261" s="486"/>
      <c r="AWC261" s="486"/>
      <c r="AWD261" s="486"/>
      <c r="AWE261" s="486"/>
      <c r="AWF261" s="486"/>
      <c r="AWG261" s="486"/>
      <c r="AWH261" s="486"/>
      <c r="AWI261" s="486"/>
      <c r="AWJ261" s="486"/>
      <c r="AWK261" s="486"/>
      <c r="AWL261" s="486"/>
      <c r="AWM261" s="486"/>
      <c r="AWN261" s="486"/>
      <c r="AWO261" s="486"/>
      <c r="AWP261" s="486"/>
      <c r="AWQ261" s="486"/>
      <c r="AWR261" s="486"/>
      <c r="AWS261" s="486"/>
      <c r="AWT261" s="486"/>
      <c r="AWU261" s="486"/>
      <c r="AWV261" s="486"/>
      <c r="AWW261" s="486"/>
      <c r="AWX261" s="486"/>
      <c r="AWY261" s="486"/>
      <c r="AWZ261" s="486"/>
      <c r="AXA261" s="486"/>
      <c r="AXB261" s="486"/>
      <c r="AXC261" s="486"/>
      <c r="AXD261" s="486"/>
      <c r="AXE261" s="486"/>
      <c r="AXF261" s="486"/>
      <c r="AXG261" s="486"/>
      <c r="AXH261" s="486"/>
      <c r="AXI261" s="486"/>
      <c r="AXJ261" s="486"/>
      <c r="AXK261" s="486"/>
      <c r="AXL261" s="486"/>
      <c r="AXM261" s="486"/>
      <c r="AXN261" s="486"/>
      <c r="AXO261" s="486"/>
      <c r="AXP261" s="486"/>
      <c r="AXQ261" s="486"/>
      <c r="AXR261" s="486"/>
      <c r="AXS261" s="486"/>
      <c r="AXT261" s="486"/>
      <c r="AXU261" s="486"/>
      <c r="AXV261" s="486"/>
      <c r="AXW261" s="486"/>
      <c r="AXX261" s="486"/>
      <c r="AXY261" s="486"/>
      <c r="AXZ261" s="486"/>
      <c r="AYA261" s="486"/>
      <c r="AYB261" s="486"/>
      <c r="AYC261" s="486"/>
      <c r="AYD261" s="486"/>
      <c r="AYE261" s="486"/>
      <c r="AYF261" s="486"/>
      <c r="AYG261" s="486"/>
      <c r="AYH261" s="486"/>
      <c r="AYI261" s="486"/>
      <c r="AYJ261" s="486"/>
      <c r="AYK261" s="486"/>
      <c r="AYL261" s="486"/>
      <c r="AYM261" s="486"/>
      <c r="AYN261" s="486"/>
      <c r="AYO261" s="486"/>
      <c r="AYP261" s="486"/>
      <c r="AYQ261" s="486"/>
      <c r="AYR261" s="486"/>
      <c r="AYS261" s="486"/>
      <c r="AYT261" s="486"/>
      <c r="AYU261" s="486"/>
      <c r="AYV261" s="486"/>
      <c r="AYW261" s="486"/>
      <c r="AYX261" s="486"/>
      <c r="AYY261" s="486"/>
      <c r="AYZ261" s="486"/>
      <c r="AZA261" s="486"/>
      <c r="AZB261" s="486"/>
      <c r="AZC261" s="486"/>
      <c r="AZD261" s="486"/>
      <c r="AZE261" s="486"/>
      <c r="AZF261" s="486"/>
      <c r="AZG261" s="486"/>
      <c r="AZH261" s="486"/>
      <c r="AZI261" s="486"/>
      <c r="AZJ261" s="486"/>
      <c r="AZK261" s="486"/>
      <c r="AZL261" s="486"/>
      <c r="AZM261" s="486"/>
      <c r="AZN261" s="486"/>
      <c r="AZO261" s="486"/>
      <c r="AZP261" s="486"/>
      <c r="AZQ261" s="486"/>
      <c r="AZR261" s="486"/>
      <c r="AZS261" s="486"/>
      <c r="AZT261" s="486"/>
      <c r="AZU261" s="486"/>
      <c r="AZV261" s="486"/>
      <c r="AZW261" s="486"/>
      <c r="AZX261" s="486"/>
      <c r="AZY261" s="486"/>
      <c r="AZZ261" s="486"/>
      <c r="BAA261" s="486"/>
      <c r="BAB261" s="486"/>
      <c r="BAC261" s="486"/>
      <c r="BAD261" s="486"/>
      <c r="BAE261" s="486"/>
      <c r="BAF261" s="486"/>
      <c r="BAG261" s="486"/>
      <c r="BAH261" s="486"/>
      <c r="BAI261" s="486"/>
      <c r="BAJ261" s="486"/>
      <c r="BAK261" s="486"/>
      <c r="BAL261" s="486"/>
      <c r="BAM261" s="486"/>
      <c r="BAN261" s="486"/>
      <c r="BAO261" s="486"/>
      <c r="BAP261" s="486"/>
      <c r="BAQ261" s="486"/>
      <c r="BAR261" s="486"/>
      <c r="BAS261" s="486"/>
      <c r="BAT261" s="486"/>
      <c r="BAU261" s="486"/>
      <c r="BAV261" s="486"/>
      <c r="BAW261" s="486"/>
      <c r="BAX261" s="486"/>
      <c r="BAY261" s="486"/>
      <c r="BAZ261" s="486"/>
      <c r="BBA261" s="486"/>
      <c r="BBB261" s="486"/>
      <c r="BBC261" s="486"/>
      <c r="BBD261" s="486"/>
      <c r="BBE261" s="486"/>
      <c r="BBF261" s="486"/>
      <c r="BBG261" s="486"/>
      <c r="BBH261" s="486"/>
      <c r="BBI261" s="486"/>
      <c r="BBJ261" s="486"/>
      <c r="BBK261" s="486"/>
      <c r="BBL261" s="486"/>
      <c r="BBM261" s="486"/>
      <c r="BBN261" s="486"/>
      <c r="BBO261" s="486"/>
      <c r="BBP261" s="486"/>
      <c r="BBQ261" s="486"/>
      <c r="BBR261" s="486"/>
      <c r="BBS261" s="486"/>
      <c r="BBT261" s="486"/>
      <c r="BBU261" s="486"/>
      <c r="BBV261" s="486"/>
      <c r="BBW261" s="486"/>
      <c r="BBX261" s="486"/>
      <c r="BBY261" s="486"/>
      <c r="BBZ261" s="486"/>
      <c r="BCA261" s="486"/>
      <c r="BCB261" s="486"/>
      <c r="BCC261" s="486"/>
      <c r="BCD261" s="486"/>
      <c r="BCE261" s="486"/>
      <c r="BCF261" s="486"/>
      <c r="BCG261" s="486"/>
      <c r="BCH261" s="486"/>
      <c r="BCI261" s="486"/>
      <c r="BCJ261" s="486"/>
      <c r="BCK261" s="486"/>
      <c r="BCL261" s="486"/>
      <c r="BCM261" s="486"/>
      <c r="BCN261" s="486"/>
      <c r="BCO261" s="486"/>
      <c r="BCP261" s="486"/>
      <c r="BCQ261" s="486"/>
      <c r="BCR261" s="486"/>
      <c r="BCS261" s="486"/>
      <c r="BCT261" s="486"/>
      <c r="BCU261" s="486"/>
      <c r="BCV261" s="486"/>
      <c r="BCW261" s="486"/>
      <c r="BCX261" s="486"/>
      <c r="BCY261" s="486"/>
      <c r="BCZ261" s="486"/>
      <c r="BDA261" s="486"/>
      <c r="BDB261" s="486"/>
      <c r="BDC261" s="486"/>
      <c r="BDD261" s="486"/>
      <c r="BDE261" s="486"/>
      <c r="BDF261" s="486"/>
      <c r="BDG261" s="486"/>
      <c r="BDH261" s="486"/>
      <c r="BDI261" s="486"/>
      <c r="BDJ261" s="486"/>
      <c r="BDK261" s="486"/>
      <c r="BDL261" s="486"/>
      <c r="BDM261" s="486"/>
      <c r="BDN261" s="486"/>
      <c r="BDO261" s="486"/>
      <c r="BDP261" s="486"/>
      <c r="BDQ261" s="486"/>
      <c r="BDR261" s="486"/>
      <c r="BDS261" s="486"/>
      <c r="BDT261" s="486"/>
      <c r="BDU261" s="486"/>
      <c r="BDV261" s="486"/>
      <c r="BDW261" s="486"/>
      <c r="BDX261" s="486"/>
      <c r="BDY261" s="486"/>
      <c r="BDZ261" s="486"/>
      <c r="BEA261" s="486"/>
      <c r="BEB261" s="486"/>
      <c r="BEC261" s="486"/>
      <c r="BED261" s="486"/>
      <c r="BEE261" s="486"/>
      <c r="BEF261" s="486"/>
      <c r="BEG261" s="486"/>
      <c r="BEH261" s="486"/>
      <c r="BEI261" s="486"/>
      <c r="BEJ261" s="486"/>
      <c r="BEK261" s="486"/>
      <c r="BEL261" s="486"/>
      <c r="BEM261" s="486"/>
      <c r="BEN261" s="486"/>
      <c r="BEO261" s="486"/>
      <c r="BEP261" s="486"/>
      <c r="BEQ261" s="486"/>
      <c r="BER261" s="486"/>
      <c r="BES261" s="486"/>
      <c r="BET261" s="486"/>
      <c r="BEU261" s="486"/>
      <c r="BEV261" s="486"/>
      <c r="BEW261" s="486"/>
      <c r="BEX261" s="486"/>
      <c r="BEY261" s="486"/>
      <c r="BEZ261" s="486"/>
      <c r="BFA261" s="486"/>
      <c r="BFB261" s="486"/>
      <c r="BFC261" s="486"/>
      <c r="BFD261" s="486"/>
      <c r="BFE261" s="486"/>
      <c r="BFF261" s="486"/>
      <c r="BFG261" s="486"/>
      <c r="BFH261" s="486"/>
      <c r="BFI261" s="486"/>
      <c r="BFJ261" s="486"/>
      <c r="BFK261" s="486"/>
      <c r="BFL261" s="486"/>
      <c r="BFM261" s="486"/>
      <c r="BFN261" s="486"/>
      <c r="BFO261" s="486"/>
      <c r="BFP261" s="486"/>
      <c r="BFQ261" s="486"/>
      <c r="BFR261" s="486"/>
      <c r="BFS261" s="486"/>
      <c r="BFT261" s="486"/>
      <c r="BFU261" s="486"/>
      <c r="BFV261" s="486"/>
      <c r="BFW261" s="486"/>
      <c r="BFX261" s="486"/>
      <c r="BFY261" s="486"/>
      <c r="BFZ261" s="486"/>
      <c r="BGA261" s="486"/>
      <c r="BGB261" s="486"/>
      <c r="BGC261" s="486"/>
      <c r="BGD261" s="486"/>
      <c r="BGE261" s="486"/>
      <c r="BGF261" s="486"/>
      <c r="BGG261" s="486"/>
      <c r="BGH261" s="486"/>
      <c r="BGI261" s="486"/>
      <c r="BGJ261" s="486"/>
      <c r="BGK261" s="486"/>
      <c r="BGL261" s="486"/>
      <c r="BGM261" s="486"/>
      <c r="BGN261" s="486"/>
      <c r="BGO261" s="486"/>
      <c r="BGP261" s="486"/>
      <c r="BGQ261" s="486"/>
      <c r="BGR261" s="486"/>
      <c r="BGS261" s="486"/>
      <c r="BGT261" s="486"/>
      <c r="BGU261" s="486"/>
      <c r="BGV261" s="486"/>
      <c r="BGW261" s="486"/>
      <c r="BGX261" s="486"/>
      <c r="BGY261" s="486"/>
      <c r="BGZ261" s="486"/>
      <c r="BHA261" s="486"/>
      <c r="BHB261" s="486"/>
      <c r="BHC261" s="486"/>
      <c r="BHD261" s="486"/>
      <c r="BHE261" s="486"/>
      <c r="BHF261" s="486"/>
      <c r="BHG261" s="486"/>
      <c r="BHH261" s="486"/>
      <c r="BHI261" s="486"/>
      <c r="BHJ261" s="486"/>
      <c r="BHK261" s="486"/>
      <c r="BHL261" s="486"/>
      <c r="BHM261" s="486"/>
      <c r="BHN261" s="486"/>
      <c r="BHO261" s="486"/>
      <c r="BHP261" s="486"/>
      <c r="BHQ261" s="486"/>
      <c r="BHR261" s="486"/>
      <c r="BHS261" s="486"/>
      <c r="BHT261" s="486"/>
      <c r="BHU261" s="486"/>
      <c r="BHV261" s="486"/>
      <c r="BHW261" s="486"/>
      <c r="BHX261" s="486"/>
      <c r="BHY261" s="486"/>
      <c r="BHZ261" s="486"/>
      <c r="BIA261" s="486"/>
      <c r="BIB261" s="486"/>
      <c r="BIC261" s="486"/>
      <c r="BID261" s="486"/>
      <c r="BIE261" s="486"/>
      <c r="BIF261" s="486"/>
      <c r="BIG261" s="486"/>
      <c r="BIH261" s="486"/>
      <c r="BII261" s="486"/>
      <c r="BIJ261" s="486"/>
      <c r="BIK261" s="486"/>
      <c r="BIL261" s="486"/>
      <c r="BIM261" s="486"/>
      <c r="BIN261" s="486"/>
      <c r="BIO261" s="486"/>
      <c r="BIP261" s="486"/>
      <c r="BIQ261" s="486"/>
      <c r="BIR261" s="486"/>
      <c r="BIS261" s="486"/>
      <c r="BIT261" s="486"/>
      <c r="BIU261" s="486"/>
      <c r="BIV261" s="486"/>
      <c r="BIW261" s="486"/>
      <c r="BIX261" s="486"/>
      <c r="BIY261" s="486"/>
      <c r="BIZ261" s="486"/>
      <c r="BJA261" s="486"/>
      <c r="BJB261" s="486"/>
      <c r="BJC261" s="486"/>
      <c r="BJD261" s="486"/>
      <c r="BJE261" s="486"/>
      <c r="BJF261" s="486"/>
      <c r="BJG261" s="486"/>
      <c r="BJH261" s="486"/>
      <c r="BJI261" s="486"/>
      <c r="BJJ261" s="486"/>
      <c r="BJK261" s="486"/>
      <c r="BJL261" s="486"/>
      <c r="BJM261" s="486"/>
      <c r="BJN261" s="486"/>
      <c r="BJO261" s="486"/>
      <c r="BJP261" s="486"/>
      <c r="BJQ261" s="486"/>
      <c r="BJR261" s="486"/>
      <c r="BJS261" s="486"/>
      <c r="BJT261" s="486"/>
      <c r="BJU261" s="486"/>
      <c r="BJV261" s="486"/>
      <c r="BJW261" s="486"/>
      <c r="BJX261" s="486"/>
      <c r="BJY261" s="486"/>
      <c r="BJZ261" s="486"/>
      <c r="BKA261" s="486"/>
      <c r="BKB261" s="486"/>
      <c r="BKC261" s="486"/>
      <c r="BKD261" s="486"/>
      <c r="BKE261" s="486"/>
      <c r="BKF261" s="486"/>
      <c r="BKG261" s="486"/>
      <c r="BKH261" s="486"/>
      <c r="BKI261" s="486"/>
      <c r="BKJ261" s="486"/>
      <c r="BKK261" s="486"/>
      <c r="BKL261" s="486"/>
      <c r="BKM261" s="486"/>
      <c r="BKN261" s="486"/>
      <c r="BKO261" s="486"/>
      <c r="BKP261" s="486"/>
      <c r="BKQ261" s="486"/>
      <c r="BKR261" s="486"/>
      <c r="BKS261" s="486"/>
      <c r="BKT261" s="486"/>
      <c r="BKU261" s="486"/>
      <c r="BKV261" s="486"/>
      <c r="BKW261" s="486"/>
      <c r="BKX261" s="486"/>
      <c r="BKY261" s="486"/>
      <c r="BKZ261" s="486"/>
      <c r="BLA261" s="486"/>
      <c r="BLB261" s="486"/>
      <c r="BLC261" s="486"/>
      <c r="BLD261" s="486"/>
      <c r="BLE261" s="486"/>
      <c r="BLF261" s="486"/>
      <c r="BLG261" s="486"/>
      <c r="BLH261" s="486"/>
      <c r="BLI261" s="486"/>
      <c r="BLJ261" s="486"/>
      <c r="BLK261" s="486"/>
      <c r="BLL261" s="486"/>
      <c r="BLM261" s="486"/>
      <c r="BLN261" s="486"/>
      <c r="BLO261" s="486"/>
      <c r="BLP261" s="486"/>
      <c r="BLQ261" s="486"/>
      <c r="BLR261" s="486"/>
      <c r="BLS261" s="486"/>
      <c r="BLT261" s="486"/>
      <c r="BLU261" s="486"/>
      <c r="BLV261" s="486"/>
      <c r="BLW261" s="486"/>
      <c r="BLX261" s="486"/>
      <c r="BLY261" s="486"/>
      <c r="BLZ261" s="486"/>
      <c r="BMA261" s="486"/>
      <c r="BMB261" s="486"/>
      <c r="BMC261" s="486"/>
      <c r="BMD261" s="486"/>
      <c r="BME261" s="486"/>
      <c r="BMF261" s="486"/>
      <c r="BMG261" s="486"/>
      <c r="BMH261" s="486"/>
      <c r="BMI261" s="486"/>
      <c r="BMJ261" s="486"/>
      <c r="BMK261" s="486"/>
      <c r="BML261" s="486"/>
      <c r="BMM261" s="486"/>
      <c r="BMN261" s="486"/>
      <c r="BMO261" s="486"/>
      <c r="BMP261" s="486"/>
      <c r="BMQ261" s="486"/>
      <c r="BMR261" s="486"/>
      <c r="BMS261" s="486"/>
      <c r="BMT261" s="486"/>
      <c r="BMU261" s="486"/>
      <c r="BMV261" s="486"/>
      <c r="BMW261" s="486"/>
      <c r="BMX261" s="486"/>
      <c r="BMY261" s="486"/>
      <c r="BMZ261" s="486"/>
      <c r="BNA261" s="486"/>
      <c r="BNB261" s="486"/>
      <c r="BNC261" s="486"/>
      <c r="BND261" s="486"/>
      <c r="BNE261" s="486"/>
      <c r="BNF261" s="486"/>
      <c r="BNG261" s="486"/>
      <c r="BNH261" s="486"/>
      <c r="BNI261" s="486"/>
      <c r="BNJ261" s="486"/>
      <c r="BNK261" s="486"/>
      <c r="BNL261" s="486"/>
      <c r="BNM261" s="486"/>
      <c r="BNN261" s="486"/>
      <c r="BNO261" s="486"/>
      <c r="BNP261" s="486"/>
      <c r="BNQ261" s="486"/>
      <c r="BNR261" s="486"/>
      <c r="BNS261" s="486"/>
      <c r="BNT261" s="486"/>
      <c r="BNU261" s="486"/>
      <c r="BNV261" s="486"/>
      <c r="BNW261" s="486"/>
      <c r="BNX261" s="486"/>
      <c r="BNY261" s="486"/>
      <c r="BNZ261" s="486"/>
      <c r="BOA261" s="486"/>
      <c r="BOB261" s="486"/>
      <c r="BOC261" s="486"/>
      <c r="BOD261" s="486"/>
      <c r="BOE261" s="486"/>
      <c r="BOF261" s="486"/>
      <c r="BOG261" s="486"/>
      <c r="BOH261" s="486"/>
      <c r="BOI261" s="486"/>
      <c r="BOJ261" s="486"/>
      <c r="BOK261" s="486"/>
      <c r="BOL261" s="486"/>
      <c r="BOM261" s="486"/>
      <c r="BON261" s="486"/>
      <c r="BOO261" s="486"/>
      <c r="BOP261" s="486"/>
      <c r="BOQ261" s="486"/>
      <c r="BOR261" s="486"/>
      <c r="BOS261" s="486"/>
      <c r="BOT261" s="486"/>
      <c r="BOU261" s="486"/>
      <c r="BOV261" s="486"/>
      <c r="BOW261" s="486"/>
      <c r="BOX261" s="486"/>
      <c r="BOY261" s="486"/>
      <c r="BOZ261" s="486"/>
      <c r="BPA261" s="486"/>
      <c r="BPB261" s="486"/>
      <c r="BPC261" s="486"/>
      <c r="BPD261" s="486"/>
      <c r="BPE261" s="486"/>
      <c r="BPF261" s="486"/>
      <c r="BPG261" s="486"/>
      <c r="BPH261" s="486"/>
      <c r="BPI261" s="486"/>
      <c r="BPJ261" s="486"/>
      <c r="BPK261" s="486"/>
      <c r="BPL261" s="486"/>
      <c r="BPM261" s="486"/>
      <c r="BPN261" s="486"/>
      <c r="BPO261" s="486"/>
      <c r="BPP261" s="486"/>
      <c r="BPQ261" s="486"/>
      <c r="BPR261" s="486"/>
      <c r="BPS261" s="486"/>
      <c r="BPT261" s="486"/>
      <c r="BPU261" s="486"/>
      <c r="BPV261" s="486"/>
      <c r="BPW261" s="486"/>
      <c r="BPX261" s="486"/>
      <c r="BPY261" s="486"/>
      <c r="BPZ261" s="486"/>
      <c r="BQA261" s="486"/>
      <c r="BQB261" s="486"/>
      <c r="BQC261" s="486"/>
      <c r="BQD261" s="486"/>
      <c r="BQE261" s="486"/>
      <c r="BQF261" s="486"/>
      <c r="BQG261" s="486"/>
      <c r="BQH261" s="486"/>
      <c r="BQI261" s="486"/>
      <c r="BQJ261" s="486"/>
      <c r="BQK261" s="486"/>
      <c r="BQL261" s="486"/>
      <c r="BQM261" s="486"/>
      <c r="BQN261" s="486"/>
      <c r="BQO261" s="486"/>
      <c r="BQP261" s="486"/>
      <c r="BQQ261" s="486"/>
      <c r="BQR261" s="486"/>
      <c r="BQS261" s="486"/>
      <c r="BQT261" s="486"/>
      <c r="BQU261" s="486"/>
      <c r="BQV261" s="486"/>
      <c r="BQW261" s="486"/>
      <c r="BQX261" s="486"/>
      <c r="BQY261" s="486"/>
      <c r="BQZ261" s="486"/>
      <c r="BRA261" s="486"/>
      <c r="BRB261" s="486"/>
      <c r="BRC261" s="486"/>
      <c r="BRD261" s="486"/>
      <c r="BRE261" s="486"/>
      <c r="BRF261" s="486"/>
      <c r="BRG261" s="486"/>
      <c r="BRH261" s="486"/>
      <c r="BRI261" s="486"/>
      <c r="BRJ261" s="486"/>
      <c r="BRK261" s="486"/>
      <c r="BRL261" s="486"/>
      <c r="BRM261" s="486"/>
      <c r="BRN261" s="486"/>
      <c r="BRO261" s="486"/>
      <c r="BRP261" s="486"/>
      <c r="BRQ261" s="486"/>
      <c r="BRR261" s="486"/>
      <c r="BRS261" s="486"/>
      <c r="BRT261" s="486"/>
      <c r="BRU261" s="486"/>
      <c r="BRV261" s="486"/>
      <c r="BRW261" s="486"/>
      <c r="BRX261" s="486"/>
      <c r="BRY261" s="486"/>
      <c r="BRZ261" s="486"/>
      <c r="BSA261" s="486"/>
      <c r="BSB261" s="486"/>
      <c r="BSC261" s="486"/>
      <c r="BSD261" s="486"/>
      <c r="BSE261" s="486"/>
      <c r="BSF261" s="486"/>
      <c r="BSG261" s="486"/>
      <c r="BSH261" s="486"/>
      <c r="BSI261" s="486"/>
      <c r="BSJ261" s="486"/>
      <c r="BSK261" s="486"/>
      <c r="BSL261" s="486"/>
      <c r="BSM261" s="486"/>
      <c r="BSN261" s="486"/>
      <c r="BSO261" s="486"/>
      <c r="BSP261" s="486"/>
      <c r="BSQ261" s="486"/>
      <c r="BSR261" s="486"/>
      <c r="BSS261" s="486"/>
      <c r="BST261" s="486"/>
      <c r="BSU261" s="486"/>
      <c r="BSV261" s="486"/>
      <c r="BSW261" s="486"/>
      <c r="BSX261" s="486"/>
      <c r="BSY261" s="486"/>
      <c r="BSZ261" s="486"/>
      <c r="BTA261" s="486"/>
      <c r="BTB261" s="486"/>
      <c r="BTC261" s="486"/>
      <c r="BTD261" s="486"/>
      <c r="BTE261" s="486"/>
      <c r="BTF261" s="486"/>
      <c r="BTG261" s="486"/>
      <c r="BTH261" s="486"/>
      <c r="BTI261" s="486"/>
    </row>
    <row r="262" spans="1:1881" s="485" customFormat="1" ht="30.75" customHeight="1" thickBot="1" x14ac:dyDescent="0.3">
      <c r="A262" s="567">
        <v>964</v>
      </c>
      <c r="B262" s="920" t="s">
        <v>927</v>
      </c>
      <c r="C262" s="921"/>
      <c r="D262" s="927"/>
      <c r="E262" s="928"/>
      <c r="F262" s="847" t="str">
        <f t="shared" si="4"/>
        <v>&lt;&lt;&lt;&lt;&lt;&lt;&lt;&lt;&lt;&lt;&lt;&lt;&lt;&lt;&lt;&lt;&lt;&lt;&lt;</v>
      </c>
      <c r="G262" s="847" t="str">
        <f>IF(ISBLANK($D262),"Cell D262 must be completed.","")</f>
        <v>Cell D262 must be completed.</v>
      </c>
      <c r="H262" s="487"/>
      <c r="I262" s="405"/>
      <c r="J262" s="486"/>
      <c r="K262" s="486"/>
      <c r="L262" s="486"/>
      <c r="M262" s="486"/>
      <c r="N262"/>
      <c r="O262" s="486"/>
      <c r="P262" s="486"/>
      <c r="Q262" s="486"/>
      <c r="R262" s="486"/>
      <c r="S262" s="486"/>
      <c r="T262" s="486"/>
      <c r="U262" s="486"/>
      <c r="V262" s="486"/>
      <c r="W262" s="486"/>
      <c r="X262" s="486"/>
      <c r="Y262" s="486"/>
      <c r="Z262" s="486"/>
      <c r="AA262" s="486"/>
      <c r="AB262" s="486"/>
      <c r="AC262" s="486"/>
      <c r="AD262" s="486"/>
      <c r="AE262" s="486"/>
      <c r="AF262" s="486"/>
      <c r="AG262" s="486"/>
      <c r="AH262" s="486"/>
      <c r="AI262" s="486"/>
      <c r="AJ262" s="486"/>
      <c r="AK262" s="486"/>
      <c r="AL262" s="486"/>
      <c r="AM262" s="486"/>
      <c r="AN262" s="486"/>
      <c r="AO262" s="486"/>
      <c r="AP262" s="486"/>
      <c r="AQ262" s="486"/>
      <c r="AR262" s="486"/>
      <c r="AS262" s="486"/>
      <c r="AT262" s="486"/>
      <c r="AU262" s="486"/>
      <c r="AV262" s="486"/>
      <c r="AW262" s="486"/>
      <c r="AX262" s="486"/>
      <c r="AY262" s="486"/>
      <c r="AZ262" s="486"/>
      <c r="BA262" s="486"/>
      <c r="BB262" s="486"/>
      <c r="BC262" s="486"/>
      <c r="BD262" s="486"/>
      <c r="BE262" s="486"/>
      <c r="BF262" s="486"/>
      <c r="BG262" s="486"/>
      <c r="BH262" s="486"/>
      <c r="BI262" s="486"/>
      <c r="BJ262" s="486"/>
      <c r="BK262" s="486"/>
      <c r="BL262" s="486"/>
      <c r="BM262" s="486"/>
      <c r="BN262" s="486"/>
      <c r="BO262" s="486"/>
      <c r="BP262" s="486"/>
      <c r="BQ262" s="486"/>
      <c r="BR262" s="486"/>
      <c r="BS262" s="486"/>
      <c r="BT262" s="486"/>
      <c r="BU262" s="486"/>
      <c r="BV262" s="486"/>
      <c r="BW262" s="486"/>
      <c r="BX262" s="486"/>
      <c r="BY262" s="486"/>
      <c r="BZ262" s="486"/>
      <c r="CA262" s="486"/>
      <c r="CB262" s="486"/>
      <c r="CC262" s="486"/>
      <c r="CD262" s="486"/>
      <c r="CE262" s="486"/>
      <c r="CF262" s="486"/>
      <c r="CG262" s="486"/>
      <c r="CH262" s="486"/>
      <c r="CI262" s="486"/>
      <c r="CJ262" s="486"/>
      <c r="CK262" s="486"/>
      <c r="CL262" s="486"/>
      <c r="CM262" s="486"/>
      <c r="CN262" s="486"/>
      <c r="CO262" s="486"/>
      <c r="CP262" s="486"/>
      <c r="CQ262" s="486"/>
      <c r="CR262" s="486"/>
      <c r="CS262" s="486"/>
      <c r="CT262" s="486"/>
      <c r="CU262" s="486"/>
      <c r="CV262" s="486"/>
      <c r="CW262" s="486"/>
      <c r="CX262" s="486"/>
      <c r="CY262" s="486"/>
      <c r="CZ262" s="486"/>
      <c r="DA262" s="486"/>
      <c r="DB262" s="486"/>
      <c r="DC262" s="486"/>
      <c r="DD262" s="486"/>
      <c r="DE262" s="486"/>
      <c r="DF262" s="486"/>
      <c r="DG262" s="486"/>
      <c r="DH262" s="486"/>
      <c r="DI262" s="486"/>
      <c r="DJ262" s="486"/>
      <c r="DK262" s="486"/>
      <c r="DL262" s="486"/>
      <c r="DM262" s="486"/>
      <c r="DN262" s="486"/>
      <c r="DO262" s="486"/>
      <c r="DP262" s="486"/>
      <c r="DQ262" s="486"/>
      <c r="DR262" s="486"/>
      <c r="DS262" s="486"/>
      <c r="DT262" s="486"/>
      <c r="DU262" s="486"/>
      <c r="DV262" s="486"/>
      <c r="DW262" s="486"/>
      <c r="DX262" s="486"/>
      <c r="DY262" s="486"/>
      <c r="DZ262" s="486"/>
      <c r="EA262" s="486"/>
      <c r="EB262" s="486"/>
      <c r="EC262" s="486"/>
      <c r="ED262" s="486"/>
      <c r="EE262" s="486"/>
      <c r="EF262" s="486"/>
      <c r="EG262" s="486"/>
      <c r="EH262" s="486"/>
      <c r="EI262" s="486"/>
      <c r="EJ262" s="486"/>
      <c r="EK262" s="486"/>
      <c r="EL262" s="486"/>
      <c r="EM262" s="486"/>
      <c r="EN262" s="486"/>
      <c r="EO262" s="486"/>
      <c r="EP262" s="486"/>
      <c r="EQ262" s="486"/>
      <c r="ER262" s="486"/>
      <c r="ES262" s="486"/>
      <c r="ET262" s="486"/>
      <c r="EU262" s="486"/>
      <c r="EV262" s="486"/>
      <c r="EW262" s="486"/>
      <c r="EX262" s="486"/>
      <c r="EY262" s="486"/>
      <c r="EZ262" s="486"/>
      <c r="FA262" s="486"/>
      <c r="FB262" s="486"/>
      <c r="FC262" s="486"/>
      <c r="FD262" s="486"/>
      <c r="FE262" s="486"/>
      <c r="FF262" s="486"/>
      <c r="FG262" s="486"/>
      <c r="FH262" s="486"/>
      <c r="FI262" s="486"/>
      <c r="FJ262" s="486"/>
      <c r="FK262" s="486"/>
      <c r="FL262" s="486"/>
      <c r="FM262" s="486"/>
      <c r="FN262" s="486"/>
      <c r="FO262" s="486"/>
      <c r="FP262" s="486"/>
      <c r="FQ262" s="486"/>
      <c r="FR262" s="486"/>
      <c r="FS262" s="486"/>
      <c r="FT262" s="486"/>
      <c r="FU262" s="486"/>
      <c r="FV262" s="486"/>
      <c r="FW262" s="486"/>
      <c r="FX262" s="486"/>
      <c r="FY262" s="486"/>
      <c r="FZ262" s="486"/>
      <c r="GA262" s="486"/>
      <c r="GB262" s="486"/>
      <c r="GC262" s="486"/>
      <c r="GD262" s="486"/>
      <c r="GE262" s="486"/>
      <c r="GF262" s="486"/>
      <c r="GG262" s="486"/>
      <c r="GH262" s="486"/>
      <c r="GI262" s="486"/>
      <c r="GJ262" s="486"/>
      <c r="GK262" s="486"/>
      <c r="GL262" s="486"/>
      <c r="GM262" s="486"/>
      <c r="GN262" s="486"/>
      <c r="GO262" s="486"/>
      <c r="GP262" s="486"/>
      <c r="GQ262" s="486"/>
      <c r="GR262" s="486"/>
      <c r="GS262" s="486"/>
      <c r="GT262" s="486"/>
      <c r="GU262" s="486"/>
      <c r="GV262" s="486"/>
      <c r="GW262" s="486"/>
      <c r="GX262" s="486"/>
      <c r="GY262" s="486"/>
      <c r="GZ262" s="486"/>
      <c r="HA262" s="486"/>
      <c r="HB262" s="486"/>
      <c r="HC262" s="486"/>
      <c r="HD262" s="486"/>
      <c r="HE262" s="486"/>
      <c r="HF262" s="486"/>
      <c r="HG262" s="486"/>
      <c r="HH262" s="486"/>
      <c r="HI262" s="486"/>
      <c r="HJ262" s="486"/>
      <c r="HK262" s="486"/>
      <c r="HL262" s="486"/>
      <c r="HM262" s="486"/>
      <c r="HN262" s="486"/>
      <c r="HO262" s="486"/>
      <c r="HP262" s="486"/>
      <c r="HQ262" s="486"/>
      <c r="HR262" s="486"/>
      <c r="HS262" s="486"/>
      <c r="HT262" s="486"/>
      <c r="HU262" s="486"/>
      <c r="HV262" s="486"/>
      <c r="HW262" s="486"/>
      <c r="HX262" s="486"/>
      <c r="HY262" s="486"/>
      <c r="HZ262" s="486"/>
      <c r="IA262" s="486"/>
      <c r="IB262" s="486"/>
      <c r="IC262" s="486"/>
      <c r="ID262" s="486"/>
      <c r="IE262" s="486"/>
      <c r="IF262" s="486"/>
      <c r="IG262" s="486"/>
      <c r="IH262" s="486"/>
      <c r="II262" s="486"/>
      <c r="IJ262" s="486"/>
      <c r="IK262" s="486"/>
      <c r="IL262" s="486"/>
      <c r="IM262" s="486"/>
      <c r="IN262" s="486"/>
      <c r="IO262" s="486"/>
      <c r="IP262" s="486"/>
      <c r="IQ262" s="486"/>
      <c r="IR262" s="486"/>
      <c r="IS262" s="486"/>
      <c r="IT262" s="486"/>
      <c r="IU262" s="486"/>
      <c r="IV262" s="486"/>
      <c r="IW262" s="486"/>
      <c r="IX262" s="486"/>
      <c r="IY262" s="486"/>
      <c r="IZ262" s="486"/>
      <c r="JA262" s="486"/>
      <c r="JB262" s="486"/>
      <c r="JC262" s="486"/>
      <c r="JD262" s="486"/>
      <c r="JE262" s="486"/>
      <c r="JF262" s="486"/>
      <c r="JG262" s="486"/>
      <c r="JH262" s="486"/>
      <c r="JI262" s="486"/>
      <c r="JJ262" s="486"/>
      <c r="JK262" s="486"/>
      <c r="JL262" s="486"/>
      <c r="JM262" s="486"/>
      <c r="JN262" s="486"/>
      <c r="JO262" s="486"/>
      <c r="JP262" s="486"/>
      <c r="JQ262" s="486"/>
      <c r="JR262" s="486"/>
      <c r="JS262" s="486"/>
      <c r="JT262" s="486"/>
      <c r="JU262" s="486"/>
      <c r="JV262" s="486"/>
      <c r="JW262" s="486"/>
      <c r="JX262" s="486"/>
      <c r="JY262" s="486"/>
      <c r="JZ262" s="486"/>
      <c r="KA262" s="486"/>
      <c r="KB262" s="486"/>
      <c r="KC262" s="486"/>
      <c r="KD262" s="486"/>
      <c r="KE262" s="486"/>
      <c r="KF262" s="486"/>
      <c r="KG262" s="486"/>
      <c r="KH262" s="486"/>
      <c r="KI262" s="486"/>
      <c r="KJ262" s="486"/>
      <c r="KK262" s="486"/>
      <c r="KL262" s="486"/>
      <c r="KM262" s="486"/>
      <c r="KN262" s="486"/>
      <c r="KO262" s="486"/>
      <c r="KP262" s="486"/>
      <c r="KQ262" s="486"/>
      <c r="KR262" s="486"/>
      <c r="KS262" s="486"/>
      <c r="KT262" s="486"/>
      <c r="KU262" s="486"/>
      <c r="KV262" s="486"/>
      <c r="KW262" s="486"/>
      <c r="KX262" s="486"/>
      <c r="KY262" s="486"/>
      <c r="KZ262" s="486"/>
      <c r="LA262" s="486"/>
      <c r="LB262" s="486"/>
      <c r="LC262" s="486"/>
      <c r="LD262" s="486"/>
      <c r="LE262" s="486"/>
      <c r="LF262" s="486"/>
      <c r="LG262" s="486"/>
      <c r="LH262" s="486"/>
      <c r="LI262" s="486"/>
      <c r="LJ262" s="486"/>
      <c r="LK262" s="486"/>
      <c r="LL262" s="486"/>
      <c r="LM262" s="486"/>
      <c r="LN262" s="486"/>
      <c r="LO262" s="486"/>
      <c r="LP262" s="486"/>
      <c r="LQ262" s="486"/>
      <c r="LR262" s="486"/>
      <c r="LS262" s="486"/>
      <c r="LT262" s="486"/>
      <c r="LU262" s="486"/>
      <c r="LV262" s="486"/>
      <c r="LW262" s="486"/>
      <c r="LX262" s="486"/>
      <c r="LY262" s="486"/>
      <c r="LZ262" s="486"/>
      <c r="MA262" s="486"/>
      <c r="MB262" s="486"/>
      <c r="MC262" s="486"/>
      <c r="MD262" s="486"/>
      <c r="ME262" s="486"/>
      <c r="MF262" s="486"/>
      <c r="MG262" s="486"/>
      <c r="MH262" s="486"/>
      <c r="MI262" s="486"/>
      <c r="MJ262" s="486"/>
      <c r="MK262" s="486"/>
      <c r="ML262" s="486"/>
      <c r="MM262" s="486"/>
      <c r="MN262" s="486"/>
      <c r="MO262" s="486"/>
      <c r="MP262" s="486"/>
      <c r="MQ262" s="486"/>
      <c r="MR262" s="486"/>
      <c r="MS262" s="486"/>
      <c r="MT262" s="486"/>
      <c r="MU262" s="486"/>
      <c r="MV262" s="486"/>
      <c r="MW262" s="486"/>
      <c r="MX262" s="486"/>
      <c r="MY262" s="486"/>
      <c r="MZ262" s="486"/>
      <c r="NA262" s="486"/>
      <c r="NB262" s="486"/>
      <c r="NC262" s="486"/>
      <c r="ND262" s="486"/>
      <c r="NE262" s="486"/>
      <c r="NF262" s="486"/>
      <c r="NG262" s="486"/>
      <c r="NH262" s="486"/>
      <c r="NI262" s="486"/>
      <c r="NJ262" s="486"/>
      <c r="NK262" s="486"/>
      <c r="NL262" s="486"/>
      <c r="NM262" s="486"/>
      <c r="NN262" s="486"/>
      <c r="NO262" s="486"/>
      <c r="NP262" s="486"/>
      <c r="NQ262" s="486"/>
      <c r="NR262" s="486"/>
      <c r="NS262" s="486"/>
      <c r="NT262" s="486"/>
      <c r="NU262" s="486"/>
      <c r="NV262" s="486"/>
      <c r="NW262" s="486"/>
      <c r="NX262" s="486"/>
      <c r="NY262" s="486"/>
      <c r="NZ262" s="486"/>
      <c r="OA262" s="486"/>
      <c r="OB262" s="486"/>
      <c r="OC262" s="486"/>
      <c r="OD262" s="486"/>
      <c r="OE262" s="486"/>
      <c r="OF262" s="486"/>
      <c r="OG262" s="486"/>
      <c r="OH262" s="486"/>
      <c r="OI262" s="486"/>
      <c r="OJ262" s="486"/>
      <c r="OK262" s="486"/>
      <c r="OL262" s="486"/>
      <c r="OM262" s="486"/>
      <c r="ON262" s="486"/>
      <c r="OO262" s="486"/>
      <c r="OP262" s="486"/>
      <c r="OQ262" s="486"/>
      <c r="OR262" s="486"/>
      <c r="OS262" s="486"/>
      <c r="OT262" s="486"/>
      <c r="OU262" s="486"/>
      <c r="OV262" s="486"/>
      <c r="OW262" s="486"/>
      <c r="OX262" s="486"/>
      <c r="OY262" s="486"/>
      <c r="OZ262" s="486"/>
      <c r="PA262" s="486"/>
      <c r="PB262" s="486"/>
      <c r="PC262" s="486"/>
      <c r="PD262" s="486"/>
      <c r="PE262" s="486"/>
      <c r="PF262" s="486"/>
      <c r="PG262" s="486"/>
      <c r="PH262" s="486"/>
      <c r="PI262" s="486"/>
      <c r="PJ262" s="486"/>
      <c r="PK262" s="486"/>
      <c r="PL262" s="486"/>
      <c r="PM262" s="486"/>
      <c r="PN262" s="486"/>
      <c r="PO262" s="486"/>
      <c r="PP262" s="486"/>
      <c r="PQ262" s="486"/>
      <c r="PR262" s="486"/>
      <c r="PS262" s="486"/>
      <c r="PT262" s="486"/>
      <c r="PU262" s="486"/>
      <c r="PV262" s="486"/>
      <c r="PW262" s="486"/>
      <c r="PX262" s="486"/>
      <c r="PY262" s="486"/>
      <c r="PZ262" s="486"/>
      <c r="QA262" s="486"/>
      <c r="QB262" s="486"/>
      <c r="QC262" s="486"/>
      <c r="QD262" s="486"/>
      <c r="QE262" s="486"/>
      <c r="QF262" s="486"/>
      <c r="QG262" s="486"/>
      <c r="QH262" s="486"/>
      <c r="QI262" s="486"/>
      <c r="QJ262" s="486"/>
      <c r="QK262" s="486"/>
      <c r="QL262" s="486"/>
      <c r="QM262" s="486"/>
      <c r="QN262" s="486"/>
      <c r="QO262" s="486"/>
      <c r="QP262" s="486"/>
      <c r="QQ262" s="486"/>
      <c r="QR262" s="486"/>
      <c r="QS262" s="486"/>
      <c r="QT262" s="486"/>
      <c r="QU262" s="486"/>
      <c r="QV262" s="486"/>
      <c r="QW262" s="486"/>
      <c r="QX262" s="486"/>
      <c r="QY262" s="486"/>
      <c r="QZ262" s="486"/>
      <c r="RA262" s="486"/>
      <c r="RB262" s="486"/>
      <c r="RC262" s="486"/>
      <c r="RD262" s="486"/>
      <c r="RE262" s="486"/>
      <c r="RF262" s="486"/>
      <c r="RG262" s="486"/>
      <c r="RH262" s="486"/>
      <c r="RI262" s="486"/>
      <c r="RJ262" s="486"/>
      <c r="RK262" s="486"/>
      <c r="RL262" s="486"/>
      <c r="RM262" s="486"/>
      <c r="RN262" s="486"/>
      <c r="RO262" s="486"/>
      <c r="RP262" s="486"/>
      <c r="RQ262" s="486"/>
      <c r="RR262" s="486"/>
      <c r="RS262" s="486"/>
      <c r="RT262" s="486"/>
      <c r="RU262" s="486"/>
      <c r="RV262" s="486"/>
      <c r="RW262" s="486"/>
      <c r="RX262" s="486"/>
      <c r="RY262" s="486"/>
      <c r="RZ262" s="486"/>
      <c r="SA262" s="486"/>
      <c r="SB262" s="486"/>
      <c r="SC262" s="486"/>
      <c r="SD262" s="486"/>
      <c r="SE262" s="486"/>
      <c r="SF262" s="486"/>
      <c r="SG262" s="486"/>
      <c r="SH262" s="486"/>
      <c r="SI262" s="486"/>
      <c r="SJ262" s="486"/>
      <c r="SK262" s="486"/>
      <c r="SL262" s="486"/>
      <c r="SM262" s="486"/>
      <c r="SN262" s="486"/>
      <c r="SO262" s="486"/>
      <c r="SP262" s="486"/>
      <c r="SQ262" s="486"/>
      <c r="SR262" s="486"/>
      <c r="SS262" s="486"/>
      <c r="ST262" s="486"/>
      <c r="SU262" s="486"/>
      <c r="SV262" s="486"/>
      <c r="SW262" s="486"/>
      <c r="SX262" s="486"/>
      <c r="SY262" s="486"/>
      <c r="SZ262" s="486"/>
      <c r="TA262" s="486"/>
      <c r="TB262" s="486"/>
      <c r="TC262" s="486"/>
      <c r="TD262" s="486"/>
      <c r="TE262" s="486"/>
      <c r="TF262" s="486"/>
      <c r="TG262" s="486"/>
      <c r="TH262" s="486"/>
      <c r="TI262" s="486"/>
      <c r="TJ262" s="486"/>
      <c r="TK262" s="486"/>
      <c r="TL262" s="486"/>
      <c r="TM262" s="486"/>
      <c r="TN262" s="486"/>
      <c r="TO262" s="486"/>
      <c r="TP262" s="486"/>
      <c r="TQ262" s="486"/>
      <c r="TR262" s="486"/>
      <c r="TS262" s="486"/>
      <c r="TT262" s="486"/>
      <c r="TU262" s="486"/>
      <c r="TV262" s="486"/>
      <c r="TW262" s="486"/>
      <c r="TX262" s="486"/>
      <c r="TY262" s="486"/>
      <c r="TZ262" s="486"/>
      <c r="UA262" s="486"/>
      <c r="UB262" s="486"/>
      <c r="UC262" s="486"/>
      <c r="UD262" s="486"/>
      <c r="UE262" s="486"/>
      <c r="UF262" s="486"/>
      <c r="UG262" s="486"/>
      <c r="UH262" s="486"/>
      <c r="UI262" s="486"/>
      <c r="UJ262" s="486"/>
      <c r="UK262" s="486"/>
      <c r="UL262" s="486"/>
      <c r="UM262" s="486"/>
      <c r="UN262" s="486"/>
      <c r="UO262" s="486"/>
      <c r="UP262" s="486"/>
      <c r="UQ262" s="486"/>
      <c r="UR262" s="486"/>
      <c r="US262" s="486"/>
      <c r="UT262" s="486"/>
      <c r="UU262" s="486"/>
      <c r="UV262" s="486"/>
      <c r="UW262" s="486"/>
      <c r="UX262" s="486"/>
      <c r="UY262" s="486"/>
      <c r="UZ262" s="486"/>
      <c r="VA262" s="486"/>
      <c r="VB262" s="486"/>
      <c r="VC262" s="486"/>
      <c r="VD262" s="486"/>
      <c r="VE262" s="486"/>
      <c r="VF262" s="486"/>
      <c r="VG262" s="486"/>
      <c r="VH262" s="486"/>
      <c r="VI262" s="486"/>
      <c r="VJ262" s="486"/>
      <c r="VK262" s="486"/>
      <c r="VL262" s="486"/>
      <c r="VM262" s="486"/>
      <c r="VN262" s="486"/>
      <c r="VO262" s="486"/>
      <c r="VP262" s="486"/>
      <c r="VQ262" s="486"/>
      <c r="VR262" s="486"/>
      <c r="VS262" s="486"/>
      <c r="VT262" s="486"/>
      <c r="VU262" s="486"/>
      <c r="VV262" s="486"/>
      <c r="VW262" s="486"/>
      <c r="VX262" s="486"/>
      <c r="VY262" s="486"/>
      <c r="VZ262" s="486"/>
      <c r="WA262" s="486"/>
      <c r="WB262" s="486"/>
      <c r="WC262" s="486"/>
      <c r="WD262" s="486"/>
      <c r="WE262" s="486"/>
      <c r="WF262" s="486"/>
      <c r="WG262" s="486"/>
      <c r="WH262" s="486"/>
      <c r="WI262" s="486"/>
      <c r="WJ262" s="486"/>
      <c r="WK262" s="486"/>
      <c r="WL262" s="486"/>
      <c r="WM262" s="486"/>
      <c r="WN262" s="486"/>
      <c r="WO262" s="486"/>
      <c r="WP262" s="486"/>
      <c r="WQ262" s="486"/>
      <c r="WR262" s="486"/>
      <c r="WS262" s="486"/>
      <c r="WT262" s="486"/>
      <c r="WU262" s="486"/>
      <c r="WV262" s="486"/>
      <c r="WW262" s="486"/>
      <c r="WX262" s="486"/>
      <c r="WY262" s="486"/>
      <c r="WZ262" s="486"/>
      <c r="XA262" s="486"/>
      <c r="XB262" s="486"/>
      <c r="XC262" s="486"/>
      <c r="XD262" s="486"/>
      <c r="XE262" s="486"/>
      <c r="XF262" s="486"/>
      <c r="XG262" s="486"/>
      <c r="XH262" s="486"/>
      <c r="XI262" s="486"/>
      <c r="XJ262" s="486"/>
      <c r="XK262" s="486"/>
      <c r="XL262" s="486"/>
      <c r="XM262" s="486"/>
      <c r="XN262" s="486"/>
      <c r="XO262" s="486"/>
      <c r="XP262" s="486"/>
      <c r="XQ262" s="486"/>
      <c r="XR262" s="486"/>
      <c r="XS262" s="486"/>
      <c r="XT262" s="486"/>
      <c r="XU262" s="486"/>
      <c r="XV262" s="486"/>
      <c r="XW262" s="486"/>
      <c r="XX262" s="486"/>
      <c r="XY262" s="486"/>
      <c r="XZ262" s="486"/>
      <c r="YA262" s="486"/>
      <c r="YB262" s="486"/>
      <c r="YC262" s="486"/>
      <c r="YD262" s="486"/>
      <c r="YE262" s="486"/>
      <c r="YF262" s="486"/>
      <c r="YG262" s="486"/>
      <c r="YH262" s="486"/>
      <c r="YI262" s="486"/>
      <c r="YJ262" s="486"/>
      <c r="YK262" s="486"/>
      <c r="YL262" s="486"/>
      <c r="YM262" s="486"/>
      <c r="YN262" s="486"/>
      <c r="YO262" s="486"/>
      <c r="YP262" s="486"/>
      <c r="YQ262" s="486"/>
      <c r="YR262" s="486"/>
      <c r="YS262" s="486"/>
      <c r="YT262" s="486"/>
      <c r="YU262" s="486"/>
      <c r="YV262" s="486"/>
      <c r="YW262" s="486"/>
      <c r="YX262" s="486"/>
      <c r="YY262" s="486"/>
      <c r="YZ262" s="486"/>
      <c r="ZA262" s="486"/>
      <c r="ZB262" s="486"/>
      <c r="ZC262" s="486"/>
      <c r="ZD262" s="486"/>
      <c r="ZE262" s="486"/>
      <c r="ZF262" s="486"/>
      <c r="ZG262" s="486"/>
      <c r="ZH262" s="486"/>
      <c r="ZI262" s="486"/>
      <c r="ZJ262" s="486"/>
      <c r="ZK262" s="486"/>
      <c r="ZL262" s="486"/>
      <c r="ZM262" s="486"/>
      <c r="ZN262" s="486"/>
      <c r="ZO262" s="486"/>
      <c r="ZP262" s="486"/>
      <c r="ZQ262" s="486"/>
      <c r="ZR262" s="486"/>
      <c r="ZS262" s="486"/>
      <c r="ZT262" s="486"/>
      <c r="ZU262" s="486"/>
      <c r="ZV262" s="486"/>
      <c r="ZW262" s="486"/>
      <c r="ZX262" s="486"/>
      <c r="ZY262" s="486"/>
      <c r="ZZ262" s="486"/>
      <c r="AAA262" s="486"/>
      <c r="AAB262" s="486"/>
      <c r="AAC262" s="486"/>
      <c r="AAD262" s="486"/>
      <c r="AAE262" s="486"/>
      <c r="AAF262" s="486"/>
      <c r="AAG262" s="486"/>
      <c r="AAH262" s="486"/>
      <c r="AAI262" s="486"/>
      <c r="AAJ262" s="486"/>
      <c r="AAK262" s="486"/>
      <c r="AAL262" s="486"/>
      <c r="AAM262" s="486"/>
      <c r="AAN262" s="486"/>
      <c r="AAO262" s="486"/>
      <c r="AAP262" s="486"/>
      <c r="AAQ262" s="486"/>
      <c r="AAR262" s="486"/>
      <c r="AAS262" s="486"/>
      <c r="AAT262" s="486"/>
      <c r="AAU262" s="486"/>
      <c r="AAV262" s="486"/>
      <c r="AAW262" s="486"/>
      <c r="AAX262" s="486"/>
      <c r="AAY262" s="486"/>
      <c r="AAZ262" s="486"/>
      <c r="ABA262" s="486"/>
      <c r="ABB262" s="486"/>
      <c r="ABC262" s="486"/>
      <c r="ABD262" s="486"/>
      <c r="ABE262" s="486"/>
      <c r="ABF262" s="486"/>
      <c r="ABG262" s="486"/>
      <c r="ABH262" s="486"/>
      <c r="ABI262" s="486"/>
      <c r="ABJ262" s="486"/>
      <c r="ABK262" s="486"/>
      <c r="ABL262" s="486"/>
      <c r="ABM262" s="486"/>
      <c r="ABN262" s="486"/>
      <c r="ABO262" s="486"/>
      <c r="ABP262" s="486"/>
      <c r="ABQ262" s="486"/>
      <c r="ABR262" s="486"/>
      <c r="ABS262" s="486"/>
      <c r="ABT262" s="486"/>
      <c r="ABU262" s="486"/>
      <c r="ABV262" s="486"/>
      <c r="ABW262" s="486"/>
      <c r="ABX262" s="486"/>
      <c r="ABY262" s="486"/>
      <c r="ABZ262" s="486"/>
      <c r="ACA262" s="486"/>
      <c r="ACB262" s="486"/>
      <c r="ACC262" s="486"/>
      <c r="ACD262" s="486"/>
      <c r="ACE262" s="486"/>
      <c r="ACF262" s="486"/>
      <c r="ACG262" s="486"/>
      <c r="ACH262" s="486"/>
      <c r="ACI262" s="486"/>
      <c r="ACJ262" s="486"/>
      <c r="ACK262" s="486"/>
      <c r="ACL262" s="486"/>
      <c r="ACM262" s="486"/>
      <c r="ACN262" s="486"/>
      <c r="ACO262" s="486"/>
      <c r="ACP262" s="486"/>
      <c r="ACQ262" s="486"/>
      <c r="ACR262" s="486"/>
      <c r="ACS262" s="486"/>
      <c r="ACT262" s="486"/>
      <c r="ACU262" s="486"/>
      <c r="ACV262" s="486"/>
      <c r="ACW262" s="486"/>
      <c r="ACX262" s="486"/>
      <c r="ACY262" s="486"/>
      <c r="ACZ262" s="486"/>
      <c r="ADA262" s="486"/>
      <c r="ADB262" s="486"/>
      <c r="ADC262" s="486"/>
      <c r="ADD262" s="486"/>
      <c r="ADE262" s="486"/>
      <c r="ADF262" s="486"/>
      <c r="ADG262" s="486"/>
      <c r="ADH262" s="486"/>
      <c r="ADI262" s="486"/>
      <c r="ADJ262" s="486"/>
      <c r="ADK262" s="486"/>
      <c r="ADL262" s="486"/>
      <c r="ADM262" s="486"/>
      <c r="ADN262" s="486"/>
      <c r="ADO262" s="486"/>
      <c r="ADP262" s="486"/>
      <c r="ADQ262" s="486"/>
      <c r="ADR262" s="486"/>
      <c r="ADS262" s="486"/>
      <c r="ADT262" s="486"/>
      <c r="ADU262" s="486"/>
      <c r="ADV262" s="486"/>
      <c r="ADW262" s="486"/>
      <c r="ADX262" s="486"/>
      <c r="ADY262" s="486"/>
      <c r="ADZ262" s="486"/>
      <c r="AEA262" s="486"/>
      <c r="AEB262" s="486"/>
      <c r="AEC262" s="486"/>
      <c r="AED262" s="486"/>
      <c r="AEE262" s="486"/>
      <c r="AEF262" s="486"/>
      <c r="AEG262" s="486"/>
      <c r="AEH262" s="486"/>
      <c r="AEI262" s="486"/>
      <c r="AEJ262" s="486"/>
      <c r="AEK262" s="486"/>
      <c r="AEL262" s="486"/>
      <c r="AEM262" s="486"/>
      <c r="AEN262" s="486"/>
      <c r="AEO262" s="486"/>
      <c r="AEP262" s="486"/>
      <c r="AEQ262" s="486"/>
      <c r="AER262" s="486"/>
      <c r="AES262" s="486"/>
      <c r="AET262" s="486"/>
      <c r="AEU262" s="486"/>
      <c r="AEV262" s="486"/>
      <c r="AEW262" s="486"/>
      <c r="AEX262" s="486"/>
      <c r="AEY262" s="486"/>
      <c r="AEZ262" s="486"/>
      <c r="AFA262" s="486"/>
      <c r="AFB262" s="486"/>
      <c r="AFC262" s="486"/>
      <c r="AFD262" s="486"/>
      <c r="AFE262" s="486"/>
      <c r="AFF262" s="486"/>
      <c r="AFG262" s="486"/>
      <c r="AFH262" s="486"/>
      <c r="AFI262" s="486"/>
      <c r="AFJ262" s="486"/>
      <c r="AFK262" s="486"/>
      <c r="AFL262" s="486"/>
      <c r="AFM262" s="486"/>
      <c r="AFN262" s="486"/>
      <c r="AFO262" s="486"/>
      <c r="AFP262" s="486"/>
      <c r="AFQ262" s="486"/>
      <c r="AFR262" s="486"/>
      <c r="AFS262" s="486"/>
      <c r="AFT262" s="486"/>
      <c r="AFU262" s="486"/>
      <c r="AFV262" s="486"/>
      <c r="AFW262" s="486"/>
      <c r="AFX262" s="486"/>
      <c r="AFY262" s="486"/>
      <c r="AFZ262" s="486"/>
      <c r="AGA262" s="486"/>
      <c r="AGB262" s="486"/>
      <c r="AGC262" s="486"/>
      <c r="AGD262" s="486"/>
      <c r="AGE262" s="486"/>
      <c r="AGF262" s="486"/>
      <c r="AGG262" s="486"/>
      <c r="AGH262" s="486"/>
      <c r="AGI262" s="486"/>
      <c r="AGJ262" s="486"/>
      <c r="AGK262" s="486"/>
      <c r="AGL262" s="486"/>
      <c r="AGM262" s="486"/>
      <c r="AGN262" s="486"/>
      <c r="AGO262" s="486"/>
      <c r="AGP262" s="486"/>
      <c r="AGQ262" s="486"/>
      <c r="AGR262" s="486"/>
      <c r="AGS262" s="486"/>
      <c r="AGT262" s="486"/>
      <c r="AGU262" s="486"/>
      <c r="AGV262" s="486"/>
      <c r="AGW262" s="486"/>
      <c r="AGX262" s="486"/>
      <c r="AGY262" s="486"/>
      <c r="AGZ262" s="486"/>
      <c r="AHA262" s="486"/>
      <c r="AHB262" s="486"/>
      <c r="AHC262" s="486"/>
      <c r="AHD262" s="486"/>
      <c r="AHE262" s="486"/>
      <c r="AHF262" s="486"/>
      <c r="AHG262" s="486"/>
      <c r="AHH262" s="486"/>
      <c r="AHI262" s="486"/>
      <c r="AHJ262" s="486"/>
      <c r="AHK262" s="486"/>
      <c r="AHL262" s="486"/>
      <c r="AHM262" s="486"/>
      <c r="AHN262" s="486"/>
      <c r="AHO262" s="486"/>
      <c r="AHP262" s="486"/>
      <c r="AHQ262" s="486"/>
      <c r="AHR262" s="486"/>
      <c r="AHS262" s="486"/>
      <c r="AHT262" s="486"/>
      <c r="AHU262" s="486"/>
      <c r="AHV262" s="486"/>
      <c r="AHW262" s="486"/>
      <c r="AHX262" s="486"/>
      <c r="AHY262" s="486"/>
      <c r="AHZ262" s="486"/>
      <c r="AIA262" s="486"/>
      <c r="AIB262" s="486"/>
      <c r="AIC262" s="486"/>
      <c r="AID262" s="486"/>
      <c r="AIE262" s="486"/>
      <c r="AIF262" s="486"/>
      <c r="AIG262" s="486"/>
      <c r="AIH262" s="486"/>
      <c r="AII262" s="486"/>
      <c r="AIJ262" s="486"/>
      <c r="AIK262" s="486"/>
      <c r="AIL262" s="486"/>
      <c r="AIM262" s="486"/>
      <c r="AIN262" s="486"/>
      <c r="AIO262" s="486"/>
      <c r="AIP262" s="486"/>
      <c r="AIQ262" s="486"/>
      <c r="AIR262" s="486"/>
      <c r="AIS262" s="486"/>
      <c r="AIT262" s="486"/>
      <c r="AIU262" s="486"/>
      <c r="AIV262" s="486"/>
      <c r="AIW262" s="486"/>
      <c r="AIX262" s="486"/>
      <c r="AIY262" s="486"/>
      <c r="AIZ262" s="486"/>
      <c r="AJA262" s="486"/>
      <c r="AJB262" s="486"/>
      <c r="AJC262" s="486"/>
      <c r="AJD262" s="486"/>
      <c r="AJE262" s="486"/>
      <c r="AJF262" s="486"/>
      <c r="AJG262" s="486"/>
      <c r="AJH262" s="486"/>
      <c r="AJI262" s="486"/>
      <c r="AJJ262" s="486"/>
      <c r="AJK262" s="486"/>
      <c r="AJL262" s="486"/>
      <c r="AJM262" s="486"/>
      <c r="AJN262" s="486"/>
      <c r="AJO262" s="486"/>
      <c r="AJP262" s="486"/>
      <c r="AJQ262" s="486"/>
      <c r="AJR262" s="486"/>
      <c r="AJS262" s="486"/>
      <c r="AJT262" s="486"/>
      <c r="AJU262" s="486"/>
      <c r="AJV262" s="486"/>
      <c r="AJW262" s="486"/>
      <c r="AJX262" s="486"/>
      <c r="AJY262" s="486"/>
      <c r="AJZ262" s="486"/>
      <c r="AKA262" s="486"/>
      <c r="AKB262" s="486"/>
      <c r="AKC262" s="486"/>
      <c r="AKD262" s="486"/>
      <c r="AKE262" s="486"/>
      <c r="AKF262" s="486"/>
      <c r="AKG262" s="486"/>
      <c r="AKH262" s="486"/>
      <c r="AKI262" s="486"/>
      <c r="AKJ262" s="486"/>
      <c r="AKK262" s="486"/>
      <c r="AKL262" s="486"/>
      <c r="AKM262" s="486"/>
      <c r="AKN262" s="486"/>
      <c r="AKO262" s="486"/>
      <c r="AKP262" s="486"/>
      <c r="AKQ262" s="486"/>
      <c r="AKR262" s="486"/>
      <c r="AKS262" s="486"/>
      <c r="AKT262" s="486"/>
      <c r="AKU262" s="486"/>
      <c r="AKV262" s="486"/>
      <c r="AKW262" s="486"/>
      <c r="AKX262" s="486"/>
      <c r="AKY262" s="486"/>
      <c r="AKZ262" s="486"/>
      <c r="ALA262" s="486"/>
      <c r="ALB262" s="486"/>
      <c r="ALC262" s="486"/>
      <c r="ALD262" s="486"/>
      <c r="ALE262" s="486"/>
      <c r="ALF262" s="486"/>
      <c r="ALG262" s="486"/>
      <c r="ALH262" s="486"/>
      <c r="ALI262" s="486"/>
      <c r="ALJ262" s="486"/>
      <c r="ALK262" s="486"/>
      <c r="ALL262" s="486"/>
      <c r="ALM262" s="486"/>
      <c r="ALN262" s="486"/>
      <c r="ALO262" s="486"/>
      <c r="ALP262" s="486"/>
      <c r="ALQ262" s="486"/>
      <c r="ALR262" s="486"/>
      <c r="ALS262" s="486"/>
      <c r="ALT262" s="486"/>
      <c r="ALU262" s="486"/>
      <c r="ALV262" s="486"/>
      <c r="ALW262" s="486"/>
      <c r="ALX262" s="486"/>
      <c r="ALY262" s="486"/>
      <c r="ALZ262" s="486"/>
      <c r="AMA262" s="486"/>
      <c r="AMB262" s="486"/>
      <c r="AMC262" s="486"/>
      <c r="AMD262" s="486"/>
      <c r="AME262" s="486"/>
      <c r="AMF262" s="486"/>
      <c r="AMG262" s="486"/>
      <c r="AMH262" s="486"/>
      <c r="AMI262" s="486"/>
      <c r="AMJ262" s="486"/>
      <c r="AMK262" s="486"/>
      <c r="AML262" s="486"/>
      <c r="AMM262" s="486"/>
      <c r="AMN262" s="486"/>
      <c r="AMO262" s="486"/>
      <c r="AMP262" s="486"/>
      <c r="AMQ262" s="486"/>
      <c r="AMR262" s="486"/>
      <c r="AMS262" s="486"/>
      <c r="AMT262" s="486"/>
      <c r="AMU262" s="486"/>
      <c r="AMV262" s="486"/>
      <c r="AMW262" s="486"/>
      <c r="AMX262" s="486"/>
      <c r="AMY262" s="486"/>
      <c r="AMZ262" s="486"/>
      <c r="ANA262" s="486"/>
      <c r="ANB262" s="486"/>
      <c r="ANC262" s="486"/>
      <c r="AND262" s="486"/>
      <c r="ANE262" s="486"/>
      <c r="ANF262" s="486"/>
      <c r="ANG262" s="486"/>
      <c r="ANH262" s="486"/>
      <c r="ANI262" s="486"/>
      <c r="ANJ262" s="486"/>
      <c r="ANK262" s="486"/>
      <c r="ANL262" s="486"/>
      <c r="ANM262" s="486"/>
      <c r="ANN262" s="486"/>
      <c r="ANO262" s="486"/>
      <c r="ANP262" s="486"/>
      <c r="ANQ262" s="486"/>
      <c r="ANR262" s="486"/>
      <c r="ANS262" s="486"/>
      <c r="ANT262" s="486"/>
      <c r="ANU262" s="486"/>
      <c r="ANV262" s="486"/>
      <c r="ANW262" s="486"/>
      <c r="ANX262" s="486"/>
      <c r="ANY262" s="486"/>
      <c r="ANZ262" s="486"/>
      <c r="AOA262" s="486"/>
      <c r="AOB262" s="486"/>
      <c r="AOC262" s="486"/>
      <c r="AOD262" s="486"/>
      <c r="AOE262" s="486"/>
      <c r="AOF262" s="486"/>
      <c r="AOG262" s="486"/>
      <c r="AOH262" s="486"/>
      <c r="AOI262" s="486"/>
      <c r="AOJ262" s="486"/>
      <c r="AOK262" s="486"/>
      <c r="AOL262" s="486"/>
      <c r="AOM262" s="486"/>
      <c r="AON262" s="486"/>
      <c r="AOO262" s="486"/>
      <c r="AOP262" s="486"/>
      <c r="AOQ262" s="486"/>
      <c r="AOR262" s="486"/>
      <c r="AOS262" s="486"/>
      <c r="AOT262" s="486"/>
      <c r="AOU262" s="486"/>
      <c r="AOV262" s="486"/>
      <c r="AOW262" s="486"/>
      <c r="AOX262" s="486"/>
      <c r="AOY262" s="486"/>
      <c r="AOZ262" s="486"/>
      <c r="APA262" s="486"/>
      <c r="APB262" s="486"/>
      <c r="APC262" s="486"/>
      <c r="APD262" s="486"/>
      <c r="APE262" s="486"/>
      <c r="APF262" s="486"/>
      <c r="APG262" s="486"/>
      <c r="APH262" s="486"/>
      <c r="API262" s="486"/>
      <c r="APJ262" s="486"/>
      <c r="APK262" s="486"/>
      <c r="APL262" s="486"/>
      <c r="APM262" s="486"/>
      <c r="APN262" s="486"/>
      <c r="APO262" s="486"/>
      <c r="APP262" s="486"/>
      <c r="APQ262" s="486"/>
      <c r="APR262" s="486"/>
      <c r="APS262" s="486"/>
      <c r="APT262" s="486"/>
      <c r="APU262" s="486"/>
      <c r="APV262" s="486"/>
      <c r="APW262" s="486"/>
      <c r="APX262" s="486"/>
      <c r="APY262" s="486"/>
      <c r="APZ262" s="486"/>
      <c r="AQA262" s="486"/>
      <c r="AQB262" s="486"/>
      <c r="AQC262" s="486"/>
      <c r="AQD262" s="486"/>
      <c r="AQE262" s="486"/>
      <c r="AQF262" s="486"/>
      <c r="AQG262" s="486"/>
      <c r="AQH262" s="486"/>
      <c r="AQI262" s="486"/>
      <c r="AQJ262" s="486"/>
      <c r="AQK262" s="486"/>
      <c r="AQL262" s="486"/>
      <c r="AQM262" s="486"/>
      <c r="AQN262" s="486"/>
      <c r="AQO262" s="486"/>
      <c r="AQP262" s="486"/>
      <c r="AQQ262" s="486"/>
      <c r="AQR262" s="486"/>
      <c r="AQS262" s="486"/>
      <c r="AQT262" s="486"/>
      <c r="AQU262" s="486"/>
      <c r="AQV262" s="486"/>
      <c r="AQW262" s="486"/>
      <c r="AQX262" s="486"/>
      <c r="AQY262" s="486"/>
      <c r="AQZ262" s="486"/>
      <c r="ARA262" s="486"/>
      <c r="ARB262" s="486"/>
      <c r="ARC262" s="486"/>
      <c r="ARD262" s="486"/>
      <c r="ARE262" s="486"/>
      <c r="ARF262" s="486"/>
      <c r="ARG262" s="486"/>
      <c r="ARH262" s="486"/>
      <c r="ARI262" s="486"/>
      <c r="ARJ262" s="486"/>
      <c r="ARK262" s="486"/>
      <c r="ARL262" s="486"/>
      <c r="ARM262" s="486"/>
      <c r="ARN262" s="486"/>
      <c r="ARO262" s="486"/>
      <c r="ARP262" s="486"/>
      <c r="ARQ262" s="486"/>
      <c r="ARR262" s="486"/>
      <c r="ARS262" s="486"/>
      <c r="ART262" s="486"/>
      <c r="ARU262" s="486"/>
      <c r="ARV262" s="486"/>
      <c r="ARW262" s="486"/>
      <c r="ARX262" s="486"/>
      <c r="ARY262" s="486"/>
      <c r="ARZ262" s="486"/>
      <c r="ASA262" s="486"/>
      <c r="ASB262" s="486"/>
      <c r="ASC262" s="486"/>
      <c r="ASD262" s="486"/>
      <c r="ASE262" s="486"/>
      <c r="ASF262" s="486"/>
      <c r="ASG262" s="486"/>
      <c r="ASH262" s="486"/>
      <c r="ASI262" s="486"/>
      <c r="ASJ262" s="486"/>
      <c r="ASK262" s="486"/>
      <c r="ASL262" s="486"/>
      <c r="ASM262" s="486"/>
      <c r="ASN262" s="486"/>
      <c r="ASO262" s="486"/>
      <c r="ASP262" s="486"/>
      <c r="ASQ262" s="486"/>
      <c r="ASR262" s="486"/>
      <c r="ASS262" s="486"/>
      <c r="AST262" s="486"/>
      <c r="ASU262" s="486"/>
      <c r="ASV262" s="486"/>
      <c r="ASW262" s="486"/>
      <c r="ASX262" s="486"/>
      <c r="ASY262" s="486"/>
      <c r="ASZ262" s="486"/>
      <c r="ATA262" s="486"/>
      <c r="ATB262" s="486"/>
      <c r="ATC262" s="486"/>
      <c r="ATD262" s="486"/>
      <c r="ATE262" s="486"/>
      <c r="ATF262" s="486"/>
      <c r="ATG262" s="486"/>
      <c r="ATH262" s="486"/>
      <c r="ATI262" s="486"/>
      <c r="ATJ262" s="486"/>
      <c r="ATK262" s="486"/>
      <c r="ATL262" s="486"/>
      <c r="ATM262" s="486"/>
      <c r="ATN262" s="486"/>
      <c r="ATO262" s="486"/>
      <c r="ATP262" s="486"/>
      <c r="ATQ262" s="486"/>
      <c r="ATR262" s="486"/>
      <c r="ATS262" s="486"/>
      <c r="ATT262" s="486"/>
      <c r="ATU262" s="486"/>
      <c r="ATV262" s="486"/>
      <c r="ATW262" s="486"/>
      <c r="ATX262" s="486"/>
      <c r="ATY262" s="486"/>
      <c r="ATZ262" s="486"/>
      <c r="AUA262" s="486"/>
      <c r="AUB262" s="486"/>
      <c r="AUC262" s="486"/>
      <c r="AUD262" s="486"/>
      <c r="AUE262" s="486"/>
      <c r="AUF262" s="486"/>
      <c r="AUG262" s="486"/>
      <c r="AUH262" s="486"/>
      <c r="AUI262" s="486"/>
      <c r="AUJ262" s="486"/>
      <c r="AUK262" s="486"/>
      <c r="AUL262" s="486"/>
      <c r="AUM262" s="486"/>
      <c r="AUN262" s="486"/>
      <c r="AUO262" s="486"/>
      <c r="AUP262" s="486"/>
      <c r="AUQ262" s="486"/>
      <c r="AUR262" s="486"/>
      <c r="AUS262" s="486"/>
      <c r="AUT262" s="486"/>
      <c r="AUU262" s="486"/>
      <c r="AUV262" s="486"/>
      <c r="AUW262" s="486"/>
      <c r="AUX262" s="486"/>
      <c r="AUY262" s="486"/>
      <c r="AUZ262" s="486"/>
      <c r="AVA262" s="486"/>
      <c r="AVB262" s="486"/>
      <c r="AVC262" s="486"/>
      <c r="AVD262" s="486"/>
      <c r="AVE262" s="486"/>
      <c r="AVF262" s="486"/>
      <c r="AVG262" s="486"/>
      <c r="AVH262" s="486"/>
      <c r="AVI262" s="486"/>
      <c r="AVJ262" s="486"/>
      <c r="AVK262" s="486"/>
      <c r="AVL262" s="486"/>
      <c r="AVM262" s="486"/>
      <c r="AVN262" s="486"/>
      <c r="AVO262" s="486"/>
      <c r="AVP262" s="486"/>
      <c r="AVQ262" s="486"/>
      <c r="AVR262" s="486"/>
      <c r="AVS262" s="486"/>
      <c r="AVT262" s="486"/>
      <c r="AVU262" s="486"/>
      <c r="AVV262" s="486"/>
      <c r="AVW262" s="486"/>
      <c r="AVX262" s="486"/>
      <c r="AVY262" s="486"/>
      <c r="AVZ262" s="486"/>
      <c r="AWA262" s="486"/>
      <c r="AWB262" s="486"/>
      <c r="AWC262" s="486"/>
      <c r="AWD262" s="486"/>
      <c r="AWE262" s="486"/>
      <c r="AWF262" s="486"/>
      <c r="AWG262" s="486"/>
      <c r="AWH262" s="486"/>
      <c r="AWI262" s="486"/>
      <c r="AWJ262" s="486"/>
      <c r="AWK262" s="486"/>
      <c r="AWL262" s="486"/>
      <c r="AWM262" s="486"/>
      <c r="AWN262" s="486"/>
      <c r="AWO262" s="486"/>
      <c r="AWP262" s="486"/>
      <c r="AWQ262" s="486"/>
      <c r="AWR262" s="486"/>
      <c r="AWS262" s="486"/>
      <c r="AWT262" s="486"/>
      <c r="AWU262" s="486"/>
      <c r="AWV262" s="486"/>
      <c r="AWW262" s="486"/>
      <c r="AWX262" s="486"/>
      <c r="AWY262" s="486"/>
      <c r="AWZ262" s="486"/>
      <c r="AXA262" s="486"/>
      <c r="AXB262" s="486"/>
      <c r="AXC262" s="486"/>
      <c r="AXD262" s="486"/>
      <c r="AXE262" s="486"/>
      <c r="AXF262" s="486"/>
      <c r="AXG262" s="486"/>
      <c r="AXH262" s="486"/>
      <c r="AXI262" s="486"/>
      <c r="AXJ262" s="486"/>
      <c r="AXK262" s="486"/>
      <c r="AXL262" s="486"/>
      <c r="AXM262" s="486"/>
      <c r="AXN262" s="486"/>
      <c r="AXO262" s="486"/>
      <c r="AXP262" s="486"/>
      <c r="AXQ262" s="486"/>
      <c r="AXR262" s="486"/>
      <c r="AXS262" s="486"/>
      <c r="AXT262" s="486"/>
      <c r="AXU262" s="486"/>
      <c r="AXV262" s="486"/>
      <c r="AXW262" s="486"/>
      <c r="AXX262" s="486"/>
      <c r="AXY262" s="486"/>
      <c r="AXZ262" s="486"/>
      <c r="AYA262" s="486"/>
      <c r="AYB262" s="486"/>
      <c r="AYC262" s="486"/>
      <c r="AYD262" s="486"/>
      <c r="AYE262" s="486"/>
      <c r="AYF262" s="486"/>
      <c r="AYG262" s="486"/>
      <c r="AYH262" s="486"/>
      <c r="AYI262" s="486"/>
      <c r="AYJ262" s="486"/>
      <c r="AYK262" s="486"/>
      <c r="AYL262" s="486"/>
      <c r="AYM262" s="486"/>
      <c r="AYN262" s="486"/>
      <c r="AYO262" s="486"/>
      <c r="AYP262" s="486"/>
      <c r="AYQ262" s="486"/>
      <c r="AYR262" s="486"/>
      <c r="AYS262" s="486"/>
      <c r="AYT262" s="486"/>
      <c r="AYU262" s="486"/>
      <c r="AYV262" s="486"/>
      <c r="AYW262" s="486"/>
      <c r="AYX262" s="486"/>
      <c r="AYY262" s="486"/>
      <c r="AYZ262" s="486"/>
      <c r="AZA262" s="486"/>
      <c r="AZB262" s="486"/>
      <c r="AZC262" s="486"/>
      <c r="AZD262" s="486"/>
      <c r="AZE262" s="486"/>
      <c r="AZF262" s="486"/>
      <c r="AZG262" s="486"/>
      <c r="AZH262" s="486"/>
      <c r="AZI262" s="486"/>
      <c r="AZJ262" s="486"/>
      <c r="AZK262" s="486"/>
      <c r="AZL262" s="486"/>
      <c r="AZM262" s="486"/>
      <c r="AZN262" s="486"/>
      <c r="AZO262" s="486"/>
      <c r="AZP262" s="486"/>
      <c r="AZQ262" s="486"/>
      <c r="AZR262" s="486"/>
      <c r="AZS262" s="486"/>
      <c r="AZT262" s="486"/>
      <c r="AZU262" s="486"/>
      <c r="AZV262" s="486"/>
      <c r="AZW262" s="486"/>
      <c r="AZX262" s="486"/>
      <c r="AZY262" s="486"/>
      <c r="AZZ262" s="486"/>
      <c r="BAA262" s="486"/>
      <c r="BAB262" s="486"/>
      <c r="BAC262" s="486"/>
      <c r="BAD262" s="486"/>
      <c r="BAE262" s="486"/>
      <c r="BAF262" s="486"/>
      <c r="BAG262" s="486"/>
      <c r="BAH262" s="486"/>
      <c r="BAI262" s="486"/>
      <c r="BAJ262" s="486"/>
      <c r="BAK262" s="486"/>
      <c r="BAL262" s="486"/>
      <c r="BAM262" s="486"/>
      <c r="BAN262" s="486"/>
      <c r="BAO262" s="486"/>
      <c r="BAP262" s="486"/>
      <c r="BAQ262" s="486"/>
      <c r="BAR262" s="486"/>
      <c r="BAS262" s="486"/>
      <c r="BAT262" s="486"/>
      <c r="BAU262" s="486"/>
      <c r="BAV262" s="486"/>
      <c r="BAW262" s="486"/>
      <c r="BAX262" s="486"/>
      <c r="BAY262" s="486"/>
      <c r="BAZ262" s="486"/>
      <c r="BBA262" s="486"/>
      <c r="BBB262" s="486"/>
      <c r="BBC262" s="486"/>
      <c r="BBD262" s="486"/>
      <c r="BBE262" s="486"/>
      <c r="BBF262" s="486"/>
      <c r="BBG262" s="486"/>
      <c r="BBH262" s="486"/>
      <c r="BBI262" s="486"/>
      <c r="BBJ262" s="486"/>
      <c r="BBK262" s="486"/>
      <c r="BBL262" s="486"/>
      <c r="BBM262" s="486"/>
      <c r="BBN262" s="486"/>
      <c r="BBO262" s="486"/>
      <c r="BBP262" s="486"/>
      <c r="BBQ262" s="486"/>
      <c r="BBR262" s="486"/>
      <c r="BBS262" s="486"/>
      <c r="BBT262" s="486"/>
      <c r="BBU262" s="486"/>
      <c r="BBV262" s="486"/>
      <c r="BBW262" s="486"/>
      <c r="BBX262" s="486"/>
      <c r="BBY262" s="486"/>
      <c r="BBZ262" s="486"/>
      <c r="BCA262" s="486"/>
      <c r="BCB262" s="486"/>
      <c r="BCC262" s="486"/>
      <c r="BCD262" s="486"/>
      <c r="BCE262" s="486"/>
      <c r="BCF262" s="486"/>
      <c r="BCG262" s="486"/>
      <c r="BCH262" s="486"/>
      <c r="BCI262" s="486"/>
      <c r="BCJ262" s="486"/>
      <c r="BCK262" s="486"/>
      <c r="BCL262" s="486"/>
      <c r="BCM262" s="486"/>
      <c r="BCN262" s="486"/>
      <c r="BCO262" s="486"/>
      <c r="BCP262" s="486"/>
      <c r="BCQ262" s="486"/>
      <c r="BCR262" s="486"/>
      <c r="BCS262" s="486"/>
      <c r="BCT262" s="486"/>
      <c r="BCU262" s="486"/>
      <c r="BCV262" s="486"/>
      <c r="BCW262" s="486"/>
      <c r="BCX262" s="486"/>
      <c r="BCY262" s="486"/>
      <c r="BCZ262" s="486"/>
      <c r="BDA262" s="486"/>
      <c r="BDB262" s="486"/>
      <c r="BDC262" s="486"/>
      <c r="BDD262" s="486"/>
      <c r="BDE262" s="486"/>
      <c r="BDF262" s="486"/>
      <c r="BDG262" s="486"/>
      <c r="BDH262" s="486"/>
      <c r="BDI262" s="486"/>
      <c r="BDJ262" s="486"/>
      <c r="BDK262" s="486"/>
      <c r="BDL262" s="486"/>
      <c r="BDM262" s="486"/>
      <c r="BDN262" s="486"/>
      <c r="BDO262" s="486"/>
      <c r="BDP262" s="486"/>
      <c r="BDQ262" s="486"/>
      <c r="BDR262" s="486"/>
      <c r="BDS262" s="486"/>
      <c r="BDT262" s="486"/>
      <c r="BDU262" s="486"/>
      <c r="BDV262" s="486"/>
      <c r="BDW262" s="486"/>
      <c r="BDX262" s="486"/>
      <c r="BDY262" s="486"/>
      <c r="BDZ262" s="486"/>
      <c r="BEA262" s="486"/>
      <c r="BEB262" s="486"/>
      <c r="BEC262" s="486"/>
      <c r="BED262" s="486"/>
      <c r="BEE262" s="486"/>
      <c r="BEF262" s="486"/>
      <c r="BEG262" s="486"/>
      <c r="BEH262" s="486"/>
      <c r="BEI262" s="486"/>
      <c r="BEJ262" s="486"/>
      <c r="BEK262" s="486"/>
      <c r="BEL262" s="486"/>
      <c r="BEM262" s="486"/>
      <c r="BEN262" s="486"/>
      <c r="BEO262" s="486"/>
      <c r="BEP262" s="486"/>
      <c r="BEQ262" s="486"/>
      <c r="BER262" s="486"/>
      <c r="BES262" s="486"/>
      <c r="BET262" s="486"/>
      <c r="BEU262" s="486"/>
      <c r="BEV262" s="486"/>
      <c r="BEW262" s="486"/>
      <c r="BEX262" s="486"/>
      <c r="BEY262" s="486"/>
      <c r="BEZ262" s="486"/>
      <c r="BFA262" s="486"/>
      <c r="BFB262" s="486"/>
      <c r="BFC262" s="486"/>
      <c r="BFD262" s="486"/>
      <c r="BFE262" s="486"/>
      <c r="BFF262" s="486"/>
      <c r="BFG262" s="486"/>
      <c r="BFH262" s="486"/>
      <c r="BFI262" s="486"/>
      <c r="BFJ262" s="486"/>
      <c r="BFK262" s="486"/>
      <c r="BFL262" s="486"/>
      <c r="BFM262" s="486"/>
      <c r="BFN262" s="486"/>
      <c r="BFO262" s="486"/>
      <c r="BFP262" s="486"/>
      <c r="BFQ262" s="486"/>
      <c r="BFR262" s="486"/>
      <c r="BFS262" s="486"/>
      <c r="BFT262" s="486"/>
      <c r="BFU262" s="486"/>
      <c r="BFV262" s="486"/>
      <c r="BFW262" s="486"/>
      <c r="BFX262" s="486"/>
      <c r="BFY262" s="486"/>
      <c r="BFZ262" s="486"/>
      <c r="BGA262" s="486"/>
      <c r="BGB262" s="486"/>
      <c r="BGC262" s="486"/>
      <c r="BGD262" s="486"/>
      <c r="BGE262" s="486"/>
      <c r="BGF262" s="486"/>
      <c r="BGG262" s="486"/>
      <c r="BGH262" s="486"/>
      <c r="BGI262" s="486"/>
      <c r="BGJ262" s="486"/>
      <c r="BGK262" s="486"/>
      <c r="BGL262" s="486"/>
      <c r="BGM262" s="486"/>
      <c r="BGN262" s="486"/>
      <c r="BGO262" s="486"/>
      <c r="BGP262" s="486"/>
      <c r="BGQ262" s="486"/>
      <c r="BGR262" s="486"/>
      <c r="BGS262" s="486"/>
      <c r="BGT262" s="486"/>
      <c r="BGU262" s="486"/>
      <c r="BGV262" s="486"/>
      <c r="BGW262" s="486"/>
      <c r="BGX262" s="486"/>
      <c r="BGY262" s="486"/>
      <c r="BGZ262" s="486"/>
      <c r="BHA262" s="486"/>
      <c r="BHB262" s="486"/>
      <c r="BHC262" s="486"/>
      <c r="BHD262" s="486"/>
      <c r="BHE262" s="486"/>
      <c r="BHF262" s="486"/>
      <c r="BHG262" s="486"/>
      <c r="BHH262" s="486"/>
      <c r="BHI262" s="486"/>
      <c r="BHJ262" s="486"/>
      <c r="BHK262" s="486"/>
      <c r="BHL262" s="486"/>
      <c r="BHM262" s="486"/>
      <c r="BHN262" s="486"/>
      <c r="BHO262" s="486"/>
      <c r="BHP262" s="486"/>
      <c r="BHQ262" s="486"/>
      <c r="BHR262" s="486"/>
      <c r="BHS262" s="486"/>
      <c r="BHT262" s="486"/>
      <c r="BHU262" s="486"/>
      <c r="BHV262" s="486"/>
      <c r="BHW262" s="486"/>
      <c r="BHX262" s="486"/>
      <c r="BHY262" s="486"/>
      <c r="BHZ262" s="486"/>
      <c r="BIA262" s="486"/>
      <c r="BIB262" s="486"/>
      <c r="BIC262" s="486"/>
      <c r="BID262" s="486"/>
      <c r="BIE262" s="486"/>
      <c r="BIF262" s="486"/>
      <c r="BIG262" s="486"/>
      <c r="BIH262" s="486"/>
      <c r="BII262" s="486"/>
      <c r="BIJ262" s="486"/>
      <c r="BIK262" s="486"/>
      <c r="BIL262" s="486"/>
      <c r="BIM262" s="486"/>
      <c r="BIN262" s="486"/>
      <c r="BIO262" s="486"/>
      <c r="BIP262" s="486"/>
      <c r="BIQ262" s="486"/>
      <c r="BIR262" s="486"/>
      <c r="BIS262" s="486"/>
      <c r="BIT262" s="486"/>
      <c r="BIU262" s="486"/>
      <c r="BIV262" s="486"/>
      <c r="BIW262" s="486"/>
      <c r="BIX262" s="486"/>
      <c r="BIY262" s="486"/>
      <c r="BIZ262" s="486"/>
      <c r="BJA262" s="486"/>
      <c r="BJB262" s="486"/>
      <c r="BJC262" s="486"/>
      <c r="BJD262" s="486"/>
      <c r="BJE262" s="486"/>
      <c r="BJF262" s="486"/>
      <c r="BJG262" s="486"/>
      <c r="BJH262" s="486"/>
      <c r="BJI262" s="486"/>
      <c r="BJJ262" s="486"/>
      <c r="BJK262" s="486"/>
      <c r="BJL262" s="486"/>
      <c r="BJM262" s="486"/>
      <c r="BJN262" s="486"/>
      <c r="BJO262" s="486"/>
      <c r="BJP262" s="486"/>
      <c r="BJQ262" s="486"/>
      <c r="BJR262" s="486"/>
      <c r="BJS262" s="486"/>
      <c r="BJT262" s="486"/>
      <c r="BJU262" s="486"/>
      <c r="BJV262" s="486"/>
      <c r="BJW262" s="486"/>
      <c r="BJX262" s="486"/>
      <c r="BJY262" s="486"/>
      <c r="BJZ262" s="486"/>
      <c r="BKA262" s="486"/>
      <c r="BKB262" s="486"/>
      <c r="BKC262" s="486"/>
      <c r="BKD262" s="486"/>
      <c r="BKE262" s="486"/>
      <c r="BKF262" s="486"/>
      <c r="BKG262" s="486"/>
      <c r="BKH262" s="486"/>
      <c r="BKI262" s="486"/>
      <c r="BKJ262" s="486"/>
      <c r="BKK262" s="486"/>
      <c r="BKL262" s="486"/>
      <c r="BKM262" s="486"/>
      <c r="BKN262" s="486"/>
      <c r="BKO262" s="486"/>
      <c r="BKP262" s="486"/>
      <c r="BKQ262" s="486"/>
      <c r="BKR262" s="486"/>
      <c r="BKS262" s="486"/>
      <c r="BKT262" s="486"/>
      <c r="BKU262" s="486"/>
      <c r="BKV262" s="486"/>
      <c r="BKW262" s="486"/>
      <c r="BKX262" s="486"/>
      <c r="BKY262" s="486"/>
      <c r="BKZ262" s="486"/>
      <c r="BLA262" s="486"/>
      <c r="BLB262" s="486"/>
      <c r="BLC262" s="486"/>
      <c r="BLD262" s="486"/>
      <c r="BLE262" s="486"/>
      <c r="BLF262" s="486"/>
      <c r="BLG262" s="486"/>
      <c r="BLH262" s="486"/>
      <c r="BLI262" s="486"/>
      <c r="BLJ262" s="486"/>
      <c r="BLK262" s="486"/>
      <c r="BLL262" s="486"/>
      <c r="BLM262" s="486"/>
      <c r="BLN262" s="486"/>
      <c r="BLO262" s="486"/>
      <c r="BLP262" s="486"/>
      <c r="BLQ262" s="486"/>
      <c r="BLR262" s="486"/>
      <c r="BLS262" s="486"/>
      <c r="BLT262" s="486"/>
      <c r="BLU262" s="486"/>
      <c r="BLV262" s="486"/>
      <c r="BLW262" s="486"/>
      <c r="BLX262" s="486"/>
      <c r="BLY262" s="486"/>
      <c r="BLZ262" s="486"/>
      <c r="BMA262" s="486"/>
      <c r="BMB262" s="486"/>
      <c r="BMC262" s="486"/>
      <c r="BMD262" s="486"/>
      <c r="BME262" s="486"/>
      <c r="BMF262" s="486"/>
      <c r="BMG262" s="486"/>
      <c r="BMH262" s="486"/>
      <c r="BMI262" s="486"/>
      <c r="BMJ262" s="486"/>
      <c r="BMK262" s="486"/>
      <c r="BML262" s="486"/>
      <c r="BMM262" s="486"/>
      <c r="BMN262" s="486"/>
      <c r="BMO262" s="486"/>
      <c r="BMP262" s="486"/>
      <c r="BMQ262" s="486"/>
      <c r="BMR262" s="486"/>
      <c r="BMS262" s="486"/>
      <c r="BMT262" s="486"/>
      <c r="BMU262" s="486"/>
      <c r="BMV262" s="486"/>
      <c r="BMW262" s="486"/>
      <c r="BMX262" s="486"/>
      <c r="BMY262" s="486"/>
      <c r="BMZ262" s="486"/>
      <c r="BNA262" s="486"/>
      <c r="BNB262" s="486"/>
      <c r="BNC262" s="486"/>
      <c r="BND262" s="486"/>
      <c r="BNE262" s="486"/>
      <c r="BNF262" s="486"/>
      <c r="BNG262" s="486"/>
      <c r="BNH262" s="486"/>
      <c r="BNI262" s="486"/>
      <c r="BNJ262" s="486"/>
      <c r="BNK262" s="486"/>
      <c r="BNL262" s="486"/>
      <c r="BNM262" s="486"/>
      <c r="BNN262" s="486"/>
      <c r="BNO262" s="486"/>
      <c r="BNP262" s="486"/>
      <c r="BNQ262" s="486"/>
      <c r="BNR262" s="486"/>
      <c r="BNS262" s="486"/>
      <c r="BNT262" s="486"/>
      <c r="BNU262" s="486"/>
      <c r="BNV262" s="486"/>
      <c r="BNW262" s="486"/>
      <c r="BNX262" s="486"/>
      <c r="BNY262" s="486"/>
      <c r="BNZ262" s="486"/>
      <c r="BOA262" s="486"/>
      <c r="BOB262" s="486"/>
      <c r="BOC262" s="486"/>
      <c r="BOD262" s="486"/>
      <c r="BOE262" s="486"/>
      <c r="BOF262" s="486"/>
      <c r="BOG262" s="486"/>
      <c r="BOH262" s="486"/>
      <c r="BOI262" s="486"/>
      <c r="BOJ262" s="486"/>
      <c r="BOK262" s="486"/>
      <c r="BOL262" s="486"/>
      <c r="BOM262" s="486"/>
      <c r="BON262" s="486"/>
      <c r="BOO262" s="486"/>
      <c r="BOP262" s="486"/>
      <c r="BOQ262" s="486"/>
      <c r="BOR262" s="486"/>
      <c r="BOS262" s="486"/>
      <c r="BOT262" s="486"/>
      <c r="BOU262" s="486"/>
      <c r="BOV262" s="486"/>
      <c r="BOW262" s="486"/>
      <c r="BOX262" s="486"/>
      <c r="BOY262" s="486"/>
      <c r="BOZ262" s="486"/>
      <c r="BPA262" s="486"/>
      <c r="BPB262" s="486"/>
      <c r="BPC262" s="486"/>
      <c r="BPD262" s="486"/>
      <c r="BPE262" s="486"/>
      <c r="BPF262" s="486"/>
      <c r="BPG262" s="486"/>
      <c r="BPH262" s="486"/>
      <c r="BPI262" s="486"/>
      <c r="BPJ262" s="486"/>
      <c r="BPK262" s="486"/>
      <c r="BPL262" s="486"/>
      <c r="BPM262" s="486"/>
      <c r="BPN262" s="486"/>
      <c r="BPO262" s="486"/>
      <c r="BPP262" s="486"/>
      <c r="BPQ262" s="486"/>
      <c r="BPR262" s="486"/>
      <c r="BPS262" s="486"/>
      <c r="BPT262" s="486"/>
      <c r="BPU262" s="486"/>
      <c r="BPV262" s="486"/>
      <c r="BPW262" s="486"/>
      <c r="BPX262" s="486"/>
      <c r="BPY262" s="486"/>
      <c r="BPZ262" s="486"/>
      <c r="BQA262" s="486"/>
      <c r="BQB262" s="486"/>
      <c r="BQC262" s="486"/>
      <c r="BQD262" s="486"/>
      <c r="BQE262" s="486"/>
      <c r="BQF262" s="486"/>
      <c r="BQG262" s="486"/>
      <c r="BQH262" s="486"/>
      <c r="BQI262" s="486"/>
      <c r="BQJ262" s="486"/>
      <c r="BQK262" s="486"/>
      <c r="BQL262" s="486"/>
      <c r="BQM262" s="486"/>
      <c r="BQN262" s="486"/>
      <c r="BQO262" s="486"/>
      <c r="BQP262" s="486"/>
      <c r="BQQ262" s="486"/>
      <c r="BQR262" s="486"/>
      <c r="BQS262" s="486"/>
      <c r="BQT262" s="486"/>
      <c r="BQU262" s="486"/>
      <c r="BQV262" s="486"/>
      <c r="BQW262" s="486"/>
      <c r="BQX262" s="486"/>
      <c r="BQY262" s="486"/>
      <c r="BQZ262" s="486"/>
      <c r="BRA262" s="486"/>
      <c r="BRB262" s="486"/>
      <c r="BRC262" s="486"/>
      <c r="BRD262" s="486"/>
      <c r="BRE262" s="486"/>
      <c r="BRF262" s="486"/>
      <c r="BRG262" s="486"/>
      <c r="BRH262" s="486"/>
      <c r="BRI262" s="486"/>
      <c r="BRJ262" s="486"/>
      <c r="BRK262" s="486"/>
      <c r="BRL262" s="486"/>
      <c r="BRM262" s="486"/>
      <c r="BRN262" s="486"/>
      <c r="BRO262" s="486"/>
      <c r="BRP262" s="486"/>
      <c r="BRQ262" s="486"/>
      <c r="BRR262" s="486"/>
      <c r="BRS262" s="486"/>
      <c r="BRT262" s="486"/>
      <c r="BRU262" s="486"/>
      <c r="BRV262" s="486"/>
      <c r="BRW262" s="486"/>
      <c r="BRX262" s="486"/>
      <c r="BRY262" s="486"/>
      <c r="BRZ262" s="486"/>
      <c r="BSA262" s="486"/>
      <c r="BSB262" s="486"/>
      <c r="BSC262" s="486"/>
      <c r="BSD262" s="486"/>
      <c r="BSE262" s="486"/>
      <c r="BSF262" s="486"/>
      <c r="BSG262" s="486"/>
      <c r="BSH262" s="486"/>
      <c r="BSI262" s="486"/>
      <c r="BSJ262" s="486"/>
      <c r="BSK262" s="486"/>
      <c r="BSL262" s="486"/>
      <c r="BSM262" s="486"/>
      <c r="BSN262" s="486"/>
      <c r="BSO262" s="486"/>
      <c r="BSP262" s="486"/>
      <c r="BSQ262" s="486"/>
      <c r="BSR262" s="486"/>
      <c r="BSS262" s="486"/>
      <c r="BST262" s="486"/>
      <c r="BSU262" s="486"/>
      <c r="BSV262" s="486"/>
      <c r="BSW262" s="486"/>
      <c r="BSX262" s="486"/>
      <c r="BSY262" s="486"/>
      <c r="BSZ262" s="486"/>
      <c r="BTA262" s="486"/>
      <c r="BTB262" s="486"/>
      <c r="BTC262" s="486"/>
      <c r="BTD262" s="486"/>
      <c r="BTE262" s="486"/>
      <c r="BTF262" s="486"/>
      <c r="BTG262" s="486"/>
      <c r="BTH262" s="486"/>
      <c r="BTI262" s="486"/>
    </row>
    <row r="263" spans="1:1881" s="393" customFormat="1" ht="30.75" customHeight="1" thickBot="1" x14ac:dyDescent="0.3">
      <c r="A263" s="567">
        <v>966</v>
      </c>
      <c r="B263" s="920" t="s">
        <v>928</v>
      </c>
      <c r="C263" s="921"/>
      <c r="D263" s="924"/>
      <c r="E263" s="925"/>
      <c r="F263" s="847" t="str">
        <f t="shared" si="4"/>
        <v>&lt;&lt;&lt;&lt;&lt;&lt;&lt;&lt;&lt;&lt;&lt;&lt;&lt;&lt;&lt;&lt;&lt;&lt;&lt;</v>
      </c>
      <c r="G263" s="847" t="str">
        <f>IF(ISBLANK($D263),"Cell D263 must be completed.","")</f>
        <v>Cell D263 must be completed.</v>
      </c>
      <c r="H263" s="396"/>
      <c r="I263" s="405"/>
      <c r="J263" s="394"/>
      <c r="K263" s="394"/>
      <c r="L263" s="394"/>
      <c r="M263" s="394"/>
      <c r="N263"/>
      <c r="O263" s="394"/>
      <c r="P263" s="394"/>
      <c r="Q263" s="394"/>
      <c r="R263" s="394"/>
      <c r="S263" s="394"/>
      <c r="T263" s="394"/>
      <c r="U263" s="394"/>
      <c r="V263" s="394"/>
      <c r="W263" s="394"/>
      <c r="X263" s="394"/>
      <c r="Y263" s="394"/>
      <c r="Z263" s="394"/>
      <c r="AA263" s="394"/>
      <c r="AB263" s="394"/>
      <c r="AC263" s="394"/>
      <c r="AD263" s="394"/>
      <c r="AE263" s="394"/>
      <c r="AF263" s="394"/>
      <c r="AG263" s="394"/>
      <c r="AH263" s="394"/>
      <c r="AI263" s="394"/>
      <c r="AJ263" s="394"/>
      <c r="AK263" s="394"/>
      <c r="AL263" s="394"/>
      <c r="AM263" s="394"/>
      <c r="AN263" s="394"/>
      <c r="AO263" s="394"/>
      <c r="AP263" s="394"/>
      <c r="AQ263" s="394"/>
      <c r="AR263" s="394"/>
      <c r="AS263" s="394"/>
      <c r="AT263" s="394"/>
      <c r="AU263" s="394"/>
      <c r="AV263" s="394"/>
      <c r="AW263" s="394"/>
      <c r="AX263" s="394"/>
      <c r="AY263" s="394"/>
      <c r="AZ263" s="394"/>
      <c r="BA263" s="394"/>
      <c r="BB263" s="394"/>
      <c r="BC263" s="394"/>
      <c r="BD263" s="394"/>
      <c r="BE263" s="394"/>
      <c r="BF263" s="394"/>
      <c r="BG263" s="394"/>
      <c r="BH263" s="394"/>
      <c r="BI263" s="394"/>
      <c r="BJ263" s="394"/>
      <c r="BK263" s="394"/>
      <c r="BL263" s="394"/>
      <c r="BM263" s="394"/>
      <c r="BN263" s="394"/>
      <c r="BO263" s="394"/>
      <c r="BP263" s="394"/>
      <c r="BQ263" s="394"/>
      <c r="BR263" s="394"/>
      <c r="BS263" s="394"/>
      <c r="BT263" s="394"/>
      <c r="BU263" s="394"/>
      <c r="BV263" s="394"/>
      <c r="BW263" s="394"/>
      <c r="BX263" s="394"/>
      <c r="BY263" s="394"/>
      <c r="BZ263" s="394"/>
      <c r="CA263" s="394"/>
      <c r="CB263" s="394"/>
      <c r="CC263" s="394"/>
      <c r="CD263" s="394"/>
      <c r="CE263" s="394"/>
      <c r="CF263" s="394"/>
      <c r="CG263" s="394"/>
      <c r="CH263" s="394"/>
      <c r="CI263" s="394"/>
      <c r="CJ263" s="394"/>
      <c r="CK263" s="394"/>
      <c r="CL263" s="394"/>
      <c r="CM263" s="394"/>
      <c r="CN263" s="394"/>
      <c r="CO263" s="394"/>
      <c r="CP263" s="394"/>
      <c r="CQ263" s="394"/>
      <c r="CR263" s="394"/>
      <c r="CS263" s="394"/>
      <c r="CT263" s="394"/>
      <c r="CU263" s="394"/>
      <c r="CV263" s="394"/>
      <c r="CW263" s="394"/>
      <c r="CX263" s="394"/>
      <c r="CY263" s="394"/>
      <c r="CZ263" s="394"/>
      <c r="DA263" s="394"/>
      <c r="DB263" s="394"/>
      <c r="DC263" s="394"/>
      <c r="DD263" s="394"/>
      <c r="DE263" s="394"/>
      <c r="DF263" s="394"/>
      <c r="DG263" s="394"/>
      <c r="DH263" s="394"/>
      <c r="DI263" s="394"/>
      <c r="DJ263" s="394"/>
      <c r="DK263" s="394"/>
      <c r="DL263" s="394"/>
      <c r="DM263" s="394"/>
      <c r="DN263" s="394"/>
      <c r="DO263" s="394"/>
      <c r="DP263" s="394"/>
      <c r="DQ263" s="394"/>
      <c r="DR263" s="394"/>
      <c r="DS263" s="394"/>
      <c r="DT263" s="394"/>
      <c r="DU263" s="394"/>
      <c r="DV263" s="394"/>
      <c r="DW263" s="394"/>
      <c r="DX263" s="394"/>
      <c r="DY263" s="394"/>
      <c r="DZ263" s="394"/>
      <c r="EA263" s="394"/>
      <c r="EB263" s="394"/>
      <c r="EC263" s="394"/>
      <c r="ED263" s="394"/>
      <c r="EE263" s="394"/>
      <c r="EF263" s="394"/>
      <c r="EG263" s="394"/>
      <c r="EH263" s="394"/>
      <c r="EI263" s="394"/>
      <c r="EJ263" s="394"/>
      <c r="EK263" s="394"/>
      <c r="EL263" s="394"/>
      <c r="EM263" s="394"/>
      <c r="EN263" s="394"/>
      <c r="EO263" s="394"/>
      <c r="EP263" s="394"/>
      <c r="EQ263" s="394"/>
      <c r="ER263" s="394"/>
      <c r="ES263" s="394"/>
      <c r="ET263" s="394"/>
      <c r="EU263" s="394"/>
      <c r="EV263" s="394"/>
      <c r="EW263" s="394"/>
      <c r="EX263" s="394"/>
      <c r="EY263" s="394"/>
      <c r="EZ263" s="394"/>
      <c r="FA263" s="394"/>
      <c r="FB263" s="394"/>
      <c r="FC263" s="394"/>
      <c r="FD263" s="394"/>
      <c r="FE263" s="394"/>
      <c r="FF263" s="394"/>
      <c r="FG263" s="394"/>
      <c r="FH263" s="394"/>
      <c r="FI263" s="394"/>
      <c r="FJ263" s="394"/>
      <c r="FK263" s="394"/>
      <c r="FL263" s="394"/>
      <c r="FM263" s="394"/>
      <c r="FN263" s="394"/>
      <c r="FO263" s="394"/>
      <c r="FP263" s="394"/>
      <c r="FQ263" s="394"/>
      <c r="FR263" s="394"/>
      <c r="FS263" s="394"/>
      <c r="FT263" s="394"/>
      <c r="FU263" s="394"/>
      <c r="FV263" s="394"/>
      <c r="FW263" s="394"/>
      <c r="FX263" s="394"/>
      <c r="FY263" s="394"/>
      <c r="FZ263" s="394"/>
      <c r="GA263" s="394"/>
      <c r="GB263" s="394"/>
      <c r="GC263" s="394"/>
      <c r="GD263" s="394"/>
      <c r="GE263" s="394"/>
      <c r="GF263" s="394"/>
      <c r="GG263" s="394"/>
      <c r="GH263" s="394"/>
      <c r="GI263" s="394"/>
      <c r="GJ263" s="394"/>
      <c r="GK263" s="394"/>
      <c r="GL263" s="394"/>
      <c r="GM263" s="394"/>
      <c r="GN263" s="394"/>
      <c r="GO263" s="394"/>
      <c r="GP263" s="394"/>
      <c r="GQ263" s="394"/>
      <c r="GR263" s="394"/>
      <c r="GS263" s="394"/>
      <c r="GT263" s="394"/>
      <c r="GU263" s="394"/>
      <c r="GV263" s="394"/>
      <c r="GW263" s="394"/>
      <c r="GX263" s="394"/>
      <c r="GY263" s="394"/>
      <c r="GZ263" s="394"/>
      <c r="HA263" s="394"/>
      <c r="HB263" s="394"/>
      <c r="HC263" s="394"/>
      <c r="HD263" s="394"/>
      <c r="HE263" s="394"/>
      <c r="HF263" s="394"/>
      <c r="HG263" s="394"/>
      <c r="HH263" s="394"/>
      <c r="HI263" s="394"/>
      <c r="HJ263" s="394"/>
      <c r="HK263" s="394"/>
      <c r="HL263" s="394"/>
      <c r="HM263" s="394"/>
      <c r="HN263" s="394"/>
      <c r="HO263" s="394"/>
      <c r="HP263" s="394"/>
      <c r="HQ263" s="394"/>
      <c r="HR263" s="394"/>
      <c r="HS263" s="394"/>
      <c r="HT263" s="394"/>
      <c r="HU263" s="394"/>
      <c r="HV263" s="394"/>
      <c r="HW263" s="394"/>
      <c r="HX263" s="394"/>
      <c r="HY263" s="394"/>
      <c r="HZ263" s="394"/>
      <c r="IA263" s="394"/>
      <c r="IB263" s="394"/>
      <c r="IC263" s="394"/>
      <c r="ID263" s="394"/>
      <c r="IE263" s="394"/>
      <c r="IF263" s="394"/>
      <c r="IG263" s="394"/>
      <c r="IH263" s="394"/>
      <c r="II263" s="394"/>
      <c r="IJ263" s="394"/>
      <c r="IK263" s="394"/>
      <c r="IL263" s="394"/>
      <c r="IM263" s="394"/>
      <c r="IN263" s="394"/>
      <c r="IO263" s="394"/>
      <c r="IP263" s="394"/>
      <c r="IQ263" s="394"/>
      <c r="IR263" s="394"/>
      <c r="IS263" s="394"/>
      <c r="IT263" s="394"/>
      <c r="IU263" s="394"/>
      <c r="IV263" s="394"/>
      <c r="IW263" s="394"/>
      <c r="IX263" s="394"/>
      <c r="IY263" s="394"/>
      <c r="IZ263" s="394"/>
      <c r="JA263" s="394"/>
      <c r="JB263" s="394"/>
      <c r="JC263" s="394"/>
      <c r="JD263" s="394"/>
      <c r="JE263" s="394"/>
      <c r="JF263" s="394"/>
      <c r="JG263" s="394"/>
      <c r="JH263" s="394"/>
      <c r="JI263" s="394"/>
      <c r="JJ263" s="394"/>
      <c r="JK263" s="394"/>
      <c r="JL263" s="394"/>
      <c r="JM263" s="394"/>
      <c r="JN263" s="394"/>
      <c r="JO263" s="394"/>
      <c r="JP263" s="394"/>
      <c r="JQ263" s="394"/>
      <c r="JR263" s="394"/>
      <c r="JS263" s="394"/>
      <c r="JT263" s="394"/>
      <c r="JU263" s="394"/>
      <c r="JV263" s="394"/>
      <c r="JW263" s="394"/>
      <c r="JX263" s="394"/>
      <c r="JY263" s="394"/>
      <c r="JZ263" s="394"/>
      <c r="KA263" s="394"/>
      <c r="KB263" s="394"/>
      <c r="KC263" s="394"/>
      <c r="KD263" s="394"/>
      <c r="KE263" s="394"/>
      <c r="KF263" s="394"/>
      <c r="KG263" s="394"/>
      <c r="KH263" s="394"/>
      <c r="KI263" s="394"/>
      <c r="KJ263" s="394"/>
      <c r="KK263" s="394"/>
      <c r="KL263" s="394"/>
      <c r="KM263" s="394"/>
      <c r="KN263" s="394"/>
      <c r="KO263" s="394"/>
      <c r="KP263" s="394"/>
      <c r="KQ263" s="394"/>
      <c r="KR263" s="394"/>
      <c r="KS263" s="394"/>
      <c r="KT263" s="394"/>
      <c r="KU263" s="394"/>
      <c r="KV263" s="394"/>
      <c r="KW263" s="394"/>
      <c r="KX263" s="394"/>
      <c r="KY263" s="394"/>
      <c r="KZ263" s="394"/>
      <c r="LA263" s="394"/>
      <c r="LB263" s="394"/>
      <c r="LC263" s="394"/>
      <c r="LD263" s="394"/>
      <c r="LE263" s="394"/>
      <c r="LF263" s="394"/>
      <c r="LG263" s="394"/>
      <c r="LH263" s="394"/>
      <c r="LI263" s="394"/>
      <c r="LJ263" s="394"/>
      <c r="LK263" s="394"/>
      <c r="LL263" s="394"/>
      <c r="LM263" s="394"/>
      <c r="LN263" s="394"/>
      <c r="LO263" s="394"/>
      <c r="LP263" s="394"/>
      <c r="LQ263" s="394"/>
      <c r="LR263" s="394"/>
      <c r="LS263" s="394"/>
      <c r="LT263" s="394"/>
      <c r="LU263" s="394"/>
      <c r="LV263" s="394"/>
      <c r="LW263" s="394"/>
      <c r="LX263" s="394"/>
      <c r="LY263" s="394"/>
      <c r="LZ263" s="394"/>
      <c r="MA263" s="394"/>
      <c r="MB263" s="394"/>
      <c r="MC263" s="394"/>
      <c r="MD263" s="394"/>
      <c r="ME263" s="394"/>
      <c r="MF263" s="394"/>
      <c r="MG263" s="394"/>
      <c r="MH263" s="394"/>
      <c r="MI263" s="394"/>
      <c r="MJ263" s="394"/>
      <c r="MK263" s="394"/>
      <c r="ML263" s="394"/>
      <c r="MM263" s="394"/>
      <c r="MN263" s="394"/>
      <c r="MO263" s="394"/>
      <c r="MP263" s="394"/>
      <c r="MQ263" s="394"/>
      <c r="MR263" s="394"/>
      <c r="MS263" s="394"/>
      <c r="MT263" s="394"/>
      <c r="MU263" s="394"/>
      <c r="MV263" s="394"/>
      <c r="MW263" s="394"/>
      <c r="MX263" s="394"/>
      <c r="MY263" s="394"/>
      <c r="MZ263" s="394"/>
      <c r="NA263" s="394"/>
      <c r="NB263" s="394"/>
      <c r="NC263" s="394"/>
      <c r="ND263" s="394"/>
      <c r="NE263" s="394"/>
      <c r="NF263" s="394"/>
      <c r="NG263" s="394"/>
      <c r="NH263" s="394"/>
      <c r="NI263" s="394"/>
      <c r="NJ263" s="394"/>
      <c r="NK263" s="394"/>
      <c r="NL263" s="394"/>
      <c r="NM263" s="394"/>
      <c r="NN263" s="394"/>
      <c r="NO263" s="394"/>
      <c r="NP263" s="394"/>
      <c r="NQ263" s="394"/>
      <c r="NR263" s="394"/>
      <c r="NS263" s="394"/>
      <c r="NT263" s="394"/>
      <c r="NU263" s="394"/>
      <c r="NV263" s="394"/>
      <c r="NW263" s="394"/>
      <c r="NX263" s="394"/>
      <c r="NY263" s="394"/>
      <c r="NZ263" s="394"/>
      <c r="OA263" s="394"/>
      <c r="OB263" s="394"/>
      <c r="OC263" s="394"/>
      <c r="OD263" s="394"/>
      <c r="OE263" s="394"/>
      <c r="OF263" s="394"/>
      <c r="OG263" s="394"/>
      <c r="OH263" s="394"/>
      <c r="OI263" s="394"/>
      <c r="OJ263" s="394"/>
      <c r="OK263" s="394"/>
      <c r="OL263" s="394"/>
      <c r="OM263" s="394"/>
      <c r="ON263" s="394"/>
      <c r="OO263" s="394"/>
      <c r="OP263" s="394"/>
      <c r="OQ263" s="394"/>
      <c r="OR263" s="394"/>
      <c r="OS263" s="394"/>
      <c r="OT263" s="394"/>
      <c r="OU263" s="394"/>
      <c r="OV263" s="394"/>
      <c r="OW263" s="394"/>
      <c r="OX263" s="394"/>
      <c r="OY263" s="394"/>
      <c r="OZ263" s="394"/>
      <c r="PA263" s="394"/>
      <c r="PB263" s="394"/>
      <c r="PC263" s="394"/>
      <c r="PD263" s="394"/>
      <c r="PE263" s="394"/>
      <c r="PF263" s="394"/>
      <c r="PG263" s="394"/>
      <c r="PH263" s="394"/>
      <c r="PI263" s="394"/>
      <c r="PJ263" s="394"/>
      <c r="PK263" s="394"/>
      <c r="PL263" s="394"/>
      <c r="PM263" s="394"/>
      <c r="PN263" s="394"/>
      <c r="PO263" s="394"/>
      <c r="PP263" s="394"/>
      <c r="PQ263" s="394"/>
      <c r="PR263" s="394"/>
      <c r="PS263" s="394"/>
      <c r="PT263" s="394"/>
      <c r="PU263" s="394"/>
      <c r="PV263" s="394"/>
      <c r="PW263" s="394"/>
      <c r="PX263" s="394"/>
      <c r="PY263" s="394"/>
      <c r="PZ263" s="394"/>
      <c r="QA263" s="394"/>
      <c r="QB263" s="394"/>
      <c r="QC263" s="394"/>
      <c r="QD263" s="394"/>
      <c r="QE263" s="394"/>
      <c r="QF263" s="394"/>
      <c r="QG263" s="394"/>
      <c r="QH263" s="394"/>
      <c r="QI263" s="394"/>
      <c r="QJ263" s="394"/>
      <c r="QK263" s="394"/>
      <c r="QL263" s="394"/>
      <c r="QM263" s="394"/>
      <c r="QN263" s="394"/>
      <c r="QO263" s="394"/>
      <c r="QP263" s="394"/>
      <c r="QQ263" s="394"/>
      <c r="QR263" s="394"/>
      <c r="QS263" s="394"/>
      <c r="QT263" s="394"/>
      <c r="QU263" s="394"/>
      <c r="QV263" s="394"/>
      <c r="QW263" s="394"/>
      <c r="QX263" s="394"/>
      <c r="QY263" s="394"/>
      <c r="QZ263" s="394"/>
      <c r="RA263" s="394"/>
      <c r="RB263" s="394"/>
      <c r="RC263" s="394"/>
      <c r="RD263" s="394"/>
      <c r="RE263" s="394"/>
      <c r="RF263" s="394"/>
      <c r="RG263" s="394"/>
      <c r="RH263" s="394"/>
      <c r="RI263" s="394"/>
      <c r="RJ263" s="394"/>
      <c r="RK263" s="394"/>
      <c r="RL263" s="394"/>
      <c r="RM263" s="394"/>
      <c r="RN263" s="394"/>
      <c r="RO263" s="394"/>
      <c r="RP263" s="394"/>
      <c r="RQ263" s="394"/>
      <c r="RR263" s="394"/>
      <c r="RS263" s="394"/>
      <c r="RT263" s="394"/>
      <c r="RU263" s="394"/>
      <c r="RV263" s="394"/>
      <c r="RW263" s="394"/>
      <c r="RX263" s="394"/>
      <c r="RY263" s="394"/>
      <c r="RZ263" s="394"/>
      <c r="SA263" s="394"/>
      <c r="SB263" s="394"/>
      <c r="SC263" s="394"/>
      <c r="SD263" s="394"/>
      <c r="SE263" s="394"/>
      <c r="SF263" s="394"/>
      <c r="SG263" s="394"/>
      <c r="SH263" s="394"/>
      <c r="SI263" s="394"/>
      <c r="SJ263" s="394"/>
      <c r="SK263" s="394"/>
      <c r="SL263" s="394"/>
      <c r="SM263" s="394"/>
      <c r="SN263" s="394"/>
      <c r="SO263" s="394"/>
      <c r="SP263" s="394"/>
      <c r="SQ263" s="394"/>
      <c r="SR263" s="394"/>
      <c r="SS263" s="394"/>
      <c r="ST263" s="394"/>
      <c r="SU263" s="394"/>
      <c r="SV263" s="394"/>
      <c r="SW263" s="394"/>
      <c r="SX263" s="394"/>
      <c r="SY263" s="394"/>
      <c r="SZ263" s="394"/>
      <c r="TA263" s="394"/>
      <c r="TB263" s="394"/>
      <c r="TC263" s="394"/>
      <c r="TD263" s="394"/>
      <c r="TE263" s="394"/>
      <c r="TF263" s="394"/>
      <c r="TG263" s="394"/>
      <c r="TH263" s="394"/>
      <c r="TI263" s="394"/>
      <c r="TJ263" s="394"/>
      <c r="TK263" s="394"/>
      <c r="TL263" s="394"/>
      <c r="TM263" s="394"/>
      <c r="TN263" s="394"/>
      <c r="TO263" s="394"/>
      <c r="TP263" s="394"/>
      <c r="TQ263" s="394"/>
      <c r="TR263" s="394"/>
      <c r="TS263" s="394"/>
      <c r="TT263" s="394"/>
      <c r="TU263" s="394"/>
      <c r="TV263" s="394"/>
      <c r="TW263" s="394"/>
      <c r="TX263" s="394"/>
      <c r="TY263" s="394"/>
      <c r="TZ263" s="394"/>
      <c r="UA263" s="394"/>
      <c r="UB263" s="394"/>
      <c r="UC263" s="394"/>
      <c r="UD263" s="394"/>
      <c r="UE263" s="394"/>
      <c r="UF263" s="394"/>
      <c r="UG263" s="394"/>
      <c r="UH263" s="394"/>
      <c r="UI263" s="394"/>
      <c r="UJ263" s="394"/>
      <c r="UK263" s="394"/>
      <c r="UL263" s="394"/>
      <c r="UM263" s="394"/>
      <c r="UN263" s="394"/>
      <c r="UO263" s="394"/>
      <c r="UP263" s="394"/>
      <c r="UQ263" s="394"/>
      <c r="UR263" s="394"/>
      <c r="US263" s="394"/>
      <c r="UT263" s="394"/>
      <c r="UU263" s="394"/>
      <c r="UV263" s="394"/>
      <c r="UW263" s="394"/>
      <c r="UX263" s="394"/>
      <c r="UY263" s="394"/>
      <c r="UZ263" s="394"/>
      <c r="VA263" s="394"/>
      <c r="VB263" s="394"/>
      <c r="VC263" s="394"/>
      <c r="VD263" s="394"/>
      <c r="VE263" s="394"/>
      <c r="VF263" s="394"/>
      <c r="VG263" s="394"/>
      <c r="VH263" s="394"/>
      <c r="VI263" s="394"/>
      <c r="VJ263" s="394"/>
      <c r="VK263" s="394"/>
      <c r="VL263" s="394"/>
      <c r="VM263" s="394"/>
      <c r="VN263" s="394"/>
      <c r="VO263" s="394"/>
      <c r="VP263" s="394"/>
      <c r="VQ263" s="394"/>
      <c r="VR263" s="394"/>
      <c r="VS263" s="394"/>
      <c r="VT263" s="394"/>
      <c r="VU263" s="394"/>
      <c r="VV263" s="394"/>
      <c r="VW263" s="394"/>
      <c r="VX263" s="394"/>
      <c r="VY263" s="394"/>
      <c r="VZ263" s="394"/>
      <c r="WA263" s="394"/>
      <c r="WB263" s="394"/>
      <c r="WC263" s="394"/>
      <c r="WD263" s="394"/>
      <c r="WE263" s="394"/>
      <c r="WF263" s="394"/>
      <c r="WG263" s="394"/>
      <c r="WH263" s="394"/>
      <c r="WI263" s="394"/>
      <c r="WJ263" s="394"/>
      <c r="WK263" s="394"/>
      <c r="WL263" s="394"/>
      <c r="WM263" s="394"/>
      <c r="WN263" s="394"/>
      <c r="WO263" s="394"/>
      <c r="WP263" s="394"/>
      <c r="WQ263" s="394"/>
      <c r="WR263" s="394"/>
      <c r="WS263" s="394"/>
      <c r="WT263" s="394"/>
      <c r="WU263" s="394"/>
      <c r="WV263" s="394"/>
      <c r="WW263" s="394"/>
      <c r="WX263" s="394"/>
      <c r="WY263" s="394"/>
      <c r="WZ263" s="394"/>
      <c r="XA263" s="394"/>
      <c r="XB263" s="394"/>
      <c r="XC263" s="394"/>
      <c r="XD263" s="394"/>
      <c r="XE263" s="394"/>
      <c r="XF263" s="394"/>
      <c r="XG263" s="394"/>
      <c r="XH263" s="394"/>
      <c r="XI263" s="394"/>
      <c r="XJ263" s="394"/>
      <c r="XK263" s="394"/>
      <c r="XL263" s="394"/>
      <c r="XM263" s="394"/>
      <c r="XN263" s="394"/>
      <c r="XO263" s="394"/>
      <c r="XP263" s="394"/>
      <c r="XQ263" s="394"/>
      <c r="XR263" s="394"/>
      <c r="XS263" s="394"/>
      <c r="XT263" s="394"/>
      <c r="XU263" s="394"/>
      <c r="XV263" s="394"/>
      <c r="XW263" s="394"/>
      <c r="XX263" s="394"/>
      <c r="XY263" s="394"/>
      <c r="XZ263" s="394"/>
      <c r="YA263" s="394"/>
      <c r="YB263" s="394"/>
      <c r="YC263" s="394"/>
      <c r="YD263" s="394"/>
      <c r="YE263" s="394"/>
      <c r="YF263" s="394"/>
      <c r="YG263" s="394"/>
      <c r="YH263" s="394"/>
      <c r="YI263" s="394"/>
      <c r="YJ263" s="394"/>
      <c r="YK263" s="394"/>
      <c r="YL263" s="394"/>
      <c r="YM263" s="394"/>
      <c r="YN263" s="394"/>
      <c r="YO263" s="394"/>
      <c r="YP263" s="394"/>
      <c r="YQ263" s="394"/>
      <c r="YR263" s="394"/>
      <c r="YS263" s="394"/>
      <c r="YT263" s="394"/>
      <c r="YU263" s="394"/>
      <c r="YV263" s="394"/>
      <c r="YW263" s="394"/>
      <c r="YX263" s="394"/>
      <c r="YY263" s="394"/>
      <c r="YZ263" s="394"/>
      <c r="ZA263" s="394"/>
      <c r="ZB263" s="394"/>
      <c r="ZC263" s="394"/>
      <c r="ZD263" s="394"/>
      <c r="ZE263" s="394"/>
      <c r="ZF263" s="394"/>
      <c r="ZG263" s="394"/>
      <c r="ZH263" s="394"/>
      <c r="ZI263" s="394"/>
      <c r="ZJ263" s="394"/>
      <c r="ZK263" s="394"/>
      <c r="ZL263" s="394"/>
      <c r="ZM263" s="394"/>
      <c r="ZN263" s="394"/>
      <c r="ZO263" s="394"/>
      <c r="ZP263" s="394"/>
      <c r="ZQ263" s="394"/>
      <c r="ZR263" s="394"/>
      <c r="ZS263" s="394"/>
      <c r="ZT263" s="394"/>
      <c r="ZU263" s="394"/>
      <c r="ZV263" s="394"/>
      <c r="ZW263" s="394"/>
      <c r="ZX263" s="394"/>
      <c r="ZY263" s="394"/>
      <c r="ZZ263" s="394"/>
      <c r="AAA263" s="394"/>
      <c r="AAB263" s="394"/>
      <c r="AAC263" s="394"/>
      <c r="AAD263" s="394"/>
      <c r="AAE263" s="394"/>
      <c r="AAF263" s="394"/>
      <c r="AAG263" s="394"/>
      <c r="AAH263" s="394"/>
      <c r="AAI263" s="394"/>
      <c r="AAJ263" s="394"/>
      <c r="AAK263" s="394"/>
      <c r="AAL263" s="394"/>
      <c r="AAM263" s="394"/>
      <c r="AAN263" s="394"/>
      <c r="AAO263" s="394"/>
      <c r="AAP263" s="394"/>
      <c r="AAQ263" s="394"/>
      <c r="AAR263" s="394"/>
      <c r="AAS263" s="394"/>
      <c r="AAT263" s="394"/>
      <c r="AAU263" s="394"/>
      <c r="AAV263" s="394"/>
      <c r="AAW263" s="394"/>
      <c r="AAX263" s="394"/>
      <c r="AAY263" s="394"/>
      <c r="AAZ263" s="394"/>
      <c r="ABA263" s="394"/>
      <c r="ABB263" s="394"/>
      <c r="ABC263" s="394"/>
      <c r="ABD263" s="394"/>
      <c r="ABE263" s="394"/>
      <c r="ABF263" s="394"/>
      <c r="ABG263" s="394"/>
      <c r="ABH263" s="394"/>
      <c r="ABI263" s="394"/>
      <c r="ABJ263" s="394"/>
      <c r="ABK263" s="394"/>
      <c r="ABL263" s="394"/>
      <c r="ABM263" s="394"/>
      <c r="ABN263" s="394"/>
      <c r="ABO263" s="394"/>
      <c r="ABP263" s="394"/>
      <c r="ABQ263" s="394"/>
      <c r="ABR263" s="394"/>
      <c r="ABS263" s="394"/>
      <c r="ABT263" s="394"/>
      <c r="ABU263" s="394"/>
      <c r="ABV263" s="394"/>
      <c r="ABW263" s="394"/>
      <c r="ABX263" s="394"/>
      <c r="ABY263" s="394"/>
      <c r="ABZ263" s="394"/>
      <c r="ACA263" s="394"/>
      <c r="ACB263" s="394"/>
      <c r="ACC263" s="394"/>
      <c r="ACD263" s="394"/>
      <c r="ACE263" s="394"/>
      <c r="ACF263" s="394"/>
      <c r="ACG263" s="394"/>
      <c r="ACH263" s="394"/>
      <c r="ACI263" s="394"/>
      <c r="ACJ263" s="394"/>
      <c r="ACK263" s="394"/>
      <c r="ACL263" s="394"/>
      <c r="ACM263" s="394"/>
      <c r="ACN263" s="394"/>
      <c r="ACO263" s="394"/>
      <c r="ACP263" s="394"/>
      <c r="ACQ263" s="394"/>
      <c r="ACR263" s="394"/>
      <c r="ACS263" s="394"/>
      <c r="ACT263" s="394"/>
      <c r="ACU263" s="394"/>
      <c r="ACV263" s="394"/>
      <c r="ACW263" s="394"/>
      <c r="ACX263" s="394"/>
      <c r="ACY263" s="394"/>
      <c r="ACZ263" s="394"/>
      <c r="ADA263" s="394"/>
      <c r="ADB263" s="394"/>
      <c r="ADC263" s="394"/>
      <c r="ADD263" s="394"/>
      <c r="ADE263" s="394"/>
      <c r="ADF263" s="394"/>
      <c r="ADG263" s="394"/>
      <c r="ADH263" s="394"/>
      <c r="ADI263" s="394"/>
      <c r="ADJ263" s="394"/>
      <c r="ADK263" s="394"/>
      <c r="ADL263" s="394"/>
      <c r="ADM263" s="394"/>
      <c r="ADN263" s="394"/>
      <c r="ADO263" s="394"/>
      <c r="ADP263" s="394"/>
      <c r="ADQ263" s="394"/>
      <c r="ADR263" s="394"/>
      <c r="ADS263" s="394"/>
      <c r="ADT263" s="394"/>
      <c r="ADU263" s="394"/>
      <c r="ADV263" s="394"/>
      <c r="ADW263" s="394"/>
      <c r="ADX263" s="394"/>
      <c r="ADY263" s="394"/>
      <c r="ADZ263" s="394"/>
      <c r="AEA263" s="394"/>
      <c r="AEB263" s="394"/>
      <c r="AEC263" s="394"/>
      <c r="AED263" s="394"/>
      <c r="AEE263" s="394"/>
      <c r="AEF263" s="394"/>
      <c r="AEG263" s="394"/>
      <c r="AEH263" s="394"/>
      <c r="AEI263" s="394"/>
      <c r="AEJ263" s="394"/>
      <c r="AEK263" s="394"/>
      <c r="AEL263" s="394"/>
      <c r="AEM263" s="394"/>
      <c r="AEN263" s="394"/>
      <c r="AEO263" s="394"/>
      <c r="AEP263" s="394"/>
      <c r="AEQ263" s="394"/>
      <c r="AER263" s="394"/>
      <c r="AES263" s="394"/>
      <c r="AET263" s="394"/>
      <c r="AEU263" s="394"/>
      <c r="AEV263" s="394"/>
      <c r="AEW263" s="394"/>
      <c r="AEX263" s="394"/>
      <c r="AEY263" s="394"/>
      <c r="AEZ263" s="394"/>
      <c r="AFA263" s="394"/>
      <c r="AFB263" s="394"/>
      <c r="AFC263" s="394"/>
      <c r="AFD263" s="394"/>
      <c r="AFE263" s="394"/>
      <c r="AFF263" s="394"/>
      <c r="AFG263" s="394"/>
      <c r="AFH263" s="394"/>
      <c r="AFI263" s="394"/>
      <c r="AFJ263" s="394"/>
      <c r="AFK263" s="394"/>
      <c r="AFL263" s="394"/>
      <c r="AFM263" s="394"/>
      <c r="AFN263" s="394"/>
      <c r="AFO263" s="394"/>
      <c r="AFP263" s="394"/>
      <c r="AFQ263" s="394"/>
      <c r="AFR263" s="394"/>
      <c r="AFS263" s="394"/>
      <c r="AFT263" s="394"/>
      <c r="AFU263" s="394"/>
      <c r="AFV263" s="394"/>
      <c r="AFW263" s="394"/>
      <c r="AFX263" s="394"/>
      <c r="AFY263" s="394"/>
      <c r="AFZ263" s="394"/>
      <c r="AGA263" s="394"/>
      <c r="AGB263" s="394"/>
      <c r="AGC263" s="394"/>
      <c r="AGD263" s="394"/>
      <c r="AGE263" s="394"/>
      <c r="AGF263" s="394"/>
      <c r="AGG263" s="394"/>
      <c r="AGH263" s="394"/>
      <c r="AGI263" s="394"/>
      <c r="AGJ263" s="394"/>
      <c r="AGK263" s="394"/>
      <c r="AGL263" s="394"/>
      <c r="AGM263" s="394"/>
      <c r="AGN263" s="394"/>
      <c r="AGO263" s="394"/>
      <c r="AGP263" s="394"/>
      <c r="AGQ263" s="394"/>
      <c r="AGR263" s="394"/>
      <c r="AGS263" s="394"/>
      <c r="AGT263" s="394"/>
      <c r="AGU263" s="394"/>
      <c r="AGV263" s="394"/>
      <c r="AGW263" s="394"/>
      <c r="AGX263" s="394"/>
      <c r="AGY263" s="394"/>
      <c r="AGZ263" s="394"/>
      <c r="AHA263" s="394"/>
      <c r="AHB263" s="394"/>
      <c r="AHC263" s="394"/>
      <c r="AHD263" s="394"/>
      <c r="AHE263" s="394"/>
      <c r="AHF263" s="394"/>
      <c r="AHG263" s="394"/>
      <c r="AHH263" s="394"/>
      <c r="AHI263" s="394"/>
      <c r="AHJ263" s="394"/>
      <c r="AHK263" s="394"/>
      <c r="AHL263" s="394"/>
      <c r="AHM263" s="394"/>
      <c r="AHN263" s="394"/>
      <c r="AHO263" s="394"/>
      <c r="AHP263" s="394"/>
      <c r="AHQ263" s="394"/>
      <c r="AHR263" s="394"/>
      <c r="AHS263" s="394"/>
      <c r="AHT263" s="394"/>
      <c r="AHU263" s="394"/>
      <c r="AHV263" s="394"/>
      <c r="AHW263" s="394"/>
      <c r="AHX263" s="394"/>
      <c r="AHY263" s="394"/>
      <c r="AHZ263" s="394"/>
      <c r="AIA263" s="394"/>
      <c r="AIB263" s="394"/>
      <c r="AIC263" s="394"/>
      <c r="AID263" s="394"/>
      <c r="AIE263" s="394"/>
      <c r="AIF263" s="394"/>
      <c r="AIG263" s="394"/>
      <c r="AIH263" s="394"/>
      <c r="AII263" s="394"/>
      <c r="AIJ263" s="394"/>
      <c r="AIK263" s="394"/>
      <c r="AIL263" s="394"/>
      <c r="AIM263" s="394"/>
      <c r="AIN263" s="394"/>
      <c r="AIO263" s="394"/>
      <c r="AIP263" s="394"/>
      <c r="AIQ263" s="394"/>
      <c r="AIR263" s="394"/>
      <c r="AIS263" s="394"/>
      <c r="AIT263" s="394"/>
      <c r="AIU263" s="394"/>
      <c r="AIV263" s="394"/>
      <c r="AIW263" s="394"/>
      <c r="AIX263" s="394"/>
      <c r="AIY263" s="394"/>
      <c r="AIZ263" s="394"/>
      <c r="AJA263" s="394"/>
      <c r="AJB263" s="394"/>
      <c r="AJC263" s="394"/>
      <c r="AJD263" s="394"/>
      <c r="AJE263" s="394"/>
      <c r="AJF263" s="394"/>
      <c r="AJG263" s="394"/>
      <c r="AJH263" s="394"/>
      <c r="AJI263" s="394"/>
      <c r="AJJ263" s="394"/>
      <c r="AJK263" s="394"/>
      <c r="AJL263" s="394"/>
      <c r="AJM263" s="394"/>
      <c r="AJN263" s="394"/>
      <c r="AJO263" s="394"/>
      <c r="AJP263" s="394"/>
      <c r="AJQ263" s="394"/>
      <c r="AJR263" s="394"/>
      <c r="AJS263" s="394"/>
      <c r="AJT263" s="394"/>
      <c r="AJU263" s="394"/>
      <c r="AJV263" s="394"/>
      <c r="AJW263" s="394"/>
      <c r="AJX263" s="394"/>
      <c r="AJY263" s="394"/>
      <c r="AJZ263" s="394"/>
      <c r="AKA263" s="394"/>
      <c r="AKB263" s="394"/>
      <c r="AKC263" s="394"/>
      <c r="AKD263" s="394"/>
      <c r="AKE263" s="394"/>
      <c r="AKF263" s="394"/>
      <c r="AKG263" s="394"/>
      <c r="AKH263" s="394"/>
      <c r="AKI263" s="394"/>
      <c r="AKJ263" s="394"/>
      <c r="AKK263" s="394"/>
      <c r="AKL263" s="394"/>
      <c r="AKM263" s="394"/>
      <c r="AKN263" s="394"/>
      <c r="AKO263" s="394"/>
      <c r="AKP263" s="394"/>
      <c r="AKQ263" s="394"/>
      <c r="AKR263" s="394"/>
      <c r="AKS263" s="394"/>
      <c r="AKT263" s="394"/>
      <c r="AKU263" s="394"/>
      <c r="AKV263" s="394"/>
      <c r="AKW263" s="394"/>
      <c r="AKX263" s="394"/>
      <c r="AKY263" s="394"/>
      <c r="AKZ263" s="394"/>
      <c r="ALA263" s="394"/>
      <c r="ALB263" s="394"/>
      <c r="ALC263" s="394"/>
      <c r="ALD263" s="394"/>
      <c r="ALE263" s="394"/>
      <c r="ALF263" s="394"/>
      <c r="ALG263" s="394"/>
      <c r="ALH263" s="394"/>
      <c r="ALI263" s="394"/>
      <c r="ALJ263" s="394"/>
      <c r="ALK263" s="394"/>
      <c r="ALL263" s="394"/>
      <c r="ALM263" s="394"/>
      <c r="ALN263" s="394"/>
      <c r="ALO263" s="394"/>
      <c r="ALP263" s="394"/>
      <c r="ALQ263" s="394"/>
      <c r="ALR263" s="394"/>
      <c r="ALS263" s="394"/>
      <c r="ALT263" s="394"/>
      <c r="ALU263" s="394"/>
      <c r="ALV263" s="394"/>
      <c r="ALW263" s="394"/>
      <c r="ALX263" s="394"/>
      <c r="ALY263" s="394"/>
      <c r="ALZ263" s="394"/>
      <c r="AMA263" s="394"/>
      <c r="AMB263" s="394"/>
      <c r="AMC263" s="394"/>
      <c r="AMD263" s="394"/>
      <c r="AME263" s="394"/>
      <c r="AMF263" s="394"/>
      <c r="AMG263" s="394"/>
      <c r="AMH263" s="394"/>
      <c r="AMI263" s="394"/>
      <c r="AMJ263" s="394"/>
      <c r="AMK263" s="394"/>
      <c r="AML263" s="394"/>
      <c r="AMM263" s="394"/>
      <c r="AMN263" s="394"/>
      <c r="AMO263" s="394"/>
      <c r="AMP263" s="394"/>
      <c r="AMQ263" s="394"/>
      <c r="AMR263" s="394"/>
      <c r="AMS263" s="394"/>
      <c r="AMT263" s="394"/>
      <c r="AMU263" s="394"/>
      <c r="AMV263" s="394"/>
      <c r="AMW263" s="394"/>
      <c r="AMX263" s="394"/>
      <c r="AMY263" s="394"/>
      <c r="AMZ263" s="394"/>
      <c r="ANA263" s="394"/>
      <c r="ANB263" s="394"/>
      <c r="ANC263" s="394"/>
      <c r="AND263" s="394"/>
      <c r="ANE263" s="394"/>
      <c r="ANF263" s="394"/>
      <c r="ANG263" s="394"/>
      <c r="ANH263" s="394"/>
      <c r="ANI263" s="394"/>
      <c r="ANJ263" s="394"/>
      <c r="ANK263" s="394"/>
      <c r="ANL263" s="394"/>
      <c r="ANM263" s="394"/>
      <c r="ANN263" s="394"/>
      <c r="ANO263" s="394"/>
      <c r="ANP263" s="394"/>
      <c r="ANQ263" s="394"/>
      <c r="ANR263" s="394"/>
      <c r="ANS263" s="394"/>
      <c r="ANT263" s="394"/>
      <c r="ANU263" s="394"/>
      <c r="ANV263" s="394"/>
      <c r="ANW263" s="394"/>
      <c r="ANX263" s="394"/>
      <c r="ANY263" s="394"/>
      <c r="ANZ263" s="394"/>
      <c r="AOA263" s="394"/>
      <c r="AOB263" s="394"/>
      <c r="AOC263" s="394"/>
      <c r="AOD263" s="394"/>
      <c r="AOE263" s="394"/>
      <c r="AOF263" s="394"/>
      <c r="AOG263" s="394"/>
      <c r="AOH263" s="394"/>
      <c r="AOI263" s="394"/>
      <c r="AOJ263" s="394"/>
      <c r="AOK263" s="394"/>
      <c r="AOL263" s="394"/>
      <c r="AOM263" s="394"/>
      <c r="AON263" s="394"/>
      <c r="AOO263" s="394"/>
      <c r="AOP263" s="394"/>
      <c r="AOQ263" s="394"/>
      <c r="AOR263" s="394"/>
      <c r="AOS263" s="394"/>
      <c r="AOT263" s="394"/>
      <c r="AOU263" s="394"/>
      <c r="AOV263" s="394"/>
      <c r="AOW263" s="394"/>
      <c r="AOX263" s="394"/>
      <c r="AOY263" s="394"/>
      <c r="AOZ263" s="394"/>
      <c r="APA263" s="394"/>
      <c r="APB263" s="394"/>
      <c r="APC263" s="394"/>
      <c r="APD263" s="394"/>
      <c r="APE263" s="394"/>
      <c r="APF263" s="394"/>
      <c r="APG263" s="394"/>
      <c r="APH263" s="394"/>
      <c r="API263" s="394"/>
      <c r="APJ263" s="394"/>
      <c r="APK263" s="394"/>
      <c r="APL263" s="394"/>
      <c r="APM263" s="394"/>
      <c r="APN263" s="394"/>
      <c r="APO263" s="394"/>
      <c r="APP263" s="394"/>
      <c r="APQ263" s="394"/>
      <c r="APR263" s="394"/>
      <c r="APS263" s="394"/>
      <c r="APT263" s="394"/>
      <c r="APU263" s="394"/>
      <c r="APV263" s="394"/>
      <c r="APW263" s="394"/>
      <c r="APX263" s="394"/>
      <c r="APY263" s="394"/>
      <c r="APZ263" s="394"/>
      <c r="AQA263" s="394"/>
      <c r="AQB263" s="394"/>
      <c r="AQC263" s="394"/>
      <c r="AQD263" s="394"/>
      <c r="AQE263" s="394"/>
      <c r="AQF263" s="394"/>
      <c r="AQG263" s="394"/>
      <c r="AQH263" s="394"/>
      <c r="AQI263" s="394"/>
      <c r="AQJ263" s="394"/>
      <c r="AQK263" s="394"/>
      <c r="AQL263" s="394"/>
      <c r="AQM263" s="394"/>
      <c r="AQN263" s="394"/>
      <c r="AQO263" s="394"/>
      <c r="AQP263" s="394"/>
      <c r="AQQ263" s="394"/>
      <c r="AQR263" s="394"/>
      <c r="AQS263" s="394"/>
      <c r="AQT263" s="394"/>
      <c r="AQU263" s="394"/>
      <c r="AQV263" s="394"/>
      <c r="AQW263" s="394"/>
      <c r="AQX263" s="394"/>
      <c r="AQY263" s="394"/>
      <c r="AQZ263" s="394"/>
      <c r="ARA263" s="394"/>
      <c r="ARB263" s="394"/>
      <c r="ARC263" s="394"/>
      <c r="ARD263" s="394"/>
      <c r="ARE263" s="394"/>
      <c r="ARF263" s="394"/>
      <c r="ARG263" s="394"/>
      <c r="ARH263" s="394"/>
      <c r="ARI263" s="394"/>
      <c r="ARJ263" s="394"/>
      <c r="ARK263" s="394"/>
      <c r="ARL263" s="394"/>
      <c r="ARM263" s="394"/>
      <c r="ARN263" s="394"/>
      <c r="ARO263" s="394"/>
      <c r="ARP263" s="394"/>
      <c r="ARQ263" s="394"/>
      <c r="ARR263" s="394"/>
      <c r="ARS263" s="394"/>
      <c r="ART263" s="394"/>
      <c r="ARU263" s="394"/>
      <c r="ARV263" s="394"/>
      <c r="ARW263" s="394"/>
      <c r="ARX263" s="394"/>
      <c r="ARY263" s="394"/>
      <c r="ARZ263" s="394"/>
      <c r="ASA263" s="394"/>
      <c r="ASB263" s="394"/>
      <c r="ASC263" s="394"/>
      <c r="ASD263" s="394"/>
      <c r="ASE263" s="394"/>
      <c r="ASF263" s="394"/>
      <c r="ASG263" s="394"/>
      <c r="ASH263" s="394"/>
      <c r="ASI263" s="394"/>
      <c r="ASJ263" s="394"/>
      <c r="ASK263" s="394"/>
      <c r="ASL263" s="394"/>
      <c r="ASM263" s="394"/>
      <c r="ASN263" s="394"/>
      <c r="ASO263" s="394"/>
      <c r="ASP263" s="394"/>
      <c r="ASQ263" s="394"/>
      <c r="ASR263" s="394"/>
      <c r="ASS263" s="394"/>
      <c r="AST263" s="394"/>
      <c r="ASU263" s="394"/>
      <c r="ASV263" s="394"/>
      <c r="ASW263" s="394"/>
      <c r="ASX263" s="394"/>
      <c r="ASY263" s="394"/>
      <c r="ASZ263" s="394"/>
      <c r="ATA263" s="394"/>
      <c r="ATB263" s="394"/>
      <c r="ATC263" s="394"/>
      <c r="ATD263" s="394"/>
      <c r="ATE263" s="394"/>
      <c r="ATF263" s="394"/>
      <c r="ATG263" s="394"/>
      <c r="ATH263" s="394"/>
      <c r="ATI263" s="394"/>
      <c r="ATJ263" s="394"/>
      <c r="ATK263" s="394"/>
      <c r="ATL263" s="394"/>
      <c r="ATM263" s="394"/>
      <c r="ATN263" s="394"/>
      <c r="ATO263" s="394"/>
      <c r="ATP263" s="394"/>
      <c r="ATQ263" s="394"/>
      <c r="ATR263" s="394"/>
      <c r="ATS263" s="394"/>
      <c r="ATT263" s="394"/>
      <c r="ATU263" s="394"/>
      <c r="ATV263" s="394"/>
      <c r="ATW263" s="394"/>
      <c r="ATX263" s="394"/>
      <c r="ATY263" s="394"/>
      <c r="ATZ263" s="394"/>
      <c r="AUA263" s="394"/>
      <c r="AUB263" s="394"/>
      <c r="AUC263" s="394"/>
      <c r="AUD263" s="394"/>
      <c r="AUE263" s="394"/>
      <c r="AUF263" s="394"/>
      <c r="AUG263" s="394"/>
      <c r="AUH263" s="394"/>
      <c r="AUI263" s="394"/>
      <c r="AUJ263" s="394"/>
      <c r="AUK263" s="394"/>
      <c r="AUL263" s="394"/>
      <c r="AUM263" s="394"/>
      <c r="AUN263" s="394"/>
      <c r="AUO263" s="394"/>
      <c r="AUP263" s="394"/>
      <c r="AUQ263" s="394"/>
      <c r="AUR263" s="394"/>
      <c r="AUS263" s="394"/>
      <c r="AUT263" s="394"/>
      <c r="AUU263" s="394"/>
      <c r="AUV263" s="394"/>
      <c r="AUW263" s="394"/>
      <c r="AUX263" s="394"/>
      <c r="AUY263" s="394"/>
      <c r="AUZ263" s="394"/>
      <c r="AVA263" s="394"/>
      <c r="AVB263" s="394"/>
      <c r="AVC263" s="394"/>
      <c r="AVD263" s="394"/>
      <c r="AVE263" s="394"/>
      <c r="AVF263" s="394"/>
      <c r="AVG263" s="394"/>
      <c r="AVH263" s="394"/>
      <c r="AVI263" s="394"/>
      <c r="AVJ263" s="394"/>
      <c r="AVK263" s="394"/>
      <c r="AVL263" s="394"/>
      <c r="AVM263" s="394"/>
      <c r="AVN263" s="394"/>
      <c r="AVO263" s="394"/>
      <c r="AVP263" s="394"/>
      <c r="AVQ263" s="394"/>
      <c r="AVR263" s="394"/>
      <c r="AVS263" s="394"/>
      <c r="AVT263" s="394"/>
      <c r="AVU263" s="394"/>
      <c r="AVV263" s="394"/>
      <c r="AVW263" s="394"/>
      <c r="AVX263" s="394"/>
      <c r="AVY263" s="394"/>
      <c r="AVZ263" s="394"/>
      <c r="AWA263" s="394"/>
      <c r="AWB263" s="394"/>
      <c r="AWC263" s="394"/>
      <c r="AWD263" s="394"/>
      <c r="AWE263" s="394"/>
      <c r="AWF263" s="394"/>
      <c r="AWG263" s="394"/>
      <c r="AWH263" s="394"/>
      <c r="AWI263" s="394"/>
      <c r="AWJ263" s="394"/>
      <c r="AWK263" s="394"/>
      <c r="AWL263" s="394"/>
      <c r="AWM263" s="394"/>
      <c r="AWN263" s="394"/>
      <c r="AWO263" s="394"/>
      <c r="AWP263" s="394"/>
      <c r="AWQ263" s="394"/>
      <c r="AWR263" s="394"/>
      <c r="AWS263" s="394"/>
      <c r="AWT263" s="394"/>
      <c r="AWU263" s="394"/>
      <c r="AWV263" s="394"/>
      <c r="AWW263" s="394"/>
      <c r="AWX263" s="394"/>
      <c r="AWY263" s="394"/>
      <c r="AWZ263" s="394"/>
      <c r="AXA263" s="394"/>
      <c r="AXB263" s="394"/>
      <c r="AXC263" s="394"/>
      <c r="AXD263" s="394"/>
      <c r="AXE263" s="394"/>
      <c r="AXF263" s="394"/>
      <c r="AXG263" s="394"/>
      <c r="AXH263" s="394"/>
      <c r="AXI263" s="394"/>
      <c r="AXJ263" s="394"/>
      <c r="AXK263" s="394"/>
      <c r="AXL263" s="394"/>
      <c r="AXM263" s="394"/>
      <c r="AXN263" s="394"/>
      <c r="AXO263" s="394"/>
      <c r="AXP263" s="394"/>
      <c r="AXQ263" s="394"/>
      <c r="AXR263" s="394"/>
      <c r="AXS263" s="394"/>
      <c r="AXT263" s="394"/>
      <c r="AXU263" s="394"/>
      <c r="AXV263" s="394"/>
      <c r="AXW263" s="394"/>
      <c r="AXX263" s="394"/>
      <c r="AXY263" s="394"/>
      <c r="AXZ263" s="394"/>
      <c r="AYA263" s="394"/>
      <c r="AYB263" s="394"/>
      <c r="AYC263" s="394"/>
      <c r="AYD263" s="394"/>
      <c r="AYE263" s="394"/>
      <c r="AYF263" s="394"/>
      <c r="AYG263" s="394"/>
      <c r="AYH263" s="394"/>
      <c r="AYI263" s="394"/>
      <c r="AYJ263" s="394"/>
      <c r="AYK263" s="394"/>
      <c r="AYL263" s="394"/>
      <c r="AYM263" s="394"/>
      <c r="AYN263" s="394"/>
      <c r="AYO263" s="394"/>
      <c r="AYP263" s="394"/>
      <c r="AYQ263" s="394"/>
      <c r="AYR263" s="394"/>
      <c r="AYS263" s="394"/>
      <c r="AYT263" s="394"/>
      <c r="AYU263" s="394"/>
      <c r="AYV263" s="394"/>
      <c r="AYW263" s="394"/>
      <c r="AYX263" s="394"/>
      <c r="AYY263" s="394"/>
      <c r="AYZ263" s="394"/>
      <c r="AZA263" s="394"/>
      <c r="AZB263" s="394"/>
      <c r="AZC263" s="394"/>
      <c r="AZD263" s="394"/>
      <c r="AZE263" s="394"/>
      <c r="AZF263" s="394"/>
      <c r="AZG263" s="394"/>
      <c r="AZH263" s="394"/>
      <c r="AZI263" s="394"/>
      <c r="AZJ263" s="394"/>
      <c r="AZK263" s="394"/>
      <c r="AZL263" s="394"/>
      <c r="AZM263" s="394"/>
      <c r="AZN263" s="394"/>
      <c r="AZO263" s="394"/>
      <c r="AZP263" s="394"/>
      <c r="AZQ263" s="394"/>
      <c r="AZR263" s="394"/>
      <c r="AZS263" s="394"/>
      <c r="AZT263" s="394"/>
      <c r="AZU263" s="394"/>
      <c r="AZV263" s="394"/>
      <c r="AZW263" s="394"/>
      <c r="AZX263" s="394"/>
      <c r="AZY263" s="394"/>
      <c r="AZZ263" s="394"/>
      <c r="BAA263" s="394"/>
      <c r="BAB263" s="394"/>
      <c r="BAC263" s="394"/>
      <c r="BAD263" s="394"/>
      <c r="BAE263" s="394"/>
      <c r="BAF263" s="394"/>
      <c r="BAG263" s="394"/>
      <c r="BAH263" s="394"/>
      <c r="BAI263" s="394"/>
      <c r="BAJ263" s="394"/>
      <c r="BAK263" s="394"/>
      <c r="BAL263" s="394"/>
      <c r="BAM263" s="394"/>
      <c r="BAN263" s="394"/>
      <c r="BAO263" s="394"/>
      <c r="BAP263" s="394"/>
      <c r="BAQ263" s="394"/>
      <c r="BAR263" s="394"/>
      <c r="BAS263" s="394"/>
      <c r="BAT263" s="394"/>
      <c r="BAU263" s="394"/>
      <c r="BAV263" s="394"/>
      <c r="BAW263" s="394"/>
      <c r="BAX263" s="394"/>
      <c r="BAY263" s="394"/>
      <c r="BAZ263" s="394"/>
      <c r="BBA263" s="394"/>
      <c r="BBB263" s="394"/>
      <c r="BBC263" s="394"/>
      <c r="BBD263" s="394"/>
      <c r="BBE263" s="394"/>
      <c r="BBF263" s="394"/>
      <c r="BBG263" s="394"/>
      <c r="BBH263" s="394"/>
      <c r="BBI263" s="394"/>
      <c r="BBJ263" s="394"/>
      <c r="BBK263" s="394"/>
      <c r="BBL263" s="394"/>
      <c r="BBM263" s="394"/>
      <c r="BBN263" s="394"/>
      <c r="BBO263" s="394"/>
      <c r="BBP263" s="394"/>
      <c r="BBQ263" s="394"/>
      <c r="BBR263" s="394"/>
      <c r="BBS263" s="394"/>
      <c r="BBT263" s="394"/>
      <c r="BBU263" s="394"/>
      <c r="BBV263" s="394"/>
      <c r="BBW263" s="394"/>
      <c r="BBX263" s="394"/>
      <c r="BBY263" s="394"/>
      <c r="BBZ263" s="394"/>
      <c r="BCA263" s="394"/>
      <c r="BCB263" s="394"/>
      <c r="BCC263" s="394"/>
      <c r="BCD263" s="394"/>
      <c r="BCE263" s="394"/>
      <c r="BCF263" s="394"/>
      <c r="BCG263" s="394"/>
      <c r="BCH263" s="394"/>
      <c r="BCI263" s="394"/>
      <c r="BCJ263" s="394"/>
      <c r="BCK263" s="394"/>
      <c r="BCL263" s="394"/>
      <c r="BCM263" s="394"/>
      <c r="BCN263" s="394"/>
      <c r="BCO263" s="394"/>
      <c r="BCP263" s="394"/>
      <c r="BCQ263" s="394"/>
      <c r="BCR263" s="394"/>
      <c r="BCS263" s="394"/>
      <c r="BCT263" s="394"/>
      <c r="BCU263" s="394"/>
      <c r="BCV263" s="394"/>
      <c r="BCW263" s="394"/>
      <c r="BCX263" s="394"/>
      <c r="BCY263" s="394"/>
      <c r="BCZ263" s="394"/>
      <c r="BDA263" s="394"/>
      <c r="BDB263" s="394"/>
      <c r="BDC263" s="394"/>
      <c r="BDD263" s="394"/>
      <c r="BDE263" s="394"/>
      <c r="BDF263" s="394"/>
      <c r="BDG263" s="394"/>
      <c r="BDH263" s="394"/>
      <c r="BDI263" s="394"/>
      <c r="BDJ263" s="394"/>
      <c r="BDK263" s="394"/>
      <c r="BDL263" s="394"/>
      <c r="BDM263" s="394"/>
      <c r="BDN263" s="394"/>
      <c r="BDO263" s="394"/>
      <c r="BDP263" s="394"/>
      <c r="BDQ263" s="394"/>
      <c r="BDR263" s="394"/>
      <c r="BDS263" s="394"/>
      <c r="BDT263" s="394"/>
      <c r="BDU263" s="394"/>
      <c r="BDV263" s="394"/>
      <c r="BDW263" s="394"/>
      <c r="BDX263" s="394"/>
      <c r="BDY263" s="394"/>
      <c r="BDZ263" s="394"/>
      <c r="BEA263" s="394"/>
      <c r="BEB263" s="394"/>
      <c r="BEC263" s="394"/>
      <c r="BED263" s="394"/>
      <c r="BEE263" s="394"/>
      <c r="BEF263" s="394"/>
      <c r="BEG263" s="394"/>
      <c r="BEH263" s="394"/>
      <c r="BEI263" s="394"/>
      <c r="BEJ263" s="394"/>
      <c r="BEK263" s="394"/>
      <c r="BEL263" s="394"/>
      <c r="BEM263" s="394"/>
      <c r="BEN263" s="394"/>
      <c r="BEO263" s="394"/>
      <c r="BEP263" s="394"/>
      <c r="BEQ263" s="394"/>
      <c r="BER263" s="394"/>
      <c r="BES263" s="394"/>
      <c r="BET263" s="394"/>
      <c r="BEU263" s="394"/>
      <c r="BEV263" s="394"/>
      <c r="BEW263" s="394"/>
      <c r="BEX263" s="394"/>
      <c r="BEY263" s="394"/>
      <c r="BEZ263" s="394"/>
      <c r="BFA263" s="394"/>
      <c r="BFB263" s="394"/>
      <c r="BFC263" s="394"/>
      <c r="BFD263" s="394"/>
      <c r="BFE263" s="394"/>
      <c r="BFF263" s="394"/>
      <c r="BFG263" s="394"/>
      <c r="BFH263" s="394"/>
      <c r="BFI263" s="394"/>
      <c r="BFJ263" s="394"/>
      <c r="BFK263" s="394"/>
      <c r="BFL263" s="394"/>
      <c r="BFM263" s="394"/>
      <c r="BFN263" s="394"/>
      <c r="BFO263" s="394"/>
      <c r="BFP263" s="394"/>
      <c r="BFQ263" s="394"/>
      <c r="BFR263" s="394"/>
      <c r="BFS263" s="394"/>
      <c r="BFT263" s="394"/>
      <c r="BFU263" s="394"/>
      <c r="BFV263" s="394"/>
      <c r="BFW263" s="394"/>
      <c r="BFX263" s="394"/>
      <c r="BFY263" s="394"/>
      <c r="BFZ263" s="394"/>
      <c r="BGA263" s="394"/>
      <c r="BGB263" s="394"/>
      <c r="BGC263" s="394"/>
      <c r="BGD263" s="394"/>
      <c r="BGE263" s="394"/>
      <c r="BGF263" s="394"/>
      <c r="BGG263" s="394"/>
      <c r="BGH263" s="394"/>
      <c r="BGI263" s="394"/>
      <c r="BGJ263" s="394"/>
      <c r="BGK263" s="394"/>
      <c r="BGL263" s="394"/>
      <c r="BGM263" s="394"/>
      <c r="BGN263" s="394"/>
      <c r="BGO263" s="394"/>
      <c r="BGP263" s="394"/>
      <c r="BGQ263" s="394"/>
      <c r="BGR263" s="394"/>
      <c r="BGS263" s="394"/>
      <c r="BGT263" s="394"/>
      <c r="BGU263" s="394"/>
      <c r="BGV263" s="394"/>
      <c r="BGW263" s="394"/>
      <c r="BGX263" s="394"/>
      <c r="BGY263" s="394"/>
      <c r="BGZ263" s="394"/>
      <c r="BHA263" s="394"/>
      <c r="BHB263" s="394"/>
      <c r="BHC263" s="394"/>
      <c r="BHD263" s="394"/>
      <c r="BHE263" s="394"/>
      <c r="BHF263" s="394"/>
      <c r="BHG263" s="394"/>
      <c r="BHH263" s="394"/>
      <c r="BHI263" s="394"/>
      <c r="BHJ263" s="394"/>
      <c r="BHK263" s="394"/>
      <c r="BHL263" s="394"/>
      <c r="BHM263" s="394"/>
      <c r="BHN263" s="394"/>
      <c r="BHO263" s="394"/>
      <c r="BHP263" s="394"/>
      <c r="BHQ263" s="394"/>
      <c r="BHR263" s="394"/>
      <c r="BHS263" s="394"/>
      <c r="BHT263" s="394"/>
      <c r="BHU263" s="394"/>
      <c r="BHV263" s="394"/>
      <c r="BHW263" s="394"/>
      <c r="BHX263" s="394"/>
      <c r="BHY263" s="394"/>
      <c r="BHZ263" s="394"/>
      <c r="BIA263" s="394"/>
      <c r="BIB263" s="394"/>
      <c r="BIC263" s="394"/>
      <c r="BID263" s="394"/>
      <c r="BIE263" s="394"/>
      <c r="BIF263" s="394"/>
      <c r="BIG263" s="394"/>
      <c r="BIH263" s="394"/>
      <c r="BII263" s="394"/>
      <c r="BIJ263" s="394"/>
      <c r="BIK263" s="394"/>
      <c r="BIL263" s="394"/>
      <c r="BIM263" s="394"/>
      <c r="BIN263" s="394"/>
      <c r="BIO263" s="394"/>
      <c r="BIP263" s="394"/>
      <c r="BIQ263" s="394"/>
      <c r="BIR263" s="394"/>
      <c r="BIS263" s="394"/>
      <c r="BIT263" s="394"/>
      <c r="BIU263" s="394"/>
      <c r="BIV263" s="394"/>
      <c r="BIW263" s="394"/>
      <c r="BIX263" s="394"/>
      <c r="BIY263" s="394"/>
      <c r="BIZ263" s="394"/>
      <c r="BJA263" s="394"/>
      <c r="BJB263" s="394"/>
      <c r="BJC263" s="394"/>
      <c r="BJD263" s="394"/>
      <c r="BJE263" s="394"/>
      <c r="BJF263" s="394"/>
      <c r="BJG263" s="394"/>
      <c r="BJH263" s="394"/>
      <c r="BJI263" s="394"/>
      <c r="BJJ263" s="394"/>
      <c r="BJK263" s="394"/>
      <c r="BJL263" s="394"/>
      <c r="BJM263" s="394"/>
      <c r="BJN263" s="394"/>
      <c r="BJO263" s="394"/>
      <c r="BJP263" s="394"/>
      <c r="BJQ263" s="394"/>
      <c r="BJR263" s="394"/>
      <c r="BJS263" s="394"/>
      <c r="BJT263" s="394"/>
      <c r="BJU263" s="394"/>
      <c r="BJV263" s="394"/>
      <c r="BJW263" s="394"/>
      <c r="BJX263" s="394"/>
      <c r="BJY263" s="394"/>
      <c r="BJZ263" s="394"/>
      <c r="BKA263" s="394"/>
      <c r="BKB263" s="394"/>
      <c r="BKC263" s="394"/>
      <c r="BKD263" s="394"/>
      <c r="BKE263" s="394"/>
      <c r="BKF263" s="394"/>
      <c r="BKG263" s="394"/>
      <c r="BKH263" s="394"/>
      <c r="BKI263" s="394"/>
      <c r="BKJ263" s="394"/>
      <c r="BKK263" s="394"/>
      <c r="BKL263" s="394"/>
      <c r="BKM263" s="394"/>
      <c r="BKN263" s="394"/>
      <c r="BKO263" s="394"/>
      <c r="BKP263" s="394"/>
      <c r="BKQ263" s="394"/>
      <c r="BKR263" s="394"/>
      <c r="BKS263" s="394"/>
      <c r="BKT263" s="394"/>
      <c r="BKU263" s="394"/>
      <c r="BKV263" s="394"/>
      <c r="BKW263" s="394"/>
      <c r="BKX263" s="394"/>
      <c r="BKY263" s="394"/>
      <c r="BKZ263" s="394"/>
      <c r="BLA263" s="394"/>
      <c r="BLB263" s="394"/>
      <c r="BLC263" s="394"/>
      <c r="BLD263" s="394"/>
      <c r="BLE263" s="394"/>
      <c r="BLF263" s="394"/>
      <c r="BLG263" s="394"/>
      <c r="BLH263" s="394"/>
      <c r="BLI263" s="394"/>
      <c r="BLJ263" s="394"/>
      <c r="BLK263" s="394"/>
      <c r="BLL263" s="394"/>
      <c r="BLM263" s="394"/>
      <c r="BLN263" s="394"/>
      <c r="BLO263" s="394"/>
      <c r="BLP263" s="394"/>
      <c r="BLQ263" s="394"/>
      <c r="BLR263" s="394"/>
      <c r="BLS263" s="394"/>
      <c r="BLT263" s="394"/>
      <c r="BLU263" s="394"/>
      <c r="BLV263" s="394"/>
      <c r="BLW263" s="394"/>
      <c r="BLX263" s="394"/>
      <c r="BLY263" s="394"/>
      <c r="BLZ263" s="394"/>
      <c r="BMA263" s="394"/>
      <c r="BMB263" s="394"/>
      <c r="BMC263" s="394"/>
      <c r="BMD263" s="394"/>
      <c r="BME263" s="394"/>
      <c r="BMF263" s="394"/>
      <c r="BMG263" s="394"/>
      <c r="BMH263" s="394"/>
      <c r="BMI263" s="394"/>
      <c r="BMJ263" s="394"/>
      <c r="BMK263" s="394"/>
      <c r="BML263" s="394"/>
      <c r="BMM263" s="394"/>
      <c r="BMN263" s="394"/>
      <c r="BMO263" s="394"/>
      <c r="BMP263" s="394"/>
      <c r="BMQ263" s="394"/>
      <c r="BMR263" s="394"/>
      <c r="BMS263" s="394"/>
      <c r="BMT263" s="394"/>
      <c r="BMU263" s="394"/>
      <c r="BMV263" s="394"/>
      <c r="BMW263" s="394"/>
      <c r="BMX263" s="394"/>
      <c r="BMY263" s="394"/>
      <c r="BMZ263" s="394"/>
      <c r="BNA263" s="394"/>
      <c r="BNB263" s="394"/>
      <c r="BNC263" s="394"/>
      <c r="BND263" s="394"/>
      <c r="BNE263" s="394"/>
      <c r="BNF263" s="394"/>
      <c r="BNG263" s="394"/>
      <c r="BNH263" s="394"/>
      <c r="BNI263" s="394"/>
      <c r="BNJ263" s="394"/>
      <c r="BNK263" s="394"/>
      <c r="BNL263" s="394"/>
      <c r="BNM263" s="394"/>
      <c r="BNN263" s="394"/>
      <c r="BNO263" s="394"/>
      <c r="BNP263" s="394"/>
      <c r="BNQ263" s="394"/>
      <c r="BNR263" s="394"/>
      <c r="BNS263" s="394"/>
      <c r="BNT263" s="394"/>
      <c r="BNU263" s="394"/>
      <c r="BNV263" s="394"/>
      <c r="BNW263" s="394"/>
      <c r="BNX263" s="394"/>
      <c r="BNY263" s="394"/>
      <c r="BNZ263" s="394"/>
      <c r="BOA263" s="394"/>
      <c r="BOB263" s="394"/>
      <c r="BOC263" s="394"/>
      <c r="BOD263" s="394"/>
      <c r="BOE263" s="394"/>
      <c r="BOF263" s="394"/>
      <c r="BOG263" s="394"/>
      <c r="BOH263" s="394"/>
      <c r="BOI263" s="394"/>
      <c r="BOJ263" s="394"/>
      <c r="BOK263" s="394"/>
      <c r="BOL263" s="394"/>
      <c r="BOM263" s="394"/>
      <c r="BON263" s="394"/>
      <c r="BOO263" s="394"/>
      <c r="BOP263" s="394"/>
      <c r="BOQ263" s="394"/>
      <c r="BOR263" s="394"/>
      <c r="BOS263" s="394"/>
      <c r="BOT263" s="394"/>
      <c r="BOU263" s="394"/>
      <c r="BOV263" s="394"/>
      <c r="BOW263" s="394"/>
      <c r="BOX263" s="394"/>
      <c r="BOY263" s="394"/>
      <c r="BOZ263" s="394"/>
      <c r="BPA263" s="394"/>
      <c r="BPB263" s="394"/>
      <c r="BPC263" s="394"/>
      <c r="BPD263" s="394"/>
      <c r="BPE263" s="394"/>
      <c r="BPF263" s="394"/>
      <c r="BPG263" s="394"/>
      <c r="BPH263" s="394"/>
      <c r="BPI263" s="394"/>
      <c r="BPJ263" s="394"/>
      <c r="BPK263" s="394"/>
      <c r="BPL263" s="394"/>
      <c r="BPM263" s="394"/>
      <c r="BPN263" s="394"/>
      <c r="BPO263" s="394"/>
      <c r="BPP263" s="394"/>
      <c r="BPQ263" s="394"/>
      <c r="BPR263" s="394"/>
      <c r="BPS263" s="394"/>
      <c r="BPT263" s="394"/>
      <c r="BPU263" s="394"/>
      <c r="BPV263" s="394"/>
      <c r="BPW263" s="394"/>
      <c r="BPX263" s="394"/>
      <c r="BPY263" s="394"/>
      <c r="BPZ263" s="394"/>
      <c r="BQA263" s="394"/>
      <c r="BQB263" s="394"/>
      <c r="BQC263" s="394"/>
      <c r="BQD263" s="394"/>
      <c r="BQE263" s="394"/>
      <c r="BQF263" s="394"/>
      <c r="BQG263" s="394"/>
      <c r="BQH263" s="394"/>
      <c r="BQI263" s="394"/>
      <c r="BQJ263" s="394"/>
      <c r="BQK263" s="394"/>
      <c r="BQL263" s="394"/>
      <c r="BQM263" s="394"/>
      <c r="BQN263" s="394"/>
      <c r="BQO263" s="394"/>
      <c r="BQP263" s="394"/>
      <c r="BQQ263" s="394"/>
      <c r="BQR263" s="394"/>
      <c r="BQS263" s="394"/>
      <c r="BQT263" s="394"/>
      <c r="BQU263" s="394"/>
      <c r="BQV263" s="394"/>
      <c r="BQW263" s="394"/>
      <c r="BQX263" s="394"/>
      <c r="BQY263" s="394"/>
      <c r="BQZ263" s="394"/>
      <c r="BRA263" s="394"/>
      <c r="BRB263" s="394"/>
      <c r="BRC263" s="394"/>
      <c r="BRD263" s="394"/>
      <c r="BRE263" s="394"/>
      <c r="BRF263" s="394"/>
      <c r="BRG263" s="394"/>
      <c r="BRH263" s="394"/>
      <c r="BRI263" s="394"/>
      <c r="BRJ263" s="394"/>
      <c r="BRK263" s="394"/>
      <c r="BRL263" s="394"/>
      <c r="BRM263" s="394"/>
      <c r="BRN263" s="394"/>
      <c r="BRO263" s="394"/>
      <c r="BRP263" s="394"/>
      <c r="BRQ263" s="394"/>
      <c r="BRR263" s="394"/>
      <c r="BRS263" s="394"/>
      <c r="BRT263" s="394"/>
      <c r="BRU263" s="394"/>
      <c r="BRV263" s="394"/>
      <c r="BRW263" s="394"/>
      <c r="BRX263" s="394"/>
      <c r="BRY263" s="394"/>
      <c r="BRZ263" s="394"/>
      <c r="BSA263" s="394"/>
      <c r="BSB263" s="394"/>
      <c r="BSC263" s="394"/>
      <c r="BSD263" s="394"/>
      <c r="BSE263" s="394"/>
      <c r="BSF263" s="394"/>
      <c r="BSG263" s="394"/>
      <c r="BSH263" s="394"/>
      <c r="BSI263" s="394"/>
      <c r="BSJ263" s="394"/>
      <c r="BSK263" s="394"/>
      <c r="BSL263" s="394"/>
      <c r="BSM263" s="394"/>
      <c r="BSN263" s="394"/>
      <c r="BSO263" s="394"/>
      <c r="BSP263" s="394"/>
      <c r="BSQ263" s="394"/>
      <c r="BSR263" s="394"/>
      <c r="BSS263" s="394"/>
      <c r="BST263" s="394"/>
      <c r="BSU263" s="394"/>
      <c r="BSV263" s="394"/>
      <c r="BSW263" s="394"/>
      <c r="BSX263" s="394"/>
      <c r="BSY263" s="394"/>
      <c r="BSZ263" s="394"/>
      <c r="BTA263" s="394"/>
      <c r="BTB263" s="394"/>
      <c r="BTC263" s="394"/>
      <c r="BTD263" s="394"/>
      <c r="BTE263" s="394"/>
      <c r="BTF263" s="394"/>
      <c r="BTG263" s="394"/>
      <c r="BTH263" s="394"/>
      <c r="BTI263" s="394"/>
    </row>
    <row r="264" spans="1:1881" s="393" customFormat="1" ht="30.75" customHeight="1" thickBot="1" x14ac:dyDescent="0.3">
      <c r="A264" s="567">
        <v>968</v>
      </c>
      <c r="B264" s="922" t="s">
        <v>929</v>
      </c>
      <c r="C264" s="923"/>
      <c r="D264" s="926"/>
      <c r="E264" s="925"/>
      <c r="F264" s="847" t="str">
        <f t="shared" si="4"/>
        <v>&lt;&lt;&lt;&lt;&lt;&lt;&lt;&lt;&lt;&lt;&lt;&lt;&lt;&lt;&lt;&lt;&lt;&lt;&lt;</v>
      </c>
      <c r="G264" s="847" t="str">
        <f>IF(ISBLANK($D264),"Cell D264 must be completed.","")</f>
        <v>Cell D264 must be completed.</v>
      </c>
      <c r="H264" s="396"/>
      <c r="I264" s="405"/>
      <c r="J264" s="394"/>
      <c r="K264" s="394"/>
      <c r="L264" s="394"/>
      <c r="M264" s="394"/>
      <c r="N264"/>
      <c r="O264" s="394"/>
      <c r="P264" s="394"/>
      <c r="Q264" s="394"/>
      <c r="R264" s="394"/>
      <c r="S264" s="394"/>
      <c r="T264" s="394"/>
      <c r="U264" s="394"/>
      <c r="V264" s="394"/>
      <c r="W264" s="394"/>
      <c r="X264" s="394"/>
      <c r="Y264" s="394"/>
      <c r="Z264" s="394"/>
      <c r="AA264" s="394"/>
      <c r="AB264" s="394"/>
      <c r="AC264" s="394"/>
      <c r="AD264" s="394"/>
      <c r="AE264" s="394"/>
      <c r="AF264" s="394"/>
      <c r="AG264" s="394"/>
      <c r="AH264" s="394"/>
      <c r="AI264" s="394"/>
      <c r="AJ264" s="394"/>
      <c r="AK264" s="394"/>
      <c r="AL264" s="394"/>
      <c r="AM264" s="394"/>
      <c r="AN264" s="394"/>
      <c r="AO264" s="394"/>
      <c r="AP264" s="394"/>
      <c r="AQ264" s="394"/>
      <c r="AR264" s="394"/>
      <c r="AS264" s="394"/>
      <c r="AT264" s="394"/>
      <c r="AU264" s="394"/>
      <c r="AV264" s="394"/>
      <c r="AW264" s="394"/>
      <c r="AX264" s="394"/>
      <c r="AY264" s="394"/>
      <c r="AZ264" s="394"/>
      <c r="BA264" s="394"/>
      <c r="BB264" s="394"/>
      <c r="BC264" s="394"/>
      <c r="BD264" s="394"/>
      <c r="BE264" s="394"/>
      <c r="BF264" s="394"/>
      <c r="BG264" s="394"/>
      <c r="BH264" s="394"/>
      <c r="BI264" s="394"/>
      <c r="BJ264" s="394"/>
      <c r="BK264" s="394"/>
      <c r="BL264" s="394"/>
      <c r="BM264" s="394"/>
      <c r="BN264" s="394"/>
      <c r="BO264" s="394"/>
      <c r="BP264" s="394"/>
      <c r="BQ264" s="394"/>
      <c r="BR264" s="394"/>
      <c r="BS264" s="394"/>
      <c r="BT264" s="394"/>
      <c r="BU264" s="394"/>
      <c r="BV264" s="394"/>
      <c r="BW264" s="394"/>
      <c r="BX264" s="394"/>
      <c r="BY264" s="394"/>
      <c r="BZ264" s="394"/>
      <c r="CA264" s="394"/>
      <c r="CB264" s="394"/>
      <c r="CC264" s="394"/>
      <c r="CD264" s="394"/>
      <c r="CE264" s="394"/>
      <c r="CF264" s="394"/>
      <c r="CG264" s="394"/>
      <c r="CH264" s="394"/>
      <c r="CI264" s="394"/>
      <c r="CJ264" s="394"/>
      <c r="CK264" s="394"/>
      <c r="CL264" s="394"/>
      <c r="CM264" s="394"/>
      <c r="CN264" s="394"/>
      <c r="CO264" s="394"/>
      <c r="CP264" s="394"/>
      <c r="CQ264" s="394"/>
      <c r="CR264" s="394"/>
      <c r="CS264" s="394"/>
      <c r="CT264" s="394"/>
      <c r="CU264" s="394"/>
      <c r="CV264" s="394"/>
      <c r="CW264" s="394"/>
      <c r="CX264" s="394"/>
      <c r="CY264" s="394"/>
      <c r="CZ264" s="394"/>
      <c r="DA264" s="394"/>
      <c r="DB264" s="394"/>
      <c r="DC264" s="394"/>
      <c r="DD264" s="394"/>
      <c r="DE264" s="394"/>
      <c r="DF264" s="394"/>
      <c r="DG264" s="394"/>
      <c r="DH264" s="394"/>
      <c r="DI264" s="394"/>
      <c r="DJ264" s="394"/>
      <c r="DK264" s="394"/>
      <c r="DL264" s="394"/>
      <c r="DM264" s="394"/>
      <c r="DN264" s="394"/>
      <c r="DO264" s="394"/>
      <c r="DP264" s="394"/>
      <c r="DQ264" s="394"/>
      <c r="DR264" s="394"/>
      <c r="DS264" s="394"/>
      <c r="DT264" s="394"/>
      <c r="DU264" s="394"/>
      <c r="DV264" s="394"/>
      <c r="DW264" s="394"/>
      <c r="DX264" s="394"/>
      <c r="DY264" s="394"/>
      <c r="DZ264" s="394"/>
      <c r="EA264" s="394"/>
      <c r="EB264" s="394"/>
      <c r="EC264" s="394"/>
      <c r="ED264" s="394"/>
      <c r="EE264" s="394"/>
      <c r="EF264" s="394"/>
      <c r="EG264" s="394"/>
      <c r="EH264" s="394"/>
      <c r="EI264" s="394"/>
      <c r="EJ264" s="394"/>
      <c r="EK264" s="394"/>
      <c r="EL264" s="394"/>
      <c r="EM264" s="394"/>
      <c r="EN264" s="394"/>
      <c r="EO264" s="394"/>
      <c r="EP264" s="394"/>
      <c r="EQ264" s="394"/>
      <c r="ER264" s="394"/>
      <c r="ES264" s="394"/>
      <c r="ET264" s="394"/>
      <c r="EU264" s="394"/>
      <c r="EV264" s="394"/>
      <c r="EW264" s="394"/>
      <c r="EX264" s="394"/>
      <c r="EY264" s="394"/>
      <c r="EZ264" s="394"/>
      <c r="FA264" s="394"/>
      <c r="FB264" s="394"/>
      <c r="FC264" s="394"/>
      <c r="FD264" s="394"/>
      <c r="FE264" s="394"/>
      <c r="FF264" s="394"/>
      <c r="FG264" s="394"/>
      <c r="FH264" s="394"/>
      <c r="FI264" s="394"/>
      <c r="FJ264" s="394"/>
      <c r="FK264" s="394"/>
      <c r="FL264" s="394"/>
      <c r="FM264" s="394"/>
      <c r="FN264" s="394"/>
      <c r="FO264" s="394"/>
      <c r="FP264" s="394"/>
      <c r="FQ264" s="394"/>
      <c r="FR264" s="394"/>
      <c r="FS264" s="394"/>
      <c r="FT264" s="394"/>
      <c r="FU264" s="394"/>
      <c r="FV264" s="394"/>
      <c r="FW264" s="394"/>
      <c r="FX264" s="394"/>
      <c r="FY264" s="394"/>
      <c r="FZ264" s="394"/>
      <c r="GA264" s="394"/>
      <c r="GB264" s="394"/>
      <c r="GC264" s="394"/>
      <c r="GD264" s="394"/>
      <c r="GE264" s="394"/>
      <c r="GF264" s="394"/>
      <c r="GG264" s="394"/>
      <c r="GH264" s="394"/>
      <c r="GI264" s="394"/>
      <c r="GJ264" s="394"/>
      <c r="GK264" s="394"/>
      <c r="GL264" s="394"/>
      <c r="GM264" s="394"/>
      <c r="GN264" s="394"/>
      <c r="GO264" s="394"/>
      <c r="GP264" s="394"/>
      <c r="GQ264" s="394"/>
      <c r="GR264" s="394"/>
      <c r="GS264" s="394"/>
      <c r="GT264" s="394"/>
      <c r="GU264" s="394"/>
      <c r="GV264" s="394"/>
      <c r="GW264" s="394"/>
      <c r="GX264" s="394"/>
      <c r="GY264" s="394"/>
      <c r="GZ264" s="394"/>
      <c r="HA264" s="394"/>
      <c r="HB264" s="394"/>
      <c r="HC264" s="394"/>
      <c r="HD264" s="394"/>
      <c r="HE264" s="394"/>
      <c r="HF264" s="394"/>
      <c r="HG264" s="394"/>
      <c r="HH264" s="394"/>
      <c r="HI264" s="394"/>
      <c r="HJ264" s="394"/>
      <c r="HK264" s="394"/>
      <c r="HL264" s="394"/>
      <c r="HM264" s="394"/>
      <c r="HN264" s="394"/>
      <c r="HO264" s="394"/>
      <c r="HP264" s="394"/>
      <c r="HQ264" s="394"/>
      <c r="HR264" s="394"/>
      <c r="HS264" s="394"/>
      <c r="HT264" s="394"/>
      <c r="HU264" s="394"/>
      <c r="HV264" s="394"/>
      <c r="HW264" s="394"/>
      <c r="HX264" s="394"/>
      <c r="HY264" s="394"/>
      <c r="HZ264" s="394"/>
      <c r="IA264" s="394"/>
      <c r="IB264" s="394"/>
      <c r="IC264" s="394"/>
      <c r="ID264" s="394"/>
      <c r="IE264" s="394"/>
      <c r="IF264" s="394"/>
      <c r="IG264" s="394"/>
      <c r="IH264" s="394"/>
      <c r="II264" s="394"/>
      <c r="IJ264" s="394"/>
      <c r="IK264" s="394"/>
      <c r="IL264" s="394"/>
      <c r="IM264" s="394"/>
      <c r="IN264" s="394"/>
      <c r="IO264" s="394"/>
      <c r="IP264" s="394"/>
      <c r="IQ264" s="394"/>
      <c r="IR264" s="394"/>
      <c r="IS264" s="394"/>
      <c r="IT264" s="394"/>
      <c r="IU264" s="394"/>
      <c r="IV264" s="394"/>
      <c r="IW264" s="394"/>
      <c r="IX264" s="394"/>
      <c r="IY264" s="394"/>
      <c r="IZ264" s="394"/>
      <c r="JA264" s="394"/>
      <c r="JB264" s="394"/>
      <c r="JC264" s="394"/>
      <c r="JD264" s="394"/>
      <c r="JE264" s="394"/>
      <c r="JF264" s="394"/>
      <c r="JG264" s="394"/>
      <c r="JH264" s="394"/>
      <c r="JI264" s="394"/>
      <c r="JJ264" s="394"/>
      <c r="JK264" s="394"/>
      <c r="JL264" s="394"/>
      <c r="JM264" s="394"/>
      <c r="JN264" s="394"/>
      <c r="JO264" s="394"/>
      <c r="JP264" s="394"/>
      <c r="JQ264" s="394"/>
      <c r="JR264" s="394"/>
      <c r="JS264" s="394"/>
      <c r="JT264" s="394"/>
      <c r="JU264" s="394"/>
      <c r="JV264" s="394"/>
      <c r="JW264" s="394"/>
      <c r="JX264" s="394"/>
      <c r="JY264" s="394"/>
      <c r="JZ264" s="394"/>
      <c r="KA264" s="394"/>
      <c r="KB264" s="394"/>
      <c r="KC264" s="394"/>
      <c r="KD264" s="394"/>
      <c r="KE264" s="394"/>
      <c r="KF264" s="394"/>
      <c r="KG264" s="394"/>
      <c r="KH264" s="394"/>
      <c r="KI264" s="394"/>
      <c r="KJ264" s="394"/>
      <c r="KK264" s="394"/>
      <c r="KL264" s="394"/>
      <c r="KM264" s="394"/>
      <c r="KN264" s="394"/>
      <c r="KO264" s="394"/>
      <c r="KP264" s="394"/>
      <c r="KQ264" s="394"/>
      <c r="KR264" s="394"/>
      <c r="KS264" s="394"/>
      <c r="KT264" s="394"/>
      <c r="KU264" s="394"/>
      <c r="KV264" s="394"/>
      <c r="KW264" s="394"/>
      <c r="KX264" s="394"/>
      <c r="KY264" s="394"/>
      <c r="KZ264" s="394"/>
      <c r="LA264" s="394"/>
      <c r="LB264" s="394"/>
      <c r="LC264" s="394"/>
      <c r="LD264" s="394"/>
      <c r="LE264" s="394"/>
      <c r="LF264" s="394"/>
      <c r="LG264" s="394"/>
      <c r="LH264" s="394"/>
      <c r="LI264" s="394"/>
      <c r="LJ264" s="394"/>
      <c r="LK264" s="394"/>
      <c r="LL264" s="394"/>
      <c r="LM264" s="394"/>
      <c r="LN264" s="394"/>
      <c r="LO264" s="394"/>
      <c r="LP264" s="394"/>
      <c r="LQ264" s="394"/>
      <c r="LR264" s="394"/>
      <c r="LS264" s="394"/>
      <c r="LT264" s="394"/>
      <c r="LU264" s="394"/>
      <c r="LV264" s="394"/>
      <c r="LW264" s="394"/>
      <c r="LX264" s="394"/>
      <c r="LY264" s="394"/>
      <c r="LZ264" s="394"/>
      <c r="MA264" s="394"/>
      <c r="MB264" s="394"/>
      <c r="MC264" s="394"/>
      <c r="MD264" s="394"/>
      <c r="ME264" s="394"/>
      <c r="MF264" s="394"/>
      <c r="MG264" s="394"/>
      <c r="MH264" s="394"/>
      <c r="MI264" s="394"/>
      <c r="MJ264" s="394"/>
      <c r="MK264" s="394"/>
      <c r="ML264" s="394"/>
      <c r="MM264" s="394"/>
      <c r="MN264" s="394"/>
      <c r="MO264" s="394"/>
      <c r="MP264" s="394"/>
      <c r="MQ264" s="394"/>
      <c r="MR264" s="394"/>
      <c r="MS264" s="394"/>
      <c r="MT264" s="394"/>
      <c r="MU264" s="394"/>
      <c r="MV264" s="394"/>
      <c r="MW264" s="394"/>
      <c r="MX264" s="394"/>
      <c r="MY264" s="394"/>
      <c r="MZ264" s="394"/>
      <c r="NA264" s="394"/>
      <c r="NB264" s="394"/>
      <c r="NC264" s="394"/>
      <c r="ND264" s="394"/>
      <c r="NE264" s="394"/>
      <c r="NF264" s="394"/>
      <c r="NG264" s="394"/>
      <c r="NH264" s="394"/>
      <c r="NI264" s="394"/>
      <c r="NJ264" s="394"/>
      <c r="NK264" s="394"/>
      <c r="NL264" s="394"/>
      <c r="NM264" s="394"/>
      <c r="NN264" s="394"/>
      <c r="NO264" s="394"/>
      <c r="NP264" s="394"/>
      <c r="NQ264" s="394"/>
      <c r="NR264" s="394"/>
      <c r="NS264" s="394"/>
      <c r="NT264" s="394"/>
      <c r="NU264" s="394"/>
      <c r="NV264" s="394"/>
      <c r="NW264" s="394"/>
      <c r="NX264" s="394"/>
      <c r="NY264" s="394"/>
      <c r="NZ264" s="394"/>
      <c r="OA264" s="394"/>
      <c r="OB264" s="394"/>
      <c r="OC264" s="394"/>
      <c r="OD264" s="394"/>
      <c r="OE264" s="394"/>
      <c r="OF264" s="394"/>
      <c r="OG264" s="394"/>
      <c r="OH264" s="394"/>
      <c r="OI264" s="394"/>
      <c r="OJ264" s="394"/>
      <c r="OK264" s="394"/>
      <c r="OL264" s="394"/>
      <c r="OM264" s="394"/>
      <c r="ON264" s="394"/>
      <c r="OO264" s="394"/>
      <c r="OP264" s="394"/>
      <c r="OQ264" s="394"/>
      <c r="OR264" s="394"/>
      <c r="OS264" s="394"/>
      <c r="OT264" s="394"/>
      <c r="OU264" s="394"/>
      <c r="OV264" s="394"/>
      <c r="OW264" s="394"/>
      <c r="OX264" s="394"/>
      <c r="OY264" s="394"/>
      <c r="OZ264" s="394"/>
      <c r="PA264" s="394"/>
      <c r="PB264" s="394"/>
      <c r="PC264" s="394"/>
      <c r="PD264" s="394"/>
      <c r="PE264" s="394"/>
      <c r="PF264" s="394"/>
      <c r="PG264" s="394"/>
      <c r="PH264" s="394"/>
      <c r="PI264" s="394"/>
      <c r="PJ264" s="394"/>
      <c r="PK264" s="394"/>
      <c r="PL264" s="394"/>
      <c r="PM264" s="394"/>
      <c r="PN264" s="394"/>
      <c r="PO264" s="394"/>
      <c r="PP264" s="394"/>
      <c r="PQ264" s="394"/>
      <c r="PR264" s="394"/>
      <c r="PS264" s="394"/>
      <c r="PT264" s="394"/>
      <c r="PU264" s="394"/>
      <c r="PV264" s="394"/>
      <c r="PW264" s="394"/>
      <c r="PX264" s="394"/>
      <c r="PY264" s="394"/>
      <c r="PZ264" s="394"/>
      <c r="QA264" s="394"/>
      <c r="QB264" s="394"/>
      <c r="QC264" s="394"/>
      <c r="QD264" s="394"/>
      <c r="QE264" s="394"/>
      <c r="QF264" s="394"/>
      <c r="QG264" s="394"/>
      <c r="QH264" s="394"/>
      <c r="QI264" s="394"/>
      <c r="QJ264" s="394"/>
      <c r="QK264" s="394"/>
      <c r="QL264" s="394"/>
      <c r="QM264" s="394"/>
      <c r="QN264" s="394"/>
      <c r="QO264" s="394"/>
      <c r="QP264" s="394"/>
      <c r="QQ264" s="394"/>
      <c r="QR264" s="394"/>
      <c r="QS264" s="394"/>
      <c r="QT264" s="394"/>
      <c r="QU264" s="394"/>
      <c r="QV264" s="394"/>
      <c r="QW264" s="394"/>
      <c r="QX264" s="394"/>
      <c r="QY264" s="394"/>
      <c r="QZ264" s="394"/>
      <c r="RA264" s="394"/>
      <c r="RB264" s="394"/>
      <c r="RC264" s="394"/>
      <c r="RD264" s="394"/>
      <c r="RE264" s="394"/>
      <c r="RF264" s="394"/>
      <c r="RG264" s="394"/>
      <c r="RH264" s="394"/>
      <c r="RI264" s="394"/>
      <c r="RJ264" s="394"/>
      <c r="RK264" s="394"/>
      <c r="RL264" s="394"/>
      <c r="RM264" s="394"/>
      <c r="RN264" s="394"/>
      <c r="RO264" s="394"/>
      <c r="RP264" s="394"/>
      <c r="RQ264" s="394"/>
      <c r="RR264" s="394"/>
      <c r="RS264" s="394"/>
      <c r="RT264" s="394"/>
      <c r="RU264" s="394"/>
      <c r="RV264" s="394"/>
      <c r="RW264" s="394"/>
      <c r="RX264" s="394"/>
      <c r="RY264" s="394"/>
      <c r="RZ264" s="394"/>
      <c r="SA264" s="394"/>
      <c r="SB264" s="394"/>
      <c r="SC264" s="394"/>
      <c r="SD264" s="394"/>
      <c r="SE264" s="394"/>
      <c r="SF264" s="394"/>
      <c r="SG264" s="394"/>
      <c r="SH264" s="394"/>
      <c r="SI264" s="394"/>
      <c r="SJ264" s="394"/>
      <c r="SK264" s="394"/>
      <c r="SL264" s="394"/>
      <c r="SM264" s="394"/>
      <c r="SN264" s="394"/>
      <c r="SO264" s="394"/>
      <c r="SP264" s="394"/>
      <c r="SQ264" s="394"/>
      <c r="SR264" s="394"/>
      <c r="SS264" s="394"/>
      <c r="ST264" s="394"/>
      <c r="SU264" s="394"/>
      <c r="SV264" s="394"/>
      <c r="SW264" s="394"/>
      <c r="SX264" s="394"/>
      <c r="SY264" s="394"/>
      <c r="SZ264" s="394"/>
      <c r="TA264" s="394"/>
      <c r="TB264" s="394"/>
      <c r="TC264" s="394"/>
      <c r="TD264" s="394"/>
      <c r="TE264" s="394"/>
      <c r="TF264" s="394"/>
      <c r="TG264" s="394"/>
      <c r="TH264" s="394"/>
      <c r="TI264" s="394"/>
      <c r="TJ264" s="394"/>
      <c r="TK264" s="394"/>
      <c r="TL264" s="394"/>
      <c r="TM264" s="394"/>
      <c r="TN264" s="394"/>
      <c r="TO264" s="394"/>
      <c r="TP264" s="394"/>
      <c r="TQ264" s="394"/>
      <c r="TR264" s="394"/>
      <c r="TS264" s="394"/>
      <c r="TT264" s="394"/>
      <c r="TU264" s="394"/>
      <c r="TV264" s="394"/>
      <c r="TW264" s="394"/>
      <c r="TX264" s="394"/>
      <c r="TY264" s="394"/>
      <c r="TZ264" s="394"/>
      <c r="UA264" s="394"/>
      <c r="UB264" s="394"/>
      <c r="UC264" s="394"/>
      <c r="UD264" s="394"/>
      <c r="UE264" s="394"/>
      <c r="UF264" s="394"/>
      <c r="UG264" s="394"/>
      <c r="UH264" s="394"/>
      <c r="UI264" s="394"/>
      <c r="UJ264" s="394"/>
      <c r="UK264" s="394"/>
      <c r="UL264" s="394"/>
      <c r="UM264" s="394"/>
      <c r="UN264" s="394"/>
      <c r="UO264" s="394"/>
      <c r="UP264" s="394"/>
      <c r="UQ264" s="394"/>
      <c r="UR264" s="394"/>
      <c r="US264" s="394"/>
      <c r="UT264" s="394"/>
      <c r="UU264" s="394"/>
      <c r="UV264" s="394"/>
      <c r="UW264" s="394"/>
      <c r="UX264" s="394"/>
      <c r="UY264" s="394"/>
      <c r="UZ264" s="394"/>
      <c r="VA264" s="394"/>
      <c r="VB264" s="394"/>
      <c r="VC264" s="394"/>
      <c r="VD264" s="394"/>
      <c r="VE264" s="394"/>
      <c r="VF264" s="394"/>
      <c r="VG264" s="394"/>
      <c r="VH264" s="394"/>
      <c r="VI264" s="394"/>
      <c r="VJ264" s="394"/>
      <c r="VK264" s="394"/>
      <c r="VL264" s="394"/>
      <c r="VM264" s="394"/>
      <c r="VN264" s="394"/>
      <c r="VO264" s="394"/>
      <c r="VP264" s="394"/>
      <c r="VQ264" s="394"/>
      <c r="VR264" s="394"/>
      <c r="VS264" s="394"/>
      <c r="VT264" s="394"/>
      <c r="VU264" s="394"/>
      <c r="VV264" s="394"/>
      <c r="VW264" s="394"/>
      <c r="VX264" s="394"/>
      <c r="VY264" s="394"/>
      <c r="VZ264" s="394"/>
      <c r="WA264" s="394"/>
      <c r="WB264" s="394"/>
      <c r="WC264" s="394"/>
      <c r="WD264" s="394"/>
      <c r="WE264" s="394"/>
      <c r="WF264" s="394"/>
      <c r="WG264" s="394"/>
      <c r="WH264" s="394"/>
      <c r="WI264" s="394"/>
      <c r="WJ264" s="394"/>
      <c r="WK264" s="394"/>
      <c r="WL264" s="394"/>
      <c r="WM264" s="394"/>
      <c r="WN264" s="394"/>
      <c r="WO264" s="394"/>
      <c r="WP264" s="394"/>
      <c r="WQ264" s="394"/>
      <c r="WR264" s="394"/>
      <c r="WS264" s="394"/>
      <c r="WT264" s="394"/>
      <c r="WU264" s="394"/>
      <c r="WV264" s="394"/>
      <c r="WW264" s="394"/>
      <c r="WX264" s="394"/>
      <c r="WY264" s="394"/>
      <c r="WZ264" s="394"/>
      <c r="XA264" s="394"/>
      <c r="XB264" s="394"/>
      <c r="XC264" s="394"/>
      <c r="XD264" s="394"/>
      <c r="XE264" s="394"/>
      <c r="XF264" s="394"/>
      <c r="XG264" s="394"/>
      <c r="XH264" s="394"/>
      <c r="XI264" s="394"/>
      <c r="XJ264" s="394"/>
      <c r="XK264" s="394"/>
      <c r="XL264" s="394"/>
      <c r="XM264" s="394"/>
      <c r="XN264" s="394"/>
      <c r="XO264" s="394"/>
      <c r="XP264" s="394"/>
      <c r="XQ264" s="394"/>
      <c r="XR264" s="394"/>
      <c r="XS264" s="394"/>
      <c r="XT264" s="394"/>
      <c r="XU264" s="394"/>
      <c r="XV264" s="394"/>
      <c r="XW264" s="394"/>
      <c r="XX264" s="394"/>
      <c r="XY264" s="394"/>
      <c r="XZ264" s="394"/>
      <c r="YA264" s="394"/>
      <c r="YB264" s="394"/>
      <c r="YC264" s="394"/>
      <c r="YD264" s="394"/>
      <c r="YE264" s="394"/>
      <c r="YF264" s="394"/>
      <c r="YG264" s="394"/>
      <c r="YH264" s="394"/>
      <c r="YI264" s="394"/>
      <c r="YJ264" s="394"/>
      <c r="YK264" s="394"/>
      <c r="YL264" s="394"/>
      <c r="YM264" s="394"/>
      <c r="YN264" s="394"/>
      <c r="YO264" s="394"/>
      <c r="YP264" s="394"/>
      <c r="YQ264" s="394"/>
      <c r="YR264" s="394"/>
      <c r="YS264" s="394"/>
      <c r="YT264" s="394"/>
      <c r="YU264" s="394"/>
      <c r="YV264" s="394"/>
      <c r="YW264" s="394"/>
      <c r="YX264" s="394"/>
      <c r="YY264" s="394"/>
      <c r="YZ264" s="394"/>
      <c r="ZA264" s="394"/>
      <c r="ZB264" s="394"/>
      <c r="ZC264" s="394"/>
      <c r="ZD264" s="394"/>
      <c r="ZE264" s="394"/>
      <c r="ZF264" s="394"/>
      <c r="ZG264" s="394"/>
      <c r="ZH264" s="394"/>
      <c r="ZI264" s="394"/>
      <c r="ZJ264" s="394"/>
      <c r="ZK264" s="394"/>
      <c r="ZL264" s="394"/>
      <c r="ZM264" s="394"/>
      <c r="ZN264" s="394"/>
      <c r="ZO264" s="394"/>
      <c r="ZP264" s="394"/>
      <c r="ZQ264" s="394"/>
      <c r="ZR264" s="394"/>
      <c r="ZS264" s="394"/>
      <c r="ZT264" s="394"/>
      <c r="ZU264" s="394"/>
      <c r="ZV264" s="394"/>
      <c r="ZW264" s="394"/>
      <c r="ZX264" s="394"/>
      <c r="ZY264" s="394"/>
      <c r="ZZ264" s="394"/>
      <c r="AAA264" s="394"/>
      <c r="AAB264" s="394"/>
      <c r="AAC264" s="394"/>
      <c r="AAD264" s="394"/>
      <c r="AAE264" s="394"/>
      <c r="AAF264" s="394"/>
      <c r="AAG264" s="394"/>
      <c r="AAH264" s="394"/>
      <c r="AAI264" s="394"/>
      <c r="AAJ264" s="394"/>
      <c r="AAK264" s="394"/>
      <c r="AAL264" s="394"/>
      <c r="AAM264" s="394"/>
      <c r="AAN264" s="394"/>
      <c r="AAO264" s="394"/>
      <c r="AAP264" s="394"/>
      <c r="AAQ264" s="394"/>
      <c r="AAR264" s="394"/>
      <c r="AAS264" s="394"/>
      <c r="AAT264" s="394"/>
      <c r="AAU264" s="394"/>
      <c r="AAV264" s="394"/>
      <c r="AAW264" s="394"/>
      <c r="AAX264" s="394"/>
      <c r="AAY264" s="394"/>
      <c r="AAZ264" s="394"/>
      <c r="ABA264" s="394"/>
      <c r="ABB264" s="394"/>
      <c r="ABC264" s="394"/>
      <c r="ABD264" s="394"/>
      <c r="ABE264" s="394"/>
      <c r="ABF264" s="394"/>
      <c r="ABG264" s="394"/>
      <c r="ABH264" s="394"/>
      <c r="ABI264" s="394"/>
      <c r="ABJ264" s="394"/>
      <c r="ABK264" s="394"/>
      <c r="ABL264" s="394"/>
      <c r="ABM264" s="394"/>
      <c r="ABN264" s="394"/>
      <c r="ABO264" s="394"/>
      <c r="ABP264" s="394"/>
      <c r="ABQ264" s="394"/>
      <c r="ABR264" s="394"/>
      <c r="ABS264" s="394"/>
      <c r="ABT264" s="394"/>
      <c r="ABU264" s="394"/>
      <c r="ABV264" s="394"/>
      <c r="ABW264" s="394"/>
      <c r="ABX264" s="394"/>
      <c r="ABY264" s="394"/>
      <c r="ABZ264" s="394"/>
      <c r="ACA264" s="394"/>
      <c r="ACB264" s="394"/>
      <c r="ACC264" s="394"/>
      <c r="ACD264" s="394"/>
      <c r="ACE264" s="394"/>
      <c r="ACF264" s="394"/>
      <c r="ACG264" s="394"/>
      <c r="ACH264" s="394"/>
      <c r="ACI264" s="394"/>
      <c r="ACJ264" s="394"/>
      <c r="ACK264" s="394"/>
      <c r="ACL264" s="394"/>
      <c r="ACM264" s="394"/>
      <c r="ACN264" s="394"/>
      <c r="ACO264" s="394"/>
      <c r="ACP264" s="394"/>
      <c r="ACQ264" s="394"/>
      <c r="ACR264" s="394"/>
      <c r="ACS264" s="394"/>
      <c r="ACT264" s="394"/>
      <c r="ACU264" s="394"/>
      <c r="ACV264" s="394"/>
      <c r="ACW264" s="394"/>
      <c r="ACX264" s="394"/>
      <c r="ACY264" s="394"/>
      <c r="ACZ264" s="394"/>
      <c r="ADA264" s="394"/>
      <c r="ADB264" s="394"/>
      <c r="ADC264" s="394"/>
      <c r="ADD264" s="394"/>
      <c r="ADE264" s="394"/>
      <c r="ADF264" s="394"/>
      <c r="ADG264" s="394"/>
      <c r="ADH264" s="394"/>
      <c r="ADI264" s="394"/>
      <c r="ADJ264" s="394"/>
      <c r="ADK264" s="394"/>
      <c r="ADL264" s="394"/>
      <c r="ADM264" s="394"/>
      <c r="ADN264" s="394"/>
      <c r="ADO264" s="394"/>
      <c r="ADP264" s="394"/>
      <c r="ADQ264" s="394"/>
      <c r="ADR264" s="394"/>
      <c r="ADS264" s="394"/>
      <c r="ADT264" s="394"/>
      <c r="ADU264" s="394"/>
      <c r="ADV264" s="394"/>
      <c r="ADW264" s="394"/>
      <c r="ADX264" s="394"/>
      <c r="ADY264" s="394"/>
      <c r="ADZ264" s="394"/>
      <c r="AEA264" s="394"/>
      <c r="AEB264" s="394"/>
      <c r="AEC264" s="394"/>
      <c r="AED264" s="394"/>
      <c r="AEE264" s="394"/>
      <c r="AEF264" s="394"/>
      <c r="AEG264" s="394"/>
      <c r="AEH264" s="394"/>
      <c r="AEI264" s="394"/>
      <c r="AEJ264" s="394"/>
      <c r="AEK264" s="394"/>
      <c r="AEL264" s="394"/>
      <c r="AEM264" s="394"/>
      <c r="AEN264" s="394"/>
      <c r="AEO264" s="394"/>
      <c r="AEP264" s="394"/>
      <c r="AEQ264" s="394"/>
      <c r="AER264" s="394"/>
      <c r="AES264" s="394"/>
      <c r="AET264" s="394"/>
      <c r="AEU264" s="394"/>
      <c r="AEV264" s="394"/>
      <c r="AEW264" s="394"/>
      <c r="AEX264" s="394"/>
      <c r="AEY264" s="394"/>
      <c r="AEZ264" s="394"/>
      <c r="AFA264" s="394"/>
      <c r="AFB264" s="394"/>
      <c r="AFC264" s="394"/>
      <c r="AFD264" s="394"/>
      <c r="AFE264" s="394"/>
      <c r="AFF264" s="394"/>
      <c r="AFG264" s="394"/>
      <c r="AFH264" s="394"/>
      <c r="AFI264" s="394"/>
      <c r="AFJ264" s="394"/>
      <c r="AFK264" s="394"/>
      <c r="AFL264" s="394"/>
      <c r="AFM264" s="394"/>
      <c r="AFN264" s="394"/>
      <c r="AFO264" s="394"/>
      <c r="AFP264" s="394"/>
      <c r="AFQ264" s="394"/>
      <c r="AFR264" s="394"/>
      <c r="AFS264" s="394"/>
      <c r="AFT264" s="394"/>
      <c r="AFU264" s="394"/>
      <c r="AFV264" s="394"/>
      <c r="AFW264" s="394"/>
      <c r="AFX264" s="394"/>
      <c r="AFY264" s="394"/>
      <c r="AFZ264" s="394"/>
      <c r="AGA264" s="394"/>
      <c r="AGB264" s="394"/>
      <c r="AGC264" s="394"/>
      <c r="AGD264" s="394"/>
      <c r="AGE264" s="394"/>
      <c r="AGF264" s="394"/>
      <c r="AGG264" s="394"/>
      <c r="AGH264" s="394"/>
      <c r="AGI264" s="394"/>
      <c r="AGJ264" s="394"/>
      <c r="AGK264" s="394"/>
      <c r="AGL264" s="394"/>
      <c r="AGM264" s="394"/>
      <c r="AGN264" s="394"/>
      <c r="AGO264" s="394"/>
      <c r="AGP264" s="394"/>
      <c r="AGQ264" s="394"/>
      <c r="AGR264" s="394"/>
      <c r="AGS264" s="394"/>
      <c r="AGT264" s="394"/>
      <c r="AGU264" s="394"/>
      <c r="AGV264" s="394"/>
      <c r="AGW264" s="394"/>
      <c r="AGX264" s="394"/>
      <c r="AGY264" s="394"/>
      <c r="AGZ264" s="394"/>
      <c r="AHA264" s="394"/>
      <c r="AHB264" s="394"/>
      <c r="AHC264" s="394"/>
      <c r="AHD264" s="394"/>
      <c r="AHE264" s="394"/>
      <c r="AHF264" s="394"/>
      <c r="AHG264" s="394"/>
      <c r="AHH264" s="394"/>
      <c r="AHI264" s="394"/>
      <c r="AHJ264" s="394"/>
      <c r="AHK264" s="394"/>
      <c r="AHL264" s="394"/>
      <c r="AHM264" s="394"/>
      <c r="AHN264" s="394"/>
      <c r="AHO264" s="394"/>
      <c r="AHP264" s="394"/>
      <c r="AHQ264" s="394"/>
      <c r="AHR264" s="394"/>
      <c r="AHS264" s="394"/>
      <c r="AHT264" s="394"/>
      <c r="AHU264" s="394"/>
      <c r="AHV264" s="394"/>
      <c r="AHW264" s="394"/>
      <c r="AHX264" s="394"/>
      <c r="AHY264" s="394"/>
      <c r="AHZ264" s="394"/>
      <c r="AIA264" s="394"/>
      <c r="AIB264" s="394"/>
      <c r="AIC264" s="394"/>
      <c r="AID264" s="394"/>
      <c r="AIE264" s="394"/>
      <c r="AIF264" s="394"/>
      <c r="AIG264" s="394"/>
      <c r="AIH264" s="394"/>
      <c r="AII264" s="394"/>
      <c r="AIJ264" s="394"/>
      <c r="AIK264" s="394"/>
      <c r="AIL264" s="394"/>
      <c r="AIM264" s="394"/>
      <c r="AIN264" s="394"/>
      <c r="AIO264" s="394"/>
      <c r="AIP264" s="394"/>
      <c r="AIQ264" s="394"/>
      <c r="AIR264" s="394"/>
      <c r="AIS264" s="394"/>
      <c r="AIT264" s="394"/>
      <c r="AIU264" s="394"/>
      <c r="AIV264" s="394"/>
      <c r="AIW264" s="394"/>
      <c r="AIX264" s="394"/>
      <c r="AIY264" s="394"/>
      <c r="AIZ264" s="394"/>
      <c r="AJA264" s="394"/>
      <c r="AJB264" s="394"/>
      <c r="AJC264" s="394"/>
      <c r="AJD264" s="394"/>
      <c r="AJE264" s="394"/>
      <c r="AJF264" s="394"/>
      <c r="AJG264" s="394"/>
      <c r="AJH264" s="394"/>
      <c r="AJI264" s="394"/>
      <c r="AJJ264" s="394"/>
      <c r="AJK264" s="394"/>
      <c r="AJL264" s="394"/>
      <c r="AJM264" s="394"/>
      <c r="AJN264" s="394"/>
      <c r="AJO264" s="394"/>
      <c r="AJP264" s="394"/>
      <c r="AJQ264" s="394"/>
      <c r="AJR264" s="394"/>
      <c r="AJS264" s="394"/>
      <c r="AJT264" s="394"/>
      <c r="AJU264" s="394"/>
      <c r="AJV264" s="394"/>
      <c r="AJW264" s="394"/>
      <c r="AJX264" s="394"/>
      <c r="AJY264" s="394"/>
      <c r="AJZ264" s="394"/>
      <c r="AKA264" s="394"/>
      <c r="AKB264" s="394"/>
      <c r="AKC264" s="394"/>
      <c r="AKD264" s="394"/>
      <c r="AKE264" s="394"/>
      <c r="AKF264" s="394"/>
      <c r="AKG264" s="394"/>
      <c r="AKH264" s="394"/>
      <c r="AKI264" s="394"/>
      <c r="AKJ264" s="394"/>
      <c r="AKK264" s="394"/>
      <c r="AKL264" s="394"/>
      <c r="AKM264" s="394"/>
      <c r="AKN264" s="394"/>
      <c r="AKO264" s="394"/>
      <c r="AKP264" s="394"/>
      <c r="AKQ264" s="394"/>
      <c r="AKR264" s="394"/>
      <c r="AKS264" s="394"/>
      <c r="AKT264" s="394"/>
      <c r="AKU264" s="394"/>
      <c r="AKV264" s="394"/>
      <c r="AKW264" s="394"/>
      <c r="AKX264" s="394"/>
      <c r="AKY264" s="394"/>
      <c r="AKZ264" s="394"/>
      <c r="ALA264" s="394"/>
      <c r="ALB264" s="394"/>
      <c r="ALC264" s="394"/>
      <c r="ALD264" s="394"/>
      <c r="ALE264" s="394"/>
      <c r="ALF264" s="394"/>
      <c r="ALG264" s="394"/>
      <c r="ALH264" s="394"/>
      <c r="ALI264" s="394"/>
      <c r="ALJ264" s="394"/>
      <c r="ALK264" s="394"/>
      <c r="ALL264" s="394"/>
      <c r="ALM264" s="394"/>
      <c r="ALN264" s="394"/>
      <c r="ALO264" s="394"/>
      <c r="ALP264" s="394"/>
      <c r="ALQ264" s="394"/>
      <c r="ALR264" s="394"/>
      <c r="ALS264" s="394"/>
      <c r="ALT264" s="394"/>
      <c r="ALU264" s="394"/>
      <c r="ALV264" s="394"/>
      <c r="ALW264" s="394"/>
      <c r="ALX264" s="394"/>
      <c r="ALY264" s="394"/>
      <c r="ALZ264" s="394"/>
      <c r="AMA264" s="394"/>
      <c r="AMB264" s="394"/>
      <c r="AMC264" s="394"/>
      <c r="AMD264" s="394"/>
      <c r="AME264" s="394"/>
      <c r="AMF264" s="394"/>
      <c r="AMG264" s="394"/>
      <c r="AMH264" s="394"/>
      <c r="AMI264" s="394"/>
      <c r="AMJ264" s="394"/>
      <c r="AMK264" s="394"/>
      <c r="AML264" s="394"/>
      <c r="AMM264" s="394"/>
      <c r="AMN264" s="394"/>
      <c r="AMO264" s="394"/>
      <c r="AMP264" s="394"/>
      <c r="AMQ264" s="394"/>
      <c r="AMR264" s="394"/>
      <c r="AMS264" s="394"/>
      <c r="AMT264" s="394"/>
      <c r="AMU264" s="394"/>
      <c r="AMV264" s="394"/>
      <c r="AMW264" s="394"/>
      <c r="AMX264" s="394"/>
      <c r="AMY264" s="394"/>
      <c r="AMZ264" s="394"/>
      <c r="ANA264" s="394"/>
      <c r="ANB264" s="394"/>
      <c r="ANC264" s="394"/>
      <c r="AND264" s="394"/>
      <c r="ANE264" s="394"/>
      <c r="ANF264" s="394"/>
      <c r="ANG264" s="394"/>
      <c r="ANH264" s="394"/>
      <c r="ANI264" s="394"/>
      <c r="ANJ264" s="394"/>
      <c r="ANK264" s="394"/>
      <c r="ANL264" s="394"/>
      <c r="ANM264" s="394"/>
      <c r="ANN264" s="394"/>
      <c r="ANO264" s="394"/>
      <c r="ANP264" s="394"/>
      <c r="ANQ264" s="394"/>
      <c r="ANR264" s="394"/>
      <c r="ANS264" s="394"/>
      <c r="ANT264" s="394"/>
      <c r="ANU264" s="394"/>
      <c r="ANV264" s="394"/>
      <c r="ANW264" s="394"/>
      <c r="ANX264" s="394"/>
      <c r="ANY264" s="394"/>
      <c r="ANZ264" s="394"/>
      <c r="AOA264" s="394"/>
      <c r="AOB264" s="394"/>
      <c r="AOC264" s="394"/>
      <c r="AOD264" s="394"/>
      <c r="AOE264" s="394"/>
      <c r="AOF264" s="394"/>
      <c r="AOG264" s="394"/>
      <c r="AOH264" s="394"/>
      <c r="AOI264" s="394"/>
      <c r="AOJ264" s="394"/>
      <c r="AOK264" s="394"/>
      <c r="AOL264" s="394"/>
      <c r="AOM264" s="394"/>
      <c r="AON264" s="394"/>
      <c r="AOO264" s="394"/>
      <c r="AOP264" s="394"/>
      <c r="AOQ264" s="394"/>
      <c r="AOR264" s="394"/>
      <c r="AOS264" s="394"/>
      <c r="AOT264" s="394"/>
      <c r="AOU264" s="394"/>
      <c r="AOV264" s="394"/>
      <c r="AOW264" s="394"/>
      <c r="AOX264" s="394"/>
      <c r="AOY264" s="394"/>
      <c r="AOZ264" s="394"/>
      <c r="APA264" s="394"/>
      <c r="APB264" s="394"/>
      <c r="APC264" s="394"/>
      <c r="APD264" s="394"/>
      <c r="APE264" s="394"/>
      <c r="APF264" s="394"/>
      <c r="APG264" s="394"/>
      <c r="APH264" s="394"/>
      <c r="API264" s="394"/>
      <c r="APJ264" s="394"/>
      <c r="APK264" s="394"/>
      <c r="APL264" s="394"/>
      <c r="APM264" s="394"/>
      <c r="APN264" s="394"/>
      <c r="APO264" s="394"/>
      <c r="APP264" s="394"/>
      <c r="APQ264" s="394"/>
      <c r="APR264" s="394"/>
      <c r="APS264" s="394"/>
      <c r="APT264" s="394"/>
      <c r="APU264" s="394"/>
      <c r="APV264" s="394"/>
      <c r="APW264" s="394"/>
      <c r="APX264" s="394"/>
      <c r="APY264" s="394"/>
      <c r="APZ264" s="394"/>
      <c r="AQA264" s="394"/>
      <c r="AQB264" s="394"/>
      <c r="AQC264" s="394"/>
      <c r="AQD264" s="394"/>
      <c r="AQE264" s="394"/>
      <c r="AQF264" s="394"/>
      <c r="AQG264" s="394"/>
      <c r="AQH264" s="394"/>
      <c r="AQI264" s="394"/>
      <c r="AQJ264" s="394"/>
      <c r="AQK264" s="394"/>
      <c r="AQL264" s="394"/>
      <c r="AQM264" s="394"/>
      <c r="AQN264" s="394"/>
      <c r="AQO264" s="394"/>
      <c r="AQP264" s="394"/>
      <c r="AQQ264" s="394"/>
      <c r="AQR264" s="394"/>
      <c r="AQS264" s="394"/>
      <c r="AQT264" s="394"/>
      <c r="AQU264" s="394"/>
      <c r="AQV264" s="394"/>
      <c r="AQW264" s="394"/>
      <c r="AQX264" s="394"/>
      <c r="AQY264" s="394"/>
      <c r="AQZ264" s="394"/>
      <c r="ARA264" s="394"/>
      <c r="ARB264" s="394"/>
      <c r="ARC264" s="394"/>
      <c r="ARD264" s="394"/>
      <c r="ARE264" s="394"/>
      <c r="ARF264" s="394"/>
      <c r="ARG264" s="394"/>
      <c r="ARH264" s="394"/>
      <c r="ARI264" s="394"/>
      <c r="ARJ264" s="394"/>
      <c r="ARK264" s="394"/>
      <c r="ARL264" s="394"/>
      <c r="ARM264" s="394"/>
      <c r="ARN264" s="394"/>
      <c r="ARO264" s="394"/>
      <c r="ARP264" s="394"/>
      <c r="ARQ264" s="394"/>
      <c r="ARR264" s="394"/>
      <c r="ARS264" s="394"/>
      <c r="ART264" s="394"/>
      <c r="ARU264" s="394"/>
      <c r="ARV264" s="394"/>
      <c r="ARW264" s="394"/>
      <c r="ARX264" s="394"/>
      <c r="ARY264" s="394"/>
      <c r="ARZ264" s="394"/>
      <c r="ASA264" s="394"/>
      <c r="ASB264" s="394"/>
      <c r="ASC264" s="394"/>
      <c r="ASD264" s="394"/>
      <c r="ASE264" s="394"/>
      <c r="ASF264" s="394"/>
      <c r="ASG264" s="394"/>
      <c r="ASH264" s="394"/>
      <c r="ASI264" s="394"/>
      <c r="ASJ264" s="394"/>
      <c r="ASK264" s="394"/>
      <c r="ASL264" s="394"/>
      <c r="ASM264" s="394"/>
      <c r="ASN264" s="394"/>
      <c r="ASO264" s="394"/>
      <c r="ASP264" s="394"/>
      <c r="ASQ264" s="394"/>
      <c r="ASR264" s="394"/>
      <c r="ASS264" s="394"/>
      <c r="AST264" s="394"/>
      <c r="ASU264" s="394"/>
      <c r="ASV264" s="394"/>
      <c r="ASW264" s="394"/>
      <c r="ASX264" s="394"/>
      <c r="ASY264" s="394"/>
      <c r="ASZ264" s="394"/>
      <c r="ATA264" s="394"/>
      <c r="ATB264" s="394"/>
      <c r="ATC264" s="394"/>
      <c r="ATD264" s="394"/>
      <c r="ATE264" s="394"/>
      <c r="ATF264" s="394"/>
      <c r="ATG264" s="394"/>
      <c r="ATH264" s="394"/>
      <c r="ATI264" s="394"/>
      <c r="ATJ264" s="394"/>
      <c r="ATK264" s="394"/>
      <c r="ATL264" s="394"/>
      <c r="ATM264" s="394"/>
      <c r="ATN264" s="394"/>
      <c r="ATO264" s="394"/>
      <c r="ATP264" s="394"/>
      <c r="ATQ264" s="394"/>
      <c r="ATR264" s="394"/>
      <c r="ATS264" s="394"/>
      <c r="ATT264" s="394"/>
      <c r="ATU264" s="394"/>
      <c r="ATV264" s="394"/>
      <c r="ATW264" s="394"/>
      <c r="ATX264" s="394"/>
      <c r="ATY264" s="394"/>
      <c r="ATZ264" s="394"/>
      <c r="AUA264" s="394"/>
      <c r="AUB264" s="394"/>
      <c r="AUC264" s="394"/>
      <c r="AUD264" s="394"/>
      <c r="AUE264" s="394"/>
      <c r="AUF264" s="394"/>
      <c r="AUG264" s="394"/>
      <c r="AUH264" s="394"/>
      <c r="AUI264" s="394"/>
      <c r="AUJ264" s="394"/>
      <c r="AUK264" s="394"/>
      <c r="AUL264" s="394"/>
      <c r="AUM264" s="394"/>
      <c r="AUN264" s="394"/>
      <c r="AUO264" s="394"/>
      <c r="AUP264" s="394"/>
      <c r="AUQ264" s="394"/>
      <c r="AUR264" s="394"/>
      <c r="AUS264" s="394"/>
      <c r="AUT264" s="394"/>
      <c r="AUU264" s="394"/>
      <c r="AUV264" s="394"/>
      <c r="AUW264" s="394"/>
      <c r="AUX264" s="394"/>
      <c r="AUY264" s="394"/>
      <c r="AUZ264" s="394"/>
      <c r="AVA264" s="394"/>
      <c r="AVB264" s="394"/>
      <c r="AVC264" s="394"/>
      <c r="AVD264" s="394"/>
      <c r="AVE264" s="394"/>
      <c r="AVF264" s="394"/>
      <c r="AVG264" s="394"/>
      <c r="AVH264" s="394"/>
      <c r="AVI264" s="394"/>
      <c r="AVJ264" s="394"/>
      <c r="AVK264" s="394"/>
      <c r="AVL264" s="394"/>
      <c r="AVM264" s="394"/>
      <c r="AVN264" s="394"/>
      <c r="AVO264" s="394"/>
      <c r="AVP264" s="394"/>
      <c r="AVQ264" s="394"/>
      <c r="AVR264" s="394"/>
      <c r="AVS264" s="394"/>
      <c r="AVT264" s="394"/>
      <c r="AVU264" s="394"/>
      <c r="AVV264" s="394"/>
      <c r="AVW264" s="394"/>
      <c r="AVX264" s="394"/>
      <c r="AVY264" s="394"/>
      <c r="AVZ264" s="394"/>
      <c r="AWA264" s="394"/>
      <c r="AWB264" s="394"/>
      <c r="AWC264" s="394"/>
      <c r="AWD264" s="394"/>
      <c r="AWE264" s="394"/>
      <c r="AWF264" s="394"/>
      <c r="AWG264" s="394"/>
      <c r="AWH264" s="394"/>
      <c r="AWI264" s="394"/>
      <c r="AWJ264" s="394"/>
      <c r="AWK264" s="394"/>
      <c r="AWL264" s="394"/>
      <c r="AWM264" s="394"/>
      <c r="AWN264" s="394"/>
      <c r="AWO264" s="394"/>
      <c r="AWP264" s="394"/>
      <c r="AWQ264" s="394"/>
      <c r="AWR264" s="394"/>
      <c r="AWS264" s="394"/>
      <c r="AWT264" s="394"/>
      <c r="AWU264" s="394"/>
      <c r="AWV264" s="394"/>
      <c r="AWW264" s="394"/>
      <c r="AWX264" s="394"/>
      <c r="AWY264" s="394"/>
      <c r="AWZ264" s="394"/>
      <c r="AXA264" s="394"/>
      <c r="AXB264" s="394"/>
      <c r="AXC264" s="394"/>
      <c r="AXD264" s="394"/>
      <c r="AXE264" s="394"/>
      <c r="AXF264" s="394"/>
      <c r="AXG264" s="394"/>
      <c r="AXH264" s="394"/>
      <c r="AXI264" s="394"/>
      <c r="AXJ264" s="394"/>
      <c r="AXK264" s="394"/>
      <c r="AXL264" s="394"/>
      <c r="AXM264" s="394"/>
      <c r="AXN264" s="394"/>
      <c r="AXO264" s="394"/>
      <c r="AXP264" s="394"/>
      <c r="AXQ264" s="394"/>
      <c r="AXR264" s="394"/>
      <c r="AXS264" s="394"/>
      <c r="AXT264" s="394"/>
      <c r="AXU264" s="394"/>
      <c r="AXV264" s="394"/>
      <c r="AXW264" s="394"/>
      <c r="AXX264" s="394"/>
      <c r="AXY264" s="394"/>
      <c r="AXZ264" s="394"/>
      <c r="AYA264" s="394"/>
      <c r="AYB264" s="394"/>
      <c r="AYC264" s="394"/>
      <c r="AYD264" s="394"/>
      <c r="AYE264" s="394"/>
      <c r="AYF264" s="394"/>
      <c r="AYG264" s="394"/>
      <c r="AYH264" s="394"/>
      <c r="AYI264" s="394"/>
      <c r="AYJ264" s="394"/>
      <c r="AYK264" s="394"/>
      <c r="AYL264" s="394"/>
      <c r="AYM264" s="394"/>
      <c r="AYN264" s="394"/>
      <c r="AYO264" s="394"/>
      <c r="AYP264" s="394"/>
      <c r="AYQ264" s="394"/>
      <c r="AYR264" s="394"/>
      <c r="AYS264" s="394"/>
      <c r="AYT264" s="394"/>
      <c r="AYU264" s="394"/>
      <c r="AYV264" s="394"/>
      <c r="AYW264" s="394"/>
      <c r="AYX264" s="394"/>
      <c r="AYY264" s="394"/>
      <c r="AYZ264" s="394"/>
      <c r="AZA264" s="394"/>
      <c r="AZB264" s="394"/>
      <c r="AZC264" s="394"/>
      <c r="AZD264" s="394"/>
      <c r="AZE264" s="394"/>
      <c r="AZF264" s="394"/>
      <c r="AZG264" s="394"/>
      <c r="AZH264" s="394"/>
      <c r="AZI264" s="394"/>
      <c r="AZJ264" s="394"/>
      <c r="AZK264" s="394"/>
      <c r="AZL264" s="394"/>
      <c r="AZM264" s="394"/>
      <c r="AZN264" s="394"/>
      <c r="AZO264" s="394"/>
      <c r="AZP264" s="394"/>
      <c r="AZQ264" s="394"/>
      <c r="AZR264" s="394"/>
      <c r="AZS264" s="394"/>
      <c r="AZT264" s="394"/>
      <c r="AZU264" s="394"/>
      <c r="AZV264" s="394"/>
      <c r="AZW264" s="394"/>
      <c r="AZX264" s="394"/>
      <c r="AZY264" s="394"/>
      <c r="AZZ264" s="394"/>
      <c r="BAA264" s="394"/>
      <c r="BAB264" s="394"/>
      <c r="BAC264" s="394"/>
      <c r="BAD264" s="394"/>
      <c r="BAE264" s="394"/>
      <c r="BAF264" s="394"/>
      <c r="BAG264" s="394"/>
      <c r="BAH264" s="394"/>
      <c r="BAI264" s="394"/>
      <c r="BAJ264" s="394"/>
      <c r="BAK264" s="394"/>
      <c r="BAL264" s="394"/>
      <c r="BAM264" s="394"/>
      <c r="BAN264" s="394"/>
      <c r="BAO264" s="394"/>
      <c r="BAP264" s="394"/>
      <c r="BAQ264" s="394"/>
      <c r="BAR264" s="394"/>
      <c r="BAS264" s="394"/>
      <c r="BAT264" s="394"/>
      <c r="BAU264" s="394"/>
      <c r="BAV264" s="394"/>
      <c r="BAW264" s="394"/>
      <c r="BAX264" s="394"/>
      <c r="BAY264" s="394"/>
      <c r="BAZ264" s="394"/>
      <c r="BBA264" s="394"/>
      <c r="BBB264" s="394"/>
      <c r="BBC264" s="394"/>
      <c r="BBD264" s="394"/>
      <c r="BBE264" s="394"/>
      <c r="BBF264" s="394"/>
      <c r="BBG264" s="394"/>
      <c r="BBH264" s="394"/>
      <c r="BBI264" s="394"/>
      <c r="BBJ264" s="394"/>
      <c r="BBK264" s="394"/>
      <c r="BBL264" s="394"/>
      <c r="BBM264" s="394"/>
      <c r="BBN264" s="394"/>
      <c r="BBO264" s="394"/>
      <c r="BBP264" s="394"/>
      <c r="BBQ264" s="394"/>
      <c r="BBR264" s="394"/>
      <c r="BBS264" s="394"/>
      <c r="BBT264" s="394"/>
      <c r="BBU264" s="394"/>
      <c r="BBV264" s="394"/>
      <c r="BBW264" s="394"/>
      <c r="BBX264" s="394"/>
      <c r="BBY264" s="394"/>
      <c r="BBZ264" s="394"/>
      <c r="BCA264" s="394"/>
      <c r="BCB264" s="394"/>
      <c r="BCC264" s="394"/>
      <c r="BCD264" s="394"/>
      <c r="BCE264" s="394"/>
      <c r="BCF264" s="394"/>
      <c r="BCG264" s="394"/>
      <c r="BCH264" s="394"/>
      <c r="BCI264" s="394"/>
      <c r="BCJ264" s="394"/>
      <c r="BCK264" s="394"/>
      <c r="BCL264" s="394"/>
      <c r="BCM264" s="394"/>
      <c r="BCN264" s="394"/>
      <c r="BCO264" s="394"/>
      <c r="BCP264" s="394"/>
      <c r="BCQ264" s="394"/>
      <c r="BCR264" s="394"/>
      <c r="BCS264" s="394"/>
      <c r="BCT264" s="394"/>
      <c r="BCU264" s="394"/>
      <c r="BCV264" s="394"/>
      <c r="BCW264" s="394"/>
      <c r="BCX264" s="394"/>
      <c r="BCY264" s="394"/>
      <c r="BCZ264" s="394"/>
      <c r="BDA264" s="394"/>
      <c r="BDB264" s="394"/>
      <c r="BDC264" s="394"/>
      <c r="BDD264" s="394"/>
      <c r="BDE264" s="394"/>
      <c r="BDF264" s="394"/>
      <c r="BDG264" s="394"/>
      <c r="BDH264" s="394"/>
      <c r="BDI264" s="394"/>
      <c r="BDJ264" s="394"/>
      <c r="BDK264" s="394"/>
      <c r="BDL264" s="394"/>
      <c r="BDM264" s="394"/>
      <c r="BDN264" s="394"/>
      <c r="BDO264" s="394"/>
      <c r="BDP264" s="394"/>
      <c r="BDQ264" s="394"/>
      <c r="BDR264" s="394"/>
      <c r="BDS264" s="394"/>
      <c r="BDT264" s="394"/>
      <c r="BDU264" s="394"/>
      <c r="BDV264" s="394"/>
      <c r="BDW264" s="394"/>
      <c r="BDX264" s="394"/>
      <c r="BDY264" s="394"/>
      <c r="BDZ264" s="394"/>
      <c r="BEA264" s="394"/>
      <c r="BEB264" s="394"/>
      <c r="BEC264" s="394"/>
      <c r="BED264" s="394"/>
      <c r="BEE264" s="394"/>
      <c r="BEF264" s="394"/>
      <c r="BEG264" s="394"/>
      <c r="BEH264" s="394"/>
      <c r="BEI264" s="394"/>
      <c r="BEJ264" s="394"/>
      <c r="BEK264" s="394"/>
      <c r="BEL264" s="394"/>
      <c r="BEM264" s="394"/>
      <c r="BEN264" s="394"/>
      <c r="BEO264" s="394"/>
      <c r="BEP264" s="394"/>
      <c r="BEQ264" s="394"/>
      <c r="BER264" s="394"/>
      <c r="BES264" s="394"/>
      <c r="BET264" s="394"/>
      <c r="BEU264" s="394"/>
      <c r="BEV264" s="394"/>
      <c r="BEW264" s="394"/>
      <c r="BEX264" s="394"/>
      <c r="BEY264" s="394"/>
      <c r="BEZ264" s="394"/>
      <c r="BFA264" s="394"/>
      <c r="BFB264" s="394"/>
      <c r="BFC264" s="394"/>
      <c r="BFD264" s="394"/>
      <c r="BFE264" s="394"/>
      <c r="BFF264" s="394"/>
      <c r="BFG264" s="394"/>
      <c r="BFH264" s="394"/>
      <c r="BFI264" s="394"/>
      <c r="BFJ264" s="394"/>
      <c r="BFK264" s="394"/>
      <c r="BFL264" s="394"/>
      <c r="BFM264" s="394"/>
      <c r="BFN264" s="394"/>
      <c r="BFO264" s="394"/>
      <c r="BFP264" s="394"/>
      <c r="BFQ264" s="394"/>
      <c r="BFR264" s="394"/>
      <c r="BFS264" s="394"/>
      <c r="BFT264" s="394"/>
      <c r="BFU264" s="394"/>
      <c r="BFV264" s="394"/>
      <c r="BFW264" s="394"/>
      <c r="BFX264" s="394"/>
      <c r="BFY264" s="394"/>
      <c r="BFZ264" s="394"/>
      <c r="BGA264" s="394"/>
      <c r="BGB264" s="394"/>
      <c r="BGC264" s="394"/>
      <c r="BGD264" s="394"/>
      <c r="BGE264" s="394"/>
      <c r="BGF264" s="394"/>
      <c r="BGG264" s="394"/>
      <c r="BGH264" s="394"/>
      <c r="BGI264" s="394"/>
      <c r="BGJ264" s="394"/>
      <c r="BGK264" s="394"/>
      <c r="BGL264" s="394"/>
      <c r="BGM264" s="394"/>
      <c r="BGN264" s="394"/>
      <c r="BGO264" s="394"/>
      <c r="BGP264" s="394"/>
      <c r="BGQ264" s="394"/>
      <c r="BGR264" s="394"/>
      <c r="BGS264" s="394"/>
      <c r="BGT264" s="394"/>
      <c r="BGU264" s="394"/>
      <c r="BGV264" s="394"/>
      <c r="BGW264" s="394"/>
      <c r="BGX264" s="394"/>
      <c r="BGY264" s="394"/>
      <c r="BGZ264" s="394"/>
      <c r="BHA264" s="394"/>
      <c r="BHB264" s="394"/>
      <c r="BHC264" s="394"/>
      <c r="BHD264" s="394"/>
      <c r="BHE264" s="394"/>
      <c r="BHF264" s="394"/>
      <c r="BHG264" s="394"/>
      <c r="BHH264" s="394"/>
      <c r="BHI264" s="394"/>
      <c r="BHJ264" s="394"/>
      <c r="BHK264" s="394"/>
      <c r="BHL264" s="394"/>
      <c r="BHM264" s="394"/>
      <c r="BHN264" s="394"/>
      <c r="BHO264" s="394"/>
      <c r="BHP264" s="394"/>
      <c r="BHQ264" s="394"/>
      <c r="BHR264" s="394"/>
      <c r="BHS264" s="394"/>
      <c r="BHT264" s="394"/>
      <c r="BHU264" s="394"/>
      <c r="BHV264" s="394"/>
      <c r="BHW264" s="394"/>
      <c r="BHX264" s="394"/>
      <c r="BHY264" s="394"/>
      <c r="BHZ264" s="394"/>
      <c r="BIA264" s="394"/>
      <c r="BIB264" s="394"/>
      <c r="BIC264" s="394"/>
      <c r="BID264" s="394"/>
      <c r="BIE264" s="394"/>
      <c r="BIF264" s="394"/>
      <c r="BIG264" s="394"/>
      <c r="BIH264" s="394"/>
      <c r="BII264" s="394"/>
      <c r="BIJ264" s="394"/>
      <c r="BIK264" s="394"/>
      <c r="BIL264" s="394"/>
      <c r="BIM264" s="394"/>
      <c r="BIN264" s="394"/>
      <c r="BIO264" s="394"/>
      <c r="BIP264" s="394"/>
      <c r="BIQ264" s="394"/>
      <c r="BIR264" s="394"/>
      <c r="BIS264" s="394"/>
      <c r="BIT264" s="394"/>
      <c r="BIU264" s="394"/>
      <c r="BIV264" s="394"/>
      <c r="BIW264" s="394"/>
      <c r="BIX264" s="394"/>
      <c r="BIY264" s="394"/>
      <c r="BIZ264" s="394"/>
      <c r="BJA264" s="394"/>
      <c r="BJB264" s="394"/>
      <c r="BJC264" s="394"/>
      <c r="BJD264" s="394"/>
      <c r="BJE264" s="394"/>
      <c r="BJF264" s="394"/>
      <c r="BJG264" s="394"/>
      <c r="BJH264" s="394"/>
      <c r="BJI264" s="394"/>
      <c r="BJJ264" s="394"/>
      <c r="BJK264" s="394"/>
      <c r="BJL264" s="394"/>
      <c r="BJM264" s="394"/>
      <c r="BJN264" s="394"/>
      <c r="BJO264" s="394"/>
      <c r="BJP264" s="394"/>
      <c r="BJQ264" s="394"/>
      <c r="BJR264" s="394"/>
      <c r="BJS264" s="394"/>
      <c r="BJT264" s="394"/>
      <c r="BJU264" s="394"/>
      <c r="BJV264" s="394"/>
      <c r="BJW264" s="394"/>
      <c r="BJX264" s="394"/>
      <c r="BJY264" s="394"/>
      <c r="BJZ264" s="394"/>
      <c r="BKA264" s="394"/>
      <c r="BKB264" s="394"/>
      <c r="BKC264" s="394"/>
      <c r="BKD264" s="394"/>
      <c r="BKE264" s="394"/>
      <c r="BKF264" s="394"/>
      <c r="BKG264" s="394"/>
      <c r="BKH264" s="394"/>
      <c r="BKI264" s="394"/>
      <c r="BKJ264" s="394"/>
      <c r="BKK264" s="394"/>
      <c r="BKL264" s="394"/>
      <c r="BKM264" s="394"/>
      <c r="BKN264" s="394"/>
      <c r="BKO264" s="394"/>
      <c r="BKP264" s="394"/>
      <c r="BKQ264" s="394"/>
      <c r="BKR264" s="394"/>
      <c r="BKS264" s="394"/>
      <c r="BKT264" s="394"/>
      <c r="BKU264" s="394"/>
      <c r="BKV264" s="394"/>
      <c r="BKW264" s="394"/>
      <c r="BKX264" s="394"/>
      <c r="BKY264" s="394"/>
      <c r="BKZ264" s="394"/>
      <c r="BLA264" s="394"/>
      <c r="BLB264" s="394"/>
      <c r="BLC264" s="394"/>
      <c r="BLD264" s="394"/>
      <c r="BLE264" s="394"/>
      <c r="BLF264" s="394"/>
      <c r="BLG264" s="394"/>
      <c r="BLH264" s="394"/>
      <c r="BLI264" s="394"/>
      <c r="BLJ264" s="394"/>
      <c r="BLK264" s="394"/>
      <c r="BLL264" s="394"/>
      <c r="BLM264" s="394"/>
      <c r="BLN264" s="394"/>
      <c r="BLO264" s="394"/>
      <c r="BLP264" s="394"/>
      <c r="BLQ264" s="394"/>
      <c r="BLR264" s="394"/>
      <c r="BLS264" s="394"/>
      <c r="BLT264" s="394"/>
      <c r="BLU264" s="394"/>
      <c r="BLV264" s="394"/>
      <c r="BLW264" s="394"/>
      <c r="BLX264" s="394"/>
      <c r="BLY264" s="394"/>
      <c r="BLZ264" s="394"/>
      <c r="BMA264" s="394"/>
      <c r="BMB264" s="394"/>
      <c r="BMC264" s="394"/>
      <c r="BMD264" s="394"/>
      <c r="BME264" s="394"/>
      <c r="BMF264" s="394"/>
      <c r="BMG264" s="394"/>
      <c r="BMH264" s="394"/>
      <c r="BMI264" s="394"/>
      <c r="BMJ264" s="394"/>
      <c r="BMK264" s="394"/>
      <c r="BML264" s="394"/>
      <c r="BMM264" s="394"/>
      <c r="BMN264" s="394"/>
      <c r="BMO264" s="394"/>
      <c r="BMP264" s="394"/>
      <c r="BMQ264" s="394"/>
      <c r="BMR264" s="394"/>
      <c r="BMS264" s="394"/>
      <c r="BMT264" s="394"/>
      <c r="BMU264" s="394"/>
      <c r="BMV264" s="394"/>
      <c r="BMW264" s="394"/>
      <c r="BMX264" s="394"/>
      <c r="BMY264" s="394"/>
      <c r="BMZ264" s="394"/>
      <c r="BNA264" s="394"/>
      <c r="BNB264" s="394"/>
      <c r="BNC264" s="394"/>
      <c r="BND264" s="394"/>
      <c r="BNE264" s="394"/>
      <c r="BNF264" s="394"/>
      <c r="BNG264" s="394"/>
      <c r="BNH264" s="394"/>
      <c r="BNI264" s="394"/>
      <c r="BNJ264" s="394"/>
      <c r="BNK264" s="394"/>
      <c r="BNL264" s="394"/>
      <c r="BNM264" s="394"/>
      <c r="BNN264" s="394"/>
      <c r="BNO264" s="394"/>
      <c r="BNP264" s="394"/>
      <c r="BNQ264" s="394"/>
      <c r="BNR264" s="394"/>
      <c r="BNS264" s="394"/>
      <c r="BNT264" s="394"/>
      <c r="BNU264" s="394"/>
      <c r="BNV264" s="394"/>
      <c r="BNW264" s="394"/>
      <c r="BNX264" s="394"/>
      <c r="BNY264" s="394"/>
      <c r="BNZ264" s="394"/>
      <c r="BOA264" s="394"/>
      <c r="BOB264" s="394"/>
      <c r="BOC264" s="394"/>
      <c r="BOD264" s="394"/>
      <c r="BOE264" s="394"/>
      <c r="BOF264" s="394"/>
      <c r="BOG264" s="394"/>
      <c r="BOH264" s="394"/>
      <c r="BOI264" s="394"/>
      <c r="BOJ264" s="394"/>
      <c r="BOK264" s="394"/>
      <c r="BOL264" s="394"/>
      <c r="BOM264" s="394"/>
      <c r="BON264" s="394"/>
      <c r="BOO264" s="394"/>
      <c r="BOP264" s="394"/>
      <c r="BOQ264" s="394"/>
      <c r="BOR264" s="394"/>
      <c r="BOS264" s="394"/>
      <c r="BOT264" s="394"/>
      <c r="BOU264" s="394"/>
      <c r="BOV264" s="394"/>
      <c r="BOW264" s="394"/>
      <c r="BOX264" s="394"/>
      <c r="BOY264" s="394"/>
      <c r="BOZ264" s="394"/>
      <c r="BPA264" s="394"/>
      <c r="BPB264" s="394"/>
      <c r="BPC264" s="394"/>
      <c r="BPD264" s="394"/>
      <c r="BPE264" s="394"/>
      <c r="BPF264" s="394"/>
      <c r="BPG264" s="394"/>
      <c r="BPH264" s="394"/>
      <c r="BPI264" s="394"/>
      <c r="BPJ264" s="394"/>
      <c r="BPK264" s="394"/>
      <c r="BPL264" s="394"/>
      <c r="BPM264" s="394"/>
      <c r="BPN264" s="394"/>
      <c r="BPO264" s="394"/>
      <c r="BPP264" s="394"/>
      <c r="BPQ264" s="394"/>
      <c r="BPR264" s="394"/>
      <c r="BPS264" s="394"/>
      <c r="BPT264" s="394"/>
      <c r="BPU264" s="394"/>
      <c r="BPV264" s="394"/>
      <c r="BPW264" s="394"/>
      <c r="BPX264" s="394"/>
      <c r="BPY264" s="394"/>
      <c r="BPZ264" s="394"/>
      <c r="BQA264" s="394"/>
      <c r="BQB264" s="394"/>
      <c r="BQC264" s="394"/>
      <c r="BQD264" s="394"/>
      <c r="BQE264" s="394"/>
      <c r="BQF264" s="394"/>
      <c r="BQG264" s="394"/>
      <c r="BQH264" s="394"/>
      <c r="BQI264" s="394"/>
      <c r="BQJ264" s="394"/>
      <c r="BQK264" s="394"/>
      <c r="BQL264" s="394"/>
      <c r="BQM264" s="394"/>
      <c r="BQN264" s="394"/>
      <c r="BQO264" s="394"/>
      <c r="BQP264" s="394"/>
      <c r="BQQ264" s="394"/>
      <c r="BQR264" s="394"/>
      <c r="BQS264" s="394"/>
      <c r="BQT264" s="394"/>
      <c r="BQU264" s="394"/>
      <c r="BQV264" s="394"/>
      <c r="BQW264" s="394"/>
      <c r="BQX264" s="394"/>
      <c r="BQY264" s="394"/>
      <c r="BQZ264" s="394"/>
      <c r="BRA264" s="394"/>
      <c r="BRB264" s="394"/>
      <c r="BRC264" s="394"/>
      <c r="BRD264" s="394"/>
      <c r="BRE264" s="394"/>
      <c r="BRF264" s="394"/>
      <c r="BRG264" s="394"/>
      <c r="BRH264" s="394"/>
      <c r="BRI264" s="394"/>
      <c r="BRJ264" s="394"/>
      <c r="BRK264" s="394"/>
      <c r="BRL264" s="394"/>
      <c r="BRM264" s="394"/>
      <c r="BRN264" s="394"/>
      <c r="BRO264" s="394"/>
      <c r="BRP264" s="394"/>
      <c r="BRQ264" s="394"/>
      <c r="BRR264" s="394"/>
      <c r="BRS264" s="394"/>
      <c r="BRT264" s="394"/>
      <c r="BRU264" s="394"/>
      <c r="BRV264" s="394"/>
      <c r="BRW264" s="394"/>
      <c r="BRX264" s="394"/>
      <c r="BRY264" s="394"/>
      <c r="BRZ264" s="394"/>
      <c r="BSA264" s="394"/>
      <c r="BSB264" s="394"/>
      <c r="BSC264" s="394"/>
      <c r="BSD264" s="394"/>
      <c r="BSE264" s="394"/>
      <c r="BSF264" s="394"/>
      <c r="BSG264" s="394"/>
      <c r="BSH264" s="394"/>
      <c r="BSI264" s="394"/>
      <c r="BSJ264" s="394"/>
      <c r="BSK264" s="394"/>
      <c r="BSL264" s="394"/>
      <c r="BSM264" s="394"/>
      <c r="BSN264" s="394"/>
      <c r="BSO264" s="394"/>
      <c r="BSP264" s="394"/>
      <c r="BSQ264" s="394"/>
      <c r="BSR264" s="394"/>
      <c r="BSS264" s="394"/>
      <c r="BST264" s="394"/>
      <c r="BSU264" s="394"/>
      <c r="BSV264" s="394"/>
      <c r="BSW264" s="394"/>
      <c r="BSX264" s="394"/>
      <c r="BSY264" s="394"/>
      <c r="BSZ264" s="394"/>
      <c r="BTA264" s="394"/>
      <c r="BTB264" s="394"/>
      <c r="BTC264" s="394"/>
      <c r="BTD264" s="394"/>
      <c r="BTE264" s="394"/>
      <c r="BTF264" s="394"/>
      <c r="BTG264" s="394"/>
      <c r="BTH264" s="394"/>
      <c r="BTI264" s="394"/>
    </row>
    <row r="265" spans="1:1881" ht="59.25" x14ac:dyDescent="0.25">
      <c r="A265" s="405"/>
      <c r="B265" s="41" t="s">
        <v>47</v>
      </c>
      <c r="C265" s="41"/>
      <c r="D265" s="50" t="s">
        <v>53</v>
      </c>
      <c r="E265" s="49"/>
      <c r="F265" s="49"/>
      <c r="G265" s="49"/>
      <c r="H265" s="53"/>
      <c r="I265" s="188"/>
    </row>
    <row r="266" spans="1:1881" s="393" customFormat="1" x14ac:dyDescent="0.25">
      <c r="A266" s="405"/>
      <c r="B266" s="401"/>
      <c r="C266" s="404"/>
      <c r="D266" s="836" t="s">
        <v>1201</v>
      </c>
      <c r="E266" s="833"/>
      <c r="F266" s="583"/>
      <c r="G266" s="379"/>
      <c r="H266" s="396"/>
      <c r="I266" s="405"/>
      <c r="J266" s="394"/>
      <c r="K266" s="394"/>
      <c r="L266" s="394"/>
      <c r="M266" s="394"/>
      <c r="N266"/>
      <c r="O266" s="394"/>
      <c r="P266" s="394"/>
      <c r="Q266" s="394"/>
      <c r="R266" s="394"/>
      <c r="S266" s="394"/>
      <c r="T266" s="394"/>
      <c r="U266" s="394"/>
      <c r="V266" s="394"/>
      <c r="W266" s="394"/>
      <c r="X266" s="394"/>
      <c r="Y266" s="394"/>
      <c r="Z266" s="394"/>
      <c r="AA266" s="394"/>
      <c r="AB266" s="394"/>
      <c r="AC266" s="394"/>
      <c r="AD266" s="394"/>
      <c r="AE266" s="394"/>
      <c r="AF266" s="394"/>
      <c r="AG266" s="394"/>
      <c r="AH266" s="394"/>
      <c r="AI266" s="394"/>
      <c r="AJ266" s="394"/>
      <c r="AK266" s="394"/>
      <c r="AL266" s="394"/>
      <c r="AM266" s="394"/>
      <c r="AN266" s="394"/>
      <c r="AO266" s="394"/>
      <c r="AP266" s="394"/>
      <c r="AQ266" s="394"/>
      <c r="AR266" s="394"/>
      <c r="AS266" s="394"/>
      <c r="AT266" s="394"/>
      <c r="AU266" s="394"/>
      <c r="AV266" s="394"/>
      <c r="AW266" s="394"/>
      <c r="AX266" s="394"/>
      <c r="AY266" s="394"/>
      <c r="AZ266" s="394"/>
      <c r="BA266" s="394"/>
      <c r="BB266" s="394"/>
      <c r="BC266" s="394"/>
      <c r="BD266" s="394"/>
      <c r="BE266" s="394"/>
      <c r="BF266" s="394"/>
      <c r="BG266" s="394"/>
      <c r="BH266" s="394"/>
      <c r="BI266" s="394"/>
      <c r="BJ266" s="394"/>
      <c r="BK266" s="394"/>
      <c r="BL266" s="394"/>
      <c r="BM266" s="394"/>
      <c r="BN266" s="394"/>
      <c r="BO266" s="394"/>
      <c r="BP266" s="394"/>
      <c r="BQ266" s="394"/>
      <c r="BR266" s="394"/>
      <c r="BS266" s="394"/>
      <c r="BT266" s="394"/>
      <c r="BU266" s="394"/>
      <c r="BV266" s="394"/>
      <c r="BW266" s="394"/>
      <c r="BX266" s="394"/>
      <c r="BY266" s="394"/>
      <c r="BZ266" s="394"/>
      <c r="CA266" s="394"/>
      <c r="CB266" s="394"/>
      <c r="CC266" s="394"/>
      <c r="CD266" s="394"/>
      <c r="CE266" s="394"/>
      <c r="CF266" s="394"/>
      <c r="CG266" s="394"/>
      <c r="CH266" s="394"/>
      <c r="CI266" s="394"/>
      <c r="CJ266" s="394"/>
      <c r="CK266" s="394"/>
      <c r="CL266" s="394"/>
      <c r="CM266" s="394"/>
      <c r="CN266" s="394"/>
      <c r="CO266" s="394"/>
      <c r="CP266" s="394"/>
      <c r="CQ266" s="394"/>
      <c r="CR266" s="394"/>
      <c r="CS266" s="394"/>
      <c r="CT266" s="394"/>
      <c r="CU266" s="394"/>
      <c r="CV266" s="394"/>
      <c r="CW266" s="394"/>
      <c r="CX266" s="394"/>
      <c r="CY266" s="394"/>
      <c r="CZ266" s="394"/>
      <c r="DA266" s="394"/>
      <c r="DB266" s="394"/>
      <c r="DC266" s="394"/>
      <c r="DD266" s="394"/>
      <c r="DE266" s="394"/>
      <c r="DF266" s="394"/>
      <c r="DG266" s="394"/>
      <c r="DH266" s="394"/>
      <c r="DI266" s="394"/>
      <c r="DJ266" s="394"/>
      <c r="DK266" s="394"/>
      <c r="DL266" s="394"/>
      <c r="DM266" s="394"/>
      <c r="DN266" s="394"/>
      <c r="DO266" s="394"/>
      <c r="DP266" s="394"/>
      <c r="DQ266" s="394"/>
      <c r="DR266" s="394"/>
      <c r="DS266" s="394"/>
      <c r="DT266" s="394"/>
      <c r="DU266" s="394"/>
      <c r="DV266" s="394"/>
      <c r="DW266" s="394"/>
      <c r="DX266" s="394"/>
      <c r="DY266" s="394"/>
      <c r="DZ266" s="394"/>
      <c r="EA266" s="394"/>
      <c r="EB266" s="394"/>
      <c r="EC266" s="394"/>
      <c r="ED266" s="394"/>
      <c r="EE266" s="394"/>
      <c r="EF266" s="394"/>
      <c r="EG266" s="394"/>
      <c r="EH266" s="394"/>
      <c r="EI266" s="394"/>
      <c r="EJ266" s="394"/>
      <c r="EK266" s="394"/>
      <c r="EL266" s="394"/>
      <c r="EM266" s="394"/>
      <c r="EN266" s="394"/>
      <c r="EO266" s="394"/>
      <c r="EP266" s="394"/>
      <c r="EQ266" s="394"/>
      <c r="ER266" s="394"/>
      <c r="ES266" s="394"/>
      <c r="ET266" s="394"/>
      <c r="EU266" s="394"/>
      <c r="EV266" s="394"/>
      <c r="EW266" s="394"/>
      <c r="EX266" s="394"/>
      <c r="EY266" s="394"/>
      <c r="EZ266" s="394"/>
      <c r="FA266" s="394"/>
      <c r="FB266" s="394"/>
      <c r="FC266" s="394"/>
      <c r="FD266" s="394"/>
      <c r="FE266" s="394"/>
      <c r="FF266" s="394"/>
      <c r="FG266" s="394"/>
      <c r="FH266" s="394"/>
      <c r="FI266" s="394"/>
      <c r="FJ266" s="394"/>
      <c r="FK266" s="394"/>
      <c r="FL266" s="394"/>
      <c r="FM266" s="394"/>
      <c r="FN266" s="394"/>
      <c r="FO266" s="394"/>
      <c r="FP266" s="394"/>
      <c r="FQ266" s="394"/>
      <c r="FR266" s="394"/>
      <c r="FS266" s="394"/>
      <c r="FT266" s="394"/>
      <c r="FU266" s="394"/>
      <c r="FV266" s="394"/>
      <c r="FW266" s="394"/>
      <c r="FX266" s="394"/>
      <c r="FY266" s="394"/>
      <c r="FZ266" s="394"/>
      <c r="GA266" s="394"/>
      <c r="GB266" s="394"/>
      <c r="GC266" s="394"/>
      <c r="GD266" s="394"/>
      <c r="GE266" s="394"/>
      <c r="GF266" s="394"/>
      <c r="GG266" s="394"/>
      <c r="GH266" s="394"/>
      <c r="GI266" s="394"/>
      <c r="GJ266" s="394"/>
      <c r="GK266" s="394"/>
      <c r="GL266" s="394"/>
      <c r="GM266" s="394"/>
      <c r="GN266" s="394"/>
      <c r="GO266" s="394"/>
      <c r="GP266" s="394"/>
      <c r="GQ266" s="394"/>
      <c r="GR266" s="394"/>
      <c r="GS266" s="394"/>
      <c r="GT266" s="394"/>
      <c r="GU266" s="394"/>
      <c r="GV266" s="394"/>
      <c r="GW266" s="394"/>
      <c r="GX266" s="394"/>
      <c r="GY266" s="394"/>
      <c r="GZ266" s="394"/>
      <c r="HA266" s="394"/>
      <c r="HB266" s="394"/>
      <c r="HC266" s="394"/>
      <c r="HD266" s="394"/>
      <c r="HE266" s="394"/>
      <c r="HF266" s="394"/>
      <c r="HG266" s="394"/>
      <c r="HH266" s="394"/>
      <c r="HI266" s="394"/>
      <c r="HJ266" s="394"/>
      <c r="HK266" s="394"/>
      <c r="HL266" s="394"/>
      <c r="HM266" s="394"/>
      <c r="HN266" s="394"/>
      <c r="HO266" s="394"/>
      <c r="HP266" s="394"/>
      <c r="HQ266" s="394"/>
      <c r="HR266" s="394"/>
      <c r="HS266" s="394"/>
      <c r="HT266" s="394"/>
      <c r="HU266" s="394"/>
      <c r="HV266" s="394"/>
      <c r="HW266" s="394"/>
      <c r="HX266" s="394"/>
      <c r="HY266" s="394"/>
      <c r="HZ266" s="394"/>
      <c r="IA266" s="394"/>
      <c r="IB266" s="394"/>
      <c r="IC266" s="394"/>
      <c r="ID266" s="394"/>
      <c r="IE266" s="394"/>
      <c r="IF266" s="394"/>
      <c r="IG266" s="394"/>
      <c r="IH266" s="394"/>
      <c r="II266" s="394"/>
      <c r="IJ266" s="394"/>
      <c r="IK266" s="394"/>
      <c r="IL266" s="394"/>
      <c r="IM266" s="394"/>
      <c r="IN266" s="394"/>
      <c r="IO266" s="394"/>
      <c r="IP266" s="394"/>
      <c r="IQ266" s="394"/>
      <c r="IR266" s="394"/>
      <c r="IS266" s="394"/>
      <c r="IT266" s="394"/>
      <c r="IU266" s="394"/>
      <c r="IV266" s="394"/>
      <c r="IW266" s="394"/>
      <c r="IX266" s="394"/>
      <c r="IY266" s="394"/>
      <c r="IZ266" s="394"/>
      <c r="JA266" s="394"/>
      <c r="JB266" s="394"/>
      <c r="JC266" s="394"/>
      <c r="JD266" s="394"/>
      <c r="JE266" s="394"/>
      <c r="JF266" s="394"/>
      <c r="JG266" s="394"/>
      <c r="JH266" s="394"/>
      <c r="JI266" s="394"/>
      <c r="JJ266" s="394"/>
      <c r="JK266" s="394"/>
      <c r="JL266" s="394"/>
      <c r="JM266" s="394"/>
      <c r="JN266" s="394"/>
      <c r="JO266" s="394"/>
      <c r="JP266" s="394"/>
      <c r="JQ266" s="394"/>
      <c r="JR266" s="394"/>
      <c r="JS266" s="394"/>
      <c r="JT266" s="394"/>
      <c r="JU266" s="394"/>
      <c r="JV266" s="394"/>
      <c r="JW266" s="394"/>
      <c r="JX266" s="394"/>
      <c r="JY266" s="394"/>
      <c r="JZ266" s="394"/>
      <c r="KA266" s="394"/>
      <c r="KB266" s="394"/>
      <c r="KC266" s="394"/>
      <c r="KD266" s="394"/>
      <c r="KE266" s="394"/>
      <c r="KF266" s="394"/>
      <c r="KG266" s="394"/>
      <c r="KH266" s="394"/>
      <c r="KI266" s="394"/>
      <c r="KJ266" s="394"/>
      <c r="KK266" s="394"/>
      <c r="KL266" s="394"/>
      <c r="KM266" s="394"/>
      <c r="KN266" s="394"/>
      <c r="KO266" s="394"/>
      <c r="KP266" s="394"/>
      <c r="KQ266" s="394"/>
      <c r="KR266" s="394"/>
      <c r="KS266" s="394"/>
      <c r="KT266" s="394"/>
      <c r="KU266" s="394"/>
      <c r="KV266" s="394"/>
      <c r="KW266" s="394"/>
      <c r="KX266" s="394"/>
      <c r="KY266" s="394"/>
      <c r="KZ266" s="394"/>
      <c r="LA266" s="394"/>
      <c r="LB266" s="394"/>
      <c r="LC266" s="394"/>
      <c r="LD266" s="394"/>
      <c r="LE266" s="394"/>
      <c r="LF266" s="394"/>
      <c r="LG266" s="394"/>
      <c r="LH266" s="394"/>
      <c r="LI266" s="394"/>
      <c r="LJ266" s="394"/>
      <c r="LK266" s="394"/>
      <c r="LL266" s="394"/>
      <c r="LM266" s="394"/>
      <c r="LN266" s="394"/>
      <c r="LO266" s="394"/>
      <c r="LP266" s="394"/>
      <c r="LQ266" s="394"/>
      <c r="LR266" s="394"/>
      <c r="LS266" s="394"/>
      <c r="LT266" s="394"/>
      <c r="LU266" s="394"/>
      <c r="LV266" s="394"/>
      <c r="LW266" s="394"/>
      <c r="LX266" s="394"/>
      <c r="LY266" s="394"/>
      <c r="LZ266" s="394"/>
      <c r="MA266" s="394"/>
      <c r="MB266" s="394"/>
      <c r="MC266" s="394"/>
      <c r="MD266" s="394"/>
      <c r="ME266" s="394"/>
      <c r="MF266" s="394"/>
      <c r="MG266" s="394"/>
      <c r="MH266" s="394"/>
      <c r="MI266" s="394"/>
      <c r="MJ266" s="394"/>
      <c r="MK266" s="394"/>
      <c r="ML266" s="394"/>
      <c r="MM266" s="394"/>
      <c r="MN266" s="394"/>
      <c r="MO266" s="394"/>
      <c r="MP266" s="394"/>
      <c r="MQ266" s="394"/>
      <c r="MR266" s="394"/>
      <c r="MS266" s="394"/>
      <c r="MT266" s="394"/>
      <c r="MU266" s="394"/>
      <c r="MV266" s="394"/>
      <c r="MW266" s="394"/>
      <c r="MX266" s="394"/>
      <c r="MY266" s="394"/>
      <c r="MZ266" s="394"/>
      <c r="NA266" s="394"/>
      <c r="NB266" s="394"/>
      <c r="NC266" s="394"/>
      <c r="ND266" s="394"/>
      <c r="NE266" s="394"/>
      <c r="NF266" s="394"/>
      <c r="NG266" s="394"/>
      <c r="NH266" s="394"/>
      <c r="NI266" s="394"/>
      <c r="NJ266" s="394"/>
      <c r="NK266" s="394"/>
      <c r="NL266" s="394"/>
      <c r="NM266" s="394"/>
      <c r="NN266" s="394"/>
      <c r="NO266" s="394"/>
      <c r="NP266" s="394"/>
      <c r="NQ266" s="394"/>
      <c r="NR266" s="394"/>
      <c r="NS266" s="394"/>
      <c r="NT266" s="394"/>
      <c r="NU266" s="394"/>
      <c r="NV266" s="394"/>
      <c r="NW266" s="394"/>
      <c r="NX266" s="394"/>
      <c r="NY266" s="394"/>
      <c r="NZ266" s="394"/>
      <c r="OA266" s="394"/>
      <c r="OB266" s="394"/>
      <c r="OC266" s="394"/>
      <c r="OD266" s="394"/>
      <c r="OE266" s="394"/>
      <c r="OF266" s="394"/>
      <c r="OG266" s="394"/>
      <c r="OH266" s="394"/>
      <c r="OI266" s="394"/>
      <c r="OJ266" s="394"/>
      <c r="OK266" s="394"/>
      <c r="OL266" s="394"/>
      <c r="OM266" s="394"/>
      <c r="ON266" s="394"/>
      <c r="OO266" s="394"/>
      <c r="OP266" s="394"/>
      <c r="OQ266" s="394"/>
      <c r="OR266" s="394"/>
      <c r="OS266" s="394"/>
      <c r="OT266" s="394"/>
      <c r="OU266" s="394"/>
      <c r="OV266" s="394"/>
      <c r="OW266" s="394"/>
      <c r="OX266" s="394"/>
      <c r="OY266" s="394"/>
      <c r="OZ266" s="394"/>
      <c r="PA266" s="394"/>
      <c r="PB266" s="394"/>
      <c r="PC266" s="394"/>
      <c r="PD266" s="394"/>
      <c r="PE266" s="394"/>
      <c r="PF266" s="394"/>
      <c r="PG266" s="394"/>
      <c r="PH266" s="394"/>
      <c r="PI266" s="394"/>
      <c r="PJ266" s="394"/>
      <c r="PK266" s="394"/>
      <c r="PL266" s="394"/>
      <c r="PM266" s="394"/>
      <c r="PN266" s="394"/>
      <c r="PO266" s="394"/>
      <c r="PP266" s="394"/>
      <c r="PQ266" s="394"/>
      <c r="PR266" s="394"/>
      <c r="PS266" s="394"/>
      <c r="PT266" s="394"/>
      <c r="PU266" s="394"/>
      <c r="PV266" s="394"/>
      <c r="PW266" s="394"/>
      <c r="PX266" s="394"/>
      <c r="PY266" s="394"/>
      <c r="PZ266" s="394"/>
      <c r="QA266" s="394"/>
      <c r="QB266" s="394"/>
      <c r="QC266" s="394"/>
      <c r="QD266" s="394"/>
      <c r="QE266" s="394"/>
      <c r="QF266" s="394"/>
      <c r="QG266" s="394"/>
      <c r="QH266" s="394"/>
      <c r="QI266" s="394"/>
      <c r="QJ266" s="394"/>
      <c r="QK266" s="394"/>
      <c r="QL266" s="394"/>
      <c r="QM266" s="394"/>
      <c r="QN266" s="394"/>
      <c r="QO266" s="394"/>
      <c r="QP266" s="394"/>
      <c r="QQ266" s="394"/>
      <c r="QR266" s="394"/>
      <c r="QS266" s="394"/>
      <c r="QT266" s="394"/>
      <c r="QU266" s="394"/>
      <c r="QV266" s="394"/>
      <c r="QW266" s="394"/>
      <c r="QX266" s="394"/>
      <c r="QY266" s="394"/>
      <c r="QZ266" s="394"/>
      <c r="RA266" s="394"/>
      <c r="RB266" s="394"/>
      <c r="RC266" s="394"/>
      <c r="RD266" s="394"/>
      <c r="RE266" s="394"/>
      <c r="RF266" s="394"/>
      <c r="RG266" s="394"/>
      <c r="RH266" s="394"/>
      <c r="RI266" s="394"/>
      <c r="RJ266" s="394"/>
      <c r="RK266" s="394"/>
      <c r="RL266" s="394"/>
      <c r="RM266" s="394"/>
      <c r="RN266" s="394"/>
      <c r="RO266" s="394"/>
      <c r="RP266" s="394"/>
      <c r="RQ266" s="394"/>
      <c r="RR266" s="394"/>
      <c r="RS266" s="394"/>
      <c r="RT266" s="394"/>
      <c r="RU266" s="394"/>
      <c r="RV266" s="394"/>
      <c r="RW266" s="394"/>
      <c r="RX266" s="394"/>
      <c r="RY266" s="394"/>
      <c r="RZ266" s="394"/>
      <c r="SA266" s="394"/>
      <c r="SB266" s="394"/>
      <c r="SC266" s="394"/>
      <c r="SD266" s="394"/>
      <c r="SE266" s="394"/>
      <c r="SF266" s="394"/>
      <c r="SG266" s="394"/>
      <c r="SH266" s="394"/>
      <c r="SI266" s="394"/>
      <c r="SJ266" s="394"/>
      <c r="SK266" s="394"/>
      <c r="SL266" s="394"/>
      <c r="SM266" s="394"/>
      <c r="SN266" s="394"/>
      <c r="SO266" s="394"/>
      <c r="SP266" s="394"/>
      <c r="SQ266" s="394"/>
      <c r="SR266" s="394"/>
      <c r="SS266" s="394"/>
      <c r="ST266" s="394"/>
      <c r="SU266" s="394"/>
      <c r="SV266" s="394"/>
      <c r="SW266" s="394"/>
      <c r="SX266" s="394"/>
      <c r="SY266" s="394"/>
      <c r="SZ266" s="394"/>
      <c r="TA266" s="394"/>
      <c r="TB266" s="394"/>
      <c r="TC266" s="394"/>
      <c r="TD266" s="394"/>
      <c r="TE266" s="394"/>
      <c r="TF266" s="394"/>
      <c r="TG266" s="394"/>
      <c r="TH266" s="394"/>
      <c r="TI266" s="394"/>
      <c r="TJ266" s="394"/>
      <c r="TK266" s="394"/>
      <c r="TL266" s="394"/>
      <c r="TM266" s="394"/>
      <c r="TN266" s="394"/>
      <c r="TO266" s="394"/>
      <c r="TP266" s="394"/>
      <c r="TQ266" s="394"/>
      <c r="TR266" s="394"/>
      <c r="TS266" s="394"/>
      <c r="TT266" s="394"/>
      <c r="TU266" s="394"/>
      <c r="TV266" s="394"/>
      <c r="TW266" s="394"/>
      <c r="TX266" s="394"/>
      <c r="TY266" s="394"/>
      <c r="TZ266" s="394"/>
      <c r="UA266" s="394"/>
      <c r="UB266" s="394"/>
      <c r="UC266" s="394"/>
      <c r="UD266" s="394"/>
      <c r="UE266" s="394"/>
      <c r="UF266" s="394"/>
      <c r="UG266" s="394"/>
      <c r="UH266" s="394"/>
      <c r="UI266" s="394"/>
      <c r="UJ266" s="394"/>
      <c r="UK266" s="394"/>
      <c r="UL266" s="394"/>
      <c r="UM266" s="394"/>
      <c r="UN266" s="394"/>
      <c r="UO266" s="394"/>
      <c r="UP266" s="394"/>
      <c r="UQ266" s="394"/>
      <c r="UR266" s="394"/>
      <c r="US266" s="394"/>
      <c r="UT266" s="394"/>
      <c r="UU266" s="394"/>
      <c r="UV266" s="394"/>
      <c r="UW266" s="394"/>
      <c r="UX266" s="394"/>
      <c r="UY266" s="394"/>
      <c r="UZ266" s="394"/>
      <c r="VA266" s="394"/>
      <c r="VB266" s="394"/>
      <c r="VC266" s="394"/>
      <c r="VD266" s="394"/>
      <c r="VE266" s="394"/>
      <c r="VF266" s="394"/>
      <c r="VG266" s="394"/>
      <c r="VH266" s="394"/>
      <c r="VI266" s="394"/>
      <c r="VJ266" s="394"/>
      <c r="VK266" s="394"/>
      <c r="VL266" s="394"/>
      <c r="VM266" s="394"/>
      <c r="VN266" s="394"/>
      <c r="VO266" s="394"/>
      <c r="VP266" s="394"/>
      <c r="VQ266" s="394"/>
      <c r="VR266" s="394"/>
      <c r="VS266" s="394"/>
      <c r="VT266" s="394"/>
      <c r="VU266" s="394"/>
      <c r="VV266" s="394"/>
      <c r="VW266" s="394"/>
      <c r="VX266" s="394"/>
      <c r="VY266" s="394"/>
      <c r="VZ266" s="394"/>
      <c r="WA266" s="394"/>
      <c r="WB266" s="394"/>
      <c r="WC266" s="394"/>
      <c r="WD266" s="394"/>
      <c r="WE266" s="394"/>
      <c r="WF266" s="394"/>
      <c r="WG266" s="394"/>
      <c r="WH266" s="394"/>
      <c r="WI266" s="394"/>
      <c r="WJ266" s="394"/>
      <c r="WK266" s="394"/>
      <c r="WL266" s="394"/>
      <c r="WM266" s="394"/>
      <c r="WN266" s="394"/>
      <c r="WO266" s="394"/>
      <c r="WP266" s="394"/>
      <c r="WQ266" s="394"/>
      <c r="WR266" s="394"/>
      <c r="WS266" s="394"/>
      <c r="WT266" s="394"/>
      <c r="WU266" s="394"/>
      <c r="WV266" s="394"/>
      <c r="WW266" s="394"/>
      <c r="WX266" s="394"/>
      <c r="WY266" s="394"/>
      <c r="WZ266" s="394"/>
      <c r="XA266" s="394"/>
      <c r="XB266" s="394"/>
      <c r="XC266" s="394"/>
      <c r="XD266" s="394"/>
      <c r="XE266" s="394"/>
      <c r="XF266" s="394"/>
      <c r="XG266" s="394"/>
      <c r="XH266" s="394"/>
      <c r="XI266" s="394"/>
      <c r="XJ266" s="394"/>
      <c r="XK266" s="394"/>
      <c r="XL266" s="394"/>
      <c r="XM266" s="394"/>
      <c r="XN266" s="394"/>
      <c r="XO266" s="394"/>
      <c r="XP266" s="394"/>
      <c r="XQ266" s="394"/>
      <c r="XR266" s="394"/>
      <c r="XS266" s="394"/>
      <c r="XT266" s="394"/>
      <c r="XU266" s="394"/>
      <c r="XV266" s="394"/>
      <c r="XW266" s="394"/>
      <c r="XX266" s="394"/>
      <c r="XY266" s="394"/>
      <c r="XZ266" s="394"/>
      <c r="YA266" s="394"/>
      <c r="YB266" s="394"/>
      <c r="YC266" s="394"/>
      <c r="YD266" s="394"/>
      <c r="YE266" s="394"/>
      <c r="YF266" s="394"/>
      <c r="YG266" s="394"/>
      <c r="YH266" s="394"/>
      <c r="YI266" s="394"/>
      <c r="YJ266" s="394"/>
      <c r="YK266" s="394"/>
      <c r="YL266" s="394"/>
      <c r="YM266" s="394"/>
      <c r="YN266" s="394"/>
      <c r="YO266" s="394"/>
      <c r="YP266" s="394"/>
      <c r="YQ266" s="394"/>
      <c r="YR266" s="394"/>
      <c r="YS266" s="394"/>
      <c r="YT266" s="394"/>
      <c r="YU266" s="394"/>
      <c r="YV266" s="394"/>
      <c r="YW266" s="394"/>
      <c r="YX266" s="394"/>
      <c r="YY266" s="394"/>
      <c r="YZ266" s="394"/>
      <c r="ZA266" s="394"/>
      <c r="ZB266" s="394"/>
      <c r="ZC266" s="394"/>
      <c r="ZD266" s="394"/>
      <c r="ZE266" s="394"/>
      <c r="ZF266" s="394"/>
      <c r="ZG266" s="394"/>
      <c r="ZH266" s="394"/>
      <c r="ZI266" s="394"/>
      <c r="ZJ266" s="394"/>
      <c r="ZK266" s="394"/>
      <c r="ZL266" s="394"/>
      <c r="ZM266" s="394"/>
      <c r="ZN266" s="394"/>
      <c r="ZO266" s="394"/>
      <c r="ZP266" s="394"/>
      <c r="ZQ266" s="394"/>
      <c r="ZR266" s="394"/>
      <c r="ZS266" s="394"/>
      <c r="ZT266" s="394"/>
      <c r="ZU266" s="394"/>
      <c r="ZV266" s="394"/>
      <c r="ZW266" s="394"/>
      <c r="ZX266" s="394"/>
      <c r="ZY266" s="394"/>
      <c r="ZZ266" s="394"/>
      <c r="AAA266" s="394"/>
      <c r="AAB266" s="394"/>
      <c r="AAC266" s="394"/>
      <c r="AAD266" s="394"/>
      <c r="AAE266" s="394"/>
      <c r="AAF266" s="394"/>
      <c r="AAG266" s="394"/>
      <c r="AAH266" s="394"/>
      <c r="AAI266" s="394"/>
      <c r="AAJ266" s="394"/>
      <c r="AAK266" s="394"/>
      <c r="AAL266" s="394"/>
      <c r="AAM266" s="394"/>
      <c r="AAN266" s="394"/>
      <c r="AAO266" s="394"/>
      <c r="AAP266" s="394"/>
      <c r="AAQ266" s="394"/>
      <c r="AAR266" s="394"/>
      <c r="AAS266" s="394"/>
      <c r="AAT266" s="394"/>
      <c r="AAU266" s="394"/>
      <c r="AAV266" s="394"/>
      <c r="AAW266" s="394"/>
      <c r="AAX266" s="394"/>
      <c r="AAY266" s="394"/>
      <c r="AAZ266" s="394"/>
      <c r="ABA266" s="394"/>
      <c r="ABB266" s="394"/>
      <c r="ABC266" s="394"/>
      <c r="ABD266" s="394"/>
      <c r="ABE266" s="394"/>
      <c r="ABF266" s="394"/>
      <c r="ABG266" s="394"/>
      <c r="ABH266" s="394"/>
      <c r="ABI266" s="394"/>
      <c r="ABJ266" s="394"/>
      <c r="ABK266" s="394"/>
      <c r="ABL266" s="394"/>
      <c r="ABM266" s="394"/>
      <c r="ABN266" s="394"/>
      <c r="ABO266" s="394"/>
      <c r="ABP266" s="394"/>
      <c r="ABQ266" s="394"/>
      <c r="ABR266" s="394"/>
      <c r="ABS266" s="394"/>
      <c r="ABT266" s="394"/>
      <c r="ABU266" s="394"/>
      <c r="ABV266" s="394"/>
      <c r="ABW266" s="394"/>
      <c r="ABX266" s="394"/>
      <c r="ABY266" s="394"/>
      <c r="ABZ266" s="394"/>
      <c r="ACA266" s="394"/>
      <c r="ACB266" s="394"/>
      <c r="ACC266" s="394"/>
      <c r="ACD266" s="394"/>
      <c r="ACE266" s="394"/>
      <c r="ACF266" s="394"/>
      <c r="ACG266" s="394"/>
      <c r="ACH266" s="394"/>
      <c r="ACI266" s="394"/>
      <c r="ACJ266" s="394"/>
      <c r="ACK266" s="394"/>
      <c r="ACL266" s="394"/>
      <c r="ACM266" s="394"/>
      <c r="ACN266" s="394"/>
      <c r="ACO266" s="394"/>
      <c r="ACP266" s="394"/>
      <c r="ACQ266" s="394"/>
      <c r="ACR266" s="394"/>
      <c r="ACS266" s="394"/>
      <c r="ACT266" s="394"/>
      <c r="ACU266" s="394"/>
      <c r="ACV266" s="394"/>
      <c r="ACW266" s="394"/>
      <c r="ACX266" s="394"/>
      <c r="ACY266" s="394"/>
      <c r="ACZ266" s="394"/>
      <c r="ADA266" s="394"/>
      <c r="ADB266" s="394"/>
      <c r="ADC266" s="394"/>
      <c r="ADD266" s="394"/>
      <c r="ADE266" s="394"/>
      <c r="ADF266" s="394"/>
      <c r="ADG266" s="394"/>
      <c r="ADH266" s="394"/>
      <c r="ADI266" s="394"/>
      <c r="ADJ266" s="394"/>
      <c r="ADK266" s="394"/>
      <c r="ADL266" s="394"/>
      <c r="ADM266" s="394"/>
      <c r="ADN266" s="394"/>
      <c r="ADO266" s="394"/>
      <c r="ADP266" s="394"/>
      <c r="ADQ266" s="394"/>
      <c r="ADR266" s="394"/>
      <c r="ADS266" s="394"/>
      <c r="ADT266" s="394"/>
      <c r="ADU266" s="394"/>
      <c r="ADV266" s="394"/>
      <c r="ADW266" s="394"/>
      <c r="ADX266" s="394"/>
      <c r="ADY266" s="394"/>
      <c r="ADZ266" s="394"/>
      <c r="AEA266" s="394"/>
      <c r="AEB266" s="394"/>
      <c r="AEC266" s="394"/>
      <c r="AED266" s="394"/>
      <c r="AEE266" s="394"/>
      <c r="AEF266" s="394"/>
      <c r="AEG266" s="394"/>
      <c r="AEH266" s="394"/>
      <c r="AEI266" s="394"/>
      <c r="AEJ266" s="394"/>
      <c r="AEK266" s="394"/>
      <c r="AEL266" s="394"/>
      <c r="AEM266" s="394"/>
      <c r="AEN266" s="394"/>
      <c r="AEO266" s="394"/>
      <c r="AEP266" s="394"/>
      <c r="AEQ266" s="394"/>
      <c r="AER266" s="394"/>
      <c r="AES266" s="394"/>
      <c r="AET266" s="394"/>
      <c r="AEU266" s="394"/>
      <c r="AEV266" s="394"/>
      <c r="AEW266" s="394"/>
      <c r="AEX266" s="394"/>
      <c r="AEY266" s="394"/>
      <c r="AEZ266" s="394"/>
      <c r="AFA266" s="394"/>
      <c r="AFB266" s="394"/>
      <c r="AFC266" s="394"/>
      <c r="AFD266" s="394"/>
      <c r="AFE266" s="394"/>
      <c r="AFF266" s="394"/>
      <c r="AFG266" s="394"/>
      <c r="AFH266" s="394"/>
      <c r="AFI266" s="394"/>
      <c r="AFJ266" s="394"/>
      <c r="AFK266" s="394"/>
      <c r="AFL266" s="394"/>
      <c r="AFM266" s="394"/>
      <c r="AFN266" s="394"/>
      <c r="AFO266" s="394"/>
      <c r="AFP266" s="394"/>
      <c r="AFQ266" s="394"/>
      <c r="AFR266" s="394"/>
      <c r="AFS266" s="394"/>
      <c r="AFT266" s="394"/>
      <c r="AFU266" s="394"/>
      <c r="AFV266" s="394"/>
      <c r="AFW266" s="394"/>
      <c r="AFX266" s="394"/>
      <c r="AFY266" s="394"/>
      <c r="AFZ266" s="394"/>
      <c r="AGA266" s="394"/>
      <c r="AGB266" s="394"/>
      <c r="AGC266" s="394"/>
      <c r="AGD266" s="394"/>
      <c r="AGE266" s="394"/>
      <c r="AGF266" s="394"/>
      <c r="AGG266" s="394"/>
      <c r="AGH266" s="394"/>
      <c r="AGI266" s="394"/>
      <c r="AGJ266" s="394"/>
      <c r="AGK266" s="394"/>
      <c r="AGL266" s="394"/>
      <c r="AGM266" s="394"/>
      <c r="AGN266" s="394"/>
      <c r="AGO266" s="394"/>
      <c r="AGP266" s="394"/>
      <c r="AGQ266" s="394"/>
      <c r="AGR266" s="394"/>
      <c r="AGS266" s="394"/>
      <c r="AGT266" s="394"/>
      <c r="AGU266" s="394"/>
      <c r="AGV266" s="394"/>
      <c r="AGW266" s="394"/>
      <c r="AGX266" s="394"/>
      <c r="AGY266" s="394"/>
      <c r="AGZ266" s="394"/>
      <c r="AHA266" s="394"/>
      <c r="AHB266" s="394"/>
      <c r="AHC266" s="394"/>
      <c r="AHD266" s="394"/>
      <c r="AHE266" s="394"/>
      <c r="AHF266" s="394"/>
      <c r="AHG266" s="394"/>
      <c r="AHH266" s="394"/>
      <c r="AHI266" s="394"/>
      <c r="AHJ266" s="394"/>
      <c r="AHK266" s="394"/>
      <c r="AHL266" s="394"/>
      <c r="AHM266" s="394"/>
      <c r="AHN266" s="394"/>
      <c r="AHO266" s="394"/>
      <c r="AHP266" s="394"/>
      <c r="AHQ266" s="394"/>
      <c r="AHR266" s="394"/>
      <c r="AHS266" s="394"/>
      <c r="AHT266" s="394"/>
      <c r="AHU266" s="394"/>
      <c r="AHV266" s="394"/>
      <c r="AHW266" s="394"/>
      <c r="AHX266" s="394"/>
      <c r="AHY266" s="394"/>
      <c r="AHZ266" s="394"/>
      <c r="AIA266" s="394"/>
      <c r="AIB266" s="394"/>
      <c r="AIC266" s="394"/>
      <c r="AID266" s="394"/>
      <c r="AIE266" s="394"/>
      <c r="AIF266" s="394"/>
      <c r="AIG266" s="394"/>
      <c r="AIH266" s="394"/>
      <c r="AII266" s="394"/>
      <c r="AIJ266" s="394"/>
      <c r="AIK266" s="394"/>
      <c r="AIL266" s="394"/>
      <c r="AIM266" s="394"/>
      <c r="AIN266" s="394"/>
      <c r="AIO266" s="394"/>
      <c r="AIP266" s="394"/>
      <c r="AIQ266" s="394"/>
      <c r="AIR266" s="394"/>
      <c r="AIS266" s="394"/>
      <c r="AIT266" s="394"/>
      <c r="AIU266" s="394"/>
      <c r="AIV266" s="394"/>
      <c r="AIW266" s="394"/>
      <c r="AIX266" s="394"/>
      <c r="AIY266" s="394"/>
      <c r="AIZ266" s="394"/>
      <c r="AJA266" s="394"/>
      <c r="AJB266" s="394"/>
      <c r="AJC266" s="394"/>
      <c r="AJD266" s="394"/>
      <c r="AJE266" s="394"/>
      <c r="AJF266" s="394"/>
      <c r="AJG266" s="394"/>
      <c r="AJH266" s="394"/>
      <c r="AJI266" s="394"/>
      <c r="AJJ266" s="394"/>
      <c r="AJK266" s="394"/>
      <c r="AJL266" s="394"/>
      <c r="AJM266" s="394"/>
      <c r="AJN266" s="394"/>
      <c r="AJO266" s="394"/>
      <c r="AJP266" s="394"/>
      <c r="AJQ266" s="394"/>
      <c r="AJR266" s="394"/>
      <c r="AJS266" s="394"/>
      <c r="AJT266" s="394"/>
      <c r="AJU266" s="394"/>
      <c r="AJV266" s="394"/>
      <c r="AJW266" s="394"/>
      <c r="AJX266" s="394"/>
      <c r="AJY266" s="394"/>
      <c r="AJZ266" s="394"/>
      <c r="AKA266" s="394"/>
      <c r="AKB266" s="394"/>
      <c r="AKC266" s="394"/>
      <c r="AKD266" s="394"/>
      <c r="AKE266" s="394"/>
      <c r="AKF266" s="394"/>
      <c r="AKG266" s="394"/>
      <c r="AKH266" s="394"/>
      <c r="AKI266" s="394"/>
      <c r="AKJ266" s="394"/>
      <c r="AKK266" s="394"/>
      <c r="AKL266" s="394"/>
      <c r="AKM266" s="394"/>
      <c r="AKN266" s="394"/>
      <c r="AKO266" s="394"/>
      <c r="AKP266" s="394"/>
      <c r="AKQ266" s="394"/>
      <c r="AKR266" s="394"/>
      <c r="AKS266" s="394"/>
      <c r="AKT266" s="394"/>
      <c r="AKU266" s="394"/>
      <c r="AKV266" s="394"/>
      <c r="AKW266" s="394"/>
      <c r="AKX266" s="394"/>
      <c r="AKY266" s="394"/>
      <c r="AKZ266" s="394"/>
      <c r="ALA266" s="394"/>
      <c r="ALB266" s="394"/>
      <c r="ALC266" s="394"/>
      <c r="ALD266" s="394"/>
      <c r="ALE266" s="394"/>
      <c r="ALF266" s="394"/>
      <c r="ALG266" s="394"/>
      <c r="ALH266" s="394"/>
      <c r="ALI266" s="394"/>
      <c r="ALJ266" s="394"/>
      <c r="ALK266" s="394"/>
      <c r="ALL266" s="394"/>
      <c r="ALM266" s="394"/>
      <c r="ALN266" s="394"/>
      <c r="ALO266" s="394"/>
      <c r="ALP266" s="394"/>
      <c r="ALQ266" s="394"/>
      <c r="ALR266" s="394"/>
      <c r="ALS266" s="394"/>
      <c r="ALT266" s="394"/>
      <c r="ALU266" s="394"/>
      <c r="ALV266" s="394"/>
      <c r="ALW266" s="394"/>
      <c r="ALX266" s="394"/>
      <c r="ALY266" s="394"/>
      <c r="ALZ266" s="394"/>
      <c r="AMA266" s="394"/>
      <c r="AMB266" s="394"/>
      <c r="AMC266" s="394"/>
      <c r="AMD266" s="394"/>
      <c r="AME266" s="394"/>
      <c r="AMF266" s="394"/>
      <c r="AMG266" s="394"/>
      <c r="AMH266" s="394"/>
      <c r="AMI266" s="394"/>
      <c r="AMJ266" s="394"/>
      <c r="AMK266" s="394"/>
      <c r="AML266" s="394"/>
      <c r="AMM266" s="394"/>
      <c r="AMN266" s="394"/>
      <c r="AMO266" s="394"/>
      <c r="AMP266" s="394"/>
      <c r="AMQ266" s="394"/>
      <c r="AMR266" s="394"/>
      <c r="AMS266" s="394"/>
      <c r="AMT266" s="394"/>
      <c r="AMU266" s="394"/>
      <c r="AMV266" s="394"/>
      <c r="AMW266" s="394"/>
      <c r="AMX266" s="394"/>
      <c r="AMY266" s="394"/>
      <c r="AMZ266" s="394"/>
      <c r="ANA266" s="394"/>
      <c r="ANB266" s="394"/>
      <c r="ANC266" s="394"/>
      <c r="AND266" s="394"/>
      <c r="ANE266" s="394"/>
      <c r="ANF266" s="394"/>
      <c r="ANG266" s="394"/>
      <c r="ANH266" s="394"/>
      <c r="ANI266" s="394"/>
      <c r="ANJ266" s="394"/>
      <c r="ANK266" s="394"/>
      <c r="ANL266" s="394"/>
      <c r="ANM266" s="394"/>
      <c r="ANN266" s="394"/>
      <c r="ANO266" s="394"/>
      <c r="ANP266" s="394"/>
      <c r="ANQ266" s="394"/>
      <c r="ANR266" s="394"/>
      <c r="ANS266" s="394"/>
      <c r="ANT266" s="394"/>
      <c r="ANU266" s="394"/>
      <c r="ANV266" s="394"/>
      <c r="ANW266" s="394"/>
      <c r="ANX266" s="394"/>
      <c r="ANY266" s="394"/>
      <c r="ANZ266" s="394"/>
      <c r="AOA266" s="394"/>
      <c r="AOB266" s="394"/>
      <c r="AOC266" s="394"/>
      <c r="AOD266" s="394"/>
      <c r="AOE266" s="394"/>
      <c r="AOF266" s="394"/>
      <c r="AOG266" s="394"/>
      <c r="AOH266" s="394"/>
      <c r="AOI266" s="394"/>
      <c r="AOJ266" s="394"/>
      <c r="AOK266" s="394"/>
      <c r="AOL266" s="394"/>
      <c r="AOM266" s="394"/>
      <c r="AON266" s="394"/>
      <c r="AOO266" s="394"/>
      <c r="AOP266" s="394"/>
      <c r="AOQ266" s="394"/>
      <c r="AOR266" s="394"/>
      <c r="AOS266" s="394"/>
      <c r="AOT266" s="394"/>
      <c r="AOU266" s="394"/>
      <c r="AOV266" s="394"/>
      <c r="AOW266" s="394"/>
      <c r="AOX266" s="394"/>
      <c r="AOY266" s="394"/>
      <c r="AOZ266" s="394"/>
      <c r="APA266" s="394"/>
      <c r="APB266" s="394"/>
      <c r="APC266" s="394"/>
      <c r="APD266" s="394"/>
      <c r="APE266" s="394"/>
      <c r="APF266" s="394"/>
      <c r="APG266" s="394"/>
      <c r="APH266" s="394"/>
      <c r="API266" s="394"/>
      <c r="APJ266" s="394"/>
      <c r="APK266" s="394"/>
      <c r="APL266" s="394"/>
      <c r="APM266" s="394"/>
      <c r="APN266" s="394"/>
      <c r="APO266" s="394"/>
      <c r="APP266" s="394"/>
      <c r="APQ266" s="394"/>
      <c r="APR266" s="394"/>
      <c r="APS266" s="394"/>
      <c r="APT266" s="394"/>
      <c r="APU266" s="394"/>
      <c r="APV266" s="394"/>
      <c r="APW266" s="394"/>
      <c r="APX266" s="394"/>
      <c r="APY266" s="394"/>
      <c r="APZ266" s="394"/>
      <c r="AQA266" s="394"/>
      <c r="AQB266" s="394"/>
      <c r="AQC266" s="394"/>
      <c r="AQD266" s="394"/>
      <c r="AQE266" s="394"/>
      <c r="AQF266" s="394"/>
      <c r="AQG266" s="394"/>
      <c r="AQH266" s="394"/>
      <c r="AQI266" s="394"/>
      <c r="AQJ266" s="394"/>
      <c r="AQK266" s="394"/>
      <c r="AQL266" s="394"/>
      <c r="AQM266" s="394"/>
      <c r="AQN266" s="394"/>
      <c r="AQO266" s="394"/>
      <c r="AQP266" s="394"/>
      <c r="AQQ266" s="394"/>
      <c r="AQR266" s="394"/>
      <c r="AQS266" s="394"/>
      <c r="AQT266" s="394"/>
      <c r="AQU266" s="394"/>
      <c r="AQV266" s="394"/>
      <c r="AQW266" s="394"/>
      <c r="AQX266" s="394"/>
      <c r="AQY266" s="394"/>
      <c r="AQZ266" s="394"/>
      <c r="ARA266" s="394"/>
      <c r="ARB266" s="394"/>
      <c r="ARC266" s="394"/>
      <c r="ARD266" s="394"/>
      <c r="ARE266" s="394"/>
      <c r="ARF266" s="394"/>
      <c r="ARG266" s="394"/>
      <c r="ARH266" s="394"/>
      <c r="ARI266" s="394"/>
      <c r="ARJ266" s="394"/>
      <c r="ARK266" s="394"/>
      <c r="ARL266" s="394"/>
      <c r="ARM266" s="394"/>
      <c r="ARN266" s="394"/>
      <c r="ARO266" s="394"/>
      <c r="ARP266" s="394"/>
      <c r="ARQ266" s="394"/>
      <c r="ARR266" s="394"/>
      <c r="ARS266" s="394"/>
      <c r="ART266" s="394"/>
      <c r="ARU266" s="394"/>
      <c r="ARV266" s="394"/>
      <c r="ARW266" s="394"/>
      <c r="ARX266" s="394"/>
      <c r="ARY266" s="394"/>
      <c r="ARZ266" s="394"/>
      <c r="ASA266" s="394"/>
      <c r="ASB266" s="394"/>
      <c r="ASC266" s="394"/>
      <c r="ASD266" s="394"/>
      <c r="ASE266" s="394"/>
      <c r="ASF266" s="394"/>
      <c r="ASG266" s="394"/>
      <c r="ASH266" s="394"/>
      <c r="ASI266" s="394"/>
      <c r="ASJ266" s="394"/>
      <c r="ASK266" s="394"/>
      <c r="ASL266" s="394"/>
      <c r="ASM266" s="394"/>
      <c r="ASN266" s="394"/>
      <c r="ASO266" s="394"/>
      <c r="ASP266" s="394"/>
      <c r="ASQ266" s="394"/>
      <c r="ASR266" s="394"/>
      <c r="ASS266" s="394"/>
      <c r="AST266" s="394"/>
      <c r="ASU266" s="394"/>
      <c r="ASV266" s="394"/>
      <c r="ASW266" s="394"/>
      <c r="ASX266" s="394"/>
      <c r="ASY266" s="394"/>
      <c r="ASZ266" s="394"/>
      <c r="ATA266" s="394"/>
      <c r="ATB266" s="394"/>
      <c r="ATC266" s="394"/>
      <c r="ATD266" s="394"/>
      <c r="ATE266" s="394"/>
      <c r="ATF266" s="394"/>
      <c r="ATG266" s="394"/>
      <c r="ATH266" s="394"/>
      <c r="ATI266" s="394"/>
      <c r="ATJ266" s="394"/>
      <c r="ATK266" s="394"/>
      <c r="ATL266" s="394"/>
      <c r="ATM266" s="394"/>
      <c r="ATN266" s="394"/>
      <c r="ATO266" s="394"/>
      <c r="ATP266" s="394"/>
      <c r="ATQ266" s="394"/>
      <c r="ATR266" s="394"/>
      <c r="ATS266" s="394"/>
      <c r="ATT266" s="394"/>
      <c r="ATU266" s="394"/>
      <c r="ATV266" s="394"/>
      <c r="ATW266" s="394"/>
      <c r="ATX266" s="394"/>
      <c r="ATY266" s="394"/>
      <c r="ATZ266" s="394"/>
      <c r="AUA266" s="394"/>
      <c r="AUB266" s="394"/>
      <c r="AUC266" s="394"/>
      <c r="AUD266" s="394"/>
      <c r="AUE266" s="394"/>
      <c r="AUF266" s="394"/>
      <c r="AUG266" s="394"/>
      <c r="AUH266" s="394"/>
      <c r="AUI266" s="394"/>
      <c r="AUJ266" s="394"/>
      <c r="AUK266" s="394"/>
      <c r="AUL266" s="394"/>
      <c r="AUM266" s="394"/>
      <c r="AUN266" s="394"/>
      <c r="AUO266" s="394"/>
      <c r="AUP266" s="394"/>
      <c r="AUQ266" s="394"/>
      <c r="AUR266" s="394"/>
      <c r="AUS266" s="394"/>
      <c r="AUT266" s="394"/>
      <c r="AUU266" s="394"/>
      <c r="AUV266" s="394"/>
      <c r="AUW266" s="394"/>
      <c r="AUX266" s="394"/>
      <c r="AUY266" s="394"/>
      <c r="AUZ266" s="394"/>
      <c r="AVA266" s="394"/>
      <c r="AVB266" s="394"/>
      <c r="AVC266" s="394"/>
      <c r="AVD266" s="394"/>
      <c r="AVE266" s="394"/>
      <c r="AVF266" s="394"/>
      <c r="AVG266" s="394"/>
      <c r="AVH266" s="394"/>
      <c r="AVI266" s="394"/>
      <c r="AVJ266" s="394"/>
      <c r="AVK266" s="394"/>
      <c r="AVL266" s="394"/>
      <c r="AVM266" s="394"/>
      <c r="AVN266" s="394"/>
      <c r="AVO266" s="394"/>
      <c r="AVP266" s="394"/>
      <c r="AVQ266" s="394"/>
      <c r="AVR266" s="394"/>
      <c r="AVS266" s="394"/>
      <c r="AVT266" s="394"/>
      <c r="AVU266" s="394"/>
      <c r="AVV266" s="394"/>
      <c r="AVW266" s="394"/>
      <c r="AVX266" s="394"/>
      <c r="AVY266" s="394"/>
      <c r="AVZ266" s="394"/>
      <c r="AWA266" s="394"/>
      <c r="AWB266" s="394"/>
      <c r="AWC266" s="394"/>
      <c r="AWD266" s="394"/>
      <c r="AWE266" s="394"/>
      <c r="AWF266" s="394"/>
      <c r="AWG266" s="394"/>
      <c r="AWH266" s="394"/>
      <c r="AWI266" s="394"/>
      <c r="AWJ266" s="394"/>
      <c r="AWK266" s="394"/>
      <c r="AWL266" s="394"/>
      <c r="AWM266" s="394"/>
      <c r="AWN266" s="394"/>
      <c r="AWO266" s="394"/>
      <c r="AWP266" s="394"/>
      <c r="AWQ266" s="394"/>
      <c r="AWR266" s="394"/>
      <c r="AWS266" s="394"/>
      <c r="AWT266" s="394"/>
      <c r="AWU266" s="394"/>
      <c r="AWV266" s="394"/>
      <c r="AWW266" s="394"/>
      <c r="AWX266" s="394"/>
      <c r="AWY266" s="394"/>
      <c r="AWZ266" s="394"/>
      <c r="AXA266" s="394"/>
      <c r="AXB266" s="394"/>
      <c r="AXC266" s="394"/>
      <c r="AXD266" s="394"/>
      <c r="AXE266" s="394"/>
      <c r="AXF266" s="394"/>
      <c r="AXG266" s="394"/>
      <c r="AXH266" s="394"/>
      <c r="AXI266" s="394"/>
      <c r="AXJ266" s="394"/>
      <c r="AXK266" s="394"/>
      <c r="AXL266" s="394"/>
      <c r="AXM266" s="394"/>
      <c r="AXN266" s="394"/>
      <c r="AXO266" s="394"/>
      <c r="AXP266" s="394"/>
      <c r="AXQ266" s="394"/>
      <c r="AXR266" s="394"/>
      <c r="AXS266" s="394"/>
      <c r="AXT266" s="394"/>
      <c r="AXU266" s="394"/>
      <c r="AXV266" s="394"/>
      <c r="AXW266" s="394"/>
      <c r="AXX266" s="394"/>
      <c r="AXY266" s="394"/>
      <c r="AXZ266" s="394"/>
      <c r="AYA266" s="394"/>
      <c r="AYB266" s="394"/>
      <c r="AYC266" s="394"/>
      <c r="AYD266" s="394"/>
      <c r="AYE266" s="394"/>
      <c r="AYF266" s="394"/>
      <c r="AYG266" s="394"/>
      <c r="AYH266" s="394"/>
      <c r="AYI266" s="394"/>
      <c r="AYJ266" s="394"/>
      <c r="AYK266" s="394"/>
      <c r="AYL266" s="394"/>
      <c r="AYM266" s="394"/>
      <c r="AYN266" s="394"/>
      <c r="AYO266" s="394"/>
      <c r="AYP266" s="394"/>
      <c r="AYQ266" s="394"/>
      <c r="AYR266" s="394"/>
      <c r="AYS266" s="394"/>
      <c r="AYT266" s="394"/>
      <c r="AYU266" s="394"/>
      <c r="AYV266" s="394"/>
      <c r="AYW266" s="394"/>
      <c r="AYX266" s="394"/>
      <c r="AYY266" s="394"/>
      <c r="AYZ266" s="394"/>
      <c r="AZA266" s="394"/>
      <c r="AZB266" s="394"/>
      <c r="AZC266" s="394"/>
      <c r="AZD266" s="394"/>
      <c r="AZE266" s="394"/>
      <c r="AZF266" s="394"/>
      <c r="AZG266" s="394"/>
      <c r="AZH266" s="394"/>
      <c r="AZI266" s="394"/>
      <c r="AZJ266" s="394"/>
      <c r="AZK266" s="394"/>
      <c r="AZL266" s="394"/>
      <c r="AZM266" s="394"/>
      <c r="AZN266" s="394"/>
      <c r="AZO266" s="394"/>
      <c r="AZP266" s="394"/>
      <c r="AZQ266" s="394"/>
      <c r="AZR266" s="394"/>
      <c r="AZS266" s="394"/>
      <c r="AZT266" s="394"/>
      <c r="AZU266" s="394"/>
      <c r="AZV266" s="394"/>
      <c r="AZW266" s="394"/>
      <c r="AZX266" s="394"/>
      <c r="AZY266" s="394"/>
      <c r="AZZ266" s="394"/>
      <c r="BAA266" s="394"/>
      <c r="BAB266" s="394"/>
      <c r="BAC266" s="394"/>
      <c r="BAD266" s="394"/>
      <c r="BAE266" s="394"/>
      <c r="BAF266" s="394"/>
      <c r="BAG266" s="394"/>
      <c r="BAH266" s="394"/>
      <c r="BAI266" s="394"/>
      <c r="BAJ266" s="394"/>
      <c r="BAK266" s="394"/>
      <c r="BAL266" s="394"/>
      <c r="BAM266" s="394"/>
      <c r="BAN266" s="394"/>
      <c r="BAO266" s="394"/>
      <c r="BAP266" s="394"/>
      <c r="BAQ266" s="394"/>
      <c r="BAR266" s="394"/>
      <c r="BAS266" s="394"/>
      <c r="BAT266" s="394"/>
      <c r="BAU266" s="394"/>
      <c r="BAV266" s="394"/>
      <c r="BAW266" s="394"/>
      <c r="BAX266" s="394"/>
      <c r="BAY266" s="394"/>
      <c r="BAZ266" s="394"/>
      <c r="BBA266" s="394"/>
      <c r="BBB266" s="394"/>
      <c r="BBC266" s="394"/>
      <c r="BBD266" s="394"/>
      <c r="BBE266" s="394"/>
      <c r="BBF266" s="394"/>
      <c r="BBG266" s="394"/>
      <c r="BBH266" s="394"/>
      <c r="BBI266" s="394"/>
      <c r="BBJ266" s="394"/>
      <c r="BBK266" s="394"/>
      <c r="BBL266" s="394"/>
      <c r="BBM266" s="394"/>
      <c r="BBN266" s="394"/>
      <c r="BBO266" s="394"/>
      <c r="BBP266" s="394"/>
      <c r="BBQ266" s="394"/>
      <c r="BBR266" s="394"/>
      <c r="BBS266" s="394"/>
      <c r="BBT266" s="394"/>
      <c r="BBU266" s="394"/>
      <c r="BBV266" s="394"/>
      <c r="BBW266" s="394"/>
      <c r="BBX266" s="394"/>
      <c r="BBY266" s="394"/>
      <c r="BBZ266" s="394"/>
      <c r="BCA266" s="394"/>
      <c r="BCB266" s="394"/>
      <c r="BCC266" s="394"/>
      <c r="BCD266" s="394"/>
      <c r="BCE266" s="394"/>
      <c r="BCF266" s="394"/>
      <c r="BCG266" s="394"/>
      <c r="BCH266" s="394"/>
      <c r="BCI266" s="394"/>
      <c r="BCJ266" s="394"/>
      <c r="BCK266" s="394"/>
      <c r="BCL266" s="394"/>
      <c r="BCM266" s="394"/>
      <c r="BCN266" s="394"/>
      <c r="BCO266" s="394"/>
      <c r="BCP266" s="394"/>
      <c r="BCQ266" s="394"/>
      <c r="BCR266" s="394"/>
      <c r="BCS266" s="394"/>
      <c r="BCT266" s="394"/>
      <c r="BCU266" s="394"/>
      <c r="BCV266" s="394"/>
      <c r="BCW266" s="394"/>
      <c r="BCX266" s="394"/>
      <c r="BCY266" s="394"/>
      <c r="BCZ266" s="394"/>
      <c r="BDA266" s="394"/>
      <c r="BDB266" s="394"/>
      <c r="BDC266" s="394"/>
      <c r="BDD266" s="394"/>
      <c r="BDE266" s="394"/>
      <c r="BDF266" s="394"/>
      <c r="BDG266" s="394"/>
      <c r="BDH266" s="394"/>
      <c r="BDI266" s="394"/>
      <c r="BDJ266" s="394"/>
      <c r="BDK266" s="394"/>
      <c r="BDL266" s="394"/>
      <c r="BDM266" s="394"/>
      <c r="BDN266" s="394"/>
      <c r="BDO266" s="394"/>
      <c r="BDP266" s="394"/>
      <c r="BDQ266" s="394"/>
      <c r="BDR266" s="394"/>
      <c r="BDS266" s="394"/>
      <c r="BDT266" s="394"/>
      <c r="BDU266" s="394"/>
      <c r="BDV266" s="394"/>
      <c r="BDW266" s="394"/>
      <c r="BDX266" s="394"/>
      <c r="BDY266" s="394"/>
      <c r="BDZ266" s="394"/>
      <c r="BEA266" s="394"/>
      <c r="BEB266" s="394"/>
      <c r="BEC266" s="394"/>
      <c r="BED266" s="394"/>
      <c r="BEE266" s="394"/>
      <c r="BEF266" s="394"/>
      <c r="BEG266" s="394"/>
      <c r="BEH266" s="394"/>
      <c r="BEI266" s="394"/>
      <c r="BEJ266" s="394"/>
      <c r="BEK266" s="394"/>
      <c r="BEL266" s="394"/>
      <c r="BEM266" s="394"/>
      <c r="BEN266" s="394"/>
      <c r="BEO266" s="394"/>
      <c r="BEP266" s="394"/>
      <c r="BEQ266" s="394"/>
      <c r="BER266" s="394"/>
      <c r="BES266" s="394"/>
      <c r="BET266" s="394"/>
      <c r="BEU266" s="394"/>
      <c r="BEV266" s="394"/>
      <c r="BEW266" s="394"/>
      <c r="BEX266" s="394"/>
      <c r="BEY266" s="394"/>
      <c r="BEZ266" s="394"/>
      <c r="BFA266" s="394"/>
      <c r="BFB266" s="394"/>
      <c r="BFC266" s="394"/>
      <c r="BFD266" s="394"/>
      <c r="BFE266" s="394"/>
      <c r="BFF266" s="394"/>
      <c r="BFG266" s="394"/>
      <c r="BFH266" s="394"/>
      <c r="BFI266" s="394"/>
      <c r="BFJ266" s="394"/>
      <c r="BFK266" s="394"/>
      <c r="BFL266" s="394"/>
      <c r="BFM266" s="394"/>
      <c r="BFN266" s="394"/>
      <c r="BFO266" s="394"/>
      <c r="BFP266" s="394"/>
      <c r="BFQ266" s="394"/>
      <c r="BFR266" s="394"/>
      <c r="BFS266" s="394"/>
      <c r="BFT266" s="394"/>
      <c r="BFU266" s="394"/>
      <c r="BFV266" s="394"/>
      <c r="BFW266" s="394"/>
      <c r="BFX266" s="394"/>
      <c r="BFY266" s="394"/>
      <c r="BFZ266" s="394"/>
      <c r="BGA266" s="394"/>
      <c r="BGB266" s="394"/>
      <c r="BGC266" s="394"/>
      <c r="BGD266" s="394"/>
      <c r="BGE266" s="394"/>
      <c r="BGF266" s="394"/>
      <c r="BGG266" s="394"/>
      <c r="BGH266" s="394"/>
      <c r="BGI266" s="394"/>
      <c r="BGJ266" s="394"/>
      <c r="BGK266" s="394"/>
      <c r="BGL266" s="394"/>
      <c r="BGM266" s="394"/>
      <c r="BGN266" s="394"/>
      <c r="BGO266" s="394"/>
      <c r="BGP266" s="394"/>
      <c r="BGQ266" s="394"/>
      <c r="BGR266" s="394"/>
      <c r="BGS266" s="394"/>
      <c r="BGT266" s="394"/>
      <c r="BGU266" s="394"/>
      <c r="BGV266" s="394"/>
      <c r="BGW266" s="394"/>
      <c r="BGX266" s="394"/>
      <c r="BGY266" s="394"/>
      <c r="BGZ266" s="394"/>
      <c r="BHA266" s="394"/>
      <c r="BHB266" s="394"/>
      <c r="BHC266" s="394"/>
      <c r="BHD266" s="394"/>
      <c r="BHE266" s="394"/>
      <c r="BHF266" s="394"/>
      <c r="BHG266" s="394"/>
      <c r="BHH266" s="394"/>
      <c r="BHI266" s="394"/>
      <c r="BHJ266" s="394"/>
      <c r="BHK266" s="394"/>
      <c r="BHL266" s="394"/>
      <c r="BHM266" s="394"/>
      <c r="BHN266" s="394"/>
      <c r="BHO266" s="394"/>
      <c r="BHP266" s="394"/>
      <c r="BHQ266" s="394"/>
      <c r="BHR266" s="394"/>
      <c r="BHS266" s="394"/>
      <c r="BHT266" s="394"/>
      <c r="BHU266" s="394"/>
      <c r="BHV266" s="394"/>
      <c r="BHW266" s="394"/>
      <c r="BHX266" s="394"/>
      <c r="BHY266" s="394"/>
      <c r="BHZ266" s="394"/>
      <c r="BIA266" s="394"/>
      <c r="BIB266" s="394"/>
      <c r="BIC266" s="394"/>
      <c r="BID266" s="394"/>
      <c r="BIE266" s="394"/>
      <c r="BIF266" s="394"/>
      <c r="BIG266" s="394"/>
      <c r="BIH266" s="394"/>
      <c r="BII266" s="394"/>
      <c r="BIJ266" s="394"/>
      <c r="BIK266" s="394"/>
      <c r="BIL266" s="394"/>
      <c r="BIM266" s="394"/>
      <c r="BIN266" s="394"/>
      <c r="BIO266" s="394"/>
      <c r="BIP266" s="394"/>
      <c r="BIQ266" s="394"/>
      <c r="BIR266" s="394"/>
      <c r="BIS266" s="394"/>
      <c r="BIT266" s="394"/>
      <c r="BIU266" s="394"/>
      <c r="BIV266" s="394"/>
      <c r="BIW266" s="394"/>
      <c r="BIX266" s="394"/>
      <c r="BIY266" s="394"/>
      <c r="BIZ266" s="394"/>
      <c r="BJA266" s="394"/>
      <c r="BJB266" s="394"/>
      <c r="BJC266" s="394"/>
      <c r="BJD266" s="394"/>
      <c r="BJE266" s="394"/>
      <c r="BJF266" s="394"/>
      <c r="BJG266" s="394"/>
      <c r="BJH266" s="394"/>
      <c r="BJI266" s="394"/>
      <c r="BJJ266" s="394"/>
      <c r="BJK266" s="394"/>
      <c r="BJL266" s="394"/>
      <c r="BJM266" s="394"/>
      <c r="BJN266" s="394"/>
      <c r="BJO266" s="394"/>
      <c r="BJP266" s="394"/>
      <c r="BJQ266" s="394"/>
      <c r="BJR266" s="394"/>
      <c r="BJS266" s="394"/>
      <c r="BJT266" s="394"/>
      <c r="BJU266" s="394"/>
      <c r="BJV266" s="394"/>
      <c r="BJW266" s="394"/>
      <c r="BJX266" s="394"/>
      <c r="BJY266" s="394"/>
      <c r="BJZ266" s="394"/>
      <c r="BKA266" s="394"/>
      <c r="BKB266" s="394"/>
      <c r="BKC266" s="394"/>
      <c r="BKD266" s="394"/>
      <c r="BKE266" s="394"/>
      <c r="BKF266" s="394"/>
      <c r="BKG266" s="394"/>
      <c r="BKH266" s="394"/>
      <c r="BKI266" s="394"/>
      <c r="BKJ266" s="394"/>
      <c r="BKK266" s="394"/>
      <c r="BKL266" s="394"/>
      <c r="BKM266" s="394"/>
      <c r="BKN266" s="394"/>
      <c r="BKO266" s="394"/>
      <c r="BKP266" s="394"/>
      <c r="BKQ266" s="394"/>
      <c r="BKR266" s="394"/>
      <c r="BKS266" s="394"/>
      <c r="BKT266" s="394"/>
      <c r="BKU266" s="394"/>
      <c r="BKV266" s="394"/>
      <c r="BKW266" s="394"/>
      <c r="BKX266" s="394"/>
      <c r="BKY266" s="394"/>
      <c r="BKZ266" s="394"/>
      <c r="BLA266" s="394"/>
      <c r="BLB266" s="394"/>
      <c r="BLC266" s="394"/>
      <c r="BLD266" s="394"/>
      <c r="BLE266" s="394"/>
      <c r="BLF266" s="394"/>
      <c r="BLG266" s="394"/>
      <c r="BLH266" s="394"/>
      <c r="BLI266" s="394"/>
      <c r="BLJ266" s="394"/>
      <c r="BLK266" s="394"/>
      <c r="BLL266" s="394"/>
      <c r="BLM266" s="394"/>
      <c r="BLN266" s="394"/>
      <c r="BLO266" s="394"/>
      <c r="BLP266" s="394"/>
      <c r="BLQ266" s="394"/>
      <c r="BLR266" s="394"/>
      <c r="BLS266" s="394"/>
      <c r="BLT266" s="394"/>
      <c r="BLU266" s="394"/>
      <c r="BLV266" s="394"/>
      <c r="BLW266" s="394"/>
      <c r="BLX266" s="394"/>
      <c r="BLY266" s="394"/>
      <c r="BLZ266" s="394"/>
      <c r="BMA266" s="394"/>
      <c r="BMB266" s="394"/>
      <c r="BMC266" s="394"/>
      <c r="BMD266" s="394"/>
      <c r="BME266" s="394"/>
      <c r="BMF266" s="394"/>
      <c r="BMG266" s="394"/>
      <c r="BMH266" s="394"/>
      <c r="BMI266" s="394"/>
      <c r="BMJ266" s="394"/>
      <c r="BMK266" s="394"/>
      <c r="BML266" s="394"/>
      <c r="BMM266" s="394"/>
      <c r="BMN266" s="394"/>
      <c r="BMO266" s="394"/>
      <c r="BMP266" s="394"/>
      <c r="BMQ266" s="394"/>
      <c r="BMR266" s="394"/>
      <c r="BMS266" s="394"/>
      <c r="BMT266" s="394"/>
      <c r="BMU266" s="394"/>
      <c r="BMV266" s="394"/>
      <c r="BMW266" s="394"/>
      <c r="BMX266" s="394"/>
      <c r="BMY266" s="394"/>
      <c r="BMZ266" s="394"/>
      <c r="BNA266" s="394"/>
      <c r="BNB266" s="394"/>
      <c r="BNC266" s="394"/>
      <c r="BND266" s="394"/>
      <c r="BNE266" s="394"/>
      <c r="BNF266" s="394"/>
      <c r="BNG266" s="394"/>
      <c r="BNH266" s="394"/>
      <c r="BNI266" s="394"/>
      <c r="BNJ266" s="394"/>
      <c r="BNK266" s="394"/>
      <c r="BNL266" s="394"/>
      <c r="BNM266" s="394"/>
      <c r="BNN266" s="394"/>
      <c r="BNO266" s="394"/>
      <c r="BNP266" s="394"/>
      <c r="BNQ266" s="394"/>
      <c r="BNR266" s="394"/>
      <c r="BNS266" s="394"/>
      <c r="BNT266" s="394"/>
      <c r="BNU266" s="394"/>
      <c r="BNV266" s="394"/>
      <c r="BNW266" s="394"/>
      <c r="BNX266" s="394"/>
      <c r="BNY266" s="394"/>
      <c r="BNZ266" s="394"/>
      <c r="BOA266" s="394"/>
      <c r="BOB266" s="394"/>
      <c r="BOC266" s="394"/>
      <c r="BOD266" s="394"/>
      <c r="BOE266" s="394"/>
      <c r="BOF266" s="394"/>
      <c r="BOG266" s="394"/>
      <c r="BOH266" s="394"/>
      <c r="BOI266" s="394"/>
      <c r="BOJ266" s="394"/>
      <c r="BOK266" s="394"/>
      <c r="BOL266" s="394"/>
      <c r="BOM266" s="394"/>
      <c r="BON266" s="394"/>
      <c r="BOO266" s="394"/>
      <c r="BOP266" s="394"/>
      <c r="BOQ266" s="394"/>
      <c r="BOR266" s="394"/>
      <c r="BOS266" s="394"/>
      <c r="BOT266" s="394"/>
      <c r="BOU266" s="394"/>
      <c r="BOV266" s="394"/>
      <c r="BOW266" s="394"/>
      <c r="BOX266" s="394"/>
      <c r="BOY266" s="394"/>
      <c r="BOZ266" s="394"/>
      <c r="BPA266" s="394"/>
      <c r="BPB266" s="394"/>
      <c r="BPC266" s="394"/>
      <c r="BPD266" s="394"/>
      <c r="BPE266" s="394"/>
      <c r="BPF266" s="394"/>
      <c r="BPG266" s="394"/>
      <c r="BPH266" s="394"/>
      <c r="BPI266" s="394"/>
      <c r="BPJ266" s="394"/>
      <c r="BPK266" s="394"/>
      <c r="BPL266" s="394"/>
      <c r="BPM266" s="394"/>
      <c r="BPN266" s="394"/>
      <c r="BPO266" s="394"/>
      <c r="BPP266" s="394"/>
      <c r="BPQ266" s="394"/>
      <c r="BPR266" s="394"/>
      <c r="BPS266" s="394"/>
      <c r="BPT266" s="394"/>
      <c r="BPU266" s="394"/>
      <c r="BPV266" s="394"/>
      <c r="BPW266" s="394"/>
      <c r="BPX266" s="394"/>
      <c r="BPY266" s="394"/>
      <c r="BPZ266" s="394"/>
      <c r="BQA266" s="394"/>
      <c r="BQB266" s="394"/>
      <c r="BQC266" s="394"/>
      <c r="BQD266" s="394"/>
      <c r="BQE266" s="394"/>
      <c r="BQF266" s="394"/>
      <c r="BQG266" s="394"/>
      <c r="BQH266" s="394"/>
      <c r="BQI266" s="394"/>
      <c r="BQJ266" s="394"/>
      <c r="BQK266" s="394"/>
      <c r="BQL266" s="394"/>
      <c r="BQM266" s="394"/>
      <c r="BQN266" s="394"/>
      <c r="BQO266" s="394"/>
      <c r="BQP266" s="394"/>
      <c r="BQQ266" s="394"/>
      <c r="BQR266" s="394"/>
      <c r="BQS266" s="394"/>
      <c r="BQT266" s="394"/>
      <c r="BQU266" s="394"/>
      <c r="BQV266" s="394"/>
      <c r="BQW266" s="394"/>
      <c r="BQX266" s="394"/>
      <c r="BQY266" s="394"/>
      <c r="BQZ266" s="394"/>
      <c r="BRA266" s="394"/>
      <c r="BRB266" s="394"/>
      <c r="BRC266" s="394"/>
      <c r="BRD266" s="394"/>
      <c r="BRE266" s="394"/>
      <c r="BRF266" s="394"/>
      <c r="BRG266" s="394"/>
      <c r="BRH266" s="394"/>
      <c r="BRI266" s="394"/>
      <c r="BRJ266" s="394"/>
      <c r="BRK266" s="394"/>
      <c r="BRL266" s="394"/>
      <c r="BRM266" s="394"/>
      <c r="BRN266" s="394"/>
      <c r="BRO266" s="394"/>
      <c r="BRP266" s="394"/>
      <c r="BRQ266" s="394"/>
      <c r="BRR266" s="394"/>
      <c r="BRS266" s="394"/>
      <c r="BRT266" s="394"/>
      <c r="BRU266" s="394"/>
      <c r="BRV266" s="394"/>
      <c r="BRW266" s="394"/>
      <c r="BRX266" s="394"/>
      <c r="BRY266" s="394"/>
      <c r="BRZ266" s="394"/>
      <c r="BSA266" s="394"/>
      <c r="BSB266" s="394"/>
      <c r="BSC266" s="394"/>
      <c r="BSD266" s="394"/>
      <c r="BSE266" s="394"/>
      <c r="BSF266" s="394"/>
      <c r="BSG266" s="394"/>
      <c r="BSH266" s="394"/>
      <c r="BSI266" s="394"/>
      <c r="BSJ266" s="394"/>
      <c r="BSK266" s="394"/>
      <c r="BSL266" s="394"/>
      <c r="BSM266" s="394"/>
      <c r="BSN266" s="394"/>
      <c r="BSO266" s="394"/>
      <c r="BSP266" s="394"/>
      <c r="BSQ266" s="394"/>
      <c r="BSR266" s="394"/>
      <c r="BSS266" s="394"/>
      <c r="BST266" s="394"/>
      <c r="BSU266" s="394"/>
      <c r="BSV266" s="394"/>
      <c r="BSW266" s="394"/>
      <c r="BSX266" s="394"/>
      <c r="BSY266" s="394"/>
      <c r="BSZ266" s="394"/>
      <c r="BTA266" s="394"/>
      <c r="BTB266" s="394"/>
      <c r="BTC266" s="394"/>
      <c r="BTD266" s="394"/>
      <c r="BTE266" s="394"/>
      <c r="BTF266" s="394"/>
      <c r="BTG266" s="394"/>
      <c r="BTH266" s="394"/>
      <c r="BTI266" s="394"/>
    </row>
    <row r="267" spans="1:1881" s="393" customFormat="1" x14ac:dyDescent="0.25">
      <c r="A267" s="405"/>
      <c r="B267" s="401"/>
      <c r="C267" s="404"/>
      <c r="D267" s="335"/>
      <c r="E267" s="398"/>
      <c r="F267" s="583"/>
      <c r="G267" s="379"/>
      <c r="H267" s="396"/>
      <c r="I267" s="405"/>
      <c r="J267" s="394"/>
      <c r="K267" s="394"/>
      <c r="L267" s="394"/>
      <c r="M267" s="394"/>
      <c r="N267"/>
      <c r="O267" s="394"/>
      <c r="P267" s="394"/>
      <c r="Q267" s="394"/>
      <c r="R267" s="394"/>
      <c r="S267" s="394"/>
      <c r="T267" s="394"/>
      <c r="U267" s="394"/>
      <c r="V267" s="394"/>
      <c r="W267" s="394"/>
      <c r="X267" s="394"/>
      <c r="Y267" s="394"/>
      <c r="Z267" s="394"/>
      <c r="AA267" s="394"/>
      <c r="AB267" s="394"/>
      <c r="AC267" s="394"/>
      <c r="AD267" s="394"/>
      <c r="AE267" s="394"/>
      <c r="AF267" s="394"/>
      <c r="AG267" s="394"/>
      <c r="AH267" s="394"/>
      <c r="AI267" s="394"/>
      <c r="AJ267" s="394"/>
      <c r="AK267" s="394"/>
      <c r="AL267" s="394"/>
      <c r="AM267" s="394"/>
      <c r="AN267" s="394"/>
      <c r="AO267" s="394"/>
      <c r="AP267" s="394"/>
      <c r="AQ267" s="394"/>
      <c r="AR267" s="394"/>
      <c r="AS267" s="394"/>
      <c r="AT267" s="394"/>
      <c r="AU267" s="394"/>
      <c r="AV267" s="394"/>
      <c r="AW267" s="394"/>
      <c r="AX267" s="394"/>
      <c r="AY267" s="394"/>
      <c r="AZ267" s="394"/>
      <c r="BA267" s="394"/>
      <c r="BB267" s="394"/>
      <c r="BC267" s="394"/>
      <c r="BD267" s="394"/>
      <c r="BE267" s="394"/>
      <c r="BF267" s="394"/>
      <c r="BG267" s="394"/>
      <c r="BH267" s="394"/>
      <c r="BI267" s="394"/>
      <c r="BJ267" s="394"/>
      <c r="BK267" s="394"/>
      <c r="BL267" s="394"/>
      <c r="BM267" s="394"/>
      <c r="BN267" s="394"/>
      <c r="BO267" s="394"/>
      <c r="BP267" s="394"/>
      <c r="BQ267" s="394"/>
      <c r="BR267" s="394"/>
      <c r="BS267" s="394"/>
      <c r="BT267" s="394"/>
      <c r="BU267" s="394"/>
      <c r="BV267" s="394"/>
      <c r="BW267" s="394"/>
      <c r="BX267" s="394"/>
      <c r="BY267" s="394"/>
      <c r="BZ267" s="394"/>
      <c r="CA267" s="394"/>
      <c r="CB267" s="394"/>
      <c r="CC267" s="394"/>
      <c r="CD267" s="394"/>
      <c r="CE267" s="394"/>
      <c r="CF267" s="394"/>
      <c r="CG267" s="394"/>
      <c r="CH267" s="394"/>
      <c r="CI267" s="394"/>
      <c r="CJ267" s="394"/>
      <c r="CK267" s="394"/>
      <c r="CL267" s="394"/>
      <c r="CM267" s="394"/>
      <c r="CN267" s="394"/>
      <c r="CO267" s="394"/>
      <c r="CP267" s="394"/>
      <c r="CQ267" s="394"/>
      <c r="CR267" s="394"/>
      <c r="CS267" s="394"/>
      <c r="CT267" s="394"/>
      <c r="CU267" s="394"/>
      <c r="CV267" s="394"/>
      <c r="CW267" s="394"/>
      <c r="CX267" s="394"/>
      <c r="CY267" s="394"/>
      <c r="CZ267" s="394"/>
      <c r="DA267" s="394"/>
      <c r="DB267" s="394"/>
      <c r="DC267" s="394"/>
      <c r="DD267" s="394"/>
      <c r="DE267" s="394"/>
      <c r="DF267" s="394"/>
      <c r="DG267" s="394"/>
      <c r="DH267" s="394"/>
      <c r="DI267" s="394"/>
      <c r="DJ267" s="394"/>
      <c r="DK267" s="394"/>
      <c r="DL267" s="394"/>
      <c r="DM267" s="394"/>
      <c r="DN267" s="394"/>
      <c r="DO267" s="394"/>
      <c r="DP267" s="394"/>
      <c r="DQ267" s="394"/>
      <c r="DR267" s="394"/>
      <c r="DS267" s="394"/>
      <c r="DT267" s="394"/>
      <c r="DU267" s="394"/>
      <c r="DV267" s="394"/>
      <c r="DW267" s="394"/>
      <c r="DX267" s="394"/>
      <c r="DY267" s="394"/>
      <c r="DZ267" s="394"/>
      <c r="EA267" s="394"/>
      <c r="EB267" s="394"/>
      <c r="EC267" s="394"/>
      <c r="ED267" s="394"/>
      <c r="EE267" s="394"/>
      <c r="EF267" s="394"/>
      <c r="EG267" s="394"/>
      <c r="EH267" s="394"/>
      <c r="EI267" s="394"/>
      <c r="EJ267" s="394"/>
      <c r="EK267" s="394"/>
      <c r="EL267" s="394"/>
      <c r="EM267" s="394"/>
      <c r="EN267" s="394"/>
      <c r="EO267" s="394"/>
      <c r="EP267" s="394"/>
      <c r="EQ267" s="394"/>
      <c r="ER267" s="394"/>
      <c r="ES267" s="394"/>
      <c r="ET267" s="394"/>
      <c r="EU267" s="394"/>
      <c r="EV267" s="394"/>
      <c r="EW267" s="394"/>
      <c r="EX267" s="394"/>
      <c r="EY267" s="394"/>
      <c r="EZ267" s="394"/>
      <c r="FA267" s="394"/>
      <c r="FB267" s="394"/>
      <c r="FC267" s="394"/>
      <c r="FD267" s="394"/>
      <c r="FE267" s="394"/>
      <c r="FF267" s="394"/>
      <c r="FG267" s="394"/>
      <c r="FH267" s="394"/>
      <c r="FI267" s="394"/>
      <c r="FJ267" s="394"/>
      <c r="FK267" s="394"/>
      <c r="FL267" s="394"/>
      <c r="FM267" s="394"/>
      <c r="FN267" s="394"/>
      <c r="FO267" s="394"/>
      <c r="FP267" s="394"/>
      <c r="FQ267" s="394"/>
      <c r="FR267" s="394"/>
      <c r="FS267" s="394"/>
      <c r="FT267" s="394"/>
      <c r="FU267" s="394"/>
      <c r="FV267" s="394"/>
      <c r="FW267" s="394"/>
      <c r="FX267" s="394"/>
      <c r="FY267" s="394"/>
      <c r="FZ267" s="394"/>
      <c r="GA267" s="394"/>
      <c r="GB267" s="394"/>
      <c r="GC267" s="394"/>
      <c r="GD267" s="394"/>
      <c r="GE267" s="394"/>
      <c r="GF267" s="394"/>
      <c r="GG267" s="394"/>
      <c r="GH267" s="394"/>
      <c r="GI267" s="394"/>
      <c r="GJ267" s="394"/>
      <c r="GK267" s="394"/>
      <c r="GL267" s="394"/>
      <c r="GM267" s="394"/>
      <c r="GN267" s="394"/>
      <c r="GO267" s="394"/>
      <c r="GP267" s="394"/>
      <c r="GQ267" s="394"/>
      <c r="GR267" s="394"/>
      <c r="GS267" s="394"/>
      <c r="GT267" s="394"/>
      <c r="GU267" s="394"/>
      <c r="GV267" s="394"/>
      <c r="GW267" s="394"/>
      <c r="GX267" s="394"/>
      <c r="GY267" s="394"/>
      <c r="GZ267" s="394"/>
      <c r="HA267" s="394"/>
      <c r="HB267" s="394"/>
      <c r="HC267" s="394"/>
      <c r="HD267" s="394"/>
      <c r="HE267" s="394"/>
      <c r="HF267" s="394"/>
      <c r="HG267" s="394"/>
      <c r="HH267" s="394"/>
      <c r="HI267" s="394"/>
      <c r="HJ267" s="394"/>
      <c r="HK267" s="394"/>
      <c r="HL267" s="394"/>
      <c r="HM267" s="394"/>
      <c r="HN267" s="394"/>
      <c r="HO267" s="394"/>
      <c r="HP267" s="394"/>
      <c r="HQ267" s="394"/>
      <c r="HR267" s="394"/>
      <c r="HS267" s="394"/>
      <c r="HT267" s="394"/>
      <c r="HU267" s="394"/>
      <c r="HV267" s="394"/>
      <c r="HW267" s="394"/>
      <c r="HX267" s="394"/>
      <c r="HY267" s="394"/>
      <c r="HZ267" s="394"/>
      <c r="IA267" s="394"/>
      <c r="IB267" s="394"/>
      <c r="IC267" s="394"/>
      <c r="ID267" s="394"/>
      <c r="IE267" s="394"/>
      <c r="IF267" s="394"/>
      <c r="IG267" s="394"/>
      <c r="IH267" s="394"/>
      <c r="II267" s="394"/>
      <c r="IJ267" s="394"/>
      <c r="IK267" s="394"/>
      <c r="IL267" s="394"/>
      <c r="IM267" s="394"/>
      <c r="IN267" s="394"/>
      <c r="IO267" s="394"/>
      <c r="IP267" s="394"/>
      <c r="IQ267" s="394"/>
      <c r="IR267" s="394"/>
      <c r="IS267" s="394"/>
      <c r="IT267" s="394"/>
      <c r="IU267" s="394"/>
      <c r="IV267" s="394"/>
      <c r="IW267" s="394"/>
      <c r="IX267" s="394"/>
      <c r="IY267" s="394"/>
      <c r="IZ267" s="394"/>
      <c r="JA267" s="394"/>
      <c r="JB267" s="394"/>
      <c r="JC267" s="394"/>
      <c r="JD267" s="394"/>
      <c r="JE267" s="394"/>
      <c r="JF267" s="394"/>
      <c r="JG267" s="394"/>
      <c r="JH267" s="394"/>
      <c r="JI267" s="394"/>
      <c r="JJ267" s="394"/>
      <c r="JK267" s="394"/>
      <c r="JL267" s="394"/>
      <c r="JM267" s="394"/>
      <c r="JN267" s="394"/>
      <c r="JO267" s="394"/>
      <c r="JP267" s="394"/>
      <c r="JQ267" s="394"/>
      <c r="JR267" s="394"/>
      <c r="JS267" s="394"/>
      <c r="JT267" s="394"/>
      <c r="JU267" s="394"/>
      <c r="JV267" s="394"/>
      <c r="JW267" s="394"/>
      <c r="JX267" s="394"/>
      <c r="JY267" s="394"/>
      <c r="JZ267" s="394"/>
      <c r="KA267" s="394"/>
      <c r="KB267" s="394"/>
      <c r="KC267" s="394"/>
      <c r="KD267" s="394"/>
      <c r="KE267" s="394"/>
      <c r="KF267" s="394"/>
      <c r="KG267" s="394"/>
      <c r="KH267" s="394"/>
      <c r="KI267" s="394"/>
      <c r="KJ267" s="394"/>
      <c r="KK267" s="394"/>
      <c r="KL267" s="394"/>
      <c r="KM267" s="394"/>
      <c r="KN267" s="394"/>
      <c r="KO267" s="394"/>
      <c r="KP267" s="394"/>
      <c r="KQ267" s="394"/>
      <c r="KR267" s="394"/>
      <c r="KS267" s="394"/>
      <c r="KT267" s="394"/>
      <c r="KU267" s="394"/>
      <c r="KV267" s="394"/>
      <c r="KW267" s="394"/>
      <c r="KX267" s="394"/>
      <c r="KY267" s="394"/>
      <c r="KZ267" s="394"/>
      <c r="LA267" s="394"/>
      <c r="LB267" s="394"/>
      <c r="LC267" s="394"/>
      <c r="LD267" s="394"/>
      <c r="LE267" s="394"/>
      <c r="LF267" s="394"/>
      <c r="LG267" s="394"/>
      <c r="LH267" s="394"/>
      <c r="LI267" s="394"/>
      <c r="LJ267" s="394"/>
      <c r="LK267" s="394"/>
      <c r="LL267" s="394"/>
      <c r="LM267" s="394"/>
      <c r="LN267" s="394"/>
      <c r="LO267" s="394"/>
      <c r="LP267" s="394"/>
      <c r="LQ267" s="394"/>
      <c r="LR267" s="394"/>
      <c r="LS267" s="394"/>
      <c r="LT267" s="394"/>
      <c r="LU267" s="394"/>
      <c r="LV267" s="394"/>
      <c r="LW267" s="394"/>
      <c r="LX267" s="394"/>
      <c r="LY267" s="394"/>
      <c r="LZ267" s="394"/>
      <c r="MA267" s="394"/>
      <c r="MB267" s="394"/>
      <c r="MC267" s="394"/>
      <c r="MD267" s="394"/>
      <c r="ME267" s="394"/>
      <c r="MF267" s="394"/>
      <c r="MG267" s="394"/>
      <c r="MH267" s="394"/>
      <c r="MI267" s="394"/>
      <c r="MJ267" s="394"/>
      <c r="MK267" s="394"/>
      <c r="ML267" s="394"/>
      <c r="MM267" s="394"/>
      <c r="MN267" s="394"/>
      <c r="MO267" s="394"/>
      <c r="MP267" s="394"/>
      <c r="MQ267" s="394"/>
      <c r="MR267" s="394"/>
      <c r="MS267" s="394"/>
      <c r="MT267" s="394"/>
      <c r="MU267" s="394"/>
      <c r="MV267" s="394"/>
      <c r="MW267" s="394"/>
      <c r="MX267" s="394"/>
      <c r="MY267" s="394"/>
      <c r="MZ267" s="394"/>
      <c r="NA267" s="394"/>
      <c r="NB267" s="394"/>
      <c r="NC267" s="394"/>
      <c r="ND267" s="394"/>
      <c r="NE267" s="394"/>
      <c r="NF267" s="394"/>
      <c r="NG267" s="394"/>
      <c r="NH267" s="394"/>
      <c r="NI267" s="394"/>
      <c r="NJ267" s="394"/>
      <c r="NK267" s="394"/>
      <c r="NL267" s="394"/>
      <c r="NM267" s="394"/>
      <c r="NN267" s="394"/>
      <c r="NO267" s="394"/>
      <c r="NP267" s="394"/>
      <c r="NQ267" s="394"/>
      <c r="NR267" s="394"/>
      <c r="NS267" s="394"/>
      <c r="NT267" s="394"/>
      <c r="NU267" s="394"/>
      <c r="NV267" s="394"/>
      <c r="NW267" s="394"/>
      <c r="NX267" s="394"/>
      <c r="NY267" s="394"/>
      <c r="NZ267" s="394"/>
      <c r="OA267" s="394"/>
      <c r="OB267" s="394"/>
      <c r="OC267" s="394"/>
      <c r="OD267" s="394"/>
      <c r="OE267" s="394"/>
      <c r="OF267" s="394"/>
      <c r="OG267" s="394"/>
      <c r="OH267" s="394"/>
      <c r="OI267" s="394"/>
      <c r="OJ267" s="394"/>
      <c r="OK267" s="394"/>
      <c r="OL267" s="394"/>
      <c r="OM267" s="394"/>
      <c r="ON267" s="394"/>
      <c r="OO267" s="394"/>
      <c r="OP267" s="394"/>
      <c r="OQ267" s="394"/>
      <c r="OR267" s="394"/>
      <c r="OS267" s="394"/>
      <c r="OT267" s="394"/>
      <c r="OU267" s="394"/>
      <c r="OV267" s="394"/>
      <c r="OW267" s="394"/>
      <c r="OX267" s="394"/>
      <c r="OY267" s="394"/>
      <c r="OZ267" s="394"/>
      <c r="PA267" s="394"/>
      <c r="PB267" s="394"/>
      <c r="PC267" s="394"/>
      <c r="PD267" s="394"/>
      <c r="PE267" s="394"/>
      <c r="PF267" s="394"/>
      <c r="PG267" s="394"/>
      <c r="PH267" s="394"/>
      <c r="PI267" s="394"/>
      <c r="PJ267" s="394"/>
      <c r="PK267" s="394"/>
      <c r="PL267" s="394"/>
      <c r="PM267" s="394"/>
      <c r="PN267" s="394"/>
      <c r="PO267" s="394"/>
      <c r="PP267" s="394"/>
      <c r="PQ267" s="394"/>
      <c r="PR267" s="394"/>
      <c r="PS267" s="394"/>
      <c r="PT267" s="394"/>
      <c r="PU267" s="394"/>
      <c r="PV267" s="394"/>
      <c r="PW267" s="394"/>
      <c r="PX267" s="394"/>
      <c r="PY267" s="394"/>
      <c r="PZ267" s="394"/>
      <c r="QA267" s="394"/>
      <c r="QB267" s="394"/>
      <c r="QC267" s="394"/>
      <c r="QD267" s="394"/>
      <c r="QE267" s="394"/>
      <c r="QF267" s="394"/>
      <c r="QG267" s="394"/>
      <c r="QH267" s="394"/>
      <c r="QI267" s="394"/>
      <c r="QJ267" s="394"/>
      <c r="QK267" s="394"/>
      <c r="QL267" s="394"/>
      <c r="QM267" s="394"/>
      <c r="QN267" s="394"/>
      <c r="QO267" s="394"/>
      <c r="QP267" s="394"/>
      <c r="QQ267" s="394"/>
      <c r="QR267" s="394"/>
      <c r="QS267" s="394"/>
      <c r="QT267" s="394"/>
      <c r="QU267" s="394"/>
      <c r="QV267" s="394"/>
      <c r="QW267" s="394"/>
      <c r="QX267" s="394"/>
      <c r="QY267" s="394"/>
      <c r="QZ267" s="394"/>
      <c r="RA267" s="394"/>
      <c r="RB267" s="394"/>
      <c r="RC267" s="394"/>
      <c r="RD267" s="394"/>
      <c r="RE267" s="394"/>
      <c r="RF267" s="394"/>
      <c r="RG267" s="394"/>
      <c r="RH267" s="394"/>
      <c r="RI267" s="394"/>
      <c r="RJ267" s="394"/>
      <c r="RK267" s="394"/>
      <c r="RL267" s="394"/>
      <c r="RM267" s="394"/>
      <c r="RN267" s="394"/>
      <c r="RO267" s="394"/>
      <c r="RP267" s="394"/>
      <c r="RQ267" s="394"/>
      <c r="RR267" s="394"/>
      <c r="RS267" s="394"/>
      <c r="RT267" s="394"/>
      <c r="RU267" s="394"/>
      <c r="RV267" s="394"/>
      <c r="RW267" s="394"/>
      <c r="RX267" s="394"/>
      <c r="RY267" s="394"/>
      <c r="RZ267" s="394"/>
      <c r="SA267" s="394"/>
      <c r="SB267" s="394"/>
      <c r="SC267" s="394"/>
      <c r="SD267" s="394"/>
      <c r="SE267" s="394"/>
      <c r="SF267" s="394"/>
      <c r="SG267" s="394"/>
      <c r="SH267" s="394"/>
      <c r="SI267" s="394"/>
      <c r="SJ267" s="394"/>
      <c r="SK267" s="394"/>
      <c r="SL267" s="394"/>
      <c r="SM267" s="394"/>
      <c r="SN267" s="394"/>
      <c r="SO267" s="394"/>
      <c r="SP267" s="394"/>
      <c r="SQ267" s="394"/>
      <c r="SR267" s="394"/>
      <c r="SS267" s="394"/>
      <c r="ST267" s="394"/>
      <c r="SU267" s="394"/>
      <c r="SV267" s="394"/>
      <c r="SW267" s="394"/>
      <c r="SX267" s="394"/>
      <c r="SY267" s="394"/>
      <c r="SZ267" s="394"/>
      <c r="TA267" s="394"/>
      <c r="TB267" s="394"/>
      <c r="TC267" s="394"/>
      <c r="TD267" s="394"/>
      <c r="TE267" s="394"/>
      <c r="TF267" s="394"/>
      <c r="TG267" s="394"/>
      <c r="TH267" s="394"/>
      <c r="TI267" s="394"/>
      <c r="TJ267" s="394"/>
      <c r="TK267" s="394"/>
      <c r="TL267" s="394"/>
      <c r="TM267" s="394"/>
      <c r="TN267" s="394"/>
      <c r="TO267" s="394"/>
      <c r="TP267" s="394"/>
      <c r="TQ267" s="394"/>
      <c r="TR267" s="394"/>
      <c r="TS267" s="394"/>
      <c r="TT267" s="394"/>
      <c r="TU267" s="394"/>
      <c r="TV267" s="394"/>
      <c r="TW267" s="394"/>
      <c r="TX267" s="394"/>
      <c r="TY267" s="394"/>
      <c r="TZ267" s="394"/>
      <c r="UA267" s="394"/>
      <c r="UB267" s="394"/>
      <c r="UC267" s="394"/>
      <c r="UD267" s="394"/>
      <c r="UE267" s="394"/>
      <c r="UF267" s="394"/>
      <c r="UG267" s="394"/>
      <c r="UH267" s="394"/>
      <c r="UI267" s="394"/>
      <c r="UJ267" s="394"/>
      <c r="UK267" s="394"/>
      <c r="UL267" s="394"/>
      <c r="UM267" s="394"/>
      <c r="UN267" s="394"/>
      <c r="UO267" s="394"/>
      <c r="UP267" s="394"/>
      <c r="UQ267" s="394"/>
      <c r="UR267" s="394"/>
      <c r="US267" s="394"/>
      <c r="UT267" s="394"/>
      <c r="UU267" s="394"/>
      <c r="UV267" s="394"/>
      <c r="UW267" s="394"/>
      <c r="UX267" s="394"/>
      <c r="UY267" s="394"/>
      <c r="UZ267" s="394"/>
      <c r="VA267" s="394"/>
      <c r="VB267" s="394"/>
      <c r="VC267" s="394"/>
      <c r="VD267" s="394"/>
      <c r="VE267" s="394"/>
      <c r="VF267" s="394"/>
      <c r="VG267" s="394"/>
      <c r="VH267" s="394"/>
      <c r="VI267" s="394"/>
      <c r="VJ267" s="394"/>
      <c r="VK267" s="394"/>
      <c r="VL267" s="394"/>
      <c r="VM267" s="394"/>
      <c r="VN267" s="394"/>
      <c r="VO267" s="394"/>
      <c r="VP267" s="394"/>
      <c r="VQ267" s="394"/>
      <c r="VR267" s="394"/>
      <c r="VS267" s="394"/>
      <c r="VT267" s="394"/>
      <c r="VU267" s="394"/>
      <c r="VV267" s="394"/>
      <c r="VW267" s="394"/>
      <c r="VX267" s="394"/>
      <c r="VY267" s="394"/>
      <c r="VZ267" s="394"/>
      <c r="WA267" s="394"/>
      <c r="WB267" s="394"/>
      <c r="WC267" s="394"/>
      <c r="WD267" s="394"/>
      <c r="WE267" s="394"/>
      <c r="WF267" s="394"/>
      <c r="WG267" s="394"/>
      <c r="WH267" s="394"/>
      <c r="WI267" s="394"/>
      <c r="WJ267" s="394"/>
      <c r="WK267" s="394"/>
      <c r="WL267" s="394"/>
      <c r="WM267" s="394"/>
      <c r="WN267" s="394"/>
      <c r="WO267" s="394"/>
      <c r="WP267" s="394"/>
      <c r="WQ267" s="394"/>
      <c r="WR267" s="394"/>
      <c r="WS267" s="394"/>
      <c r="WT267" s="394"/>
      <c r="WU267" s="394"/>
      <c r="WV267" s="394"/>
      <c r="WW267" s="394"/>
      <c r="WX267" s="394"/>
      <c r="WY267" s="394"/>
      <c r="WZ267" s="394"/>
      <c r="XA267" s="394"/>
      <c r="XB267" s="394"/>
      <c r="XC267" s="394"/>
      <c r="XD267" s="394"/>
      <c r="XE267" s="394"/>
      <c r="XF267" s="394"/>
      <c r="XG267" s="394"/>
      <c r="XH267" s="394"/>
      <c r="XI267" s="394"/>
      <c r="XJ267" s="394"/>
      <c r="XK267" s="394"/>
      <c r="XL267" s="394"/>
      <c r="XM267" s="394"/>
      <c r="XN267" s="394"/>
      <c r="XO267" s="394"/>
      <c r="XP267" s="394"/>
      <c r="XQ267" s="394"/>
      <c r="XR267" s="394"/>
      <c r="XS267" s="394"/>
      <c r="XT267" s="394"/>
      <c r="XU267" s="394"/>
      <c r="XV267" s="394"/>
      <c r="XW267" s="394"/>
      <c r="XX267" s="394"/>
      <c r="XY267" s="394"/>
      <c r="XZ267" s="394"/>
      <c r="YA267" s="394"/>
      <c r="YB267" s="394"/>
      <c r="YC267" s="394"/>
      <c r="YD267" s="394"/>
      <c r="YE267" s="394"/>
      <c r="YF267" s="394"/>
      <c r="YG267" s="394"/>
      <c r="YH267" s="394"/>
      <c r="YI267" s="394"/>
      <c r="YJ267" s="394"/>
      <c r="YK267" s="394"/>
      <c r="YL267" s="394"/>
      <c r="YM267" s="394"/>
      <c r="YN267" s="394"/>
      <c r="YO267" s="394"/>
      <c r="YP267" s="394"/>
      <c r="YQ267" s="394"/>
      <c r="YR267" s="394"/>
      <c r="YS267" s="394"/>
      <c r="YT267" s="394"/>
      <c r="YU267" s="394"/>
      <c r="YV267" s="394"/>
      <c r="YW267" s="394"/>
      <c r="YX267" s="394"/>
      <c r="YY267" s="394"/>
      <c r="YZ267" s="394"/>
      <c r="ZA267" s="394"/>
      <c r="ZB267" s="394"/>
      <c r="ZC267" s="394"/>
      <c r="ZD267" s="394"/>
      <c r="ZE267" s="394"/>
      <c r="ZF267" s="394"/>
      <c r="ZG267" s="394"/>
      <c r="ZH267" s="394"/>
      <c r="ZI267" s="394"/>
      <c r="ZJ267" s="394"/>
      <c r="ZK267" s="394"/>
      <c r="ZL267" s="394"/>
      <c r="ZM267" s="394"/>
      <c r="ZN267" s="394"/>
      <c r="ZO267" s="394"/>
      <c r="ZP267" s="394"/>
      <c r="ZQ267" s="394"/>
      <c r="ZR267" s="394"/>
      <c r="ZS267" s="394"/>
      <c r="ZT267" s="394"/>
      <c r="ZU267" s="394"/>
      <c r="ZV267" s="394"/>
      <c r="ZW267" s="394"/>
      <c r="ZX267" s="394"/>
      <c r="ZY267" s="394"/>
      <c r="ZZ267" s="394"/>
      <c r="AAA267" s="394"/>
      <c r="AAB267" s="394"/>
      <c r="AAC267" s="394"/>
      <c r="AAD267" s="394"/>
      <c r="AAE267" s="394"/>
      <c r="AAF267" s="394"/>
      <c r="AAG267" s="394"/>
      <c r="AAH267" s="394"/>
      <c r="AAI267" s="394"/>
      <c r="AAJ267" s="394"/>
      <c r="AAK267" s="394"/>
      <c r="AAL267" s="394"/>
      <c r="AAM267" s="394"/>
      <c r="AAN267" s="394"/>
      <c r="AAO267" s="394"/>
      <c r="AAP267" s="394"/>
      <c r="AAQ267" s="394"/>
      <c r="AAR267" s="394"/>
      <c r="AAS267" s="394"/>
      <c r="AAT267" s="394"/>
      <c r="AAU267" s="394"/>
      <c r="AAV267" s="394"/>
      <c r="AAW267" s="394"/>
      <c r="AAX267" s="394"/>
      <c r="AAY267" s="394"/>
      <c r="AAZ267" s="394"/>
      <c r="ABA267" s="394"/>
      <c r="ABB267" s="394"/>
      <c r="ABC267" s="394"/>
      <c r="ABD267" s="394"/>
      <c r="ABE267" s="394"/>
      <c r="ABF267" s="394"/>
      <c r="ABG267" s="394"/>
      <c r="ABH267" s="394"/>
      <c r="ABI267" s="394"/>
      <c r="ABJ267" s="394"/>
      <c r="ABK267" s="394"/>
      <c r="ABL267" s="394"/>
      <c r="ABM267" s="394"/>
      <c r="ABN267" s="394"/>
      <c r="ABO267" s="394"/>
      <c r="ABP267" s="394"/>
      <c r="ABQ267" s="394"/>
      <c r="ABR267" s="394"/>
      <c r="ABS267" s="394"/>
      <c r="ABT267" s="394"/>
      <c r="ABU267" s="394"/>
      <c r="ABV267" s="394"/>
      <c r="ABW267" s="394"/>
      <c r="ABX267" s="394"/>
      <c r="ABY267" s="394"/>
      <c r="ABZ267" s="394"/>
      <c r="ACA267" s="394"/>
      <c r="ACB267" s="394"/>
      <c r="ACC267" s="394"/>
      <c r="ACD267" s="394"/>
      <c r="ACE267" s="394"/>
      <c r="ACF267" s="394"/>
      <c r="ACG267" s="394"/>
      <c r="ACH267" s="394"/>
      <c r="ACI267" s="394"/>
      <c r="ACJ267" s="394"/>
      <c r="ACK267" s="394"/>
      <c r="ACL267" s="394"/>
      <c r="ACM267" s="394"/>
      <c r="ACN267" s="394"/>
      <c r="ACO267" s="394"/>
      <c r="ACP267" s="394"/>
      <c r="ACQ267" s="394"/>
      <c r="ACR267" s="394"/>
      <c r="ACS267" s="394"/>
      <c r="ACT267" s="394"/>
      <c r="ACU267" s="394"/>
      <c r="ACV267" s="394"/>
      <c r="ACW267" s="394"/>
      <c r="ACX267" s="394"/>
      <c r="ACY267" s="394"/>
      <c r="ACZ267" s="394"/>
      <c r="ADA267" s="394"/>
      <c r="ADB267" s="394"/>
      <c r="ADC267" s="394"/>
      <c r="ADD267" s="394"/>
      <c r="ADE267" s="394"/>
      <c r="ADF267" s="394"/>
      <c r="ADG267" s="394"/>
      <c r="ADH267" s="394"/>
      <c r="ADI267" s="394"/>
      <c r="ADJ267" s="394"/>
      <c r="ADK267" s="394"/>
      <c r="ADL267" s="394"/>
      <c r="ADM267" s="394"/>
      <c r="ADN267" s="394"/>
      <c r="ADO267" s="394"/>
      <c r="ADP267" s="394"/>
      <c r="ADQ267" s="394"/>
      <c r="ADR267" s="394"/>
      <c r="ADS267" s="394"/>
      <c r="ADT267" s="394"/>
      <c r="ADU267" s="394"/>
      <c r="ADV267" s="394"/>
      <c r="ADW267" s="394"/>
      <c r="ADX267" s="394"/>
      <c r="ADY267" s="394"/>
      <c r="ADZ267" s="394"/>
      <c r="AEA267" s="394"/>
      <c r="AEB267" s="394"/>
      <c r="AEC267" s="394"/>
      <c r="AED267" s="394"/>
      <c r="AEE267" s="394"/>
      <c r="AEF267" s="394"/>
      <c r="AEG267" s="394"/>
      <c r="AEH267" s="394"/>
      <c r="AEI267" s="394"/>
      <c r="AEJ267" s="394"/>
      <c r="AEK267" s="394"/>
      <c r="AEL267" s="394"/>
      <c r="AEM267" s="394"/>
      <c r="AEN267" s="394"/>
      <c r="AEO267" s="394"/>
      <c r="AEP267" s="394"/>
      <c r="AEQ267" s="394"/>
      <c r="AER267" s="394"/>
      <c r="AES267" s="394"/>
      <c r="AET267" s="394"/>
      <c r="AEU267" s="394"/>
      <c r="AEV267" s="394"/>
      <c r="AEW267" s="394"/>
      <c r="AEX267" s="394"/>
      <c r="AEY267" s="394"/>
      <c r="AEZ267" s="394"/>
      <c r="AFA267" s="394"/>
      <c r="AFB267" s="394"/>
      <c r="AFC267" s="394"/>
      <c r="AFD267" s="394"/>
      <c r="AFE267" s="394"/>
      <c r="AFF267" s="394"/>
      <c r="AFG267" s="394"/>
      <c r="AFH267" s="394"/>
      <c r="AFI267" s="394"/>
      <c r="AFJ267" s="394"/>
      <c r="AFK267" s="394"/>
      <c r="AFL267" s="394"/>
      <c r="AFM267" s="394"/>
      <c r="AFN267" s="394"/>
      <c r="AFO267" s="394"/>
      <c r="AFP267" s="394"/>
      <c r="AFQ267" s="394"/>
      <c r="AFR267" s="394"/>
      <c r="AFS267" s="394"/>
      <c r="AFT267" s="394"/>
      <c r="AFU267" s="394"/>
      <c r="AFV267" s="394"/>
      <c r="AFW267" s="394"/>
      <c r="AFX267" s="394"/>
      <c r="AFY267" s="394"/>
      <c r="AFZ267" s="394"/>
      <c r="AGA267" s="394"/>
      <c r="AGB267" s="394"/>
      <c r="AGC267" s="394"/>
      <c r="AGD267" s="394"/>
      <c r="AGE267" s="394"/>
      <c r="AGF267" s="394"/>
      <c r="AGG267" s="394"/>
      <c r="AGH267" s="394"/>
      <c r="AGI267" s="394"/>
      <c r="AGJ267" s="394"/>
      <c r="AGK267" s="394"/>
      <c r="AGL267" s="394"/>
      <c r="AGM267" s="394"/>
      <c r="AGN267" s="394"/>
      <c r="AGO267" s="394"/>
      <c r="AGP267" s="394"/>
      <c r="AGQ267" s="394"/>
      <c r="AGR267" s="394"/>
      <c r="AGS267" s="394"/>
      <c r="AGT267" s="394"/>
      <c r="AGU267" s="394"/>
      <c r="AGV267" s="394"/>
      <c r="AGW267" s="394"/>
      <c r="AGX267" s="394"/>
      <c r="AGY267" s="394"/>
      <c r="AGZ267" s="394"/>
      <c r="AHA267" s="394"/>
      <c r="AHB267" s="394"/>
      <c r="AHC267" s="394"/>
      <c r="AHD267" s="394"/>
      <c r="AHE267" s="394"/>
      <c r="AHF267" s="394"/>
      <c r="AHG267" s="394"/>
      <c r="AHH267" s="394"/>
      <c r="AHI267" s="394"/>
      <c r="AHJ267" s="394"/>
      <c r="AHK267" s="394"/>
      <c r="AHL267" s="394"/>
      <c r="AHM267" s="394"/>
      <c r="AHN267" s="394"/>
      <c r="AHO267" s="394"/>
      <c r="AHP267" s="394"/>
      <c r="AHQ267" s="394"/>
      <c r="AHR267" s="394"/>
      <c r="AHS267" s="394"/>
      <c r="AHT267" s="394"/>
      <c r="AHU267" s="394"/>
      <c r="AHV267" s="394"/>
      <c r="AHW267" s="394"/>
      <c r="AHX267" s="394"/>
      <c r="AHY267" s="394"/>
      <c r="AHZ267" s="394"/>
      <c r="AIA267" s="394"/>
      <c r="AIB267" s="394"/>
      <c r="AIC267" s="394"/>
      <c r="AID267" s="394"/>
      <c r="AIE267" s="394"/>
      <c r="AIF267" s="394"/>
      <c r="AIG267" s="394"/>
      <c r="AIH267" s="394"/>
      <c r="AII267" s="394"/>
      <c r="AIJ267" s="394"/>
      <c r="AIK267" s="394"/>
      <c r="AIL267" s="394"/>
      <c r="AIM267" s="394"/>
      <c r="AIN267" s="394"/>
      <c r="AIO267" s="394"/>
      <c r="AIP267" s="394"/>
      <c r="AIQ267" s="394"/>
      <c r="AIR267" s="394"/>
      <c r="AIS267" s="394"/>
      <c r="AIT267" s="394"/>
      <c r="AIU267" s="394"/>
      <c r="AIV267" s="394"/>
      <c r="AIW267" s="394"/>
      <c r="AIX267" s="394"/>
      <c r="AIY267" s="394"/>
      <c r="AIZ267" s="394"/>
      <c r="AJA267" s="394"/>
      <c r="AJB267" s="394"/>
      <c r="AJC267" s="394"/>
      <c r="AJD267" s="394"/>
      <c r="AJE267" s="394"/>
      <c r="AJF267" s="394"/>
      <c r="AJG267" s="394"/>
      <c r="AJH267" s="394"/>
      <c r="AJI267" s="394"/>
      <c r="AJJ267" s="394"/>
      <c r="AJK267" s="394"/>
      <c r="AJL267" s="394"/>
      <c r="AJM267" s="394"/>
      <c r="AJN267" s="394"/>
      <c r="AJO267" s="394"/>
      <c r="AJP267" s="394"/>
      <c r="AJQ267" s="394"/>
      <c r="AJR267" s="394"/>
      <c r="AJS267" s="394"/>
      <c r="AJT267" s="394"/>
      <c r="AJU267" s="394"/>
      <c r="AJV267" s="394"/>
      <c r="AJW267" s="394"/>
      <c r="AJX267" s="394"/>
      <c r="AJY267" s="394"/>
      <c r="AJZ267" s="394"/>
      <c r="AKA267" s="394"/>
      <c r="AKB267" s="394"/>
      <c r="AKC267" s="394"/>
      <c r="AKD267" s="394"/>
      <c r="AKE267" s="394"/>
      <c r="AKF267" s="394"/>
      <c r="AKG267" s="394"/>
      <c r="AKH267" s="394"/>
      <c r="AKI267" s="394"/>
      <c r="AKJ267" s="394"/>
      <c r="AKK267" s="394"/>
      <c r="AKL267" s="394"/>
      <c r="AKM267" s="394"/>
      <c r="AKN267" s="394"/>
      <c r="AKO267" s="394"/>
      <c r="AKP267" s="394"/>
      <c r="AKQ267" s="394"/>
      <c r="AKR267" s="394"/>
      <c r="AKS267" s="394"/>
      <c r="AKT267" s="394"/>
      <c r="AKU267" s="394"/>
      <c r="AKV267" s="394"/>
      <c r="AKW267" s="394"/>
      <c r="AKX267" s="394"/>
      <c r="AKY267" s="394"/>
      <c r="AKZ267" s="394"/>
      <c r="ALA267" s="394"/>
      <c r="ALB267" s="394"/>
      <c r="ALC267" s="394"/>
      <c r="ALD267" s="394"/>
      <c r="ALE267" s="394"/>
      <c r="ALF267" s="394"/>
      <c r="ALG267" s="394"/>
      <c r="ALH267" s="394"/>
      <c r="ALI267" s="394"/>
      <c r="ALJ267" s="394"/>
      <c r="ALK267" s="394"/>
      <c r="ALL267" s="394"/>
      <c r="ALM267" s="394"/>
      <c r="ALN267" s="394"/>
      <c r="ALO267" s="394"/>
      <c r="ALP267" s="394"/>
      <c r="ALQ267" s="394"/>
      <c r="ALR267" s="394"/>
      <c r="ALS267" s="394"/>
      <c r="ALT267" s="394"/>
      <c r="ALU267" s="394"/>
      <c r="ALV267" s="394"/>
      <c r="ALW267" s="394"/>
      <c r="ALX267" s="394"/>
      <c r="ALY267" s="394"/>
      <c r="ALZ267" s="394"/>
      <c r="AMA267" s="394"/>
      <c r="AMB267" s="394"/>
      <c r="AMC267" s="394"/>
      <c r="AMD267" s="394"/>
      <c r="AME267" s="394"/>
      <c r="AMF267" s="394"/>
      <c r="AMG267" s="394"/>
      <c r="AMH267" s="394"/>
      <c r="AMI267" s="394"/>
      <c r="AMJ267" s="394"/>
      <c r="AMK267" s="394"/>
      <c r="AML267" s="394"/>
      <c r="AMM267" s="394"/>
      <c r="AMN267" s="394"/>
      <c r="AMO267" s="394"/>
      <c r="AMP267" s="394"/>
      <c r="AMQ267" s="394"/>
      <c r="AMR267" s="394"/>
      <c r="AMS267" s="394"/>
      <c r="AMT267" s="394"/>
      <c r="AMU267" s="394"/>
      <c r="AMV267" s="394"/>
      <c r="AMW267" s="394"/>
      <c r="AMX267" s="394"/>
      <c r="AMY267" s="394"/>
      <c r="AMZ267" s="394"/>
      <c r="ANA267" s="394"/>
      <c r="ANB267" s="394"/>
      <c r="ANC267" s="394"/>
      <c r="AND267" s="394"/>
      <c r="ANE267" s="394"/>
      <c r="ANF267" s="394"/>
      <c r="ANG267" s="394"/>
      <c r="ANH267" s="394"/>
      <c r="ANI267" s="394"/>
      <c r="ANJ267" s="394"/>
      <c r="ANK267" s="394"/>
      <c r="ANL267" s="394"/>
      <c r="ANM267" s="394"/>
      <c r="ANN267" s="394"/>
      <c r="ANO267" s="394"/>
      <c r="ANP267" s="394"/>
      <c r="ANQ267" s="394"/>
      <c r="ANR267" s="394"/>
      <c r="ANS267" s="394"/>
      <c r="ANT267" s="394"/>
      <c r="ANU267" s="394"/>
      <c r="ANV267" s="394"/>
      <c r="ANW267" s="394"/>
      <c r="ANX267" s="394"/>
      <c r="ANY267" s="394"/>
      <c r="ANZ267" s="394"/>
      <c r="AOA267" s="394"/>
      <c r="AOB267" s="394"/>
      <c r="AOC267" s="394"/>
      <c r="AOD267" s="394"/>
      <c r="AOE267" s="394"/>
      <c r="AOF267" s="394"/>
      <c r="AOG267" s="394"/>
      <c r="AOH267" s="394"/>
      <c r="AOI267" s="394"/>
      <c r="AOJ267" s="394"/>
      <c r="AOK267" s="394"/>
      <c r="AOL267" s="394"/>
      <c r="AOM267" s="394"/>
      <c r="AON267" s="394"/>
      <c r="AOO267" s="394"/>
      <c r="AOP267" s="394"/>
      <c r="AOQ267" s="394"/>
      <c r="AOR267" s="394"/>
      <c r="AOS267" s="394"/>
      <c r="AOT267" s="394"/>
      <c r="AOU267" s="394"/>
      <c r="AOV267" s="394"/>
      <c r="AOW267" s="394"/>
      <c r="AOX267" s="394"/>
      <c r="AOY267" s="394"/>
      <c r="AOZ267" s="394"/>
      <c r="APA267" s="394"/>
      <c r="APB267" s="394"/>
      <c r="APC267" s="394"/>
      <c r="APD267" s="394"/>
      <c r="APE267" s="394"/>
      <c r="APF267" s="394"/>
      <c r="APG267" s="394"/>
      <c r="APH267" s="394"/>
      <c r="API267" s="394"/>
      <c r="APJ267" s="394"/>
      <c r="APK267" s="394"/>
      <c r="APL267" s="394"/>
      <c r="APM267" s="394"/>
      <c r="APN267" s="394"/>
      <c r="APO267" s="394"/>
      <c r="APP267" s="394"/>
      <c r="APQ267" s="394"/>
      <c r="APR267" s="394"/>
      <c r="APS267" s="394"/>
      <c r="APT267" s="394"/>
      <c r="APU267" s="394"/>
      <c r="APV267" s="394"/>
      <c r="APW267" s="394"/>
      <c r="APX267" s="394"/>
      <c r="APY267" s="394"/>
      <c r="APZ267" s="394"/>
      <c r="AQA267" s="394"/>
      <c r="AQB267" s="394"/>
      <c r="AQC267" s="394"/>
      <c r="AQD267" s="394"/>
      <c r="AQE267" s="394"/>
      <c r="AQF267" s="394"/>
      <c r="AQG267" s="394"/>
      <c r="AQH267" s="394"/>
      <c r="AQI267" s="394"/>
      <c r="AQJ267" s="394"/>
      <c r="AQK267" s="394"/>
      <c r="AQL267" s="394"/>
      <c r="AQM267" s="394"/>
      <c r="AQN267" s="394"/>
      <c r="AQO267" s="394"/>
      <c r="AQP267" s="394"/>
      <c r="AQQ267" s="394"/>
      <c r="AQR267" s="394"/>
      <c r="AQS267" s="394"/>
      <c r="AQT267" s="394"/>
      <c r="AQU267" s="394"/>
      <c r="AQV267" s="394"/>
      <c r="AQW267" s="394"/>
      <c r="AQX267" s="394"/>
      <c r="AQY267" s="394"/>
      <c r="AQZ267" s="394"/>
      <c r="ARA267" s="394"/>
      <c r="ARB267" s="394"/>
      <c r="ARC267" s="394"/>
      <c r="ARD267" s="394"/>
      <c r="ARE267" s="394"/>
      <c r="ARF267" s="394"/>
      <c r="ARG267" s="394"/>
      <c r="ARH267" s="394"/>
      <c r="ARI267" s="394"/>
      <c r="ARJ267" s="394"/>
      <c r="ARK267" s="394"/>
      <c r="ARL267" s="394"/>
      <c r="ARM267" s="394"/>
      <c r="ARN267" s="394"/>
      <c r="ARO267" s="394"/>
      <c r="ARP267" s="394"/>
      <c r="ARQ267" s="394"/>
      <c r="ARR267" s="394"/>
      <c r="ARS267" s="394"/>
      <c r="ART267" s="394"/>
      <c r="ARU267" s="394"/>
      <c r="ARV267" s="394"/>
      <c r="ARW267" s="394"/>
      <c r="ARX267" s="394"/>
      <c r="ARY267" s="394"/>
      <c r="ARZ267" s="394"/>
      <c r="ASA267" s="394"/>
      <c r="ASB267" s="394"/>
      <c r="ASC267" s="394"/>
      <c r="ASD267" s="394"/>
      <c r="ASE267" s="394"/>
      <c r="ASF267" s="394"/>
      <c r="ASG267" s="394"/>
      <c r="ASH267" s="394"/>
      <c r="ASI267" s="394"/>
      <c r="ASJ267" s="394"/>
      <c r="ASK267" s="394"/>
      <c r="ASL267" s="394"/>
      <c r="ASM267" s="394"/>
      <c r="ASN267" s="394"/>
      <c r="ASO267" s="394"/>
      <c r="ASP267" s="394"/>
      <c r="ASQ267" s="394"/>
      <c r="ASR267" s="394"/>
      <c r="ASS267" s="394"/>
      <c r="AST267" s="394"/>
      <c r="ASU267" s="394"/>
      <c r="ASV267" s="394"/>
      <c r="ASW267" s="394"/>
      <c r="ASX267" s="394"/>
      <c r="ASY267" s="394"/>
      <c r="ASZ267" s="394"/>
      <c r="ATA267" s="394"/>
      <c r="ATB267" s="394"/>
      <c r="ATC267" s="394"/>
      <c r="ATD267" s="394"/>
      <c r="ATE267" s="394"/>
      <c r="ATF267" s="394"/>
      <c r="ATG267" s="394"/>
      <c r="ATH267" s="394"/>
      <c r="ATI267" s="394"/>
      <c r="ATJ267" s="394"/>
      <c r="ATK267" s="394"/>
      <c r="ATL267" s="394"/>
      <c r="ATM267" s="394"/>
      <c r="ATN267" s="394"/>
      <c r="ATO267" s="394"/>
      <c r="ATP267" s="394"/>
      <c r="ATQ267" s="394"/>
      <c r="ATR267" s="394"/>
      <c r="ATS267" s="394"/>
      <c r="ATT267" s="394"/>
      <c r="ATU267" s="394"/>
      <c r="ATV267" s="394"/>
      <c r="ATW267" s="394"/>
      <c r="ATX267" s="394"/>
      <c r="ATY267" s="394"/>
      <c r="ATZ267" s="394"/>
      <c r="AUA267" s="394"/>
      <c r="AUB267" s="394"/>
      <c r="AUC267" s="394"/>
      <c r="AUD267" s="394"/>
      <c r="AUE267" s="394"/>
      <c r="AUF267" s="394"/>
      <c r="AUG267" s="394"/>
      <c r="AUH267" s="394"/>
      <c r="AUI267" s="394"/>
      <c r="AUJ267" s="394"/>
      <c r="AUK267" s="394"/>
      <c r="AUL267" s="394"/>
      <c r="AUM267" s="394"/>
      <c r="AUN267" s="394"/>
      <c r="AUO267" s="394"/>
      <c r="AUP267" s="394"/>
      <c r="AUQ267" s="394"/>
      <c r="AUR267" s="394"/>
      <c r="AUS267" s="394"/>
      <c r="AUT267" s="394"/>
      <c r="AUU267" s="394"/>
      <c r="AUV267" s="394"/>
      <c r="AUW267" s="394"/>
      <c r="AUX267" s="394"/>
      <c r="AUY267" s="394"/>
      <c r="AUZ267" s="394"/>
      <c r="AVA267" s="394"/>
      <c r="AVB267" s="394"/>
      <c r="AVC267" s="394"/>
      <c r="AVD267" s="394"/>
      <c r="AVE267" s="394"/>
      <c r="AVF267" s="394"/>
      <c r="AVG267" s="394"/>
      <c r="AVH267" s="394"/>
      <c r="AVI267" s="394"/>
      <c r="AVJ267" s="394"/>
      <c r="AVK267" s="394"/>
      <c r="AVL267" s="394"/>
      <c r="AVM267" s="394"/>
      <c r="AVN267" s="394"/>
      <c r="AVO267" s="394"/>
      <c r="AVP267" s="394"/>
      <c r="AVQ267" s="394"/>
      <c r="AVR267" s="394"/>
      <c r="AVS267" s="394"/>
      <c r="AVT267" s="394"/>
      <c r="AVU267" s="394"/>
      <c r="AVV267" s="394"/>
      <c r="AVW267" s="394"/>
      <c r="AVX267" s="394"/>
      <c r="AVY267" s="394"/>
      <c r="AVZ267" s="394"/>
      <c r="AWA267" s="394"/>
      <c r="AWB267" s="394"/>
      <c r="AWC267" s="394"/>
      <c r="AWD267" s="394"/>
      <c r="AWE267" s="394"/>
      <c r="AWF267" s="394"/>
      <c r="AWG267" s="394"/>
      <c r="AWH267" s="394"/>
      <c r="AWI267" s="394"/>
      <c r="AWJ267" s="394"/>
      <c r="AWK267" s="394"/>
      <c r="AWL267" s="394"/>
      <c r="AWM267" s="394"/>
      <c r="AWN267" s="394"/>
      <c r="AWO267" s="394"/>
      <c r="AWP267" s="394"/>
      <c r="AWQ267" s="394"/>
      <c r="AWR267" s="394"/>
      <c r="AWS267" s="394"/>
      <c r="AWT267" s="394"/>
      <c r="AWU267" s="394"/>
      <c r="AWV267" s="394"/>
      <c r="AWW267" s="394"/>
      <c r="AWX267" s="394"/>
      <c r="AWY267" s="394"/>
      <c r="AWZ267" s="394"/>
      <c r="AXA267" s="394"/>
      <c r="AXB267" s="394"/>
      <c r="AXC267" s="394"/>
      <c r="AXD267" s="394"/>
      <c r="AXE267" s="394"/>
      <c r="AXF267" s="394"/>
      <c r="AXG267" s="394"/>
      <c r="AXH267" s="394"/>
      <c r="AXI267" s="394"/>
      <c r="AXJ267" s="394"/>
      <c r="AXK267" s="394"/>
      <c r="AXL267" s="394"/>
      <c r="AXM267" s="394"/>
      <c r="AXN267" s="394"/>
      <c r="AXO267" s="394"/>
      <c r="AXP267" s="394"/>
      <c r="AXQ267" s="394"/>
      <c r="AXR267" s="394"/>
      <c r="AXS267" s="394"/>
      <c r="AXT267" s="394"/>
      <c r="AXU267" s="394"/>
      <c r="AXV267" s="394"/>
      <c r="AXW267" s="394"/>
      <c r="AXX267" s="394"/>
      <c r="AXY267" s="394"/>
      <c r="AXZ267" s="394"/>
      <c r="AYA267" s="394"/>
      <c r="AYB267" s="394"/>
      <c r="AYC267" s="394"/>
      <c r="AYD267" s="394"/>
      <c r="AYE267" s="394"/>
      <c r="AYF267" s="394"/>
      <c r="AYG267" s="394"/>
      <c r="AYH267" s="394"/>
      <c r="AYI267" s="394"/>
      <c r="AYJ267" s="394"/>
      <c r="AYK267" s="394"/>
      <c r="AYL267" s="394"/>
      <c r="AYM267" s="394"/>
      <c r="AYN267" s="394"/>
      <c r="AYO267" s="394"/>
      <c r="AYP267" s="394"/>
      <c r="AYQ267" s="394"/>
      <c r="AYR267" s="394"/>
      <c r="AYS267" s="394"/>
      <c r="AYT267" s="394"/>
      <c r="AYU267" s="394"/>
      <c r="AYV267" s="394"/>
      <c r="AYW267" s="394"/>
      <c r="AYX267" s="394"/>
      <c r="AYY267" s="394"/>
      <c r="AYZ267" s="394"/>
      <c r="AZA267" s="394"/>
      <c r="AZB267" s="394"/>
      <c r="AZC267" s="394"/>
      <c r="AZD267" s="394"/>
      <c r="AZE267" s="394"/>
      <c r="AZF267" s="394"/>
      <c r="AZG267" s="394"/>
      <c r="AZH267" s="394"/>
      <c r="AZI267" s="394"/>
      <c r="AZJ267" s="394"/>
      <c r="AZK267" s="394"/>
      <c r="AZL267" s="394"/>
      <c r="AZM267" s="394"/>
      <c r="AZN267" s="394"/>
      <c r="AZO267" s="394"/>
      <c r="AZP267" s="394"/>
      <c r="AZQ267" s="394"/>
      <c r="AZR267" s="394"/>
      <c r="AZS267" s="394"/>
      <c r="AZT267" s="394"/>
      <c r="AZU267" s="394"/>
      <c r="AZV267" s="394"/>
      <c r="AZW267" s="394"/>
      <c r="AZX267" s="394"/>
      <c r="AZY267" s="394"/>
      <c r="AZZ267" s="394"/>
      <c r="BAA267" s="394"/>
      <c r="BAB267" s="394"/>
      <c r="BAC267" s="394"/>
      <c r="BAD267" s="394"/>
      <c r="BAE267" s="394"/>
      <c r="BAF267" s="394"/>
      <c r="BAG267" s="394"/>
      <c r="BAH267" s="394"/>
      <c r="BAI267" s="394"/>
      <c r="BAJ267" s="394"/>
      <c r="BAK267" s="394"/>
      <c r="BAL267" s="394"/>
      <c r="BAM267" s="394"/>
      <c r="BAN267" s="394"/>
      <c r="BAO267" s="394"/>
      <c r="BAP267" s="394"/>
      <c r="BAQ267" s="394"/>
      <c r="BAR267" s="394"/>
      <c r="BAS267" s="394"/>
      <c r="BAT267" s="394"/>
      <c r="BAU267" s="394"/>
      <c r="BAV267" s="394"/>
      <c r="BAW267" s="394"/>
      <c r="BAX267" s="394"/>
      <c r="BAY267" s="394"/>
      <c r="BAZ267" s="394"/>
      <c r="BBA267" s="394"/>
      <c r="BBB267" s="394"/>
      <c r="BBC267" s="394"/>
      <c r="BBD267" s="394"/>
      <c r="BBE267" s="394"/>
      <c r="BBF267" s="394"/>
      <c r="BBG267" s="394"/>
      <c r="BBH267" s="394"/>
      <c r="BBI267" s="394"/>
      <c r="BBJ267" s="394"/>
      <c r="BBK267" s="394"/>
      <c r="BBL267" s="394"/>
      <c r="BBM267" s="394"/>
      <c r="BBN267" s="394"/>
      <c r="BBO267" s="394"/>
      <c r="BBP267" s="394"/>
      <c r="BBQ267" s="394"/>
      <c r="BBR267" s="394"/>
      <c r="BBS267" s="394"/>
      <c r="BBT267" s="394"/>
      <c r="BBU267" s="394"/>
      <c r="BBV267" s="394"/>
      <c r="BBW267" s="394"/>
      <c r="BBX267" s="394"/>
      <c r="BBY267" s="394"/>
      <c r="BBZ267" s="394"/>
      <c r="BCA267" s="394"/>
      <c r="BCB267" s="394"/>
      <c r="BCC267" s="394"/>
      <c r="BCD267" s="394"/>
      <c r="BCE267" s="394"/>
      <c r="BCF267" s="394"/>
      <c r="BCG267" s="394"/>
      <c r="BCH267" s="394"/>
      <c r="BCI267" s="394"/>
      <c r="BCJ267" s="394"/>
      <c r="BCK267" s="394"/>
      <c r="BCL267" s="394"/>
      <c r="BCM267" s="394"/>
      <c r="BCN267" s="394"/>
      <c r="BCO267" s="394"/>
      <c r="BCP267" s="394"/>
      <c r="BCQ267" s="394"/>
      <c r="BCR267" s="394"/>
      <c r="BCS267" s="394"/>
      <c r="BCT267" s="394"/>
      <c r="BCU267" s="394"/>
      <c r="BCV267" s="394"/>
      <c r="BCW267" s="394"/>
      <c r="BCX267" s="394"/>
      <c r="BCY267" s="394"/>
      <c r="BCZ267" s="394"/>
      <c r="BDA267" s="394"/>
      <c r="BDB267" s="394"/>
      <c r="BDC267" s="394"/>
      <c r="BDD267" s="394"/>
      <c r="BDE267" s="394"/>
      <c r="BDF267" s="394"/>
      <c r="BDG267" s="394"/>
      <c r="BDH267" s="394"/>
      <c r="BDI267" s="394"/>
      <c r="BDJ267" s="394"/>
      <c r="BDK267" s="394"/>
      <c r="BDL267" s="394"/>
      <c r="BDM267" s="394"/>
      <c r="BDN267" s="394"/>
      <c r="BDO267" s="394"/>
      <c r="BDP267" s="394"/>
      <c r="BDQ267" s="394"/>
      <c r="BDR267" s="394"/>
      <c r="BDS267" s="394"/>
      <c r="BDT267" s="394"/>
      <c r="BDU267" s="394"/>
      <c r="BDV267" s="394"/>
      <c r="BDW267" s="394"/>
      <c r="BDX267" s="394"/>
      <c r="BDY267" s="394"/>
      <c r="BDZ267" s="394"/>
      <c r="BEA267" s="394"/>
      <c r="BEB267" s="394"/>
      <c r="BEC267" s="394"/>
      <c r="BED267" s="394"/>
      <c r="BEE267" s="394"/>
      <c r="BEF267" s="394"/>
      <c r="BEG267" s="394"/>
      <c r="BEH267" s="394"/>
      <c r="BEI267" s="394"/>
      <c r="BEJ267" s="394"/>
      <c r="BEK267" s="394"/>
      <c r="BEL267" s="394"/>
      <c r="BEM267" s="394"/>
      <c r="BEN267" s="394"/>
      <c r="BEO267" s="394"/>
      <c r="BEP267" s="394"/>
      <c r="BEQ267" s="394"/>
      <c r="BER267" s="394"/>
      <c r="BES267" s="394"/>
      <c r="BET267" s="394"/>
      <c r="BEU267" s="394"/>
      <c r="BEV267" s="394"/>
      <c r="BEW267" s="394"/>
      <c r="BEX267" s="394"/>
      <c r="BEY267" s="394"/>
      <c r="BEZ267" s="394"/>
      <c r="BFA267" s="394"/>
      <c r="BFB267" s="394"/>
      <c r="BFC267" s="394"/>
      <c r="BFD267" s="394"/>
      <c r="BFE267" s="394"/>
      <c r="BFF267" s="394"/>
      <c r="BFG267" s="394"/>
      <c r="BFH267" s="394"/>
      <c r="BFI267" s="394"/>
      <c r="BFJ267" s="394"/>
      <c r="BFK267" s="394"/>
      <c r="BFL267" s="394"/>
      <c r="BFM267" s="394"/>
      <c r="BFN267" s="394"/>
      <c r="BFO267" s="394"/>
      <c r="BFP267" s="394"/>
      <c r="BFQ267" s="394"/>
      <c r="BFR267" s="394"/>
      <c r="BFS267" s="394"/>
      <c r="BFT267" s="394"/>
      <c r="BFU267" s="394"/>
      <c r="BFV267" s="394"/>
      <c r="BFW267" s="394"/>
      <c r="BFX267" s="394"/>
      <c r="BFY267" s="394"/>
      <c r="BFZ267" s="394"/>
      <c r="BGA267" s="394"/>
      <c r="BGB267" s="394"/>
      <c r="BGC267" s="394"/>
      <c r="BGD267" s="394"/>
      <c r="BGE267" s="394"/>
      <c r="BGF267" s="394"/>
      <c r="BGG267" s="394"/>
      <c r="BGH267" s="394"/>
      <c r="BGI267" s="394"/>
      <c r="BGJ267" s="394"/>
      <c r="BGK267" s="394"/>
      <c r="BGL267" s="394"/>
      <c r="BGM267" s="394"/>
      <c r="BGN267" s="394"/>
      <c r="BGO267" s="394"/>
      <c r="BGP267" s="394"/>
      <c r="BGQ267" s="394"/>
      <c r="BGR267" s="394"/>
      <c r="BGS267" s="394"/>
      <c r="BGT267" s="394"/>
      <c r="BGU267" s="394"/>
      <c r="BGV267" s="394"/>
      <c r="BGW267" s="394"/>
      <c r="BGX267" s="394"/>
      <c r="BGY267" s="394"/>
      <c r="BGZ267" s="394"/>
      <c r="BHA267" s="394"/>
      <c r="BHB267" s="394"/>
      <c r="BHC267" s="394"/>
      <c r="BHD267" s="394"/>
      <c r="BHE267" s="394"/>
      <c r="BHF267" s="394"/>
      <c r="BHG267" s="394"/>
      <c r="BHH267" s="394"/>
      <c r="BHI267" s="394"/>
      <c r="BHJ267" s="394"/>
      <c r="BHK267" s="394"/>
      <c r="BHL267" s="394"/>
      <c r="BHM267" s="394"/>
      <c r="BHN267" s="394"/>
      <c r="BHO267" s="394"/>
      <c r="BHP267" s="394"/>
      <c r="BHQ267" s="394"/>
      <c r="BHR267" s="394"/>
      <c r="BHS267" s="394"/>
      <c r="BHT267" s="394"/>
      <c r="BHU267" s="394"/>
      <c r="BHV267" s="394"/>
      <c r="BHW267" s="394"/>
      <c r="BHX267" s="394"/>
      <c r="BHY267" s="394"/>
      <c r="BHZ267" s="394"/>
      <c r="BIA267" s="394"/>
      <c r="BIB267" s="394"/>
      <c r="BIC267" s="394"/>
      <c r="BID267" s="394"/>
      <c r="BIE267" s="394"/>
      <c r="BIF267" s="394"/>
      <c r="BIG267" s="394"/>
      <c r="BIH267" s="394"/>
      <c r="BII267" s="394"/>
      <c r="BIJ267" s="394"/>
      <c r="BIK267" s="394"/>
      <c r="BIL267" s="394"/>
      <c r="BIM267" s="394"/>
      <c r="BIN267" s="394"/>
      <c r="BIO267" s="394"/>
      <c r="BIP267" s="394"/>
      <c r="BIQ267" s="394"/>
      <c r="BIR267" s="394"/>
      <c r="BIS267" s="394"/>
      <c r="BIT267" s="394"/>
      <c r="BIU267" s="394"/>
      <c r="BIV267" s="394"/>
      <c r="BIW267" s="394"/>
      <c r="BIX267" s="394"/>
      <c r="BIY267" s="394"/>
      <c r="BIZ267" s="394"/>
      <c r="BJA267" s="394"/>
      <c r="BJB267" s="394"/>
      <c r="BJC267" s="394"/>
      <c r="BJD267" s="394"/>
      <c r="BJE267" s="394"/>
      <c r="BJF267" s="394"/>
      <c r="BJG267" s="394"/>
      <c r="BJH267" s="394"/>
      <c r="BJI267" s="394"/>
      <c r="BJJ267" s="394"/>
      <c r="BJK267" s="394"/>
      <c r="BJL267" s="394"/>
      <c r="BJM267" s="394"/>
      <c r="BJN267" s="394"/>
      <c r="BJO267" s="394"/>
      <c r="BJP267" s="394"/>
      <c r="BJQ267" s="394"/>
      <c r="BJR267" s="394"/>
      <c r="BJS267" s="394"/>
      <c r="BJT267" s="394"/>
      <c r="BJU267" s="394"/>
      <c r="BJV267" s="394"/>
      <c r="BJW267" s="394"/>
      <c r="BJX267" s="394"/>
      <c r="BJY267" s="394"/>
      <c r="BJZ267" s="394"/>
      <c r="BKA267" s="394"/>
      <c r="BKB267" s="394"/>
      <c r="BKC267" s="394"/>
      <c r="BKD267" s="394"/>
      <c r="BKE267" s="394"/>
      <c r="BKF267" s="394"/>
      <c r="BKG267" s="394"/>
      <c r="BKH267" s="394"/>
      <c r="BKI267" s="394"/>
      <c r="BKJ267" s="394"/>
      <c r="BKK267" s="394"/>
      <c r="BKL267" s="394"/>
      <c r="BKM267" s="394"/>
      <c r="BKN267" s="394"/>
      <c r="BKO267" s="394"/>
      <c r="BKP267" s="394"/>
      <c r="BKQ267" s="394"/>
      <c r="BKR267" s="394"/>
      <c r="BKS267" s="394"/>
      <c r="BKT267" s="394"/>
      <c r="BKU267" s="394"/>
      <c r="BKV267" s="394"/>
      <c r="BKW267" s="394"/>
      <c r="BKX267" s="394"/>
      <c r="BKY267" s="394"/>
      <c r="BKZ267" s="394"/>
      <c r="BLA267" s="394"/>
      <c r="BLB267" s="394"/>
      <c r="BLC267" s="394"/>
      <c r="BLD267" s="394"/>
      <c r="BLE267" s="394"/>
      <c r="BLF267" s="394"/>
      <c r="BLG267" s="394"/>
      <c r="BLH267" s="394"/>
      <c r="BLI267" s="394"/>
      <c r="BLJ267" s="394"/>
      <c r="BLK267" s="394"/>
      <c r="BLL267" s="394"/>
      <c r="BLM267" s="394"/>
      <c r="BLN267" s="394"/>
      <c r="BLO267" s="394"/>
      <c r="BLP267" s="394"/>
      <c r="BLQ267" s="394"/>
      <c r="BLR267" s="394"/>
      <c r="BLS267" s="394"/>
      <c r="BLT267" s="394"/>
      <c r="BLU267" s="394"/>
      <c r="BLV267" s="394"/>
      <c r="BLW267" s="394"/>
      <c r="BLX267" s="394"/>
      <c r="BLY267" s="394"/>
      <c r="BLZ267" s="394"/>
      <c r="BMA267" s="394"/>
      <c r="BMB267" s="394"/>
      <c r="BMC267" s="394"/>
      <c r="BMD267" s="394"/>
      <c r="BME267" s="394"/>
      <c r="BMF267" s="394"/>
      <c r="BMG267" s="394"/>
      <c r="BMH267" s="394"/>
      <c r="BMI267" s="394"/>
      <c r="BMJ267" s="394"/>
      <c r="BMK267" s="394"/>
      <c r="BML267" s="394"/>
      <c r="BMM267" s="394"/>
      <c r="BMN267" s="394"/>
      <c r="BMO267" s="394"/>
      <c r="BMP267" s="394"/>
      <c r="BMQ267" s="394"/>
      <c r="BMR267" s="394"/>
      <c r="BMS267" s="394"/>
      <c r="BMT267" s="394"/>
      <c r="BMU267" s="394"/>
      <c r="BMV267" s="394"/>
      <c r="BMW267" s="394"/>
      <c r="BMX267" s="394"/>
      <c r="BMY267" s="394"/>
      <c r="BMZ267" s="394"/>
      <c r="BNA267" s="394"/>
      <c r="BNB267" s="394"/>
      <c r="BNC267" s="394"/>
      <c r="BND267" s="394"/>
      <c r="BNE267" s="394"/>
      <c r="BNF267" s="394"/>
      <c r="BNG267" s="394"/>
      <c r="BNH267" s="394"/>
      <c r="BNI267" s="394"/>
      <c r="BNJ267" s="394"/>
      <c r="BNK267" s="394"/>
      <c r="BNL267" s="394"/>
      <c r="BNM267" s="394"/>
      <c r="BNN267" s="394"/>
      <c r="BNO267" s="394"/>
      <c r="BNP267" s="394"/>
      <c r="BNQ267" s="394"/>
      <c r="BNR267" s="394"/>
      <c r="BNS267" s="394"/>
      <c r="BNT267" s="394"/>
      <c r="BNU267" s="394"/>
      <c r="BNV267" s="394"/>
      <c r="BNW267" s="394"/>
      <c r="BNX267" s="394"/>
      <c r="BNY267" s="394"/>
      <c r="BNZ267" s="394"/>
      <c r="BOA267" s="394"/>
      <c r="BOB267" s="394"/>
      <c r="BOC267" s="394"/>
      <c r="BOD267" s="394"/>
      <c r="BOE267" s="394"/>
      <c r="BOF267" s="394"/>
      <c r="BOG267" s="394"/>
      <c r="BOH267" s="394"/>
      <c r="BOI267" s="394"/>
      <c r="BOJ267" s="394"/>
      <c r="BOK267" s="394"/>
      <c r="BOL267" s="394"/>
      <c r="BOM267" s="394"/>
      <c r="BON267" s="394"/>
      <c r="BOO267" s="394"/>
      <c r="BOP267" s="394"/>
      <c r="BOQ267" s="394"/>
      <c r="BOR267" s="394"/>
      <c r="BOS267" s="394"/>
      <c r="BOT267" s="394"/>
      <c r="BOU267" s="394"/>
      <c r="BOV267" s="394"/>
      <c r="BOW267" s="394"/>
      <c r="BOX267" s="394"/>
      <c r="BOY267" s="394"/>
      <c r="BOZ267" s="394"/>
      <c r="BPA267" s="394"/>
      <c r="BPB267" s="394"/>
      <c r="BPC267" s="394"/>
      <c r="BPD267" s="394"/>
      <c r="BPE267" s="394"/>
      <c r="BPF267" s="394"/>
      <c r="BPG267" s="394"/>
      <c r="BPH267" s="394"/>
      <c r="BPI267" s="394"/>
      <c r="BPJ267" s="394"/>
      <c r="BPK267" s="394"/>
      <c r="BPL267" s="394"/>
      <c r="BPM267" s="394"/>
      <c r="BPN267" s="394"/>
      <c r="BPO267" s="394"/>
      <c r="BPP267" s="394"/>
      <c r="BPQ267" s="394"/>
      <c r="BPR267" s="394"/>
      <c r="BPS267" s="394"/>
      <c r="BPT267" s="394"/>
      <c r="BPU267" s="394"/>
      <c r="BPV267" s="394"/>
      <c r="BPW267" s="394"/>
      <c r="BPX267" s="394"/>
      <c r="BPY267" s="394"/>
      <c r="BPZ267" s="394"/>
      <c r="BQA267" s="394"/>
      <c r="BQB267" s="394"/>
      <c r="BQC267" s="394"/>
      <c r="BQD267" s="394"/>
      <c r="BQE267" s="394"/>
      <c r="BQF267" s="394"/>
      <c r="BQG267" s="394"/>
      <c r="BQH267" s="394"/>
      <c r="BQI267" s="394"/>
      <c r="BQJ267" s="394"/>
      <c r="BQK267" s="394"/>
      <c r="BQL267" s="394"/>
      <c r="BQM267" s="394"/>
      <c r="BQN267" s="394"/>
      <c r="BQO267" s="394"/>
      <c r="BQP267" s="394"/>
      <c r="BQQ267" s="394"/>
      <c r="BQR267" s="394"/>
      <c r="BQS267" s="394"/>
      <c r="BQT267" s="394"/>
      <c r="BQU267" s="394"/>
      <c r="BQV267" s="394"/>
      <c r="BQW267" s="394"/>
      <c r="BQX267" s="394"/>
      <c r="BQY267" s="394"/>
      <c r="BQZ267" s="394"/>
      <c r="BRA267" s="394"/>
      <c r="BRB267" s="394"/>
      <c r="BRC267" s="394"/>
      <c r="BRD267" s="394"/>
      <c r="BRE267" s="394"/>
      <c r="BRF267" s="394"/>
      <c r="BRG267" s="394"/>
      <c r="BRH267" s="394"/>
      <c r="BRI267" s="394"/>
      <c r="BRJ267" s="394"/>
      <c r="BRK267" s="394"/>
      <c r="BRL267" s="394"/>
      <c r="BRM267" s="394"/>
      <c r="BRN267" s="394"/>
      <c r="BRO267" s="394"/>
      <c r="BRP267" s="394"/>
      <c r="BRQ267" s="394"/>
      <c r="BRR267" s="394"/>
      <c r="BRS267" s="394"/>
      <c r="BRT267" s="394"/>
      <c r="BRU267" s="394"/>
      <c r="BRV267" s="394"/>
      <c r="BRW267" s="394"/>
      <c r="BRX267" s="394"/>
      <c r="BRY267" s="394"/>
      <c r="BRZ267" s="394"/>
      <c r="BSA267" s="394"/>
      <c r="BSB267" s="394"/>
      <c r="BSC267" s="394"/>
      <c r="BSD267" s="394"/>
      <c r="BSE267" s="394"/>
      <c r="BSF267" s="394"/>
      <c r="BSG267" s="394"/>
      <c r="BSH267" s="394"/>
      <c r="BSI267" s="394"/>
      <c r="BSJ267" s="394"/>
      <c r="BSK267" s="394"/>
      <c r="BSL267" s="394"/>
      <c r="BSM267" s="394"/>
      <c r="BSN267" s="394"/>
      <c r="BSO267" s="394"/>
      <c r="BSP267" s="394"/>
      <c r="BSQ267" s="394"/>
      <c r="BSR267" s="394"/>
      <c r="BSS267" s="394"/>
      <c r="BST267" s="394"/>
      <c r="BSU267" s="394"/>
      <c r="BSV267" s="394"/>
      <c r="BSW267" s="394"/>
      <c r="BSX267" s="394"/>
      <c r="BSY267" s="394"/>
      <c r="BSZ267" s="394"/>
      <c r="BTA267" s="394"/>
      <c r="BTB267" s="394"/>
      <c r="BTC267" s="394"/>
      <c r="BTD267" s="394"/>
      <c r="BTE267" s="394"/>
      <c r="BTF267" s="394"/>
      <c r="BTG267" s="394"/>
      <c r="BTH267" s="394"/>
      <c r="BTI267" s="394"/>
    </row>
    <row r="269" spans="1:1881" x14ac:dyDescent="0.25">
      <c r="A269" s="189"/>
      <c r="B269" s="40"/>
      <c r="C269" s="40"/>
      <c r="D269" s="2"/>
      <c r="E269" s="497"/>
      <c r="F269" s="4"/>
      <c r="G269" s="7"/>
      <c r="H269" s="13"/>
      <c r="I269" s="188"/>
    </row>
    <row r="270" spans="1:1881" x14ac:dyDescent="0.25">
      <c r="A270" s="24"/>
      <c r="B270" s="179"/>
      <c r="C270" s="179"/>
      <c r="D270" s="2"/>
      <c r="E270" s="497"/>
      <c r="F270"/>
      <c r="G270" s="7"/>
      <c r="H270" s="13"/>
      <c r="I270" s="188"/>
    </row>
    <row r="271" spans="1:1881" x14ac:dyDescent="0.25">
      <c r="A271" s="24"/>
      <c r="B271" s="179"/>
      <c r="C271" s="179"/>
      <c r="D271" s="55"/>
      <c r="E271" s="497"/>
      <c r="F271"/>
      <c r="G271" s="7"/>
      <c r="H271" s="13"/>
      <c r="I271" s="188"/>
    </row>
    <row r="272" spans="1:1881" x14ac:dyDescent="0.25">
      <c r="A272" s="24"/>
      <c r="B272" s="179"/>
      <c r="C272" s="179"/>
      <c r="D272" s="55"/>
      <c r="E272" s="497"/>
      <c r="F272"/>
      <c r="G272" s="7"/>
      <c r="H272" s="13"/>
      <c r="I272" s="188"/>
    </row>
    <row r="273" spans="1:9" x14ac:dyDescent="0.25">
      <c r="A273" s="24"/>
      <c r="B273" s="179"/>
      <c r="C273" s="179"/>
      <c r="D273" s="55"/>
      <c r="E273" s="497"/>
      <c r="F273"/>
      <c r="G273" s="7"/>
      <c r="H273" s="13"/>
      <c r="I273" s="188"/>
    </row>
    <row r="274" spans="1:9" x14ac:dyDescent="0.25">
      <c r="A274" s="24"/>
      <c r="B274" s="179"/>
      <c r="C274" s="179"/>
      <c r="D274" s="55"/>
      <c r="E274" s="497"/>
      <c r="F274"/>
      <c r="G274" s="7"/>
      <c r="H274" s="13"/>
      <c r="I274" s="188"/>
    </row>
    <row r="275" spans="1:9" x14ac:dyDescent="0.25">
      <c r="A275" s="24"/>
      <c r="D275" s="57"/>
      <c r="E275" s="834"/>
      <c r="F275"/>
      <c r="H275" s="13"/>
      <c r="I275" s="188"/>
    </row>
    <row r="276" spans="1:9" x14ac:dyDescent="0.25">
      <c r="D276" s="57"/>
      <c r="E276" s="834"/>
      <c r="F276"/>
      <c r="H276" s="13"/>
      <c r="I276" s="188"/>
    </row>
    <row r="277" spans="1:9" x14ac:dyDescent="0.25">
      <c r="D277" s="57"/>
      <c r="E277"/>
      <c r="F277"/>
      <c r="H277" s="13"/>
      <c r="I277" s="188"/>
    </row>
    <row r="278" spans="1:9" x14ac:dyDescent="0.25">
      <c r="D278" s="57"/>
      <c r="E278"/>
      <c r="F278"/>
      <c r="I278" s="188"/>
    </row>
    <row r="279" spans="1:9" x14ac:dyDescent="0.25">
      <c r="E279"/>
      <c r="F279"/>
      <c r="G279" s="371"/>
      <c r="I279" s="188"/>
    </row>
    <row r="280" spans="1:9" x14ac:dyDescent="0.25">
      <c r="E280"/>
      <c r="F280"/>
      <c r="I280" s="188"/>
    </row>
    <row r="281" spans="1:9" x14ac:dyDescent="0.25">
      <c r="E281"/>
      <c r="F281"/>
      <c r="I281" s="188"/>
    </row>
    <row r="282" spans="1:9" x14ac:dyDescent="0.25">
      <c r="E282"/>
      <c r="F282"/>
      <c r="I282" s="188"/>
    </row>
    <row r="283" spans="1:9" x14ac:dyDescent="0.25">
      <c r="I283" s="188"/>
    </row>
    <row r="284" spans="1:9" x14ac:dyDescent="0.25">
      <c r="I284" s="188"/>
    </row>
    <row r="285" spans="1:9" x14ac:dyDescent="0.25">
      <c r="I285" s="188"/>
    </row>
    <row r="286" spans="1:9" x14ac:dyDescent="0.25">
      <c r="I286" s="188"/>
    </row>
    <row r="287" spans="1:9" x14ac:dyDescent="0.25">
      <c r="I287" s="188"/>
    </row>
    <row r="288" spans="1:9" x14ac:dyDescent="0.25">
      <c r="I288" s="188"/>
    </row>
    <row r="289" spans="9:12" x14ac:dyDescent="0.25">
      <c r="I289" s="188"/>
    </row>
    <row r="290" spans="9:12" x14ac:dyDescent="0.25">
      <c r="I290"/>
    </row>
    <row r="291" spans="9:12" x14ac:dyDescent="0.25">
      <c r="I291"/>
      <c r="K291" s="367"/>
      <c r="L291" s="367"/>
    </row>
    <row r="292" spans="9:12" x14ac:dyDescent="0.25">
      <c r="I292"/>
      <c r="K292" s="367"/>
      <c r="L292" s="367"/>
    </row>
    <row r="293" spans="9:12" x14ac:dyDescent="0.25">
      <c r="I293"/>
      <c r="K293" s="367"/>
      <c r="L293" s="367"/>
    </row>
    <row r="294" spans="9:12" x14ac:dyDescent="0.25">
      <c r="I294"/>
      <c r="K294" s="367"/>
      <c r="L294" s="367"/>
    </row>
    <row r="295" spans="9:12" x14ac:dyDescent="0.25">
      <c r="I295"/>
      <c r="K295" s="367"/>
      <c r="L295" s="367"/>
    </row>
    <row r="296" spans="9:12" x14ac:dyDescent="0.25">
      <c r="I296"/>
      <c r="K296" s="367"/>
      <c r="L296" s="367"/>
    </row>
    <row r="297" spans="9:12" x14ac:dyDescent="0.25">
      <c r="I297" s="188"/>
      <c r="K297" s="367"/>
      <c r="L297" s="367"/>
    </row>
    <row r="298" spans="9:12" x14ac:dyDescent="0.25">
      <c r="I298" s="188"/>
      <c r="K298" s="367"/>
      <c r="L298" s="367"/>
    </row>
    <row r="299" spans="9:12" x14ac:dyDescent="0.25">
      <c r="I299" s="188"/>
      <c r="J299" s="367"/>
      <c r="K299" s="367"/>
      <c r="L299" s="367"/>
    </row>
    <row r="300" spans="9:12" x14ac:dyDescent="0.25">
      <c r="I300" s="188"/>
      <c r="J300" s="367"/>
      <c r="K300" s="367"/>
      <c r="L300" s="367"/>
    </row>
    <row r="301" spans="9:12" x14ac:dyDescent="0.25">
      <c r="I301" s="188"/>
      <c r="J301" s="367"/>
      <c r="K301" s="367"/>
      <c r="L301" s="367"/>
    </row>
    <row r="302" spans="9:12" x14ac:dyDescent="0.25">
      <c r="I302" s="188"/>
      <c r="J302" s="367"/>
      <c r="K302" s="367"/>
      <c r="L302" s="367"/>
    </row>
    <row r="303" spans="9:12" x14ac:dyDescent="0.25">
      <c r="I303" s="188"/>
      <c r="J303" s="367"/>
      <c r="K303" s="367"/>
      <c r="L303" s="367"/>
    </row>
    <row r="304" spans="9:12" x14ac:dyDescent="0.25">
      <c r="I304" s="188"/>
      <c r="J304" s="367"/>
      <c r="K304" s="367"/>
      <c r="L304" s="367"/>
    </row>
    <row r="305" spans="9:12" x14ac:dyDescent="0.25">
      <c r="I305" s="188"/>
      <c r="J305" s="367"/>
      <c r="K305" s="367"/>
      <c r="L305" s="367"/>
    </row>
    <row r="306" spans="9:12" x14ac:dyDescent="0.25">
      <c r="I306"/>
      <c r="J306" s="367"/>
      <c r="K306" s="367"/>
      <c r="L306" s="367"/>
    </row>
    <row r="307" spans="9:12" x14ac:dyDescent="0.25">
      <c r="I307"/>
      <c r="J307" s="367"/>
      <c r="K307" s="367"/>
      <c r="L307" s="367"/>
    </row>
    <row r="308" spans="9:12" x14ac:dyDescent="0.25">
      <c r="I308"/>
      <c r="J308" s="367"/>
      <c r="K308" s="367"/>
      <c r="L308" s="367"/>
    </row>
    <row r="309" spans="9:12" x14ac:dyDescent="0.25">
      <c r="I309"/>
      <c r="J309" s="367"/>
      <c r="K309" s="367"/>
      <c r="L309" s="367"/>
    </row>
    <row r="310" spans="9:12" x14ac:dyDescent="0.25">
      <c r="I310"/>
      <c r="J310" s="367"/>
      <c r="K310" s="367"/>
      <c r="L310" s="367"/>
    </row>
    <row r="311" spans="9:12" x14ac:dyDescent="0.25">
      <c r="I311"/>
      <c r="J311" s="367"/>
      <c r="K311" s="367"/>
      <c r="L311" s="367"/>
    </row>
    <row r="312" spans="9:12" x14ac:dyDescent="0.25">
      <c r="I312"/>
      <c r="J312" s="367"/>
      <c r="K312" s="367"/>
      <c r="L312" s="367"/>
    </row>
    <row r="313" spans="9:12" x14ac:dyDescent="0.25">
      <c r="I313"/>
      <c r="J313" s="367"/>
      <c r="K313" s="367"/>
      <c r="L313" s="367"/>
    </row>
    <row r="314" spans="9:12" x14ac:dyDescent="0.25">
      <c r="I314"/>
      <c r="J314" s="367"/>
      <c r="K314" s="367"/>
      <c r="L314" s="367"/>
    </row>
    <row r="315" spans="9:12" x14ac:dyDescent="0.25">
      <c r="I315"/>
      <c r="J315" s="367"/>
      <c r="K315" s="367"/>
      <c r="L315" s="367"/>
    </row>
    <row r="316" spans="9:12" x14ac:dyDescent="0.25">
      <c r="I316"/>
      <c r="J316" s="367"/>
      <c r="K316" s="367"/>
      <c r="L316" s="367"/>
    </row>
    <row r="317" spans="9:12" x14ac:dyDescent="0.25">
      <c r="I317"/>
      <c r="J317" s="367"/>
      <c r="K317" s="367"/>
      <c r="L317" s="367"/>
    </row>
    <row r="318" spans="9:12" x14ac:dyDescent="0.25">
      <c r="I318"/>
      <c r="J318" s="367"/>
      <c r="K318" s="367"/>
      <c r="L318" s="367"/>
    </row>
    <row r="319" spans="9:12" x14ac:dyDescent="0.25">
      <c r="I319"/>
      <c r="J319" s="367"/>
      <c r="K319" s="367"/>
      <c r="L319" s="367"/>
    </row>
    <row r="320" spans="9:12" x14ac:dyDescent="0.25">
      <c r="I320"/>
      <c r="J320" s="367"/>
      <c r="K320" s="367"/>
      <c r="L320" s="367"/>
    </row>
    <row r="321" spans="9:12" x14ac:dyDescent="0.25">
      <c r="I321"/>
      <c r="J321" s="367"/>
      <c r="K321" s="367"/>
      <c r="L321" s="367"/>
    </row>
    <row r="322" spans="9:12" x14ac:dyDescent="0.25">
      <c r="I322"/>
      <c r="J322" s="367"/>
      <c r="K322" s="367"/>
      <c r="L322" s="367"/>
    </row>
    <row r="323" spans="9:12" x14ac:dyDescent="0.25">
      <c r="I323"/>
      <c r="J323" s="367"/>
      <c r="K323" s="367"/>
      <c r="L323" s="367"/>
    </row>
    <row r="324" spans="9:12" x14ac:dyDescent="0.25">
      <c r="I324"/>
      <c r="J324" s="367"/>
      <c r="K324" s="367"/>
      <c r="L324" s="367"/>
    </row>
    <row r="325" spans="9:12" x14ac:dyDescent="0.25">
      <c r="I325"/>
      <c r="J325" s="367"/>
      <c r="K325" s="367"/>
      <c r="L325" s="367"/>
    </row>
    <row r="326" spans="9:12" x14ac:dyDescent="0.25">
      <c r="I326"/>
      <c r="J326" s="367"/>
      <c r="K326" s="367"/>
      <c r="L326" s="367"/>
    </row>
    <row r="327" spans="9:12" x14ac:dyDescent="0.25">
      <c r="I327"/>
      <c r="J327" s="367"/>
      <c r="K327" s="367"/>
      <c r="L327" s="367"/>
    </row>
    <row r="328" spans="9:12" x14ac:dyDescent="0.25">
      <c r="I328"/>
      <c r="J328" s="367"/>
      <c r="K328" s="367"/>
      <c r="L328" s="367"/>
    </row>
    <row r="329" spans="9:12" x14ac:dyDescent="0.25">
      <c r="I329"/>
      <c r="J329" s="367"/>
      <c r="K329" s="367"/>
      <c r="L329" s="367"/>
    </row>
    <row r="330" spans="9:12" x14ac:dyDescent="0.25">
      <c r="I330"/>
      <c r="J330" s="367"/>
      <c r="K330" s="367"/>
      <c r="L330" s="367"/>
    </row>
    <row r="331" spans="9:12" x14ac:dyDescent="0.25">
      <c r="I331"/>
      <c r="J331" s="367"/>
      <c r="K331" s="367"/>
      <c r="L331" s="367"/>
    </row>
    <row r="332" spans="9:12" x14ac:dyDescent="0.25">
      <c r="I332"/>
      <c r="J332" s="367"/>
      <c r="K332" s="367"/>
      <c r="L332" s="367"/>
    </row>
    <row r="333" spans="9:12" x14ac:dyDescent="0.25">
      <c r="I333"/>
      <c r="J333" s="367"/>
      <c r="K333" s="367"/>
      <c r="L333" s="367"/>
    </row>
    <row r="334" spans="9:12" x14ac:dyDescent="0.25">
      <c r="I334"/>
      <c r="J334" s="367"/>
      <c r="K334" s="367"/>
      <c r="L334" s="367"/>
    </row>
    <row r="335" spans="9:12" x14ac:dyDescent="0.25">
      <c r="I335"/>
      <c r="J335" s="367"/>
      <c r="K335" s="367"/>
      <c r="L335" s="367"/>
    </row>
    <row r="336" spans="9:12" x14ac:dyDescent="0.25">
      <c r="I336"/>
      <c r="J336" s="367"/>
      <c r="K336" s="367"/>
      <c r="L336" s="367"/>
    </row>
    <row r="337" spans="9:12" x14ac:dyDescent="0.25">
      <c r="I337"/>
      <c r="J337" s="367"/>
      <c r="K337" s="367"/>
      <c r="L337" s="367"/>
    </row>
    <row r="338" spans="9:12" x14ac:dyDescent="0.25">
      <c r="I338"/>
      <c r="J338" s="367"/>
      <c r="K338" s="367"/>
      <c r="L338" s="367"/>
    </row>
    <row r="339" spans="9:12" x14ac:dyDescent="0.25">
      <c r="I339"/>
      <c r="J339" s="367"/>
      <c r="K339" s="367"/>
      <c r="L339" s="367"/>
    </row>
    <row r="340" spans="9:12" x14ac:dyDescent="0.25">
      <c r="I340"/>
      <c r="J340" s="367"/>
      <c r="K340" s="367"/>
      <c r="L340" s="367"/>
    </row>
    <row r="341" spans="9:12" x14ac:dyDescent="0.25">
      <c r="I341"/>
      <c r="J341" s="367"/>
      <c r="K341" s="367"/>
      <c r="L341" s="367"/>
    </row>
    <row r="342" spans="9:12" x14ac:dyDescent="0.25">
      <c r="I342"/>
      <c r="J342" s="367"/>
      <c r="K342" s="367"/>
      <c r="L342" s="367"/>
    </row>
    <row r="343" spans="9:12" x14ac:dyDescent="0.25">
      <c r="I343"/>
      <c r="J343" s="367"/>
      <c r="K343" s="367"/>
      <c r="L343" s="367"/>
    </row>
    <row r="344" spans="9:12" x14ac:dyDescent="0.25">
      <c r="I344"/>
      <c r="J344" s="367"/>
      <c r="K344" s="367"/>
      <c r="L344" s="367"/>
    </row>
    <row r="345" spans="9:12" x14ac:dyDescent="0.25">
      <c r="I345"/>
      <c r="J345" s="367"/>
      <c r="K345" s="367"/>
      <c r="L345" s="367"/>
    </row>
    <row r="346" spans="9:12" x14ac:dyDescent="0.25">
      <c r="I346"/>
      <c r="J346" s="367"/>
      <c r="K346" s="367"/>
      <c r="L346" s="367"/>
    </row>
    <row r="347" spans="9:12" x14ac:dyDescent="0.25">
      <c r="I347"/>
      <c r="J347" s="367"/>
      <c r="K347" s="367"/>
      <c r="L347" s="367"/>
    </row>
    <row r="348" spans="9:12" x14ac:dyDescent="0.25">
      <c r="I348"/>
      <c r="J348" s="367"/>
      <c r="K348" s="367"/>
      <c r="L348" s="367"/>
    </row>
    <row r="349" spans="9:12" x14ac:dyDescent="0.25">
      <c r="I349"/>
      <c r="J349" s="367"/>
      <c r="K349" s="367"/>
      <c r="L349" s="367"/>
    </row>
    <row r="350" spans="9:12" x14ac:dyDescent="0.25">
      <c r="I350"/>
      <c r="J350" s="367"/>
      <c r="K350" s="367"/>
      <c r="L350" s="367"/>
    </row>
    <row r="351" spans="9:12" x14ac:dyDescent="0.25">
      <c r="I351"/>
      <c r="J351" s="367"/>
      <c r="K351" s="367"/>
      <c r="L351" s="367"/>
    </row>
    <row r="352" spans="9:12" x14ac:dyDescent="0.25">
      <c r="I352"/>
      <c r="J352" s="367"/>
      <c r="K352" s="367"/>
      <c r="L352" s="367"/>
    </row>
    <row r="353" spans="9:12" x14ac:dyDescent="0.25">
      <c r="I353"/>
      <c r="J353" s="367"/>
      <c r="K353" s="367"/>
      <c r="L353" s="367"/>
    </row>
    <row r="354" spans="9:12" x14ac:dyDescent="0.25">
      <c r="I354"/>
      <c r="J354" s="367"/>
      <c r="K354" s="367"/>
      <c r="L354" s="367"/>
    </row>
    <row r="355" spans="9:12" x14ac:dyDescent="0.25">
      <c r="I355"/>
      <c r="J355" s="367"/>
      <c r="K355" s="367"/>
      <c r="L355" s="367"/>
    </row>
    <row r="356" spans="9:12" x14ac:dyDescent="0.25">
      <c r="I356"/>
      <c r="J356" s="367"/>
      <c r="K356" s="367"/>
      <c r="L356" s="367"/>
    </row>
    <row r="357" spans="9:12" x14ac:dyDescent="0.25">
      <c r="I357"/>
      <c r="J357" s="367"/>
      <c r="K357" s="367"/>
      <c r="L357" s="367"/>
    </row>
    <row r="358" spans="9:12" x14ac:dyDescent="0.25">
      <c r="I358"/>
      <c r="J358" s="367"/>
      <c r="K358" s="367"/>
      <c r="L358" s="367"/>
    </row>
    <row r="359" spans="9:12" x14ac:dyDescent="0.25">
      <c r="I359"/>
      <c r="J359" s="367"/>
      <c r="K359" s="367"/>
      <c r="L359" s="367"/>
    </row>
    <row r="360" spans="9:12" x14ac:dyDescent="0.25">
      <c r="I360"/>
      <c r="J360" s="367"/>
    </row>
    <row r="361" spans="9:12" x14ac:dyDescent="0.25">
      <c r="I361"/>
      <c r="J361" s="367"/>
    </row>
    <row r="362" spans="9:12" x14ac:dyDescent="0.25">
      <c r="I362"/>
      <c r="J362" s="367"/>
    </row>
    <row r="363" spans="9:12" x14ac:dyDescent="0.25">
      <c r="I363"/>
      <c r="J363" s="367"/>
    </row>
    <row r="364" spans="9:12" x14ac:dyDescent="0.25">
      <c r="I364"/>
      <c r="J364" s="367"/>
    </row>
    <row r="365" spans="9:12" x14ac:dyDescent="0.25">
      <c r="I365"/>
      <c r="J365" s="367"/>
    </row>
    <row r="366" spans="9:12" x14ac:dyDescent="0.25">
      <c r="I366"/>
      <c r="J366" s="367"/>
    </row>
    <row r="367" spans="9:12" x14ac:dyDescent="0.25">
      <c r="I367"/>
      <c r="J367" s="367"/>
    </row>
    <row r="368" spans="9:12" x14ac:dyDescent="0.25">
      <c r="I368"/>
    </row>
    <row r="369" spans="9:9" x14ac:dyDescent="0.25">
      <c r="I369"/>
    </row>
    <row r="370" spans="9:9" x14ac:dyDescent="0.25">
      <c r="I370"/>
    </row>
    <row r="371" spans="9:9" x14ac:dyDescent="0.25">
      <c r="I371"/>
    </row>
    <row r="372" spans="9:9" x14ac:dyDescent="0.25">
      <c r="I372"/>
    </row>
    <row r="373" spans="9:9" x14ac:dyDescent="0.25">
      <c r="I373"/>
    </row>
    <row r="374" spans="9:9" x14ac:dyDescent="0.25">
      <c r="I374"/>
    </row>
    <row r="375" spans="9:9" x14ac:dyDescent="0.25">
      <c r="I375" s="188"/>
    </row>
    <row r="376" spans="9:9" x14ac:dyDescent="0.25">
      <c r="I376" s="188"/>
    </row>
    <row r="377" spans="9:9" x14ac:dyDescent="0.25">
      <c r="I377" s="188"/>
    </row>
    <row r="378" spans="9:9" x14ac:dyDescent="0.25">
      <c r="I378" s="188"/>
    </row>
    <row r="379" spans="9:9" x14ac:dyDescent="0.25">
      <c r="I379" s="188"/>
    </row>
    <row r="380" spans="9:9" x14ac:dyDescent="0.25">
      <c r="I380" s="188"/>
    </row>
    <row r="381" spans="9:9" x14ac:dyDescent="0.25">
      <c r="I381" s="188"/>
    </row>
    <row r="382" spans="9:9" x14ac:dyDescent="0.25">
      <c r="I382" s="188"/>
    </row>
    <row r="383" spans="9:9" x14ac:dyDescent="0.25">
      <c r="I383" s="188"/>
    </row>
    <row r="384" spans="9:9" x14ac:dyDescent="0.25">
      <c r="I384" s="188"/>
    </row>
  </sheetData>
  <sheetProtection formatCells="0" formatColumns="0" formatRows="0"/>
  <dataConsolidate link="1"/>
  <mergeCells count="17">
    <mergeCell ref="B260:C260"/>
    <mergeCell ref="B261:C261"/>
    <mergeCell ref="D260:E260"/>
    <mergeCell ref="D261:E261"/>
    <mergeCell ref="E2:G2"/>
    <mergeCell ref="B2:C2"/>
    <mergeCell ref="B118:D118"/>
    <mergeCell ref="A244:D244"/>
    <mergeCell ref="B254:E254"/>
    <mergeCell ref="B255:E255"/>
    <mergeCell ref="D259:E259"/>
    <mergeCell ref="B263:C263"/>
    <mergeCell ref="B264:C264"/>
    <mergeCell ref="D263:E263"/>
    <mergeCell ref="D264:E264"/>
    <mergeCell ref="B262:C262"/>
    <mergeCell ref="D262:E262"/>
  </mergeCells>
  <phoneticPr fontId="97" type="noConversion"/>
  <conditionalFormatting sqref="H145">
    <cfRule type="cellIs" dxfId="71" priority="104" stopIfTrue="1" operator="notEqual">
      <formula>0</formula>
    </cfRule>
  </conditionalFormatting>
  <conditionalFormatting sqref="H146">
    <cfRule type="cellIs" dxfId="70" priority="102" stopIfTrue="1" operator="notEqual">
      <formula>0</formula>
    </cfRule>
  </conditionalFormatting>
  <conditionalFormatting sqref="G232:G235 G239:G240">
    <cfRule type="cellIs" dxfId="69" priority="101" stopIfTrue="1" operator="notEqual">
      <formula>0</formula>
    </cfRule>
  </conditionalFormatting>
  <conditionalFormatting sqref="H23">
    <cfRule type="cellIs" dxfId="68" priority="100" stopIfTrue="1" operator="notEqual">
      <formula>0</formula>
    </cfRule>
  </conditionalFormatting>
  <conditionalFormatting sqref="H37:H38">
    <cfRule type="cellIs" dxfId="67" priority="99" stopIfTrue="1" operator="notEqual">
      <formula>0</formula>
    </cfRule>
  </conditionalFormatting>
  <conditionalFormatting sqref="H57">
    <cfRule type="cellIs" dxfId="66" priority="98" stopIfTrue="1" operator="notEqual">
      <formula>0</formula>
    </cfRule>
  </conditionalFormatting>
  <conditionalFormatting sqref="H70:H73">
    <cfRule type="cellIs" dxfId="65" priority="97" stopIfTrue="1" operator="notEqual">
      <formula>0</formula>
    </cfRule>
  </conditionalFormatting>
  <conditionalFormatting sqref="H97">
    <cfRule type="cellIs" dxfId="64" priority="96" stopIfTrue="1" operator="notEqual">
      <formula>0</formula>
    </cfRule>
  </conditionalFormatting>
  <conditionalFormatting sqref="H116">
    <cfRule type="cellIs" dxfId="63" priority="95" stopIfTrue="1" operator="notEqual">
      <formula>0</formula>
    </cfRule>
  </conditionalFormatting>
  <conditionalFormatting sqref="H129">
    <cfRule type="cellIs" dxfId="62" priority="94" stopIfTrue="1" operator="notEqual">
      <formula>0</formula>
    </cfRule>
  </conditionalFormatting>
  <conditionalFormatting sqref="H130">
    <cfRule type="cellIs" dxfId="61" priority="93" stopIfTrue="1" operator="notEqual">
      <formula>0</formula>
    </cfRule>
  </conditionalFormatting>
  <conditionalFormatting sqref="L204 G219">
    <cfRule type="cellIs" priority="65" stopIfTrue="1" operator="equal">
      <formula>";;;"</formula>
    </cfRule>
  </conditionalFormatting>
  <conditionalFormatting sqref="L204 G219">
    <cfRule type="cellIs" dxfId="60" priority="64" stopIfTrue="1" operator="equal">
      <formula>0</formula>
    </cfRule>
  </conditionalFormatting>
  <conditionalFormatting sqref="L204">
    <cfRule type="cellIs" dxfId="59" priority="63" stopIfTrue="1" operator="equal">
      <formula>0</formula>
    </cfRule>
  </conditionalFormatting>
  <conditionalFormatting sqref="G218">
    <cfRule type="cellIs" priority="62" stopIfTrue="1" operator="equal">
      <formula>";;;"</formula>
    </cfRule>
  </conditionalFormatting>
  <conditionalFormatting sqref="G218">
    <cfRule type="cellIs" dxfId="58" priority="61" stopIfTrue="1" operator="equal">
      <formula>0</formula>
    </cfRule>
  </conditionalFormatting>
  <conditionalFormatting sqref="G218">
    <cfRule type="cellIs" dxfId="57" priority="60" stopIfTrue="1" operator="equal">
      <formula>0</formula>
    </cfRule>
  </conditionalFormatting>
  <conditionalFormatting sqref="G216">
    <cfRule type="cellIs" priority="56" stopIfTrue="1" operator="equal">
      <formula>";;;"</formula>
    </cfRule>
  </conditionalFormatting>
  <conditionalFormatting sqref="G216">
    <cfRule type="cellIs" dxfId="56" priority="55" stopIfTrue="1" operator="equal">
      <formula>0</formula>
    </cfRule>
  </conditionalFormatting>
  <conditionalFormatting sqref="G216">
    <cfRule type="cellIs" dxfId="55" priority="54" stopIfTrue="1" operator="equal">
      <formula>0</formula>
    </cfRule>
  </conditionalFormatting>
  <conditionalFormatting sqref="G217">
    <cfRule type="cellIs" priority="50" stopIfTrue="1" operator="equal">
      <formula>";;;"</formula>
    </cfRule>
  </conditionalFormatting>
  <conditionalFormatting sqref="G217">
    <cfRule type="cellIs" dxfId="54" priority="49" stopIfTrue="1" operator="equal">
      <formula>0</formula>
    </cfRule>
  </conditionalFormatting>
  <conditionalFormatting sqref="G217">
    <cfRule type="cellIs" dxfId="53" priority="48" stopIfTrue="1" operator="equal">
      <formula>0</formula>
    </cfRule>
  </conditionalFormatting>
  <conditionalFormatting sqref="J210">
    <cfRule type="cellIs" priority="47" stopIfTrue="1" operator="equal">
      <formula>";;;"</formula>
    </cfRule>
  </conditionalFormatting>
  <conditionalFormatting sqref="J210">
    <cfRule type="cellIs" dxfId="52" priority="46" stopIfTrue="1" operator="equal">
      <formula>0</formula>
    </cfRule>
  </conditionalFormatting>
  <conditionalFormatting sqref="J210">
    <cfRule type="cellIs" dxfId="51" priority="45" stopIfTrue="1" operator="equal">
      <formula>0</formula>
    </cfRule>
  </conditionalFormatting>
  <conditionalFormatting sqref="G212">
    <cfRule type="cellIs" priority="17" stopIfTrue="1" operator="equal">
      <formula>";;;"</formula>
    </cfRule>
  </conditionalFormatting>
  <conditionalFormatting sqref="G212">
    <cfRule type="cellIs" dxfId="50" priority="16" stopIfTrue="1" operator="equal">
      <formula>0</formula>
    </cfRule>
  </conditionalFormatting>
  <conditionalFormatting sqref="G212">
    <cfRule type="cellIs" dxfId="49" priority="15" stopIfTrue="1" operator="equal">
      <formula>0</formula>
    </cfRule>
  </conditionalFormatting>
  <conditionalFormatting sqref="G210">
    <cfRule type="cellIs" priority="14" stopIfTrue="1" operator="equal">
      <formula>";;;"</formula>
    </cfRule>
  </conditionalFormatting>
  <conditionalFormatting sqref="G210">
    <cfRule type="cellIs" dxfId="48" priority="13" stopIfTrue="1" operator="equal">
      <formula>0</formula>
    </cfRule>
  </conditionalFormatting>
  <conditionalFormatting sqref="G210">
    <cfRule type="cellIs" dxfId="47" priority="12" stopIfTrue="1" operator="equal">
      <formula>0</formula>
    </cfRule>
  </conditionalFormatting>
  <conditionalFormatting sqref="G211">
    <cfRule type="cellIs" priority="11" stopIfTrue="1" operator="equal">
      <formula>";;;"</formula>
    </cfRule>
  </conditionalFormatting>
  <conditionalFormatting sqref="G211">
    <cfRule type="cellIs" dxfId="46" priority="10" stopIfTrue="1" operator="equal">
      <formula>0</formula>
    </cfRule>
  </conditionalFormatting>
  <conditionalFormatting sqref="G211">
    <cfRule type="cellIs" dxfId="45" priority="9" stopIfTrue="1" operator="equal">
      <formula>0</formula>
    </cfRule>
  </conditionalFormatting>
  <conditionalFormatting sqref="G214">
    <cfRule type="cellIs" priority="8" stopIfTrue="1" operator="equal">
      <formula>";;;"</formula>
    </cfRule>
  </conditionalFormatting>
  <conditionalFormatting sqref="G214">
    <cfRule type="cellIs" dxfId="44" priority="7" stopIfTrue="1" operator="equal">
      <formula>0</formula>
    </cfRule>
  </conditionalFormatting>
  <conditionalFormatting sqref="G214">
    <cfRule type="cellIs" dxfId="43" priority="6" stopIfTrue="1" operator="equal">
      <formula>0</formula>
    </cfRule>
  </conditionalFormatting>
  <dataValidations xWindow="854" yWindow="655" count="11">
    <dataValidation type="list" allowBlank="1" showInputMessage="1" showErrorMessage="1" prompt="Please select Yes or No from the drop down list" sqref="F205" xr:uid="{00000000-0002-0000-0100-000002000000}">
      <formula1>#REF!</formula1>
    </dataValidation>
    <dataValidation type="list" allowBlank="1" showInputMessage="1" showErrorMessage="1" prompt="Please select the appropriate number value from the drop-down box." sqref="F79" xr:uid="{00000000-0002-0000-0100-000005000000}">
      <formula1>$N$2:$N$4</formula1>
    </dataValidation>
    <dataValidation type="date" operator="lessThan" showInputMessage="1" showErrorMessage="1" sqref="F249" xr:uid="{D88F9905-DDAC-4ACA-8507-08F0F7852A99}">
      <formula1>44012</formula1>
    </dataValidation>
    <dataValidation type="list" allowBlank="1" showInputMessage="1" showErrorMessage="1" prompt="Select from drop down list" sqref="G71" xr:uid="{03FCCE46-B0EA-4672-8B51-281D65C01346}">
      <formula1>#REF!</formula1>
    </dataValidation>
    <dataValidation type="list" allowBlank="1" showInputMessage="1" showErrorMessage="1" prompt="Click on cell D2 and select the unit name from the drop down list" sqref="D2" xr:uid="{00000000-0002-0000-0100-000004000000}">
      <formula1>$L$6:$L$86</formula1>
    </dataValidation>
    <dataValidation type="list" allowBlank="1" showInputMessage="1" showErrorMessage="1" sqref="F71" xr:uid="{A85FF889-D99F-45B3-A284-6701B76512B6}">
      <formula1>$M$4:$M$5</formula1>
    </dataValidation>
    <dataValidation type="list" allowBlank="1" showInputMessage="1" showErrorMessage="1" sqref="F131:F132 F207 F248 F250:F252" xr:uid="{9CC5535C-800A-4D03-A86E-273A5BC3EBB6}">
      <formula1>$M$1:$M$2</formula1>
    </dataValidation>
    <dataValidation type="list" allowBlank="1" showInputMessage="1" showErrorMessage="1" sqref="F161" xr:uid="{FCE57F22-20D9-4CFA-AFE5-1751E216D3C1}">
      <formula1>$O$1:$O$2</formula1>
    </dataValidation>
    <dataValidation type="list" allowBlank="1" showInputMessage="1" showErrorMessage="1" sqref="F215" xr:uid="{2CD3BDAD-30EF-425F-BB01-D3FF43CDAA81}">
      <formula1>$O$1:$O$4</formula1>
    </dataValidation>
    <dataValidation type="list" allowBlank="1" showInputMessage="1" showErrorMessage="1" prompt="Please select from the drop down box the most appropriate answer" sqref="F241 F243" xr:uid="{7584867B-76E5-42C2-B404-3B1B6C94E6E2}">
      <formula1>$O$1:$O$2</formula1>
    </dataValidation>
    <dataValidation type="list" allowBlank="1" showInputMessage="1" showErrorMessage="1" sqref="F247" xr:uid="{DB0EB8F5-2DE0-4833-AFDF-F7BB7A8D56E1}">
      <formula1>$M$6:$M$8</formula1>
    </dataValidation>
  </dataValidations>
  <printOptions headings="1" gridLines="1"/>
  <pageMargins left="0.25" right="0.25" top="0.25" bottom="0.75" header="0.3" footer="0.3"/>
  <pageSetup fitToHeight="0" orientation="portrait" r:id="rId1"/>
  <headerFooter>
    <oddFooter>&amp;LPage &amp;P&amp;R&amp;Z&amp;F</oddFooter>
  </headerFooter>
  <ignoredErrors>
    <ignoredError sqref="H236:H238"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T659"/>
  <sheetViews>
    <sheetView zoomScaleNormal="100" workbookViewId="0">
      <pane xSplit="3" ySplit="3" topLeftCell="G4" activePane="bottomRight" state="frozen"/>
      <selection activeCell="A2" sqref="A2"/>
      <selection pane="topRight" activeCell="A2" sqref="A2"/>
      <selection pane="bottomLeft" activeCell="A2" sqref="A2"/>
      <selection pane="bottomRight" activeCell="D2" sqref="D2"/>
    </sheetView>
  </sheetViews>
  <sheetFormatPr defaultRowHeight="15" x14ac:dyDescent="0.25"/>
  <cols>
    <col min="1" max="1" width="9.28515625" style="1" customWidth="1"/>
    <col min="2" max="2" width="17.42578125" style="233" bestFit="1" customWidth="1"/>
    <col min="3" max="3" width="45.5703125" style="227" customWidth="1"/>
    <col min="4" max="4" width="15.7109375" style="1" customWidth="1"/>
    <col min="5" max="5" width="14.85546875" style="1" customWidth="1"/>
    <col min="6" max="6" width="18.85546875" style="1" customWidth="1"/>
    <col min="7" max="7" width="17.28515625" style="282" bestFit="1" customWidth="1"/>
    <col min="8" max="8" width="9.5703125" style="1" bestFit="1" customWidth="1"/>
    <col min="9" max="9" width="1" style="56" customWidth="1"/>
    <col min="10" max="10" width="18.140625" style="228" customWidth="1"/>
    <col min="11" max="11" width="35.28515625" style="43" bestFit="1" customWidth="1"/>
    <col min="12" max="12" width="15.28515625" style="266" bestFit="1" customWidth="1"/>
    <col min="13" max="13" width="1.42578125" style="1" customWidth="1"/>
    <col min="14" max="14" width="15.85546875" style="1" customWidth="1"/>
    <col min="15" max="15" width="16.42578125" style="1" bestFit="1" customWidth="1"/>
    <col min="16" max="16" width="2.85546875" customWidth="1"/>
    <col min="17" max="17" width="10.140625" style="325" bestFit="1" customWidth="1"/>
    <col min="18" max="18" width="7.140625" style="1" bestFit="1" customWidth="1"/>
    <col min="19" max="16384" width="9.140625" style="1"/>
  </cols>
  <sheetData>
    <row r="1" spans="1:20" ht="37.5" x14ac:dyDescent="0.25">
      <c r="C1" s="229" t="s">
        <v>960</v>
      </c>
      <c r="D1" s="52">
        <f>L51-(L38+L39-L43-L44-L180)-L47</f>
        <v>0</v>
      </c>
      <c r="I1" s="199"/>
      <c r="J1" s="222"/>
      <c r="K1" s="58" t="s">
        <v>54</v>
      </c>
      <c r="L1" s="259"/>
      <c r="M1" s="38"/>
    </row>
    <row r="2" spans="1:20" ht="21" x14ac:dyDescent="0.35">
      <c r="C2" s="290">
        <f>'Unit Data from Audit Worksheet'!D2</f>
        <v>0</v>
      </c>
      <c r="D2" s="643">
        <v>2020</v>
      </c>
      <c r="E2" s="46">
        <f>D2</f>
        <v>2020</v>
      </c>
      <c r="F2" s="46"/>
      <c r="G2" s="283"/>
      <c r="H2" s="46"/>
      <c r="I2" s="199"/>
      <c r="J2" s="205" t="s">
        <v>49</v>
      </c>
      <c r="K2" s="42" t="s">
        <v>48</v>
      </c>
      <c r="L2" s="265" t="s">
        <v>35</v>
      </c>
    </row>
    <row r="3" spans="1:20" ht="47.25" x14ac:dyDescent="0.25">
      <c r="A3" s="18" t="s">
        <v>49</v>
      </c>
      <c r="B3" s="234"/>
      <c r="C3" s="219" t="s">
        <v>1</v>
      </c>
      <c r="D3" s="59" t="s">
        <v>50</v>
      </c>
      <c r="E3" s="59" t="s">
        <v>51</v>
      </c>
      <c r="F3" s="60" t="s">
        <v>56</v>
      </c>
      <c r="G3" s="292" t="s">
        <v>649</v>
      </c>
      <c r="H3" s="60" t="s">
        <v>802</v>
      </c>
      <c r="I3" s="199"/>
      <c r="J3" s="608"/>
      <c r="K3" s="649"/>
      <c r="L3" s="650"/>
      <c r="O3" s="1" t="s">
        <v>361</v>
      </c>
      <c r="Q3" s="320" t="s">
        <v>650</v>
      </c>
    </row>
    <row r="4" spans="1:20" ht="18.75" x14ac:dyDescent="0.3">
      <c r="A4" s="34"/>
      <c r="B4" s="235"/>
      <c r="C4" s="230"/>
      <c r="D4" s="35"/>
      <c r="E4" s="35"/>
      <c r="F4" s="35"/>
      <c r="G4" s="284"/>
      <c r="H4" s="35"/>
      <c r="I4" s="199"/>
      <c r="J4" s="217">
        <v>999</v>
      </c>
      <c r="K4" s="45" t="str">
        <f>+K215</f>
        <v>CCH Unit Code</v>
      </c>
      <c r="L4" s="577" t="e">
        <f>'Unit Data from Audit Worksheet'!D3</f>
        <v>#N/A</v>
      </c>
      <c r="R4" s="609"/>
    </row>
    <row r="5" spans="1:20" ht="51" customHeight="1" x14ac:dyDescent="0.25">
      <c r="A5" s="221">
        <f>'Unit Data from Audit Worksheet'!A7</f>
        <v>333</v>
      </c>
      <c r="B5" s="239" t="str">
        <f>'Unit Data from Audit Worksheet'!C7</f>
        <v>Net Position-Governmental Activities</v>
      </c>
      <c r="C5" s="216" t="str">
        <f>'Unit Data from Audit Worksheet'!D7</f>
        <v xml:space="preserve"> All unrestricted Cash and investments.  
Exclude: restricted cash 
                   cash held by a third party. </v>
      </c>
      <c r="D5" s="620"/>
      <c r="E5" s="676">
        <f>'Unit Data from Audit Worksheet'!F7</f>
        <v>0</v>
      </c>
      <c r="F5" s="215">
        <f>IF(L5&lt;0,"Error: Number is normally positive.",)</f>
        <v>0</v>
      </c>
      <c r="G5" s="285"/>
      <c r="H5" s="207">
        <f>'Unit Data from Audit Worksheet'!I7</f>
        <v>0</v>
      </c>
      <c r="I5" s="614"/>
      <c r="J5" s="204">
        <v>333</v>
      </c>
      <c r="K5" s="231" t="s">
        <v>249</v>
      </c>
      <c r="L5" s="680">
        <f>IF(D5="",E5,D5)</f>
        <v>0</v>
      </c>
      <c r="P5" s="392"/>
      <c r="R5" s="317"/>
    </row>
    <row r="6" spans="1:20" ht="51" customHeight="1" x14ac:dyDescent="0.25">
      <c r="A6" s="226">
        <f>'Unit Data from Audit Worksheet'!A8</f>
        <v>500</v>
      </c>
      <c r="B6" s="236" t="str">
        <f>'Unit Data from Audit Worksheet'!C8</f>
        <v>Net Position-Governmental Activities</v>
      </c>
      <c r="C6" s="224" t="str">
        <f>'Unit Data from Audit Worksheet'!D8</f>
        <v xml:space="preserve"> All restricted Cash and investments</v>
      </c>
      <c r="D6" s="620"/>
      <c r="E6" s="678">
        <f>'Unit Data from Audit Worksheet'!F8</f>
        <v>0</v>
      </c>
      <c r="F6" s="215">
        <f>IF(L6&lt;0,"Error: Number is normally positive.",)</f>
        <v>0</v>
      </c>
      <c r="G6" s="286"/>
      <c r="H6" s="207">
        <f>'Unit Data from Audit Worksheet'!I8</f>
        <v>0</v>
      </c>
      <c r="I6" s="614"/>
      <c r="J6" s="203">
        <v>500</v>
      </c>
      <c r="K6" s="196" t="s">
        <v>248</v>
      </c>
      <c r="L6" s="680">
        <f>IF(D6="",E6,D6)</f>
        <v>0</v>
      </c>
      <c r="P6" s="392"/>
      <c r="R6" s="609"/>
      <c r="T6" s="393"/>
    </row>
    <row r="7" spans="1:20" ht="51" customHeight="1" x14ac:dyDescent="0.25">
      <c r="A7" s="226">
        <f>'Unit Data from Audit Worksheet'!A9</f>
        <v>385</v>
      </c>
      <c r="B7" s="236" t="str">
        <f>'Unit Data from Audit Worksheet'!C9</f>
        <v>Net Position-Governmental Activities</v>
      </c>
      <c r="C7" s="224" t="str">
        <f>'Unit Data from Audit Worksheet'!D9</f>
        <v>Total Assets and deferred outflows</v>
      </c>
      <c r="D7" s="620"/>
      <c r="E7" s="678">
        <f>'Unit Data from Audit Worksheet'!F9</f>
        <v>0</v>
      </c>
      <c r="F7" s="316">
        <f>IF((L5+L6)&gt;L7,"Error: Please review accts (333 + 500) &gt; 385",)</f>
        <v>0</v>
      </c>
      <c r="G7" s="303" t="str">
        <f>IF(Q7=1," Included in error count"," ")</f>
        <v xml:space="preserve"> </v>
      </c>
      <c r="H7" s="207">
        <f>'Unit Data from Audit Worksheet'!I9</f>
        <v>0</v>
      </c>
      <c r="I7" s="614"/>
      <c r="J7" s="293">
        <v>385</v>
      </c>
      <c r="K7" s="294" t="s">
        <v>122</v>
      </c>
      <c r="L7" s="689">
        <f>IF(D7="",E7,D7)+IF(D9="",E9,D9)</f>
        <v>0</v>
      </c>
      <c r="N7" s="295" t="s">
        <v>633</v>
      </c>
      <c r="P7" s="392"/>
      <c r="R7" s="609"/>
      <c r="T7" s="393"/>
    </row>
    <row r="8" spans="1:20" s="225" customFormat="1" ht="75.75" customHeight="1" x14ac:dyDescent="0.25">
      <c r="A8" s="226">
        <f>'Unit Data from Audit Worksheet'!A10</f>
        <v>575</v>
      </c>
      <c r="B8" s="236" t="str">
        <f>'Unit Data from Audit Worksheet'!C10</f>
        <v>Net Position-Governmental Activities</v>
      </c>
      <c r="C8" s="618" t="str">
        <f>'Unit Data from Audit Worksheet'!D10</f>
        <v xml:space="preserve">Record any positive Internal balances on the net position statements that appear in the Asset Section of the Net Position Statement
</v>
      </c>
      <c r="D8" s="620"/>
      <c r="E8" s="678">
        <f>'Unit Data from Audit Worksheet'!F10</f>
        <v>0</v>
      </c>
      <c r="F8" s="215">
        <f>IF(L8&lt;0,"Error: Number is normally positive.",)</f>
        <v>0</v>
      </c>
      <c r="G8" s="286"/>
      <c r="H8" s="207">
        <f>'Unit Data from Audit Worksheet'!I10</f>
        <v>0</v>
      </c>
      <c r="I8" s="614"/>
      <c r="J8" s="203">
        <v>575</v>
      </c>
      <c r="K8" s="309" t="s">
        <v>639</v>
      </c>
      <c r="L8" s="688">
        <f>IF(D8="",E8,D8)</f>
        <v>0</v>
      </c>
      <c r="N8" s="260"/>
      <c r="P8" s="392"/>
      <c r="Q8" s="325"/>
      <c r="R8" s="609"/>
      <c r="T8" s="393"/>
    </row>
    <row r="9" spans="1:20" s="225" customFormat="1" ht="90" x14ac:dyDescent="0.25">
      <c r="A9" s="226">
        <f>'Unit Data from Audit Worksheet'!A11</f>
        <v>576</v>
      </c>
      <c r="B9" s="236" t="str">
        <f>'Unit Data from Audit Worksheet'!C11</f>
        <v>Net Position-Governmental Activities</v>
      </c>
      <c r="C9" s="428" t="str">
        <f>'Unit Data from Audit Worksheet'!D11</f>
        <v xml:space="preserve">Record any negative Internal balances on the net position statements that appear in the Asset Section of the Net Position Statement.
Enter as a positive
</v>
      </c>
      <c r="D9" s="419"/>
      <c r="E9" s="685">
        <f>'Unit Data from Audit Worksheet'!F11</f>
        <v>0</v>
      </c>
      <c r="F9" s="70">
        <f>IF(E9&lt;0,"Error: Enter as positive.",)</f>
        <v>0</v>
      </c>
      <c r="G9" s="421"/>
      <c r="H9" s="422">
        <f>'Unit Data from Audit Worksheet'!I11</f>
        <v>0</v>
      </c>
      <c r="I9" s="614"/>
      <c r="J9" s="389">
        <v>576</v>
      </c>
      <c r="K9" s="309" t="s">
        <v>640</v>
      </c>
      <c r="L9" s="677">
        <f>IF(D9="",E9,D9)</f>
        <v>0</v>
      </c>
      <c r="N9" s="260"/>
      <c r="P9" s="392"/>
      <c r="Q9" s="325"/>
      <c r="R9" s="609"/>
      <c r="T9" s="393"/>
    </row>
    <row r="10" spans="1:20" s="610" customFormat="1" ht="90" x14ac:dyDescent="0.25">
      <c r="A10" s="345">
        <f>'Unit Data from Audit Worksheet'!A12</f>
        <v>626</v>
      </c>
      <c r="B10" s="866" t="str">
        <f>'Unit Data from Audit Worksheet'!C12</f>
        <v>Net Position-Governmental Activities</v>
      </c>
      <c r="C10" s="867" t="str">
        <f>'Unit Data from Audit Worksheet'!D12</f>
        <v xml:space="preserve">Total Current liabilities (as reported on Statement of Net Position)
Include:   Current liabilities including current portion of long-term debt.  Deferred inflows should not be included in Current Liabilities           
</v>
      </c>
      <c r="D10" s="599"/>
      <c r="E10" s="684">
        <f>'Unit Data from Audit Worksheet'!F12</f>
        <v>0</v>
      </c>
      <c r="F10" s="465">
        <f>IF(L10&lt;0,"Error: Enter as a positive.",)</f>
        <v>0</v>
      </c>
      <c r="G10" s="466"/>
      <c r="H10" s="465">
        <f>'Unit Data from Audit Worksheet'!I12</f>
        <v>0</v>
      </c>
      <c r="I10" s="614"/>
      <c r="J10" s="467">
        <v>626</v>
      </c>
      <c r="K10" s="468" t="s">
        <v>873</v>
      </c>
      <c r="L10" s="661">
        <f>IF(D10="",E10,D10)+IF(D9="",E9,D9)</f>
        <v>0</v>
      </c>
      <c r="M10" s="869"/>
      <c r="N10" s="915" t="s">
        <v>633</v>
      </c>
      <c r="O10" s="869"/>
      <c r="P10" s="870"/>
      <c r="Q10" s="871"/>
    </row>
    <row r="11" spans="1:20" s="610" customFormat="1" ht="81" customHeight="1" x14ac:dyDescent="0.25">
      <c r="A11" s="345">
        <f>'Unit Data from Audit Worksheet'!A13</f>
        <v>627</v>
      </c>
      <c r="B11" s="866" t="str">
        <f>'Unit Data from Audit Worksheet'!C13</f>
        <v>Net Position-Governmental Activities</v>
      </c>
      <c r="C11" s="867" t="str">
        <f>'Unit Data from Audit Worksheet'!D13</f>
        <v>Please enter any bond anticipation notes that are classified as current liabilities and included in account 626 above (amounts entered should agree to the current amount included in the changes to long-term debt note)</v>
      </c>
      <c r="D11" s="599"/>
      <c r="E11" s="684">
        <f>'Unit Data from Audit Worksheet'!F13</f>
        <v>0</v>
      </c>
      <c r="F11" s="465"/>
      <c r="G11" s="466"/>
      <c r="H11" s="465"/>
      <c r="I11" s="614"/>
      <c r="J11" s="467">
        <v>627</v>
      </c>
      <c r="K11" s="468" t="s">
        <v>865</v>
      </c>
      <c r="L11" s="668">
        <f t="shared" ref="L11:L16" si="0">IF(D11="",E11,D11)</f>
        <v>0</v>
      </c>
      <c r="M11" s="869"/>
      <c r="N11" s="914"/>
      <c r="O11" s="869"/>
      <c r="P11" s="870"/>
      <c r="Q11" s="871"/>
    </row>
    <row r="12" spans="1:20" s="610" customFormat="1" ht="87" customHeight="1" x14ac:dyDescent="0.25">
      <c r="A12" s="345">
        <f>'Unit Data from Audit Worksheet'!A14</f>
        <v>628</v>
      </c>
      <c r="B12" s="866" t="str">
        <f>'Unit Data from Audit Worksheet'!C14</f>
        <v>Net Position-Governmental Activities</v>
      </c>
      <c r="C12" s="867" t="str">
        <f>'Unit Data from Audit Worksheet'!D14</f>
        <v>Please enter any compensated absences that are classified as current liabilities and included in account 626 above (amounts entered should agree to the current amount included in the changes to long-term debt note)</v>
      </c>
      <c r="D12" s="599"/>
      <c r="E12" s="684">
        <f>'Unit Data from Audit Worksheet'!F14</f>
        <v>0</v>
      </c>
      <c r="F12" s="465"/>
      <c r="G12" s="466"/>
      <c r="H12" s="465"/>
      <c r="I12" s="614"/>
      <c r="J12" s="467">
        <v>628</v>
      </c>
      <c r="K12" s="468" t="s">
        <v>870</v>
      </c>
      <c r="L12" s="668">
        <f t="shared" si="0"/>
        <v>0</v>
      </c>
      <c r="M12" s="869"/>
      <c r="N12" s="914"/>
      <c r="O12" s="869"/>
      <c r="P12" s="870"/>
      <c r="Q12" s="871"/>
    </row>
    <row r="13" spans="1:20" s="610" customFormat="1" ht="85.5" customHeight="1" x14ac:dyDescent="0.25">
      <c r="A13" s="345">
        <f>'Unit Data from Audit Worksheet'!A15</f>
        <v>629</v>
      </c>
      <c r="B13" s="866" t="str">
        <f>'Unit Data from Audit Worksheet'!C15</f>
        <v>Net Position-Governmental Activities</v>
      </c>
      <c r="C13" s="867" t="str">
        <f>'Unit Data from Audit Worksheet'!D15</f>
        <v>Please enter any pension liabilities that are classified as current liabilities and included in account 626 above (amounts entered should agree to the current amount included in the changes to long-term debt note)</v>
      </c>
      <c r="D13" s="599"/>
      <c r="E13" s="684">
        <f>'Unit Data from Audit Worksheet'!F15</f>
        <v>0</v>
      </c>
      <c r="F13" s="465"/>
      <c r="G13" s="466"/>
      <c r="H13" s="465"/>
      <c r="I13" s="614"/>
      <c r="J13" s="467">
        <v>629</v>
      </c>
      <c r="K13" s="468" t="s">
        <v>869</v>
      </c>
      <c r="L13" s="668">
        <f t="shared" si="0"/>
        <v>0</v>
      </c>
      <c r="M13" s="869"/>
      <c r="N13" s="914"/>
      <c r="O13" s="869"/>
      <c r="P13" s="870"/>
      <c r="Q13" s="871"/>
    </row>
    <row r="14" spans="1:20" s="610" customFormat="1" ht="64.5" customHeight="1" x14ac:dyDescent="0.25">
      <c r="A14" s="345">
        <f>'Unit Data from Audit Worksheet'!A16</f>
        <v>630</v>
      </c>
      <c r="B14" s="866" t="str">
        <f>'Unit Data from Audit Worksheet'!C16</f>
        <v>Net Position-Governmental Activities</v>
      </c>
      <c r="C14" s="867" t="str">
        <f>'Unit Data from Audit Worksheet'!D16</f>
        <v>Please enter any current liabilities that are payable from restricted assets and included in account 626 above</v>
      </c>
      <c r="D14" s="599"/>
      <c r="E14" s="684">
        <f>'Unit Data from Audit Worksheet'!F16</f>
        <v>0</v>
      </c>
      <c r="F14" s="465"/>
      <c r="G14" s="466"/>
      <c r="H14" s="465"/>
      <c r="I14" s="614"/>
      <c r="J14" s="467">
        <v>630</v>
      </c>
      <c r="K14" s="468" t="s">
        <v>868</v>
      </c>
      <c r="L14" s="668">
        <f t="shared" si="0"/>
        <v>0</v>
      </c>
      <c r="M14" s="869"/>
      <c r="N14" s="914"/>
      <c r="O14" s="869"/>
      <c r="P14" s="870"/>
      <c r="Q14" s="871"/>
    </row>
    <row r="15" spans="1:20" s="610" customFormat="1" ht="87" customHeight="1" x14ac:dyDescent="0.25">
      <c r="A15" s="345">
        <f>'Unit Data from Audit Worksheet'!A17</f>
        <v>631</v>
      </c>
      <c r="B15" s="866" t="str">
        <f>'Unit Data from Audit Worksheet'!C17</f>
        <v>Net Position-Governmental Activities</v>
      </c>
      <c r="C15" s="867" t="str">
        <f>'Unit Data from Audit Worksheet'!D17</f>
        <v>Please enter any OPEB liabilities that are classified as current liabilities and included in account 626 above (amounts entered should agree to the current amount included in the changes to long-term debt note)</v>
      </c>
      <c r="D15" s="599"/>
      <c r="E15" s="684">
        <f>'Unit Data from Audit Worksheet'!F17</f>
        <v>0</v>
      </c>
      <c r="F15" s="465"/>
      <c r="G15" s="466"/>
      <c r="H15" s="465"/>
      <c r="I15" s="614"/>
      <c r="J15" s="467">
        <v>631</v>
      </c>
      <c r="K15" s="468" t="s">
        <v>867</v>
      </c>
      <c r="L15" s="668">
        <f t="shared" si="0"/>
        <v>0</v>
      </c>
      <c r="M15" s="869"/>
      <c r="N15" s="914"/>
      <c r="O15" s="869"/>
      <c r="P15" s="870"/>
      <c r="Q15" s="871"/>
    </row>
    <row r="16" spans="1:20" s="610" customFormat="1" ht="91.5" customHeight="1" x14ac:dyDescent="0.25">
      <c r="A16" s="345">
        <f>'Unit Data from Audit Worksheet'!A18</f>
        <v>632</v>
      </c>
      <c r="B16" s="866" t="str">
        <f>'Unit Data from Audit Worksheet'!C18</f>
        <v>Net Position-Governmental Activities</v>
      </c>
      <c r="C16" s="867" t="str">
        <f>'Unit Data from Audit Worksheet'!D18</f>
        <v>Please enter any landfill closure/postclosure liabilities that are classified as current liabilities and included in account 626 above (amounts entered should agree to the current amount included in the changes to long-term debt note)</v>
      </c>
      <c r="D16" s="599"/>
      <c r="E16" s="684">
        <f>'Unit Data from Audit Worksheet'!F18</f>
        <v>0</v>
      </c>
      <c r="F16" s="465"/>
      <c r="G16" s="466"/>
      <c r="H16" s="465"/>
      <c r="I16" s="614"/>
      <c r="J16" s="467">
        <v>632</v>
      </c>
      <c r="K16" s="468" t="s">
        <v>866</v>
      </c>
      <c r="L16" s="668">
        <f t="shared" si="0"/>
        <v>0</v>
      </c>
      <c r="M16" s="869"/>
      <c r="N16" s="914"/>
      <c r="O16" s="869"/>
      <c r="P16" s="870"/>
      <c r="Q16" s="871"/>
    </row>
    <row r="17" spans="1:20" ht="45" x14ac:dyDescent="0.25">
      <c r="A17" s="226">
        <f>'Unit Data from Audit Worksheet'!A19</f>
        <v>338</v>
      </c>
      <c r="B17" s="236" t="str">
        <f>'Unit Data from Audit Worksheet'!C19</f>
        <v>Net Position-Governmental Activities</v>
      </c>
      <c r="C17" s="216" t="str">
        <f>'Unit Data from Audit Worksheet'!D19</f>
        <v>Total Liabilities and total deferred inflows</v>
      </c>
      <c r="D17" s="620"/>
      <c r="E17" s="676">
        <f>'Unit Data from Audit Worksheet'!F19</f>
        <v>0</v>
      </c>
      <c r="F17" s="584" t="str">
        <f>IF(L10&gt;L17,"Please review accounts 626 greater than 338","")</f>
        <v/>
      </c>
      <c r="G17" s="285"/>
      <c r="H17" s="207">
        <f>'Unit Data from Audit Worksheet'!I19</f>
        <v>0</v>
      </c>
      <c r="I17" s="614"/>
      <c r="J17" s="423">
        <v>338</v>
      </c>
      <c r="K17" s="424" t="s">
        <v>123</v>
      </c>
      <c r="L17" s="689">
        <f>IF(D17="",E17,D17)+IF(D9="",E9,D9)</f>
        <v>0</v>
      </c>
      <c r="N17" s="295" t="s">
        <v>633</v>
      </c>
      <c r="P17" s="392"/>
      <c r="R17" s="609"/>
      <c r="T17" s="393"/>
    </row>
    <row r="18" spans="1:20" ht="75" x14ac:dyDescent="0.25">
      <c r="A18" s="226">
        <f>'Unit Data from Audit Worksheet'!A20</f>
        <v>335</v>
      </c>
      <c r="B18" s="236" t="str">
        <f>'Unit Data from Audit Worksheet'!C20</f>
        <v>Net Position-Governmental Activities</v>
      </c>
      <c r="C18" s="224" t="str">
        <f>'Unit Data from Audit Worksheet'!D20</f>
        <v>Unearned revenues that were included in current liabilities in your audit report or entered in acct # 626 above. 
Exclude - unearned revenues that are listed in deferred inflows.</v>
      </c>
      <c r="D18" s="620"/>
      <c r="E18" s="678">
        <f>'Unit Data from Audit Worksheet'!F20</f>
        <v>0</v>
      </c>
      <c r="F18" s="215">
        <f>IF(L18&lt;0,"Error: Enter as a positive.",)</f>
        <v>0</v>
      </c>
      <c r="G18" s="286"/>
      <c r="H18" s="207">
        <f>'Unit Data from Audit Worksheet'!I20</f>
        <v>0</v>
      </c>
      <c r="I18" s="614"/>
      <c r="J18" s="203">
        <v>335</v>
      </c>
      <c r="K18" s="196" t="s">
        <v>124</v>
      </c>
      <c r="L18" s="680">
        <f t="shared" ref="L18:L52" si="1">IF(D18="",E18,D18)</f>
        <v>0</v>
      </c>
      <c r="P18" s="392"/>
      <c r="R18" s="609"/>
      <c r="T18" s="393"/>
    </row>
    <row r="19" spans="1:20" ht="33.75" x14ac:dyDescent="0.25">
      <c r="A19" s="226">
        <f>'Unit Data from Audit Worksheet'!A21</f>
        <v>252</v>
      </c>
      <c r="B19" s="236" t="str">
        <f>'Unit Data from Audit Worksheet'!C21</f>
        <v>Net Position-Governmental Activities</v>
      </c>
      <c r="C19" s="224" t="str">
        <f>'Unit Data from Audit Worksheet'!D21</f>
        <v xml:space="preserve"> Total Net investment in capital assets</v>
      </c>
      <c r="D19" s="620"/>
      <c r="E19" s="678">
        <f>'Unit Data from Audit Worksheet'!F21</f>
        <v>0</v>
      </c>
      <c r="F19" s="215"/>
      <c r="G19" s="286"/>
      <c r="H19" s="207">
        <f>'Unit Data from Audit Worksheet'!I21</f>
        <v>0</v>
      </c>
      <c r="I19" s="614"/>
      <c r="J19" s="203">
        <v>252</v>
      </c>
      <c r="K19" s="196" t="s">
        <v>110</v>
      </c>
      <c r="L19" s="680">
        <f t="shared" si="1"/>
        <v>0</v>
      </c>
      <c r="O19" s="187" t="e">
        <f>'Unit Data from Audit Worksheet'!E21</f>
        <v>#N/A</v>
      </c>
      <c r="P19" s="392"/>
      <c r="R19" s="609"/>
      <c r="T19" s="393"/>
    </row>
    <row r="20" spans="1:20" ht="33.75" x14ac:dyDescent="0.25">
      <c r="A20" s="226">
        <f>'Unit Data from Audit Worksheet'!A22</f>
        <v>253</v>
      </c>
      <c r="B20" s="236" t="str">
        <f>'Unit Data from Audit Worksheet'!C22</f>
        <v>Net Position-Governmental Activities</v>
      </c>
      <c r="C20" s="224" t="str">
        <f>'Unit Data from Audit Worksheet'!D22</f>
        <v xml:space="preserve"> Total Net Position, Restricted</v>
      </c>
      <c r="D20" s="620"/>
      <c r="E20" s="678">
        <f>'Unit Data from Audit Worksheet'!F22</f>
        <v>0</v>
      </c>
      <c r="F20" s="215"/>
      <c r="G20" s="286"/>
      <c r="H20" s="207">
        <f>'Unit Data from Audit Worksheet'!I22</f>
        <v>0</v>
      </c>
      <c r="I20" s="614"/>
      <c r="J20" s="203">
        <v>253</v>
      </c>
      <c r="K20" s="196" t="s">
        <v>111</v>
      </c>
      <c r="L20" s="680">
        <f t="shared" si="1"/>
        <v>0</v>
      </c>
      <c r="O20" s="187" t="e">
        <f>'Unit Data from Audit Worksheet'!E22</f>
        <v>#N/A</v>
      </c>
      <c r="P20" s="392"/>
      <c r="R20" s="609"/>
      <c r="T20" s="393"/>
    </row>
    <row r="21" spans="1:20" ht="43.5" customHeight="1" x14ac:dyDescent="0.25">
      <c r="A21" s="226">
        <f>'Unit Data from Audit Worksheet'!A23</f>
        <v>254</v>
      </c>
      <c r="B21" s="236" t="str">
        <f>'Unit Data from Audit Worksheet'!C23</f>
        <v>Net Position-Governmental Activities</v>
      </c>
      <c r="C21" s="224" t="str">
        <f>'Unit Data from Audit Worksheet'!D23</f>
        <v>Total Net Position, Unrestricted - enter negative unrestricted net position as a negative)</v>
      </c>
      <c r="D21" s="620"/>
      <c r="E21" s="678">
        <f>'Unit Data from Audit Worksheet'!F23</f>
        <v>0</v>
      </c>
      <c r="F21" s="215">
        <f>IF((L7-L17-L19-L20-L21)=0,,"Error: Total assets and deferred outflows less total liabilities and deferred inflows do not equal total net position accts 385-338-252-253-254")</f>
        <v>0</v>
      </c>
      <c r="G21" s="340">
        <f>+L7-L17-L19-L20-L21</f>
        <v>0</v>
      </c>
      <c r="H21" s="207">
        <f>'Unit Data from Audit Worksheet'!I23</f>
        <v>0</v>
      </c>
      <c r="I21" s="614"/>
      <c r="J21" s="203">
        <v>254</v>
      </c>
      <c r="K21" s="196" t="s">
        <v>112</v>
      </c>
      <c r="L21" s="680">
        <f t="shared" si="1"/>
        <v>0</v>
      </c>
      <c r="O21" s="187" t="e">
        <f>'Unit Data from Audit Worksheet'!E23</f>
        <v>#N/A</v>
      </c>
      <c r="P21" s="392"/>
      <c r="Q21" s="325">
        <f>IF(G21&lt;&gt;0,1,0)</f>
        <v>0</v>
      </c>
      <c r="R21" s="609"/>
      <c r="T21" s="393"/>
    </row>
    <row r="22" spans="1:20" ht="56.25" customHeight="1" x14ac:dyDescent="0.25">
      <c r="A22" s="226">
        <f>'Unit Data from Audit Worksheet'!A25</f>
        <v>502</v>
      </c>
      <c r="B22" s="236" t="str">
        <f>'Unit Data from Audit Worksheet'!C25</f>
        <v>Net Position-Business Activities</v>
      </c>
      <c r="C22" s="224" t="str">
        <f>'Unit Data from Audit Worksheet'!D25</f>
        <v xml:space="preserve">All unrestricted Cash and investments. 
Exclude restricted cash and cash held by a third party. </v>
      </c>
      <c r="D22" s="620"/>
      <c r="E22" s="678">
        <f>'Unit Data from Audit Worksheet'!F25</f>
        <v>0</v>
      </c>
      <c r="F22" s="215">
        <f>IF(L22&lt;0,"Error: Number is normally positive.",)</f>
        <v>0</v>
      </c>
      <c r="G22" s="286"/>
      <c r="H22" s="207">
        <f>'Unit Data from Audit Worksheet'!I25</f>
        <v>0</v>
      </c>
      <c r="I22" s="614"/>
      <c r="J22" s="203">
        <v>502</v>
      </c>
      <c r="K22" s="196" t="s">
        <v>251</v>
      </c>
      <c r="L22" s="662">
        <f t="shared" si="1"/>
        <v>0</v>
      </c>
      <c r="P22" s="392"/>
      <c r="R22" s="609"/>
      <c r="T22" s="393"/>
    </row>
    <row r="23" spans="1:20" ht="39" customHeight="1" x14ac:dyDescent="0.25">
      <c r="A23" s="226">
        <f>'Unit Data from Audit Worksheet'!A26</f>
        <v>503</v>
      </c>
      <c r="B23" s="236" t="str">
        <f>'Unit Data from Audit Worksheet'!C26</f>
        <v>Net Position-Business Activities</v>
      </c>
      <c r="C23" s="224" t="str">
        <f>'Unit Data from Audit Worksheet'!D26</f>
        <v>All restricted Cash and investments</v>
      </c>
      <c r="D23" s="620"/>
      <c r="E23" s="678">
        <f>'Unit Data from Audit Worksheet'!F26</f>
        <v>0</v>
      </c>
      <c r="F23" s="215">
        <f>IF(L23&lt;0,"Error: Number is normally positive.",)</f>
        <v>0</v>
      </c>
      <c r="G23" s="286"/>
      <c r="H23" s="207">
        <f>'Unit Data from Audit Worksheet'!I26</f>
        <v>0</v>
      </c>
      <c r="I23" s="614"/>
      <c r="J23" s="203">
        <v>503</v>
      </c>
      <c r="K23" s="196" t="s">
        <v>252</v>
      </c>
      <c r="L23" s="662">
        <f t="shared" si="1"/>
        <v>0</v>
      </c>
      <c r="P23" s="392"/>
      <c r="R23" s="609"/>
      <c r="T23" s="393"/>
    </row>
    <row r="24" spans="1:20" ht="39" customHeight="1" x14ac:dyDescent="0.25">
      <c r="A24" s="226">
        <f>'Unit Data from Audit Worksheet'!A28</f>
        <v>344</v>
      </c>
      <c r="B24" s="236" t="str">
        <f>'Unit Data from Audit Worksheet'!C28</f>
        <v>Statement of Activities - Governmental</v>
      </c>
      <c r="C24" s="224" t="str">
        <f>'Unit Data from Audit Worksheet'!D28</f>
        <v xml:space="preserve">Total Interest expense on Long-Term Debt </v>
      </c>
      <c r="D24" s="620"/>
      <c r="E24" s="678">
        <f>'Unit Data from Audit Worksheet'!F28</f>
        <v>0</v>
      </c>
      <c r="F24" s="215">
        <f>IF(L24&lt;0,"Error: Enter as a positive.",)</f>
        <v>0</v>
      </c>
      <c r="G24" s="286"/>
      <c r="H24" s="207">
        <f>'Unit Data from Audit Worksheet'!I28</f>
        <v>0</v>
      </c>
      <c r="I24" s="614"/>
      <c r="J24" s="203">
        <v>344</v>
      </c>
      <c r="K24" s="196" t="s">
        <v>253</v>
      </c>
      <c r="L24" s="662">
        <f t="shared" si="1"/>
        <v>0</v>
      </c>
      <c r="P24" s="392"/>
      <c r="R24" s="609"/>
      <c r="T24" s="393"/>
    </row>
    <row r="25" spans="1:20" ht="39" customHeight="1" x14ac:dyDescent="0.25">
      <c r="A25" s="226">
        <f>'Unit Data from Audit Worksheet'!A29</f>
        <v>388</v>
      </c>
      <c r="B25" s="236" t="str">
        <f>'Unit Data from Audit Worksheet'!C29</f>
        <v>Statement of Activities - Governmental</v>
      </c>
      <c r="C25" s="224" t="str">
        <f>'Unit Data from Audit Worksheet'!D29</f>
        <v>Total Expenses</v>
      </c>
      <c r="D25" s="620"/>
      <c r="E25" s="678">
        <f>'Unit Data from Audit Worksheet'!F29</f>
        <v>0</v>
      </c>
      <c r="F25" s="215">
        <f t="shared" ref="F25:F30" si="2">IF(L25&lt;0,"Error: Number is normally positive.",)</f>
        <v>0</v>
      </c>
      <c r="G25" s="286"/>
      <c r="H25" s="207">
        <f>'Unit Data from Audit Worksheet'!I29</f>
        <v>0</v>
      </c>
      <c r="I25" s="614"/>
      <c r="J25" s="203">
        <v>388</v>
      </c>
      <c r="K25" s="196" t="s">
        <v>254</v>
      </c>
      <c r="L25" s="662">
        <f t="shared" si="1"/>
        <v>0</v>
      </c>
      <c r="P25" s="392"/>
      <c r="R25" s="609"/>
      <c r="T25" s="393"/>
    </row>
    <row r="26" spans="1:20" ht="39" customHeight="1" x14ac:dyDescent="0.25">
      <c r="A26" s="226">
        <f>'Unit Data from Audit Worksheet'!A30</f>
        <v>339</v>
      </c>
      <c r="B26" s="236" t="str">
        <f>'Unit Data from Audit Worksheet'!C30</f>
        <v>Statement of Activities - Governmental</v>
      </c>
      <c r="C26" s="224" t="str">
        <f>'Unit Data from Audit Worksheet'!D30</f>
        <v xml:space="preserve">Charges for services </v>
      </c>
      <c r="D26" s="620"/>
      <c r="E26" s="678">
        <f>'Unit Data from Audit Worksheet'!F30</f>
        <v>0</v>
      </c>
      <c r="F26" s="215">
        <f t="shared" si="2"/>
        <v>0</v>
      </c>
      <c r="G26" s="286"/>
      <c r="H26" s="207">
        <f>'Unit Data from Audit Worksheet'!I30</f>
        <v>0</v>
      </c>
      <c r="I26" s="614"/>
      <c r="J26" s="203">
        <v>339</v>
      </c>
      <c r="K26" s="196" t="s">
        <v>255</v>
      </c>
      <c r="L26" s="662">
        <f t="shared" si="1"/>
        <v>0</v>
      </c>
      <c r="P26" s="392"/>
      <c r="R26" s="609"/>
      <c r="T26" s="393"/>
    </row>
    <row r="27" spans="1:20" ht="39" customHeight="1" x14ac:dyDescent="0.25">
      <c r="A27" s="226">
        <f>'Unit Data from Audit Worksheet'!A31</f>
        <v>504</v>
      </c>
      <c r="B27" s="236" t="str">
        <f>'Unit Data from Audit Worksheet'!C31</f>
        <v>Statement of Activities - Governmental</v>
      </c>
      <c r="C27" s="224" t="str">
        <f>'Unit Data from Audit Worksheet'!D31</f>
        <v>Operating grants and contributions</v>
      </c>
      <c r="D27" s="620"/>
      <c r="E27" s="678">
        <f>'Unit Data from Audit Worksheet'!F31</f>
        <v>0</v>
      </c>
      <c r="F27" s="215">
        <f t="shared" si="2"/>
        <v>0</v>
      </c>
      <c r="G27" s="286"/>
      <c r="H27" s="207">
        <f>'Unit Data from Audit Worksheet'!I31</f>
        <v>0</v>
      </c>
      <c r="I27" s="614"/>
      <c r="J27" s="203">
        <v>504</v>
      </c>
      <c r="K27" s="196" t="s">
        <v>256</v>
      </c>
      <c r="L27" s="662">
        <f t="shared" si="1"/>
        <v>0</v>
      </c>
      <c r="P27" s="392"/>
      <c r="R27" s="609"/>
      <c r="T27" s="393"/>
    </row>
    <row r="28" spans="1:20" ht="39" customHeight="1" x14ac:dyDescent="0.25">
      <c r="A28" s="226">
        <f>'Unit Data from Audit Worksheet'!A32</f>
        <v>505</v>
      </c>
      <c r="B28" s="236" t="str">
        <f>'Unit Data from Audit Worksheet'!C32</f>
        <v>Statement of Activities - Governmental</v>
      </c>
      <c r="C28" s="224" t="str">
        <f>'Unit Data from Audit Worksheet'!D32</f>
        <v>Capital grants and contributions</v>
      </c>
      <c r="D28" s="620"/>
      <c r="E28" s="678">
        <f>'Unit Data from Audit Worksheet'!F32</f>
        <v>0</v>
      </c>
      <c r="F28" s="215">
        <f t="shared" si="2"/>
        <v>0</v>
      </c>
      <c r="G28" s="286"/>
      <c r="H28" s="207">
        <f>'Unit Data from Audit Worksheet'!I32</f>
        <v>0</v>
      </c>
      <c r="I28" s="614"/>
      <c r="J28" s="203">
        <v>505</v>
      </c>
      <c r="K28" s="196" t="s">
        <v>257</v>
      </c>
      <c r="L28" s="662">
        <f t="shared" si="1"/>
        <v>0</v>
      </c>
      <c r="P28" s="392"/>
      <c r="R28" s="609"/>
      <c r="T28" s="393"/>
    </row>
    <row r="29" spans="1:20" ht="69" customHeight="1" x14ac:dyDescent="0.25">
      <c r="A29" s="226">
        <f>'Unit Data from Audit Worksheet'!A33</f>
        <v>341</v>
      </c>
      <c r="B29" s="236" t="str">
        <f>'Unit Data from Audit Worksheet'!C33</f>
        <v>Statement of Activities - Governmental</v>
      </c>
      <c r="C29" s="224" t="str">
        <f>'Unit Data from Audit Worksheet'!D33</f>
        <v>Total General revenues
Exclude: transfers-in or out,
                 special items,
                 extraordinary amounts</v>
      </c>
      <c r="D29" s="620"/>
      <c r="E29" s="678">
        <f>'Unit Data from Audit Worksheet'!F33</f>
        <v>0</v>
      </c>
      <c r="F29" s="215">
        <f t="shared" si="2"/>
        <v>0</v>
      </c>
      <c r="G29" s="286"/>
      <c r="H29" s="207">
        <f>'Unit Data from Audit Worksheet'!I33</f>
        <v>0</v>
      </c>
      <c r="I29" s="614"/>
      <c r="J29" s="203">
        <v>341</v>
      </c>
      <c r="K29" s="196" t="s">
        <v>258</v>
      </c>
      <c r="L29" s="662">
        <f t="shared" si="1"/>
        <v>0</v>
      </c>
      <c r="P29" s="392"/>
      <c r="R29" s="609"/>
      <c r="T29" s="393"/>
    </row>
    <row r="30" spans="1:20" ht="43.5" customHeight="1" x14ac:dyDescent="0.25">
      <c r="A30" s="226">
        <f>'Unit Data from Audit Worksheet'!A34</f>
        <v>386</v>
      </c>
      <c r="B30" s="236" t="str">
        <f>'Unit Data from Audit Worksheet'!C34</f>
        <v>Statement of Activities - Governmental</v>
      </c>
      <c r="C30" s="224" t="str">
        <f>'Unit Data from Audit Worksheet'!D34</f>
        <v>Total Transfers in    (Preference is that transfers-in  are not netted against transfers-out)</v>
      </c>
      <c r="D30" s="620"/>
      <c r="E30" s="678">
        <f>'Unit Data from Audit Worksheet'!F34</f>
        <v>0</v>
      </c>
      <c r="F30" s="215">
        <f t="shared" si="2"/>
        <v>0</v>
      </c>
      <c r="G30" s="286"/>
      <c r="H30" s="207">
        <f>'Unit Data from Audit Worksheet'!I34</f>
        <v>0</v>
      </c>
      <c r="I30" s="614"/>
      <c r="J30" s="203">
        <v>386</v>
      </c>
      <c r="K30" s="196" t="s">
        <v>259</v>
      </c>
      <c r="L30" s="662">
        <f t="shared" si="1"/>
        <v>0</v>
      </c>
      <c r="P30" s="392"/>
      <c r="R30" s="609"/>
      <c r="T30" s="393"/>
    </row>
    <row r="31" spans="1:20" ht="43.5" customHeight="1" x14ac:dyDescent="0.25">
      <c r="A31" s="226">
        <f>'Unit Data from Audit Worksheet'!A35</f>
        <v>387</v>
      </c>
      <c r="B31" s="236" t="str">
        <f>'Unit Data from Audit Worksheet'!C35</f>
        <v>Statement of Activities - Governmental</v>
      </c>
      <c r="C31" s="224" t="str">
        <f>'Unit Data from Audit Worksheet'!D35</f>
        <v>Total Transfers out    (Preference is that transfers-in  are not netted against transfers-out)</v>
      </c>
      <c r="D31" s="620"/>
      <c r="E31" s="678">
        <f>'Unit Data from Audit Worksheet'!F35</f>
        <v>0</v>
      </c>
      <c r="F31" s="215">
        <f>IF(L31&lt;0,"Error: Enter as a positive.",)</f>
        <v>0</v>
      </c>
      <c r="G31" s="286"/>
      <c r="H31" s="207">
        <f>'Unit Data from Audit Worksheet'!I35</f>
        <v>0</v>
      </c>
      <c r="I31" s="614"/>
      <c r="J31" s="203">
        <v>387</v>
      </c>
      <c r="K31" s="196" t="s">
        <v>260</v>
      </c>
      <c r="L31" s="662">
        <f t="shared" si="1"/>
        <v>0</v>
      </c>
      <c r="P31" s="392"/>
      <c r="R31" s="609"/>
      <c r="T31" s="393"/>
    </row>
    <row r="32" spans="1:20" ht="75" customHeight="1" x14ac:dyDescent="0.25">
      <c r="A32" s="226">
        <f>'Unit Data from Audit Worksheet'!A36</f>
        <v>389</v>
      </c>
      <c r="B32" s="236" t="str">
        <f>'Unit Data from Audit Worksheet'!C36</f>
        <v>Statement of Activities - Governmental</v>
      </c>
      <c r="C32" s="224" t="str">
        <f>'Unit Data from Audit Worksheet'!D36</f>
        <v>Total Special and Extraordinary items.    (Amounts that increase net position are recorded as positive and amounts that decrease net position are recorded as negative)</v>
      </c>
      <c r="D32" s="620"/>
      <c r="E32" s="678">
        <f>'Unit Data from Audit Worksheet'!F36</f>
        <v>0</v>
      </c>
      <c r="F32" s="215"/>
      <c r="G32" s="303"/>
      <c r="H32" s="207">
        <f>'Unit Data from Audit Worksheet'!I36</f>
        <v>0</v>
      </c>
      <c r="I32" s="614"/>
      <c r="J32" s="203">
        <v>389</v>
      </c>
      <c r="K32" s="196" t="s">
        <v>261</v>
      </c>
      <c r="L32" s="662">
        <f t="shared" si="1"/>
        <v>0</v>
      </c>
      <c r="N32" s="415"/>
      <c r="P32" s="392"/>
      <c r="R32" s="609"/>
      <c r="T32" s="393"/>
    </row>
    <row r="33" spans="1:20" ht="63.75" customHeight="1" x14ac:dyDescent="0.25">
      <c r="A33" s="226">
        <f>'Unit Data from Audit Worksheet'!A37</f>
        <v>255</v>
      </c>
      <c r="B33" s="236" t="str">
        <f>'Unit Data from Audit Worksheet'!C37</f>
        <v>Statement of Activities - Governmental</v>
      </c>
      <c r="C33" s="224" t="str">
        <f>'Unit Data from Audit Worksheet'!D37</f>
        <v>Total Change in net position - (Increase in net position is recorded as a positive and a decrease in net position is recorded as a negative)</v>
      </c>
      <c r="D33" s="620"/>
      <c r="E33" s="678">
        <f>'Unit Data from Audit Worksheet'!F37</f>
        <v>0</v>
      </c>
      <c r="F33" s="215">
        <f>IF((L26+L27+L28+L29+L30-L31+L32-L25-L33)=0,,"Total revenues less total expenses do not equal total change in net position. Acct 339+504+505+341+386-387+389-388-255=0")</f>
        <v>0</v>
      </c>
      <c r="G33" s="341">
        <f>L26+L27+L28+L29+L30-L31+L32-L25-L33</f>
        <v>0</v>
      </c>
      <c r="H33" s="207">
        <f>'Unit Data from Audit Worksheet'!I37</f>
        <v>0</v>
      </c>
      <c r="I33" s="614"/>
      <c r="J33" s="203">
        <v>255</v>
      </c>
      <c r="K33" s="196" t="s">
        <v>262</v>
      </c>
      <c r="L33" s="662">
        <f t="shared" si="1"/>
        <v>0</v>
      </c>
      <c r="O33" s="187" t="e">
        <f>'Unit Data from Audit Worksheet'!E37</f>
        <v>#N/A</v>
      </c>
      <c r="P33" s="392"/>
      <c r="Q33" s="325">
        <f>IF(G33&lt;&gt;0,1,0)</f>
        <v>0</v>
      </c>
      <c r="R33" s="609"/>
      <c r="T33" s="393"/>
    </row>
    <row r="34" spans="1:20" ht="78.75" customHeight="1" x14ac:dyDescent="0.25">
      <c r="A34" s="226">
        <f>'Unit Data from Audit Worksheet'!A38</f>
        <v>376</v>
      </c>
      <c r="B34" s="236" t="str">
        <f>'Unit Data from Audit Worksheet'!C38</f>
        <v>Statement of Activities - Governmental</v>
      </c>
      <c r="C34" s="224" t="str">
        <f>'Unit Data from Audit Worksheet'!D38</f>
        <v>Any adjustment to beginning net position including rounding, prior period adjustments and restatements.   (Increases to net position are positive; decreases to net position are negative)</v>
      </c>
      <c r="D34" s="620"/>
      <c r="E34" s="678">
        <f>'Unit Data from Audit Worksheet'!F38</f>
        <v>0</v>
      </c>
      <c r="F34" s="214" t="e">
        <f>IF(L19+L20+L21-L33-L34=O19+O20+O21,,"Beginning Balance does not agree with our records acct (252+253+254-255-376=PY252+PY253+PY254)")</f>
        <v>#N/A</v>
      </c>
      <c r="G34" s="342" t="e">
        <f>L19+L20+L21-L33-L34-(O19+O20+O21)</f>
        <v>#N/A</v>
      </c>
      <c r="H34" s="207">
        <f>'Unit Data from Audit Worksheet'!I38</f>
        <v>0</v>
      </c>
      <c r="I34" s="614"/>
      <c r="J34" s="203">
        <v>376</v>
      </c>
      <c r="K34" s="196" t="s">
        <v>115</v>
      </c>
      <c r="L34" s="662">
        <f t="shared" si="1"/>
        <v>0</v>
      </c>
      <c r="O34" s="187" t="e">
        <f>'Unit Data from Audit Worksheet'!E38</f>
        <v>#N/A</v>
      </c>
      <c r="P34" s="392"/>
      <c r="Q34" s="325" t="e">
        <f>IF(G34&lt;&gt;0,1,0)</f>
        <v>#N/A</v>
      </c>
      <c r="R34" s="609"/>
      <c r="T34" s="393"/>
    </row>
    <row r="35" spans="1:20" s="225" customFormat="1" ht="121.5" customHeight="1" x14ac:dyDescent="0.25">
      <c r="A35" s="332">
        <f>'Unit Data from Audit Worksheet'!A39</f>
        <v>597</v>
      </c>
      <c r="B35" s="333" t="str">
        <f>'Unit Data from Audit Worksheet'!C39</f>
        <v>Statement of Activities                               (all governmental and business funds)</v>
      </c>
      <c r="C35" s="331" t="str">
        <f>'Unit Data from Audit Worksheet'!D39</f>
        <v>Amount of interest income and investment income recognized as revenue in your audit report for all governmental and proprietary funds.  In the past we have asked you to adjust this number, but this year we would like the number as it appears on your Statement of Activities without adjustment.</v>
      </c>
      <c r="D35" s="620"/>
      <c r="E35" s="678">
        <f>'Unit Data from Audit Worksheet'!F39</f>
        <v>0</v>
      </c>
      <c r="F35" s="215">
        <f>IF(L35&lt;0,"Error: Number is normally positive.",)</f>
        <v>0</v>
      </c>
      <c r="G35" s="286"/>
      <c r="H35" s="207">
        <f>'Unit Data from Audit Worksheet'!I39</f>
        <v>0</v>
      </c>
      <c r="I35" s="614"/>
      <c r="J35" s="330">
        <v>597</v>
      </c>
      <c r="K35" s="329" t="s">
        <v>777</v>
      </c>
      <c r="L35" s="662">
        <f t="shared" si="1"/>
        <v>0</v>
      </c>
      <c r="O35" s="187"/>
      <c r="P35" s="392"/>
      <c r="Q35" s="325"/>
      <c r="R35" s="609"/>
      <c r="T35" s="393"/>
    </row>
    <row r="36" spans="1:20" s="225" customFormat="1" ht="75" customHeight="1" x14ac:dyDescent="0.25">
      <c r="A36" s="332">
        <f>'Unit Data from Audit Worksheet'!A41</f>
        <v>592</v>
      </c>
      <c r="B36" s="333" t="str">
        <f>'Unit Data from Audit Worksheet'!C41</f>
        <v>Statement of Activities - Business Activities</v>
      </c>
      <c r="C36" s="331" t="str">
        <f>'Unit Data from Audit Worksheet'!D41</f>
        <v>Total Change in net position Business Type 
(Increase in net position is recorded as a positive and a decrease in net position is recorded as a negative)</v>
      </c>
      <c r="D36" s="620"/>
      <c r="E36" s="678">
        <f>'Unit Data from Audit Worksheet'!F41</f>
        <v>0</v>
      </c>
      <c r="F36" s="296"/>
      <c r="G36" s="303"/>
      <c r="H36" s="207">
        <f>'Unit Data from Audit Worksheet'!I41</f>
        <v>0</v>
      </c>
      <c r="I36" s="614"/>
      <c r="J36" s="330">
        <v>592</v>
      </c>
      <c r="K36" s="329" t="s">
        <v>707</v>
      </c>
      <c r="L36" s="662">
        <f t="shared" si="1"/>
        <v>0</v>
      </c>
      <c r="O36" s="187"/>
      <c r="P36" s="392"/>
      <c r="Q36" s="325"/>
      <c r="R36" s="609"/>
      <c r="T36" s="393"/>
    </row>
    <row r="37" spans="1:20" s="225" customFormat="1" ht="37.5" customHeight="1" x14ac:dyDescent="0.25">
      <c r="A37" s="332">
        <f>'Unit Data from Audit Worksheet'!A42</f>
        <v>591</v>
      </c>
      <c r="B37" s="333" t="str">
        <f>'Unit Data from Audit Worksheet'!C42</f>
        <v>Statement of Activities - Business Activities</v>
      </c>
      <c r="C37" s="331" t="str">
        <f>'Unit Data from Audit Worksheet'!D42</f>
        <v>Total Expenses - Exclude Transfers</v>
      </c>
      <c r="D37" s="620"/>
      <c r="E37" s="678">
        <f>'Unit Data from Audit Worksheet'!F42</f>
        <v>0</v>
      </c>
      <c r="F37" s="328">
        <f>IF(L37&lt;0,"Error: Enter as a positive.",)</f>
        <v>0</v>
      </c>
      <c r="G37" s="303"/>
      <c r="H37" s="207">
        <f>'Unit Data from Audit Worksheet'!I42</f>
        <v>0</v>
      </c>
      <c r="I37" s="614"/>
      <c r="J37" s="330">
        <v>591</v>
      </c>
      <c r="K37" s="329" t="s">
        <v>706</v>
      </c>
      <c r="L37" s="662">
        <f t="shared" si="1"/>
        <v>0</v>
      </c>
      <c r="O37" s="187"/>
      <c r="P37" s="392"/>
      <c r="Q37" s="325"/>
      <c r="R37" s="609"/>
      <c r="T37" s="393"/>
    </row>
    <row r="38" spans="1:20" ht="54" customHeight="1" x14ac:dyDescent="0.25">
      <c r="A38" s="226">
        <f>'Unit Data from Audit Worksheet'!A44</f>
        <v>506</v>
      </c>
      <c r="B38" s="237" t="str">
        <f>'Unit Data from Audit Worksheet'!C44</f>
        <v>General Fund-Balance Sheet</v>
      </c>
      <c r="C38" s="218" t="str">
        <f>'Unit Data from Audit Worksheet'!D44</f>
        <v xml:space="preserve">All unrestricted cash and investments.  
Exclude restricted cash and cash held by a third party. </v>
      </c>
      <c r="D38" s="620"/>
      <c r="E38" s="683">
        <f>'Unit Data from Audit Worksheet'!F44</f>
        <v>0</v>
      </c>
      <c r="F38" s="197">
        <f>IF(L38&lt;0,"Error: Number is normally positive.",)</f>
        <v>0</v>
      </c>
      <c r="G38" s="287"/>
      <c r="H38" s="207">
        <f>'Unit Data from Audit Worksheet'!I44</f>
        <v>0</v>
      </c>
      <c r="I38" s="614"/>
      <c r="J38" s="202">
        <v>506</v>
      </c>
      <c r="K38" s="196" t="s">
        <v>263</v>
      </c>
      <c r="L38" s="663">
        <f t="shared" si="1"/>
        <v>0</v>
      </c>
      <c r="P38" s="392"/>
      <c r="R38" s="609"/>
      <c r="T38" s="393"/>
    </row>
    <row r="39" spans="1:20" ht="54" customHeight="1" x14ac:dyDescent="0.25">
      <c r="A39" s="226">
        <f>'Unit Data from Audit Worksheet'!A45</f>
        <v>536</v>
      </c>
      <c r="B39" s="237" t="str">
        <f>'Unit Data from Audit Worksheet'!C45</f>
        <v>General Fund-Balance Sheet</v>
      </c>
      <c r="C39" s="218" t="str">
        <f>'Unit Data from Audit Worksheet'!D45</f>
        <v>All restricted cash and investments</v>
      </c>
      <c r="D39" s="620"/>
      <c r="E39" s="683">
        <f>'Unit Data from Audit Worksheet'!F45</f>
        <v>0</v>
      </c>
      <c r="F39" s="197">
        <f>IF(L39&lt;0,"Error: Number is normally positive.",)</f>
        <v>0</v>
      </c>
      <c r="G39" s="287"/>
      <c r="H39" s="207">
        <f>'Unit Data from Audit Worksheet'!I45</f>
        <v>0</v>
      </c>
      <c r="I39" s="614"/>
      <c r="J39" s="202">
        <v>536</v>
      </c>
      <c r="K39" s="196" t="s">
        <v>264</v>
      </c>
      <c r="L39" s="663">
        <f t="shared" si="1"/>
        <v>0</v>
      </c>
      <c r="P39" s="392"/>
      <c r="R39" s="609"/>
      <c r="T39" s="393"/>
    </row>
    <row r="40" spans="1:20" s="225" customFormat="1" ht="36.75" customHeight="1" x14ac:dyDescent="0.25">
      <c r="A40" s="226">
        <f>'Unit Data from Audit Worksheet'!A46</f>
        <v>586</v>
      </c>
      <c r="B40" s="236" t="str">
        <f>'Unit Data from Audit Worksheet'!C46</f>
        <v>General Fund-Balance Sheet</v>
      </c>
      <c r="C40" s="244" t="str">
        <f>'Unit Data from Audit Worksheet'!D46</f>
        <v>Advance To: Interfund loan receivable-portion of repayment plan longer than 12 months</v>
      </c>
      <c r="D40" s="620"/>
      <c r="E40" s="678">
        <f>'Unit Data from Audit Worksheet'!F46</f>
        <v>0</v>
      </c>
      <c r="F40" s="215"/>
      <c r="G40" s="286"/>
      <c r="H40" s="207"/>
      <c r="I40" s="614"/>
      <c r="J40" s="203">
        <v>586</v>
      </c>
      <c r="K40" s="244" t="s">
        <v>658</v>
      </c>
      <c r="L40" s="679">
        <f t="shared" si="1"/>
        <v>0</v>
      </c>
      <c r="P40" s="392"/>
      <c r="Q40" s="325"/>
      <c r="R40" s="609"/>
      <c r="T40" s="393"/>
    </row>
    <row r="41" spans="1:20" ht="35.25" customHeight="1" x14ac:dyDescent="0.25">
      <c r="A41" s="226">
        <f>'Unit Data from Audit Worksheet'!A47</f>
        <v>379</v>
      </c>
      <c r="B41" s="236" t="str">
        <f>'Unit Data from Audit Worksheet'!C47</f>
        <v>General Fund-Balance Sheet</v>
      </c>
      <c r="C41" s="224" t="str">
        <f>'Unit Data from Audit Worksheet'!D47</f>
        <v>Total Assets and deferred outflows</v>
      </c>
      <c r="D41" s="620"/>
      <c r="E41" s="678">
        <f>'Unit Data from Audit Worksheet'!F47</f>
        <v>0</v>
      </c>
      <c r="F41" s="315">
        <f>IF((L38+L39)&gt;L41,"Error: Please review accts (506+536)&gt;379",)</f>
        <v>0</v>
      </c>
      <c r="G41" s="303" t="str">
        <f>IF(Q41=1," Included in error count"," ")</f>
        <v xml:space="preserve"> </v>
      </c>
      <c r="H41" s="207">
        <f>'Unit Data from Audit Worksheet'!I47</f>
        <v>0</v>
      </c>
      <c r="I41" s="614"/>
      <c r="J41" s="203">
        <v>379</v>
      </c>
      <c r="K41" s="196" t="s">
        <v>125</v>
      </c>
      <c r="L41" s="662">
        <f t="shared" si="1"/>
        <v>0</v>
      </c>
      <c r="P41" s="392"/>
      <c r="Q41" s="325">
        <f>IF(L38+L39&gt;L41,1,0)</f>
        <v>0</v>
      </c>
      <c r="R41" s="609"/>
      <c r="T41" s="393"/>
    </row>
    <row r="42" spans="1:20" ht="84.75" customHeight="1" x14ac:dyDescent="0.25">
      <c r="A42" s="226">
        <f>'Unit Data from Audit Worksheet'!A48</f>
        <v>368</v>
      </c>
      <c r="B42" s="236" t="str">
        <f>'Unit Data from Audit Worksheet'!C48</f>
        <v>General Fund-Balance Sheet</v>
      </c>
      <c r="C42" s="224" t="str">
        <f>'Unit Data from Audit Worksheet'!D48</f>
        <v>Total Liabilities payable from restricted assets (only complete if this is listed in your financial statements for the general fund and the auditor has listed the cash to be used to pay the liabilities as restricted)</v>
      </c>
      <c r="D42" s="620"/>
      <c r="E42" s="678">
        <f>'Unit Data from Audit Worksheet'!F48</f>
        <v>0</v>
      </c>
      <c r="F42" s="215">
        <f>IF(L42&lt;0,"Error: Enter as a positive.",)</f>
        <v>0</v>
      </c>
      <c r="G42" s="286"/>
      <c r="H42" s="207">
        <f>'Unit Data from Audit Worksheet'!I48</f>
        <v>0</v>
      </c>
      <c r="I42" s="614"/>
      <c r="J42" s="203">
        <v>368</v>
      </c>
      <c r="K42" s="196" t="s">
        <v>265</v>
      </c>
      <c r="L42" s="662">
        <f t="shared" si="1"/>
        <v>0</v>
      </c>
      <c r="P42" s="392"/>
      <c r="R42" s="609"/>
      <c r="T42" s="393"/>
    </row>
    <row r="43" spans="1:20" ht="87" customHeight="1" x14ac:dyDescent="0.25">
      <c r="A43" s="226">
        <f>'Unit Data from Audit Worksheet'!A49</f>
        <v>4</v>
      </c>
      <c r="B43" s="237" t="str">
        <f>'Unit Data from Audit Worksheet'!C49</f>
        <v>General Fund-Balance Sheet</v>
      </c>
      <c r="C43" s="436" t="str">
        <f>'Unit Data from Audit Worksheet'!D49</f>
        <v>Current Liabilities (as reported on the Balance Sheet)
Exclude all deferred inflows. 
Include advance from(long-term portion of interfund loans)</v>
      </c>
      <c r="D43" s="620"/>
      <c r="E43" s="683">
        <f>'Unit Data from Audit Worksheet'!F49</f>
        <v>0</v>
      </c>
      <c r="F43" s="197">
        <f t="shared" ref="F43:F52" si="3">IF(L43&lt;0,"Error: Enter as a positive.",)</f>
        <v>0</v>
      </c>
      <c r="G43" s="287"/>
      <c r="H43" s="207">
        <f>'Unit Data from Audit Worksheet'!I49</f>
        <v>0</v>
      </c>
      <c r="I43" s="614"/>
      <c r="J43" s="202">
        <v>4</v>
      </c>
      <c r="K43" s="196" t="s">
        <v>126</v>
      </c>
      <c r="L43" s="663">
        <f t="shared" si="1"/>
        <v>0</v>
      </c>
      <c r="P43" s="392"/>
      <c r="R43" s="609"/>
      <c r="T43" s="393"/>
    </row>
    <row r="44" spans="1:20" ht="121.5" customHeight="1" x14ac:dyDescent="0.25">
      <c r="A44" s="226">
        <f>'Unit Data from Audit Worksheet'!A50</f>
        <v>5</v>
      </c>
      <c r="B44" s="237" t="str">
        <f>'Unit Data from Audit Worksheet'!C50</f>
        <v>General Fund-Balance Sheet</v>
      </c>
      <c r="C44" s="218" t="str">
        <f>'Unit Data from Audit Worksheet'!D50</f>
        <v>General fund deferred inflows derived from cash receipts. 
 Prepaid taxes is a common item listed.  Deferred inflows on the face of the statements can include cash and non-cash.  You may have to refer to the note disclosure where the cash and non-cash is broken out.</v>
      </c>
      <c r="D44" s="620"/>
      <c r="E44" s="683">
        <f>'Unit Data from Audit Worksheet'!F50</f>
        <v>0</v>
      </c>
      <c r="F44" s="197">
        <f t="shared" si="3"/>
        <v>0</v>
      </c>
      <c r="G44" s="287"/>
      <c r="H44" s="207">
        <f>'Unit Data from Audit Worksheet'!I50</f>
        <v>0</v>
      </c>
      <c r="I44" s="614"/>
      <c r="J44" s="202">
        <v>5</v>
      </c>
      <c r="K44" s="196" t="s">
        <v>127</v>
      </c>
      <c r="L44" s="663">
        <f t="shared" si="1"/>
        <v>0</v>
      </c>
      <c r="P44" s="392"/>
      <c r="R44" s="609"/>
      <c r="T44" s="393"/>
    </row>
    <row r="45" spans="1:20" ht="85.5" customHeight="1" x14ac:dyDescent="0.25">
      <c r="A45" s="226">
        <f>'Unit Data from Audit Worksheet'!A51</f>
        <v>380</v>
      </c>
      <c r="B45" s="236" t="str">
        <f>'Unit Data from Audit Worksheet'!C51</f>
        <v>General Fund-Balance Sheet</v>
      </c>
      <c r="C45" s="224" t="str">
        <f>'Unit Data from Audit Worksheet'!D51</f>
        <v>Total Deferred inflows not derived from cash receipts.  Deferred inflows on the face of the statements can include cash and non-cash.  You may have to refer to the note disclosure where the cash and non-cash is broken out.</v>
      </c>
      <c r="D45" s="620"/>
      <c r="E45" s="678">
        <f>'Unit Data from Audit Worksheet'!F51</f>
        <v>0</v>
      </c>
      <c r="F45" s="215">
        <f t="shared" si="3"/>
        <v>0</v>
      </c>
      <c r="G45" s="286"/>
      <c r="H45" s="207">
        <f>'Unit Data from Audit Worksheet'!I51</f>
        <v>0</v>
      </c>
      <c r="I45" s="614"/>
      <c r="J45" s="203">
        <v>380</v>
      </c>
      <c r="K45" s="196" t="s">
        <v>128</v>
      </c>
      <c r="L45" s="662">
        <f t="shared" si="1"/>
        <v>0</v>
      </c>
      <c r="P45" s="392"/>
      <c r="R45" s="609"/>
      <c r="T45" s="393"/>
    </row>
    <row r="46" spans="1:20" ht="42.75" customHeight="1" x14ac:dyDescent="0.25">
      <c r="A46" s="226">
        <f>'Unit Data from Audit Worksheet'!A52</f>
        <v>391</v>
      </c>
      <c r="B46" s="236" t="str">
        <f>'Unit Data from Audit Worksheet'!C52</f>
        <v>General Fund-Balance Sheet</v>
      </c>
      <c r="C46" s="224" t="str">
        <f>'Unit Data from Audit Worksheet'!D52</f>
        <v xml:space="preserve">Fund balance, Restricted for Stabilization by State Statute </v>
      </c>
      <c r="D46" s="620"/>
      <c r="E46" s="678">
        <f>'Unit Data from Audit Worksheet'!F52</f>
        <v>0</v>
      </c>
      <c r="F46" s="215">
        <f t="shared" si="3"/>
        <v>0</v>
      </c>
      <c r="G46" s="286"/>
      <c r="H46" s="207">
        <f>'Unit Data from Audit Worksheet'!I52</f>
        <v>0</v>
      </c>
      <c r="I46" s="614"/>
      <c r="J46" s="203">
        <v>391</v>
      </c>
      <c r="K46" s="196" t="s">
        <v>266</v>
      </c>
      <c r="L46" s="662">
        <f t="shared" si="1"/>
        <v>0</v>
      </c>
      <c r="P46" s="392"/>
      <c r="R46" s="609"/>
      <c r="T46" s="393"/>
    </row>
    <row r="47" spans="1:20" ht="30" x14ac:dyDescent="0.25">
      <c r="A47" s="226">
        <f>'Unit Data from Audit Worksheet'!A53</f>
        <v>7</v>
      </c>
      <c r="B47" s="237" t="str">
        <f>'Unit Data from Audit Worksheet'!C53</f>
        <v>General Fund-Balance Sheet</v>
      </c>
      <c r="C47" s="218" t="str">
        <f>'Unit Data from Audit Worksheet'!D53</f>
        <v>Fund balance, No spendable-  inventory/prepaids/etc.</v>
      </c>
      <c r="D47" s="620"/>
      <c r="E47" s="683">
        <f>'Unit Data from Audit Worksheet'!F53</f>
        <v>0</v>
      </c>
      <c r="F47" s="197">
        <f t="shared" si="3"/>
        <v>0</v>
      </c>
      <c r="G47" s="287"/>
      <c r="H47" s="207">
        <f>'Unit Data from Audit Worksheet'!I53</f>
        <v>0</v>
      </c>
      <c r="I47" s="614"/>
      <c r="J47" s="202">
        <v>7</v>
      </c>
      <c r="K47" s="196" t="s">
        <v>267</v>
      </c>
      <c r="L47" s="663">
        <f t="shared" si="1"/>
        <v>0</v>
      </c>
      <c r="P47" s="392"/>
      <c r="R47" s="609"/>
      <c r="T47" s="393"/>
    </row>
    <row r="48" spans="1:20" ht="60" x14ac:dyDescent="0.25">
      <c r="A48" s="426">
        <f>'Unit Data from Audit Worksheet'!A54</f>
        <v>11</v>
      </c>
      <c r="B48" s="427" t="str">
        <f>'Unit Data from Audit Worksheet'!C54</f>
        <v>General Fund-Balance Sheet</v>
      </c>
      <c r="C48" s="428" t="str">
        <f>'Unit Data from Audit Worksheet'!D54</f>
        <v>Fund balance, Restricted for Streets (unspent Powell Bill balance).  You may have to refer to the note disclosure where restricted fund balance is described.</v>
      </c>
      <c r="D48" s="419"/>
      <c r="E48" s="685">
        <f>'Unit Data from Audit Worksheet'!F54</f>
        <v>0</v>
      </c>
      <c r="F48" s="420">
        <f t="shared" si="3"/>
        <v>0</v>
      </c>
      <c r="G48" s="421"/>
      <c r="H48" s="422">
        <f>'Unit Data from Audit Worksheet'!I54</f>
        <v>0</v>
      </c>
      <c r="I48" s="614"/>
      <c r="J48" s="389">
        <v>11</v>
      </c>
      <c r="K48" s="208" t="s">
        <v>268</v>
      </c>
      <c r="L48" s="670">
        <f t="shared" si="1"/>
        <v>0</v>
      </c>
      <c r="P48" s="392"/>
      <c r="R48" s="609"/>
      <c r="T48" s="393"/>
    </row>
    <row r="49" spans="1:20" s="610" customFormat="1" ht="30" x14ac:dyDescent="0.25">
      <c r="A49" s="463">
        <f>'Unit Data from Audit Worksheet'!A55</f>
        <v>645</v>
      </c>
      <c r="B49" s="464" t="str">
        <f>'Unit Data from Audit Worksheet'!C55</f>
        <v>General Fund-Balance Sheet</v>
      </c>
      <c r="C49" s="463" t="str">
        <f>'Unit Data from Audit Worksheet'!D55</f>
        <v>Fund balance, Assigned (total of all assigned components)</v>
      </c>
      <c r="D49" s="425"/>
      <c r="E49" s="684">
        <f>'Unit Data from Audit Worksheet'!F55</f>
        <v>0</v>
      </c>
      <c r="F49" s="465">
        <f>IF(L49&lt;0,"Error: Enter as a positive.",)</f>
        <v>0</v>
      </c>
      <c r="G49" s="466"/>
      <c r="H49" s="465">
        <f>'Unit Data from Audit Worksheet'!I55</f>
        <v>0</v>
      </c>
      <c r="I49" s="642"/>
      <c r="J49" s="467">
        <v>645</v>
      </c>
      <c r="K49" s="463" t="s">
        <v>884</v>
      </c>
      <c r="L49" s="868">
        <f t="shared" si="1"/>
        <v>0</v>
      </c>
      <c r="M49" s="869"/>
      <c r="N49" s="869"/>
      <c r="O49" s="869"/>
      <c r="P49" s="870"/>
      <c r="Q49" s="871"/>
    </row>
    <row r="50" spans="1:20" s="610" customFormat="1" ht="22.5" x14ac:dyDescent="0.25">
      <c r="A50" s="463">
        <f>'Unit Data from Audit Worksheet'!A56</f>
        <v>646</v>
      </c>
      <c r="B50" s="464" t="str">
        <f>'Unit Data from Audit Worksheet'!C56</f>
        <v>General Fund-Balance Sheet</v>
      </c>
      <c r="C50" s="463" t="str">
        <f>'Unit Data from Audit Worksheet'!D56</f>
        <v>Fund Balance, Unassigned</v>
      </c>
      <c r="D50" s="425"/>
      <c r="E50" s="684">
        <f>'Unit Data from Audit Worksheet'!F56</f>
        <v>0</v>
      </c>
      <c r="F50" s="465">
        <f>IF(L50&lt;0,"Error: Enter as a positive.",)</f>
        <v>0</v>
      </c>
      <c r="G50" s="466"/>
      <c r="H50" s="465">
        <f>'Unit Data from Audit Worksheet'!I56</f>
        <v>0</v>
      </c>
      <c r="I50" s="642"/>
      <c r="J50" s="467">
        <v>646</v>
      </c>
      <c r="K50" s="463" t="s">
        <v>885</v>
      </c>
      <c r="L50" s="868">
        <f t="shared" si="1"/>
        <v>0</v>
      </c>
      <c r="M50" s="869"/>
      <c r="N50" s="869"/>
      <c r="O50" s="869"/>
      <c r="P50" s="870"/>
      <c r="Q50" s="871"/>
    </row>
    <row r="51" spans="1:20" ht="30" x14ac:dyDescent="0.25">
      <c r="A51" s="221">
        <f>'Unit Data from Audit Worksheet'!A57</f>
        <v>9</v>
      </c>
      <c r="B51" s="429" t="str">
        <f>'Unit Data from Audit Worksheet'!C57</f>
        <v>General Fund-Balance Sheet</v>
      </c>
      <c r="C51" s="430" t="str">
        <f>'Unit Data from Audit Worksheet'!D57</f>
        <v>Total Fund balance (enter fund deficits as negative)</v>
      </c>
      <c r="D51" s="620"/>
      <c r="E51" s="682">
        <f>'Unit Data from Audit Worksheet'!F57</f>
        <v>0</v>
      </c>
      <c r="F51" s="431">
        <f>IF(L41-L43-L44-L45-L51=0,,"Error: Total assets less total liabilities do not equal Acct +379-4-5-380-9=0")</f>
        <v>0</v>
      </c>
      <c r="G51" s="432">
        <f>L41-L43-L44-L45-L51</f>
        <v>0</v>
      </c>
      <c r="H51" s="207">
        <f>'Unit Data from Audit Worksheet'!I57</f>
        <v>0</v>
      </c>
      <c r="I51" s="614"/>
      <c r="J51" s="433">
        <v>9</v>
      </c>
      <c r="K51" s="231" t="s">
        <v>269</v>
      </c>
      <c r="L51" s="669">
        <f t="shared" si="1"/>
        <v>0</v>
      </c>
      <c r="O51" s="187" t="e">
        <f>'Unit Data from Audit Worksheet'!E57</f>
        <v>#N/A</v>
      </c>
      <c r="P51" s="392"/>
      <c r="Q51" s="325">
        <f>IF(G51&lt;&gt;0,1,0)</f>
        <v>0</v>
      </c>
      <c r="R51" s="609"/>
      <c r="T51" s="393"/>
    </row>
    <row r="52" spans="1:20" s="4" customFormat="1" ht="55.5" customHeight="1" x14ac:dyDescent="0.25">
      <c r="A52" s="226">
        <f>'Unit Data from Audit Worksheet'!A58</f>
        <v>540</v>
      </c>
      <c r="B52" s="236" t="str">
        <f>'Unit Data from Audit Worksheet'!C58</f>
        <v>General Fund - Budget Actual Statement</v>
      </c>
      <c r="C52" s="244" t="str">
        <f>'Unit Data from Audit Worksheet'!D58</f>
        <v>Amount of the General Fund Balance appropriated in next year's budget. As reported on the General Fund Balance Sheet.</v>
      </c>
      <c r="D52" s="620"/>
      <c r="E52" s="678">
        <f>'Unit Data from Audit Worksheet'!F58</f>
        <v>0</v>
      </c>
      <c r="F52" s="215">
        <f t="shared" si="3"/>
        <v>0</v>
      </c>
      <c r="G52" s="286"/>
      <c r="H52" s="207">
        <f>'Unit Data from Audit Worksheet'!I58</f>
        <v>0</v>
      </c>
      <c r="I52" s="614"/>
      <c r="J52" s="203">
        <v>540</v>
      </c>
      <c r="K52" s="196" t="s">
        <v>332</v>
      </c>
      <c r="L52" s="679">
        <f t="shared" si="1"/>
        <v>0</v>
      </c>
      <c r="P52" s="392"/>
      <c r="Q52" s="325"/>
      <c r="R52" s="609"/>
      <c r="T52" s="393"/>
    </row>
    <row r="53" spans="1:20" ht="55.5" customHeight="1" x14ac:dyDescent="0.25">
      <c r="A53" s="226">
        <f>'Unit Data from Audit Worksheet'!A60</f>
        <v>369</v>
      </c>
      <c r="B53" s="236" t="str">
        <f>'Unit Data from Audit Worksheet'!C60</f>
        <v>General Fund-Rev, Exp. Change in Fund Balance</v>
      </c>
      <c r="C53" s="224" t="str">
        <f>'Unit Data from Audit Worksheet'!D60</f>
        <v>Total Intergovernmental revenue 
Include restricted and unrestricted revenues</v>
      </c>
      <c r="D53" s="620"/>
      <c r="E53" s="678">
        <f>'Unit Data from Audit Worksheet'!F60</f>
        <v>0</v>
      </c>
      <c r="F53" s="296"/>
      <c r="G53" s="286"/>
      <c r="H53" s="207">
        <f>'Unit Data from Audit Worksheet'!I60</f>
        <v>0</v>
      </c>
      <c r="I53" s="614"/>
      <c r="J53" s="203">
        <v>369</v>
      </c>
      <c r="K53" s="196" t="s">
        <v>270</v>
      </c>
      <c r="L53" s="679">
        <f t="shared" ref="L53:L115" si="4">IF(D53="",E53,D53)</f>
        <v>0</v>
      </c>
      <c r="P53" s="392"/>
      <c r="R53" s="609"/>
      <c r="T53" s="393"/>
    </row>
    <row r="54" spans="1:20" ht="40.5" customHeight="1" x14ac:dyDescent="0.25">
      <c r="A54" s="226">
        <f>'Unit Data from Audit Worksheet'!A61</f>
        <v>16</v>
      </c>
      <c r="B54" s="236" t="str">
        <f>'Unit Data from Audit Worksheet'!C61</f>
        <v>General Fund-Rev, Exp. Change in Fund Balance</v>
      </c>
      <c r="C54" s="224" t="str">
        <f>'Unit Data from Audit Worksheet'!D61</f>
        <v>Total revenues</v>
      </c>
      <c r="D54" s="620"/>
      <c r="E54" s="678">
        <f>'Unit Data from Audit Worksheet'!F61</f>
        <v>0</v>
      </c>
      <c r="F54" s="296"/>
      <c r="G54" s="286"/>
      <c r="H54" s="207">
        <f>'Unit Data from Audit Worksheet'!I61</f>
        <v>0</v>
      </c>
      <c r="I54" s="614"/>
      <c r="J54" s="203">
        <v>16</v>
      </c>
      <c r="K54" s="196" t="s">
        <v>271</v>
      </c>
      <c r="L54" s="679">
        <f t="shared" si="4"/>
        <v>0</v>
      </c>
      <c r="P54" s="392"/>
      <c r="R54" s="609"/>
      <c r="T54" s="393"/>
    </row>
    <row r="55" spans="1:20" ht="55.5" customHeight="1" x14ac:dyDescent="0.25">
      <c r="A55" s="226">
        <f>'Unit Data from Audit Worksheet'!A62</f>
        <v>370</v>
      </c>
      <c r="B55" s="236" t="str">
        <f>'Unit Data from Audit Worksheet'!C62</f>
        <v>General Fund-Rev, Exp. Change in Fund Balance</v>
      </c>
      <c r="C55" s="224" t="str">
        <f>'Unit Data from Audit Worksheet'!D62</f>
        <v>Debt service expenditures. 
Include principal, interest paid, and bond/debt issuance costs on long-term debt</v>
      </c>
      <c r="D55" s="620"/>
      <c r="E55" s="678">
        <f>'Unit Data from Audit Worksheet'!F62</f>
        <v>0</v>
      </c>
      <c r="F55" s="215">
        <f t="shared" ref="F55:F61" si="5">IF(L55&lt;0,"Error: Enter as a positive.",)</f>
        <v>0</v>
      </c>
      <c r="G55" s="286"/>
      <c r="H55" s="207">
        <f>'Unit Data from Audit Worksheet'!I62</f>
        <v>0</v>
      </c>
      <c r="I55" s="614"/>
      <c r="J55" s="203">
        <v>370</v>
      </c>
      <c r="K55" s="196" t="s">
        <v>272</v>
      </c>
      <c r="L55" s="679">
        <f t="shared" si="4"/>
        <v>0</v>
      </c>
      <c r="P55" s="392"/>
      <c r="R55" s="609"/>
      <c r="T55" s="393"/>
    </row>
    <row r="56" spans="1:20" ht="60" x14ac:dyDescent="0.25">
      <c r="A56" s="226">
        <f>'Unit Data from Audit Worksheet'!A63</f>
        <v>532</v>
      </c>
      <c r="B56" s="236" t="str">
        <f>'Unit Data from Audit Worksheet'!C63</f>
        <v>General Fund-Rev, Exp. Change in Fund Balance</v>
      </c>
      <c r="C56" s="224" t="str">
        <f>'Unit Data from Audit Worksheet'!D63</f>
        <v xml:space="preserve">Total expenditures  
Exclude expenditures in the "other financing sources (uses)" section.
</v>
      </c>
      <c r="D56" s="620"/>
      <c r="E56" s="678">
        <f>'Unit Data from Audit Worksheet'!F63</f>
        <v>0</v>
      </c>
      <c r="F56" s="215">
        <f t="shared" si="5"/>
        <v>0</v>
      </c>
      <c r="G56" s="286"/>
      <c r="H56" s="207">
        <f>'Unit Data from Audit Worksheet'!I63</f>
        <v>0</v>
      </c>
      <c r="I56" s="614"/>
      <c r="J56" s="203">
        <v>532</v>
      </c>
      <c r="K56" s="213" t="s">
        <v>273</v>
      </c>
      <c r="L56" s="679">
        <f t="shared" si="4"/>
        <v>0</v>
      </c>
      <c r="P56" s="392"/>
      <c r="R56" s="609"/>
      <c r="T56" s="393"/>
    </row>
    <row r="57" spans="1:20" ht="47.25" customHeight="1" x14ac:dyDescent="0.25">
      <c r="A57" s="226">
        <f>'Unit Data from Audit Worksheet'!A64</f>
        <v>17</v>
      </c>
      <c r="B57" s="236" t="str">
        <f>'Unit Data from Audit Worksheet'!C64</f>
        <v>General Fund-Rev, Exp. Change in Fund Balance</v>
      </c>
      <c r="C57" s="224" t="str">
        <f>'Unit Data from Audit Worksheet'!D64</f>
        <v>Total Transfers in    (Preference is that transfers-in  are not netted against transfers-out)</v>
      </c>
      <c r="D57" s="620"/>
      <c r="E57" s="678">
        <f>'Unit Data from Audit Worksheet'!F64</f>
        <v>0</v>
      </c>
      <c r="F57" s="215">
        <f t="shared" si="5"/>
        <v>0</v>
      </c>
      <c r="G57" s="286"/>
      <c r="H57" s="207">
        <f>'Unit Data from Audit Worksheet'!I64</f>
        <v>0</v>
      </c>
      <c r="I57" s="614"/>
      <c r="J57" s="203">
        <v>17</v>
      </c>
      <c r="K57" s="196" t="s">
        <v>274</v>
      </c>
      <c r="L57" s="679">
        <f t="shared" si="4"/>
        <v>0</v>
      </c>
      <c r="P57" s="392"/>
      <c r="R57" s="609"/>
      <c r="T57" s="393"/>
    </row>
    <row r="58" spans="1:20" ht="47.25" customHeight="1" x14ac:dyDescent="0.25">
      <c r="A58" s="226">
        <f>'Unit Data from Audit Worksheet'!A65</f>
        <v>20</v>
      </c>
      <c r="B58" s="236" t="str">
        <f>'Unit Data from Audit Worksheet'!C65</f>
        <v>General Fund-Rev, Exp. Change in Fund Balance</v>
      </c>
      <c r="C58" s="224" t="str">
        <f>'Unit Data from Audit Worksheet'!D65</f>
        <v>Total Transfers out    (Preference is that transfers-in  are not netted against transfers-out)</v>
      </c>
      <c r="D58" s="620"/>
      <c r="E58" s="678">
        <f>'Unit Data from Audit Worksheet'!F65</f>
        <v>0</v>
      </c>
      <c r="F58" s="215">
        <f t="shared" si="5"/>
        <v>0</v>
      </c>
      <c r="G58" s="286"/>
      <c r="H58" s="207">
        <f>'Unit Data from Audit Worksheet'!I65</f>
        <v>0</v>
      </c>
      <c r="I58" s="614"/>
      <c r="J58" s="203">
        <v>20</v>
      </c>
      <c r="K58" s="196" t="s">
        <v>275</v>
      </c>
      <c r="L58" s="679">
        <f t="shared" si="4"/>
        <v>0</v>
      </c>
      <c r="P58" s="392"/>
      <c r="R58" s="609"/>
      <c r="T58" s="393"/>
    </row>
    <row r="59" spans="1:20" ht="47.25" customHeight="1" x14ac:dyDescent="0.25">
      <c r="A59" s="226">
        <f>'Unit Data from Audit Worksheet'!A66</f>
        <v>533</v>
      </c>
      <c r="B59" s="236" t="str">
        <f>'Unit Data from Audit Worksheet'!C66</f>
        <v>General Fund-Rev, Exp. Change in Fund Balance</v>
      </c>
      <c r="C59" s="224" t="str">
        <f>'Unit Data from Audit Worksheet'!D66</f>
        <v>Total Proceeds from all long-term debt issuances 
Exclude proceeds from refunding's</v>
      </c>
      <c r="D59" s="620"/>
      <c r="E59" s="678">
        <f>'Unit Data from Audit Worksheet'!F66</f>
        <v>0</v>
      </c>
      <c r="F59" s="215">
        <f t="shared" si="5"/>
        <v>0</v>
      </c>
      <c r="G59" s="286"/>
      <c r="H59" s="207">
        <f>'Unit Data from Audit Worksheet'!I66</f>
        <v>0</v>
      </c>
      <c r="I59" s="614"/>
      <c r="J59" s="203">
        <v>533</v>
      </c>
      <c r="K59" s="213" t="s">
        <v>276</v>
      </c>
      <c r="L59" s="679">
        <f t="shared" si="4"/>
        <v>0</v>
      </c>
      <c r="P59" s="392"/>
      <c r="R59" s="609"/>
      <c r="T59" s="393"/>
    </row>
    <row r="60" spans="1:20" ht="56.25" customHeight="1" x14ac:dyDescent="0.25">
      <c r="A60" s="226">
        <f>'Unit Data from Audit Worksheet'!A67</f>
        <v>508</v>
      </c>
      <c r="B60" s="236" t="str">
        <f>'Unit Data from Audit Worksheet'!C67</f>
        <v>General Fund-Rev, Exp. Change in Fund Balance</v>
      </c>
      <c r="C60" s="224" t="str">
        <f>'Unit Data from Audit Worksheet'!D67</f>
        <v>Debt Refunding - Net refunding proceeds against debt payoff and if positive place results on this line.</v>
      </c>
      <c r="D60" s="620"/>
      <c r="E60" s="678">
        <f>'Unit Data from Audit Worksheet'!F67</f>
        <v>0</v>
      </c>
      <c r="F60" s="215">
        <f t="shared" si="5"/>
        <v>0</v>
      </c>
      <c r="G60" s="286"/>
      <c r="H60" s="207">
        <f>'Unit Data from Audit Worksheet'!I67</f>
        <v>0</v>
      </c>
      <c r="I60" s="614"/>
      <c r="J60" s="203">
        <v>508</v>
      </c>
      <c r="K60" s="196" t="s">
        <v>278</v>
      </c>
      <c r="L60" s="679">
        <f t="shared" si="4"/>
        <v>0</v>
      </c>
      <c r="P60" s="392"/>
      <c r="R60" s="609"/>
      <c r="T60" s="393"/>
    </row>
    <row r="61" spans="1:20" ht="60.75" customHeight="1" x14ac:dyDescent="0.25">
      <c r="A61" s="226">
        <f>'Unit Data from Audit Worksheet'!A68</f>
        <v>509</v>
      </c>
      <c r="B61" s="236" t="str">
        <f>'Unit Data from Audit Worksheet'!C68</f>
        <v>General Fund-Rev, Exp. Change in Fund Balance</v>
      </c>
      <c r="C61" s="224" t="str">
        <f>'Unit Data from Audit Worksheet'!D68</f>
        <v>Debt Refunding - Net refunding proceeds against debt payoff and if negative place results on this line.</v>
      </c>
      <c r="D61" s="620"/>
      <c r="E61" s="678">
        <f>'Unit Data from Audit Worksheet'!F68</f>
        <v>0</v>
      </c>
      <c r="F61" s="215">
        <f t="shared" si="5"/>
        <v>0</v>
      </c>
      <c r="G61" s="286"/>
      <c r="H61" s="207">
        <f>'Unit Data from Audit Worksheet'!I68</f>
        <v>0</v>
      </c>
      <c r="I61" s="614"/>
      <c r="J61" s="203">
        <v>509</v>
      </c>
      <c r="K61" s="196" t="s">
        <v>279</v>
      </c>
      <c r="L61" s="679">
        <f t="shared" si="4"/>
        <v>0</v>
      </c>
      <c r="P61" s="392"/>
      <c r="R61" s="609"/>
      <c r="T61" s="393"/>
    </row>
    <row r="62" spans="1:20" ht="72" customHeight="1" x14ac:dyDescent="0.25">
      <c r="A62" s="226">
        <f>'Unit Data from Audit Worksheet'!A69</f>
        <v>22</v>
      </c>
      <c r="B62" s="236" t="str">
        <f>'Unit Data from Audit Worksheet'!C69</f>
        <v>General Fund-Rev, Exp. Change in Fund Balance</v>
      </c>
      <c r="C62" s="224" t="str">
        <f>'Unit Data from Audit Worksheet'!D69</f>
        <v xml:space="preserve">All other items on this statement that were not included in total revenues, total expenditures, transfers in or out, or proceeds from long-term debt above.  </v>
      </c>
      <c r="D62" s="620"/>
      <c r="E62" s="678">
        <f>'Unit Data from Audit Worksheet'!F69</f>
        <v>0</v>
      </c>
      <c r="F62" s="215"/>
      <c r="G62" s="286"/>
      <c r="H62" s="207">
        <f>'Unit Data from Audit Worksheet'!I69</f>
        <v>0</v>
      </c>
      <c r="I62" s="614"/>
      <c r="J62" s="203">
        <v>22</v>
      </c>
      <c r="K62" s="196" t="s">
        <v>277</v>
      </c>
      <c r="L62" s="679">
        <f t="shared" si="4"/>
        <v>0</v>
      </c>
      <c r="P62" s="392"/>
      <c r="R62" s="609"/>
      <c r="T62" s="393"/>
    </row>
    <row r="63" spans="1:20" ht="53.25" customHeight="1" x14ac:dyDescent="0.25">
      <c r="A63" s="226">
        <f>'Unit Data from Audit Worksheet'!A70</f>
        <v>23</v>
      </c>
      <c r="B63" s="236" t="str">
        <f>'Unit Data from Audit Worksheet'!C70</f>
        <v>General Fund-Rev, Exp. Change in Fund Balance</v>
      </c>
      <c r="C63" s="224" t="str">
        <f>'Unit Data from Audit Worksheet'!D70</f>
        <v>Change in fund balance - (Increase in Fund balance is recorded as a positive and a decrease in fund balance is recorded as a negative)</v>
      </c>
      <c r="D63" s="620"/>
      <c r="E63" s="678">
        <f>'Unit Data from Audit Worksheet'!F70</f>
        <v>0</v>
      </c>
      <c r="F63" s="215">
        <f>IF(+L54-L56+L57-L58+L59+L60-L61+L62-L63=0,,"Error:Total revenues less toal Expenditures do not equal change in fund balance")</f>
        <v>0</v>
      </c>
      <c r="G63" s="341">
        <f>+L54-L56+L57-L58+L59+L62+L60-L61-L63</f>
        <v>0</v>
      </c>
      <c r="H63" s="207">
        <f>'Unit Data from Audit Worksheet'!I70</f>
        <v>0</v>
      </c>
      <c r="I63" s="614"/>
      <c r="J63" s="203">
        <v>23</v>
      </c>
      <c r="K63" s="196" t="s">
        <v>280</v>
      </c>
      <c r="L63" s="679">
        <f t="shared" si="4"/>
        <v>0</v>
      </c>
      <c r="P63" s="392"/>
      <c r="Q63" s="325">
        <f>IF(G63&lt;&gt;0,1,0)</f>
        <v>0</v>
      </c>
      <c r="R63" s="609"/>
      <c r="T63" s="393"/>
    </row>
    <row r="64" spans="1:20" ht="94.5" customHeight="1" x14ac:dyDescent="0.25">
      <c r="A64" s="426">
        <f>'Unit Data from Audit Worksheet'!A72</f>
        <v>507</v>
      </c>
      <c r="B64" s="427" t="str">
        <f>'Unit Data from Audit Worksheet'!C72</f>
        <v>General Fund-Rev, Exp. Change in Fund Balance</v>
      </c>
      <c r="C64" s="428" t="str">
        <f>'Unit Data from Audit Worksheet'!D72</f>
        <v>Any adjustment to beginning fund balance including rounding, prior period adjustments and restatements.   (Amounts that increase fund balance are recorded as positive and amounts that decrease fund balance are recorded as negative)</v>
      </c>
      <c r="D64" s="419"/>
      <c r="E64" s="685">
        <f>'Unit Data from Audit Worksheet'!F72</f>
        <v>0</v>
      </c>
      <c r="F64" s="420" t="e">
        <f>IF(+L51-L63-L64=O51,,"Error: Beginning Fund Bal does not equal our records Accts 9-23-507= PY 9")</f>
        <v>#N/A</v>
      </c>
      <c r="G64" s="434" t="e">
        <f>L51-L63-L64-O51</f>
        <v>#N/A</v>
      </c>
      <c r="H64" s="422">
        <f>'Unit Data from Audit Worksheet'!I72</f>
        <v>0</v>
      </c>
      <c r="I64" s="614"/>
      <c r="J64" s="389">
        <v>507</v>
      </c>
      <c r="K64" s="208" t="s">
        <v>281</v>
      </c>
      <c r="L64" s="665">
        <f t="shared" si="4"/>
        <v>0</v>
      </c>
      <c r="N64" s="415"/>
      <c r="O64" s="187"/>
      <c r="P64" s="392"/>
      <c r="Q64" s="325" t="e">
        <f>IF(G64&lt;&gt;0,1,0)</f>
        <v>#N/A</v>
      </c>
      <c r="R64" s="609"/>
      <c r="T64" s="393"/>
    </row>
    <row r="65" spans="1:20" s="610" customFormat="1" ht="41.25" customHeight="1" x14ac:dyDescent="0.25">
      <c r="A65" s="463">
        <f>'Unit Data from Audit Worksheet'!A73</f>
        <v>647</v>
      </c>
      <c r="B65" s="464" t="str">
        <f>'Unit Data from Audit Worksheet'!C73</f>
        <v>Debt Service Fund</v>
      </c>
      <c r="C65" s="463" t="str">
        <f>'Unit Data from Audit Worksheet'!D73</f>
        <v>Please enter the Total Fund Balance for any Debt Service Funds</v>
      </c>
      <c r="D65" s="425"/>
      <c r="E65" s="684">
        <f>'Unit Data from Audit Worksheet'!F73</f>
        <v>0</v>
      </c>
      <c r="F65" s="465"/>
      <c r="G65" s="872"/>
      <c r="H65" s="465">
        <f>'Unit Data from Audit Worksheet'!I73</f>
        <v>0</v>
      </c>
      <c r="I65" s="642"/>
      <c r="J65" s="467">
        <v>647</v>
      </c>
      <c r="K65" s="468" t="s">
        <v>886</v>
      </c>
      <c r="L65" s="661">
        <f t="shared" si="4"/>
        <v>0</v>
      </c>
      <c r="M65" s="869"/>
      <c r="N65" s="869"/>
      <c r="O65" s="873"/>
      <c r="P65" s="870"/>
      <c r="Q65" s="871"/>
    </row>
    <row r="66" spans="1:20" ht="45" x14ac:dyDescent="0.25">
      <c r="A66" s="221">
        <f>'Unit Data from Audit Worksheet'!A75</f>
        <v>171</v>
      </c>
      <c r="B66" s="239" t="str">
        <f>'Unit Data from Audit Worksheet'!C75</f>
        <v>Fund Statements - all Governmental Funds</v>
      </c>
      <c r="C66" s="216" t="str">
        <f>'Unit Data from Audit Worksheet'!D75</f>
        <v>Debt service expenditures from all governmental funds.  Include principal, interest paid, and debt issuance costs on long-term debt.</v>
      </c>
      <c r="D66" s="620"/>
      <c r="E66" s="676">
        <f>'Unit Data from Audit Worksheet'!F75</f>
        <v>0</v>
      </c>
      <c r="F66" s="220">
        <f>IF(L66&lt;0,"Error: Enter as a positive.",)</f>
        <v>0</v>
      </c>
      <c r="G66" s="285"/>
      <c r="H66" s="207">
        <f>'Unit Data from Audit Worksheet'!I75</f>
        <v>0</v>
      </c>
      <c r="I66" s="614"/>
      <c r="J66" s="204">
        <v>171</v>
      </c>
      <c r="K66" s="231" t="s">
        <v>282</v>
      </c>
      <c r="L66" s="688">
        <f t="shared" si="4"/>
        <v>0</v>
      </c>
      <c r="P66" s="392"/>
      <c r="R66" s="609"/>
      <c r="T66" s="393"/>
    </row>
    <row r="67" spans="1:20" s="225" customFormat="1" ht="64.5" customHeight="1" x14ac:dyDescent="0.25">
      <c r="A67" s="226">
        <f>'Unit Data from Audit Worksheet'!A79</f>
        <v>596</v>
      </c>
      <c r="B67" s="236"/>
      <c r="C67" s="244" t="str">
        <f>'Unit Data from Audit Worksheet'!D79</f>
        <v>Indicate if your water/sewer system:
50 - Became Operational
51 - Ceased Operations
52 - No Change</v>
      </c>
      <c r="D67" s="620"/>
      <c r="E67" s="678">
        <f>'Unit Data from Audit Worksheet'!F79</f>
        <v>0</v>
      </c>
      <c r="F67" s="296"/>
      <c r="G67" s="296"/>
      <c r="H67" s="207">
        <f>'Unit Data from Audit Worksheet'!I79</f>
        <v>0</v>
      </c>
      <c r="I67" s="614"/>
      <c r="J67" s="203">
        <v>596</v>
      </c>
      <c r="K67" s="196" t="s">
        <v>713</v>
      </c>
      <c r="L67" s="679">
        <f t="shared" si="4"/>
        <v>0</v>
      </c>
      <c r="P67" s="392"/>
      <c r="Q67" s="325"/>
      <c r="R67" s="609"/>
      <c r="T67" s="393"/>
    </row>
    <row r="68" spans="1:20" ht="64.5" customHeight="1" x14ac:dyDescent="0.25">
      <c r="A68" s="226">
        <f>'Unit Data from Audit Worksheet'!A80</f>
        <v>80</v>
      </c>
      <c r="B68" s="236" t="str">
        <f>'Unit Data from Audit Worksheet'!C80</f>
        <v>Water Sewer Net Position Statement</v>
      </c>
      <c r="C68" s="224" t="str">
        <f>'Unit Data from Audit Worksheet'!D80</f>
        <v>Unrestricted Cash and investments 
Exclude restricted cash and/or restricted investments.</v>
      </c>
      <c r="D68" s="620"/>
      <c r="E68" s="678">
        <f>'Unit Data from Audit Worksheet'!F80</f>
        <v>0</v>
      </c>
      <c r="F68" s="215">
        <f>IF(L68&lt;0,"Error: Number is normally positive.",)</f>
        <v>0</v>
      </c>
      <c r="G68" s="215" t="e">
        <f>'Unit Data from Audit Worksheet'!G80</f>
        <v>#N/A</v>
      </c>
      <c r="H68" s="207">
        <f>'Unit Data from Audit Worksheet'!I80</f>
        <v>0</v>
      </c>
      <c r="I68" s="614"/>
      <c r="J68" s="203">
        <v>80</v>
      </c>
      <c r="K68" s="196" t="s">
        <v>283</v>
      </c>
      <c r="L68" s="679">
        <f t="shared" si="4"/>
        <v>0</v>
      </c>
      <c r="P68" s="392"/>
      <c r="R68" s="609"/>
      <c r="T68" s="393"/>
    </row>
    <row r="69" spans="1:20" ht="64.5" customHeight="1" x14ac:dyDescent="0.25">
      <c r="A69" s="226">
        <f>'Unit Data from Audit Worksheet'!A81</f>
        <v>81</v>
      </c>
      <c r="B69" s="236" t="str">
        <f>'Unit Data from Audit Worksheet'!C81</f>
        <v>Water Sewer Net Position Statement</v>
      </c>
      <c r="C69" s="224" t="str">
        <f>'Unit Data from Audit Worksheet'!D81</f>
        <v>Customer accounts receivable (net of allowance accounts). 
Include both billed and unbilled amounts.</v>
      </c>
      <c r="D69" s="620"/>
      <c r="E69" s="678">
        <f>'Unit Data from Audit Worksheet'!F81</f>
        <v>0</v>
      </c>
      <c r="F69" s="215">
        <f>IF(L69&lt;0,"Error: Number is normally positive.",)</f>
        <v>0</v>
      </c>
      <c r="G69" s="286"/>
      <c r="H69" s="207">
        <f>'Unit Data from Audit Worksheet'!I81</f>
        <v>0</v>
      </c>
      <c r="I69" s="614"/>
      <c r="J69" s="203">
        <v>81</v>
      </c>
      <c r="K69" s="196" t="s">
        <v>284</v>
      </c>
      <c r="L69" s="679">
        <f t="shared" si="4"/>
        <v>0</v>
      </c>
      <c r="P69" s="392"/>
      <c r="R69" s="609"/>
      <c r="T69" s="393"/>
    </row>
    <row r="70" spans="1:20" s="225" customFormat="1" ht="64.5" customHeight="1" x14ac:dyDescent="0.25">
      <c r="A70" s="332">
        <f>'Unit Data from Audit Worksheet'!A82</f>
        <v>579</v>
      </c>
      <c r="B70" s="333" t="str">
        <f>'Unit Data from Audit Worksheet'!C82</f>
        <v>Water Sewer Net Position Statement</v>
      </c>
      <c r="C70" s="331" t="str">
        <f>'Unit Data from Audit Worksheet'!D82</f>
        <v>Water Sewer - Advance To:
Interfund loan receivable-portion of repayment plan longer than 12 months</v>
      </c>
      <c r="D70" s="620"/>
      <c r="E70" s="678">
        <f>'Unit Data from Audit Worksheet'!F82</f>
        <v>0</v>
      </c>
      <c r="F70" s="215"/>
      <c r="G70" s="286"/>
      <c r="H70" s="207"/>
      <c r="I70" s="614"/>
      <c r="J70" s="330">
        <v>579</v>
      </c>
      <c r="K70" s="329" t="s">
        <v>659</v>
      </c>
      <c r="L70" s="679">
        <f t="shared" si="4"/>
        <v>0</v>
      </c>
      <c r="N70" s="3" t="s">
        <v>773</v>
      </c>
      <c r="P70" s="392"/>
      <c r="Q70" s="325"/>
      <c r="R70" s="609"/>
      <c r="T70" s="393"/>
    </row>
    <row r="71" spans="1:20" ht="54" customHeight="1" x14ac:dyDescent="0.25">
      <c r="A71" s="226">
        <f>'Unit Data from Audit Worksheet'!A83</f>
        <v>510</v>
      </c>
      <c r="B71" s="236" t="str">
        <f>'Unit Data from Audit Worksheet'!C83</f>
        <v>Water Sewer Net Position Statement</v>
      </c>
      <c r="C71" s="224" t="str">
        <f>'Unit Data from Audit Worksheet'!D83</f>
        <v>Amount of Inventories and Prepaid expenses in current assets</v>
      </c>
      <c r="D71" s="620"/>
      <c r="E71" s="678">
        <f>'Unit Data from Audit Worksheet'!F83</f>
        <v>0</v>
      </c>
      <c r="F71" s="215"/>
      <c r="G71" s="286"/>
      <c r="H71" s="207">
        <f>'Unit Data from Audit Worksheet'!I83</f>
        <v>0</v>
      </c>
      <c r="I71" s="614"/>
      <c r="J71" s="203">
        <v>510</v>
      </c>
      <c r="K71" s="196" t="s">
        <v>285</v>
      </c>
      <c r="L71" s="679">
        <f t="shared" si="4"/>
        <v>0</v>
      </c>
      <c r="P71" s="392"/>
      <c r="R71" s="609"/>
      <c r="T71" s="393"/>
    </row>
    <row r="72" spans="1:20" ht="42.75" customHeight="1" x14ac:dyDescent="0.25">
      <c r="A72" s="226">
        <f>'Unit Data from Audit Worksheet'!A84</f>
        <v>654</v>
      </c>
      <c r="B72" s="236" t="str">
        <f>'Unit Data from Audit Worksheet'!C84</f>
        <v>Water Sewer Net Position Statement</v>
      </c>
      <c r="C72" s="224" t="str">
        <f>'Unit Data from Audit Worksheet'!D84</f>
        <v xml:space="preserve">Total Current assets as listed on the WS Net Position Statement.  
</v>
      </c>
      <c r="D72" s="620"/>
      <c r="E72" s="678">
        <f>'Unit Data from Audit Worksheet'!F84</f>
        <v>0</v>
      </c>
      <c r="F72" s="215">
        <f>IF((+L68+L69+L71)&gt;L72,"Please review components of current assets above Acct. (80+81+510&gt;654",)</f>
        <v>0</v>
      </c>
      <c r="G72" s="324" t="str">
        <f>IF(Q72=1," Included in error count"," ")</f>
        <v xml:space="preserve"> </v>
      </c>
      <c r="H72" s="207">
        <f>'Unit Data from Audit Worksheet'!I84</f>
        <v>0</v>
      </c>
      <c r="I72" s="614"/>
      <c r="J72" s="203">
        <v>654</v>
      </c>
      <c r="K72" s="626" t="s">
        <v>965</v>
      </c>
      <c r="L72" s="679">
        <f t="shared" si="4"/>
        <v>0</v>
      </c>
      <c r="P72" s="392"/>
      <c r="Q72" s="325">
        <f>IF((+L68+L69+L71)&gt;L72,1,0)</f>
        <v>0</v>
      </c>
      <c r="R72" s="609"/>
      <c r="T72" s="393"/>
    </row>
    <row r="73" spans="1:20" s="609" customFormat="1" ht="54" customHeight="1" x14ac:dyDescent="0.25">
      <c r="A73" s="619">
        <f>'Unit Data from Audit Worksheet'!A85</f>
        <v>655</v>
      </c>
      <c r="B73" s="621" t="str">
        <f>'Unit Data from Audit Worksheet'!C85</f>
        <v>Water Sewer Net Position Statement</v>
      </c>
      <c r="C73" s="618" t="str">
        <f>'Unit Data from Audit Worksheet'!D85</f>
        <v>WS-Any current assets that are restricted (Cash, Accounts Rec., etc..) and included in account 654 above</v>
      </c>
      <c r="D73" s="620"/>
      <c r="E73" s="678">
        <f>'Unit Data from Audit Worksheet'!F85</f>
        <v>0</v>
      </c>
      <c r="F73" s="617"/>
      <c r="G73" s="622"/>
      <c r="H73" s="616"/>
      <c r="I73" s="614"/>
      <c r="J73" s="615">
        <v>655</v>
      </c>
      <c r="K73" s="626" t="s">
        <v>1208</v>
      </c>
      <c r="L73" s="679">
        <f t="shared" si="4"/>
        <v>0</v>
      </c>
      <c r="P73" s="392"/>
      <c r="Q73" s="623"/>
    </row>
    <row r="74" spans="1:20" ht="41.25" customHeight="1" x14ac:dyDescent="0.25">
      <c r="A74" s="226">
        <f>'Unit Data from Audit Worksheet'!A86</f>
        <v>381</v>
      </c>
      <c r="B74" s="236" t="str">
        <f>'Unit Data from Audit Worksheet'!C86</f>
        <v>Water Sewer Net Position Statement</v>
      </c>
      <c r="C74" s="224" t="str">
        <f>'Unit Data from Audit Worksheet'!D86</f>
        <v>Total Assets and deferred outflows</v>
      </c>
      <c r="D74" s="620"/>
      <c r="E74" s="678">
        <f>'Unit Data from Audit Worksheet'!F86</f>
        <v>0</v>
      </c>
      <c r="F74" s="215" t="str">
        <f>IF(L74&lt;L72,"Please review components of current assets above acct. 381&lt;654"," ")</f>
        <v xml:space="preserve"> </v>
      </c>
      <c r="G74" s="324" t="str">
        <f>IF(Q74=1," Included in error count"," ")</f>
        <v xml:space="preserve"> </v>
      </c>
      <c r="H74" s="207">
        <f>'Unit Data from Audit Worksheet'!I86</f>
        <v>0</v>
      </c>
      <c r="I74" s="614"/>
      <c r="J74" s="203">
        <v>381</v>
      </c>
      <c r="K74" s="196" t="s">
        <v>120</v>
      </c>
      <c r="L74" s="679">
        <f t="shared" si="4"/>
        <v>0</v>
      </c>
      <c r="P74" s="392"/>
      <c r="Q74" s="325">
        <f>IF(L74&lt;L72,1,0)</f>
        <v>0</v>
      </c>
      <c r="R74" s="609"/>
      <c r="T74" s="393"/>
    </row>
    <row r="75" spans="1:20" s="225" customFormat="1" ht="60.75" customHeight="1" x14ac:dyDescent="0.25">
      <c r="A75" s="426">
        <f>'Unit Data from Audit Worksheet'!A87</f>
        <v>578</v>
      </c>
      <c r="B75" s="427" t="str">
        <f>'Unit Data from Audit Worksheet'!C87</f>
        <v>Water Sewer Net Position Statement</v>
      </c>
      <c r="C75" s="428" t="str">
        <f>'Unit Data from Audit Worksheet'!D87</f>
        <v>Water Sewer - Advance From: 
Interfund loan Payable-portion of repayment plan longer than 12 months</v>
      </c>
      <c r="D75" s="419"/>
      <c r="E75" s="685">
        <f>'Unit Data from Audit Worksheet'!F87</f>
        <v>0</v>
      </c>
      <c r="F75" s="420"/>
      <c r="G75" s="421"/>
      <c r="H75" s="422"/>
      <c r="I75" s="614"/>
      <c r="J75" s="389">
        <v>578</v>
      </c>
      <c r="K75" s="208" t="s">
        <v>660</v>
      </c>
      <c r="L75" s="665">
        <f t="shared" si="4"/>
        <v>0</v>
      </c>
      <c r="P75" s="392"/>
      <c r="Q75" s="326"/>
      <c r="R75" s="609"/>
      <c r="T75" s="393"/>
    </row>
    <row r="76" spans="1:20" s="449" customFormat="1" ht="93.75" customHeight="1" x14ac:dyDescent="0.25">
      <c r="A76" s="463">
        <v>633</v>
      </c>
      <c r="B76" s="464" t="str">
        <f>'Unit Data from Audit Worksheet'!C88</f>
        <v>Water Sewer Net Position Statement</v>
      </c>
      <c r="C76" s="463" t="str">
        <f>'Unit Data from Audit Worksheet'!D88</f>
        <v xml:space="preserve">Current liabilities (as reported on the Statement of Fund Net Position)
Include:   Current liabilities including current portion of long-term debt.  Deferred inflows should not be included in Current Liabilities          
</v>
      </c>
      <c r="D76" s="419"/>
      <c r="E76" s="684">
        <f>'Unit Data from Audit Worksheet'!F88</f>
        <v>0</v>
      </c>
      <c r="F76" s="465"/>
      <c r="G76" s="466"/>
      <c r="H76" s="465"/>
      <c r="I76" s="642"/>
      <c r="J76" s="467">
        <v>633</v>
      </c>
      <c r="K76" s="468" t="s">
        <v>874</v>
      </c>
      <c r="L76" s="661">
        <f t="shared" si="4"/>
        <v>0</v>
      </c>
      <c r="M76" s="469"/>
      <c r="N76" s="469"/>
      <c r="O76" s="469"/>
      <c r="P76" s="470"/>
      <c r="Q76" s="471"/>
      <c r="R76" s="609"/>
      <c r="T76" s="393"/>
    </row>
    <row r="77" spans="1:20" s="449" customFormat="1" ht="82.5" customHeight="1" x14ac:dyDescent="0.25">
      <c r="A77" s="463">
        <v>634</v>
      </c>
      <c r="B77" s="464" t="str">
        <f>'Unit Data from Audit Worksheet'!C89</f>
        <v>Water Sewer Net Position Statement</v>
      </c>
      <c r="C77" s="463" t="str">
        <f>'Unit Data from Audit Worksheet'!D89</f>
        <v>Please enter any bond anticipation notes that are classified as current liabilities and included in account 633 above (amounts entered should agree to the current amount included in the changes to long-term debt note)</v>
      </c>
      <c r="D77" s="419"/>
      <c r="E77" s="684">
        <f>'Unit Data from Audit Worksheet'!F89</f>
        <v>0</v>
      </c>
      <c r="F77" s="465"/>
      <c r="G77" s="466"/>
      <c r="H77" s="465"/>
      <c r="I77" s="642"/>
      <c r="J77" s="467">
        <v>634</v>
      </c>
      <c r="K77" s="468" t="s">
        <v>875</v>
      </c>
      <c r="L77" s="661">
        <f t="shared" si="4"/>
        <v>0</v>
      </c>
      <c r="M77" s="469"/>
      <c r="N77" s="469"/>
      <c r="O77" s="469"/>
      <c r="P77" s="470"/>
      <c r="Q77" s="471"/>
      <c r="R77" s="609"/>
      <c r="T77" s="393"/>
    </row>
    <row r="78" spans="1:20" s="449" customFormat="1" ht="82.5" customHeight="1" x14ac:dyDescent="0.25">
      <c r="A78" s="463">
        <v>635</v>
      </c>
      <c r="B78" s="464" t="str">
        <f>'Unit Data from Audit Worksheet'!C90</f>
        <v>Water Sewer Net Position Statement</v>
      </c>
      <c r="C78" s="463" t="str">
        <f>'Unit Data from Audit Worksheet'!D90</f>
        <v>Please enter any compensated absences that are classified as current liabilities and included in account 633 above (amounts entered should agree to the current amount included in the changes to long-term debt note)</v>
      </c>
      <c r="D78" s="419"/>
      <c r="E78" s="684">
        <f>'Unit Data from Audit Worksheet'!F90</f>
        <v>0</v>
      </c>
      <c r="F78" s="465"/>
      <c r="G78" s="466"/>
      <c r="H78" s="465"/>
      <c r="I78" s="642"/>
      <c r="J78" s="467">
        <v>635</v>
      </c>
      <c r="K78" s="468" t="s">
        <v>876</v>
      </c>
      <c r="L78" s="661">
        <f t="shared" si="4"/>
        <v>0</v>
      </c>
      <c r="M78" s="469"/>
      <c r="N78" s="469"/>
      <c r="O78" s="469"/>
      <c r="P78" s="470"/>
      <c r="Q78" s="471"/>
      <c r="R78" s="609"/>
      <c r="T78" s="393"/>
    </row>
    <row r="79" spans="1:20" s="449" customFormat="1" ht="82.5" customHeight="1" x14ac:dyDescent="0.25">
      <c r="A79" s="463">
        <v>636</v>
      </c>
      <c r="B79" s="464" t="str">
        <f>'Unit Data from Audit Worksheet'!C91</f>
        <v>Water Sewer Net Position Statement</v>
      </c>
      <c r="C79" s="463" t="str">
        <f>'Unit Data from Audit Worksheet'!D91</f>
        <v>Please enter any pension liabilities that are classified as current liabilities and included in account 633 above (amounts entered should agree to the current amount included in the changes to long-term debt note)</v>
      </c>
      <c r="D79" s="419"/>
      <c r="E79" s="684">
        <f>'Unit Data from Audit Worksheet'!F91</f>
        <v>0</v>
      </c>
      <c r="F79" s="465"/>
      <c r="G79" s="466"/>
      <c r="H79" s="465"/>
      <c r="I79" s="642"/>
      <c r="J79" s="467">
        <v>636</v>
      </c>
      <c r="K79" s="468" t="s">
        <v>871</v>
      </c>
      <c r="L79" s="661">
        <f t="shared" si="4"/>
        <v>0</v>
      </c>
      <c r="M79" s="469"/>
      <c r="N79" s="469"/>
      <c r="O79" s="469"/>
      <c r="P79" s="470"/>
      <c r="Q79" s="471"/>
      <c r="R79" s="609"/>
      <c r="T79" s="393"/>
    </row>
    <row r="80" spans="1:20" s="449" customFormat="1" ht="72.75" customHeight="1" x14ac:dyDescent="0.25">
      <c r="A80" s="463">
        <v>637</v>
      </c>
      <c r="B80" s="464" t="str">
        <f>'Unit Data from Audit Worksheet'!C92</f>
        <v>Water Sewer Net Position Statement</v>
      </c>
      <c r="C80" s="463" t="str">
        <f>'Unit Data from Audit Worksheet'!D92</f>
        <v>Please enter any current liabilities that are payable from restricted assets and included in account 633 above.</v>
      </c>
      <c r="D80" s="419"/>
      <c r="E80" s="684">
        <f>'Unit Data from Audit Worksheet'!F92</f>
        <v>0</v>
      </c>
      <c r="F80" s="465"/>
      <c r="G80" s="466"/>
      <c r="H80" s="465"/>
      <c r="I80" s="642"/>
      <c r="J80" s="467">
        <v>637</v>
      </c>
      <c r="K80" s="468" t="s">
        <v>872</v>
      </c>
      <c r="L80" s="661">
        <f t="shared" si="4"/>
        <v>0</v>
      </c>
      <c r="M80" s="469"/>
      <c r="N80" s="469"/>
      <c r="O80" s="469"/>
      <c r="P80" s="470"/>
      <c r="Q80" s="471"/>
      <c r="R80" s="609"/>
      <c r="T80" s="393"/>
    </row>
    <row r="81" spans="1:20" s="449" customFormat="1" ht="90" customHeight="1" x14ac:dyDescent="0.25">
      <c r="A81" s="463">
        <v>638</v>
      </c>
      <c r="B81" s="464" t="str">
        <f>'Unit Data from Audit Worksheet'!C93</f>
        <v>Water Sewer Net Position Statement</v>
      </c>
      <c r="C81" s="463" t="str">
        <f>'Unit Data from Audit Worksheet'!D93</f>
        <v>Please enter any OPEB liabilities that are classified as current liabilities and included in account 633 above (amounts entered should agree to the current amount included in the changes to long-term debt note)</v>
      </c>
      <c r="D81" s="419"/>
      <c r="E81" s="684">
        <f>'Unit Data from Audit Worksheet'!F93</f>
        <v>0</v>
      </c>
      <c r="F81" s="465"/>
      <c r="G81" s="466"/>
      <c r="H81" s="465"/>
      <c r="I81" s="642"/>
      <c r="J81" s="467">
        <v>638</v>
      </c>
      <c r="K81" s="468" t="s">
        <v>877</v>
      </c>
      <c r="L81" s="661">
        <f t="shared" si="4"/>
        <v>0</v>
      </c>
      <c r="M81" s="469"/>
      <c r="N81" s="469"/>
      <c r="O81" s="469"/>
      <c r="P81" s="470"/>
      <c r="Q81" s="471"/>
      <c r="R81" s="609"/>
      <c r="T81" s="393"/>
    </row>
    <row r="82" spans="1:20" ht="57.75" customHeight="1" x14ac:dyDescent="0.25">
      <c r="A82" s="221">
        <f>'Unit Data from Audit Worksheet'!A94</f>
        <v>383</v>
      </c>
      <c r="B82" s="239" t="str">
        <f>'Unit Data from Audit Worksheet'!C94</f>
        <v>Water Sewer Net Position Statement</v>
      </c>
      <c r="C82" s="216" t="str">
        <f>'Unit Data from Audit Worksheet'!D94</f>
        <v>Unearned revenue (arising from cash receipts) that were included in Current Liabilities in the question in account 633 above.</v>
      </c>
      <c r="D82" s="620"/>
      <c r="E82" s="676">
        <f>'Unit Data from Audit Worksheet'!F94</f>
        <v>0</v>
      </c>
      <c r="F82" s="220">
        <f>IF(L82&lt;0,"Error: Enter as a positive.",)</f>
        <v>0</v>
      </c>
      <c r="G82" s="285"/>
      <c r="H82" s="207">
        <f>'Unit Data from Audit Worksheet'!I94</f>
        <v>0</v>
      </c>
      <c r="I82" s="614"/>
      <c r="J82" s="204">
        <v>383</v>
      </c>
      <c r="K82" s="231" t="s">
        <v>286</v>
      </c>
      <c r="L82" s="688">
        <f t="shared" si="4"/>
        <v>0</v>
      </c>
      <c r="P82" s="392"/>
      <c r="R82" s="609"/>
      <c r="T82" s="393"/>
    </row>
    <row r="83" spans="1:20" ht="57.75" customHeight="1" x14ac:dyDescent="0.25">
      <c r="A83" s="226">
        <f>'Unit Data from Audit Worksheet'!A95</f>
        <v>349</v>
      </c>
      <c r="B83" s="236" t="str">
        <f>'Unit Data from Audit Worksheet'!C95</f>
        <v>Water Sewer Net Position Statement</v>
      </c>
      <c r="C83" s="224" t="str">
        <f>'Unit Data from Audit Worksheet'!D95</f>
        <v>Total Liabilities and deferred inflows</v>
      </c>
      <c r="D83" s="620"/>
      <c r="E83" s="678">
        <f>'Unit Data from Audit Worksheet'!F95</f>
        <v>0</v>
      </c>
      <c r="F83" s="322">
        <f>IF(L76&gt;L83,"Error: Please review accts 633&gt;349",)</f>
        <v>0</v>
      </c>
      <c r="G83" s="324" t="str">
        <f>IF(Q83=1," Included in error count"," ")</f>
        <v xml:space="preserve"> </v>
      </c>
      <c r="H83" s="207">
        <f>'Unit Data from Audit Worksheet'!I95</f>
        <v>0</v>
      </c>
      <c r="I83" s="614"/>
      <c r="J83" s="203">
        <v>349</v>
      </c>
      <c r="K83" s="196" t="s">
        <v>129</v>
      </c>
      <c r="L83" s="679">
        <f t="shared" si="4"/>
        <v>0</v>
      </c>
      <c r="P83" s="392"/>
      <c r="Q83" s="325">
        <f>IF(L76&gt;L83,1,0)</f>
        <v>0</v>
      </c>
      <c r="R83" s="609"/>
      <c r="T83" s="393"/>
    </row>
    <row r="84" spans="1:20" ht="57.75" customHeight="1" x14ac:dyDescent="0.25">
      <c r="A84" s="226">
        <f>'Unit Data from Audit Worksheet'!A96</f>
        <v>375</v>
      </c>
      <c r="B84" s="236" t="str">
        <f>'Unit Data from Audit Worksheet'!C96</f>
        <v>Water Sewer Net Position Statement</v>
      </c>
      <c r="C84" s="224" t="str">
        <f>'Unit Data from Audit Worksheet'!D96</f>
        <v>Total Net position, Unrestricted - enter negative unrestricted net position as a negative</v>
      </c>
      <c r="D84" s="620"/>
      <c r="E84" s="678">
        <f>'Unit Data from Audit Worksheet'!F96</f>
        <v>0</v>
      </c>
      <c r="F84" s="215"/>
      <c r="G84" s="286"/>
      <c r="H84" s="207">
        <f>'Unit Data from Audit Worksheet'!I96</f>
        <v>0</v>
      </c>
      <c r="I84" s="614"/>
      <c r="J84" s="203">
        <v>375</v>
      </c>
      <c r="K84" s="196" t="s">
        <v>287</v>
      </c>
      <c r="L84" s="679">
        <f t="shared" si="4"/>
        <v>0</v>
      </c>
      <c r="P84" s="392"/>
      <c r="R84" s="609"/>
      <c r="T84" s="393"/>
    </row>
    <row r="85" spans="1:20" ht="57.75" customHeight="1" x14ac:dyDescent="0.25">
      <c r="A85" s="226">
        <f>'Unit Data from Audit Worksheet'!A97</f>
        <v>83</v>
      </c>
      <c r="B85" s="236" t="str">
        <f>'Unit Data from Audit Worksheet'!C97</f>
        <v>Water Sewer Net Position Statement</v>
      </c>
      <c r="C85" s="224" t="str">
        <f>'Unit Data from Audit Worksheet'!D97</f>
        <v>Total Net position</v>
      </c>
      <c r="D85" s="620"/>
      <c r="E85" s="678">
        <f>'Unit Data from Audit Worksheet'!F97</f>
        <v>0</v>
      </c>
      <c r="F85" s="215">
        <f>IF(+L74-L83-L85=0,,"Error: Total assets less total liabilities do not equal net position acct 381-349-83=0")</f>
        <v>0</v>
      </c>
      <c r="G85" s="341">
        <f>L74-L83-L85</f>
        <v>0</v>
      </c>
      <c r="H85" s="207">
        <f>'Unit Data from Audit Worksheet'!I97</f>
        <v>0</v>
      </c>
      <c r="I85" s="614"/>
      <c r="J85" s="203">
        <v>83</v>
      </c>
      <c r="K85" s="196" t="s">
        <v>109</v>
      </c>
      <c r="L85" s="679">
        <f t="shared" si="4"/>
        <v>0</v>
      </c>
      <c r="O85" s="187" t="e">
        <f>'Unit Data from Audit Worksheet'!E97</f>
        <v>#N/A</v>
      </c>
      <c r="P85" s="392"/>
      <c r="Q85" s="325">
        <f>IF(G85&lt;&gt;0,1,)</f>
        <v>0</v>
      </c>
      <c r="R85" s="609"/>
      <c r="T85" s="393"/>
    </row>
    <row r="86" spans="1:20" ht="57.75" customHeight="1" x14ac:dyDescent="0.25">
      <c r="A86" s="226">
        <f>'Unit Data from Audit Worksheet'!A99</f>
        <v>90</v>
      </c>
      <c r="B86" s="236" t="str">
        <f>'Unit Data from Audit Worksheet'!C99</f>
        <v>Electric Fund Net Position Statement</v>
      </c>
      <c r="C86" s="224" t="str">
        <f>'Unit Data from Audit Worksheet'!D99</f>
        <v>All Unrestricted Cash and Investments.  
Exclude any restricted cash and investments.</v>
      </c>
      <c r="D86" s="620"/>
      <c r="E86" s="678">
        <f>'Unit Data from Audit Worksheet'!F99</f>
        <v>0</v>
      </c>
      <c r="F86" s="215">
        <f>IF(L86&lt;0,"Error: Number is normally positive.",)</f>
        <v>0</v>
      </c>
      <c r="G86" s="286"/>
      <c r="H86" s="207">
        <f>'Unit Data from Audit Worksheet'!I99</f>
        <v>0</v>
      </c>
      <c r="I86" s="614"/>
      <c r="J86" s="203">
        <v>90</v>
      </c>
      <c r="K86" s="196" t="s">
        <v>288</v>
      </c>
      <c r="L86" s="679">
        <f t="shared" si="4"/>
        <v>0</v>
      </c>
      <c r="P86" s="392"/>
      <c r="R86" s="609"/>
      <c r="T86" s="393"/>
    </row>
    <row r="87" spans="1:20" ht="57.75" customHeight="1" x14ac:dyDescent="0.25">
      <c r="A87" s="226">
        <f>'Unit Data from Audit Worksheet'!A100</f>
        <v>91</v>
      </c>
      <c r="B87" s="236" t="str">
        <f>'Unit Data from Audit Worksheet'!C100</f>
        <v>Electric Fund Net Position Statement</v>
      </c>
      <c r="C87" s="224" t="str">
        <f>'Unit Data from Audit Worksheet'!D100</f>
        <v xml:space="preserve">Customer accounts receivable (net of allowance accounts)
Include billed and unbilled amounts </v>
      </c>
      <c r="D87" s="620"/>
      <c r="E87" s="678">
        <f>'Unit Data from Audit Worksheet'!F100</f>
        <v>0</v>
      </c>
      <c r="F87" s="215">
        <f>IF(L87&lt;0,"Error: Number is normally positive.",)</f>
        <v>0</v>
      </c>
      <c r="G87" s="286"/>
      <c r="H87" s="207">
        <f>'Unit Data from Audit Worksheet'!I100</f>
        <v>0</v>
      </c>
      <c r="I87" s="614"/>
      <c r="J87" s="203">
        <v>91</v>
      </c>
      <c r="K87" s="196" t="s">
        <v>289</v>
      </c>
      <c r="L87" s="679">
        <f t="shared" si="4"/>
        <v>0</v>
      </c>
      <c r="P87" s="392"/>
      <c r="R87" s="609"/>
      <c r="T87" s="393"/>
    </row>
    <row r="88" spans="1:20" s="225" customFormat="1" ht="57.75" customHeight="1" x14ac:dyDescent="0.25">
      <c r="A88" s="332">
        <f>'Unit Data from Audit Worksheet'!A101</f>
        <v>581</v>
      </c>
      <c r="B88" s="333" t="str">
        <f>'Unit Data from Audit Worksheet'!C101</f>
        <v>Electric Fund Net Position Statement</v>
      </c>
      <c r="C88" s="331" t="str">
        <f>'Unit Data from Audit Worksheet'!D101</f>
        <v>Electric Fund - Advance To:
Interfund loan receivable-portion of repayment plan longer than 12 months</v>
      </c>
      <c r="D88" s="620"/>
      <c r="E88" s="678">
        <f>'Unit Data from Audit Worksheet'!F101</f>
        <v>0</v>
      </c>
      <c r="F88" s="215"/>
      <c r="G88" s="286"/>
      <c r="H88" s="207"/>
      <c r="I88" s="614"/>
      <c r="J88" s="330">
        <v>581</v>
      </c>
      <c r="K88" s="329" t="s">
        <v>661</v>
      </c>
      <c r="L88" s="679">
        <f t="shared" si="4"/>
        <v>0</v>
      </c>
      <c r="P88" s="392"/>
      <c r="Q88" s="325"/>
      <c r="R88" s="609"/>
      <c r="T88" s="393"/>
    </row>
    <row r="89" spans="1:20" ht="57.75" customHeight="1" x14ac:dyDescent="0.25">
      <c r="A89" s="226">
        <f>'Unit Data from Audit Worksheet'!A102</f>
        <v>511</v>
      </c>
      <c r="B89" s="236" t="str">
        <f>'Unit Data from Audit Worksheet'!C102</f>
        <v>Electric Fund Net Position Statement</v>
      </c>
      <c r="C89" s="224" t="str">
        <f>'Unit Data from Audit Worksheet'!D102</f>
        <v>Amount of inventories and prepaids</v>
      </c>
      <c r="D89" s="620"/>
      <c r="E89" s="678">
        <f>'Unit Data from Audit Worksheet'!F102</f>
        <v>0</v>
      </c>
      <c r="F89" s="215">
        <f t="shared" ref="F89:F94" si="6">IF(L89&lt;0,"Error: Number is normally positive.",)</f>
        <v>0</v>
      </c>
      <c r="G89" s="286"/>
      <c r="H89" s="207">
        <f>'Unit Data from Audit Worksheet'!I102</f>
        <v>0</v>
      </c>
      <c r="I89" s="614"/>
      <c r="J89" s="203">
        <v>511</v>
      </c>
      <c r="K89" s="196" t="s">
        <v>290</v>
      </c>
      <c r="L89" s="679">
        <f t="shared" si="4"/>
        <v>0</v>
      </c>
      <c r="P89" s="392"/>
      <c r="R89" s="609"/>
      <c r="T89" s="393"/>
    </row>
    <row r="90" spans="1:20" s="393" customFormat="1" ht="45" x14ac:dyDescent="0.25">
      <c r="A90" s="345">
        <f>'Unit Data from Audit Worksheet'!A103</f>
        <v>657</v>
      </c>
      <c r="B90" s="346" t="str">
        <f>'Unit Data from Audit Worksheet'!C103</f>
        <v>Electric Fund Net Position Statement</v>
      </c>
      <c r="C90" s="472" t="str">
        <f>'Unit Data from Audit Worksheet'!D103</f>
        <v xml:space="preserve">Total Current assets as listed on the Electric Net Position Statement.  
</v>
      </c>
      <c r="D90" s="620"/>
      <c r="E90" s="678">
        <f>'Unit Data from Audit Worksheet'!F103</f>
        <v>0</v>
      </c>
      <c r="F90" s="408">
        <f t="shared" si="6"/>
        <v>0</v>
      </c>
      <c r="G90" s="412"/>
      <c r="H90" s="406">
        <f>'Unit Data from Audit Worksheet'!I103</f>
        <v>0</v>
      </c>
      <c r="I90" s="614"/>
      <c r="J90" s="377">
        <v>657</v>
      </c>
      <c r="K90" s="473" t="s">
        <v>994</v>
      </c>
      <c r="L90" s="671">
        <f t="shared" si="4"/>
        <v>0</v>
      </c>
      <c r="P90" s="392"/>
      <c r="Q90" s="414">
        <f>IF((L86+L87+L89)&gt;L92,1,0)</f>
        <v>0</v>
      </c>
      <c r="R90" s="609"/>
    </row>
    <row r="91" spans="1:20" s="609" customFormat="1" ht="57" customHeight="1" x14ac:dyDescent="0.25">
      <c r="A91" s="345">
        <f>'Unit Data from Audit Worksheet'!A104</f>
        <v>658</v>
      </c>
      <c r="B91" s="346" t="str">
        <f>'Unit Data from Audit Worksheet'!C104</f>
        <v>Electric Fund Net Position Statement</v>
      </c>
      <c r="C91" s="472" t="str">
        <f>'Unit Data from Audit Worksheet'!D104</f>
        <v>Electric-Any current assets that are restricted (Cash, Accounts Rec., etc..) and included in account 657 above</v>
      </c>
      <c r="D91" s="620"/>
      <c r="E91" s="678">
        <f>'Unit Data from Audit Worksheet'!F104</f>
        <v>0</v>
      </c>
      <c r="F91" s="617">
        <f t="shared" si="6"/>
        <v>0</v>
      </c>
      <c r="G91" s="622"/>
      <c r="H91" s="616"/>
      <c r="I91" s="614"/>
      <c r="J91" s="377">
        <v>658</v>
      </c>
      <c r="K91" s="473" t="s">
        <v>1206</v>
      </c>
      <c r="L91" s="671">
        <f t="shared" si="4"/>
        <v>0</v>
      </c>
      <c r="P91" s="392"/>
      <c r="Q91" s="623"/>
    </row>
    <row r="92" spans="1:20" s="393" customFormat="1" ht="35.25" customHeight="1" x14ac:dyDescent="0.25">
      <c r="A92" s="410">
        <f>'Unit Data from Audit Worksheet'!A105</f>
        <v>382</v>
      </c>
      <c r="B92" s="411" t="str">
        <f>'Unit Data from Audit Worksheet'!C105</f>
        <v>Electric Fund Net Position Statement</v>
      </c>
      <c r="C92" s="409" t="str">
        <f>'Unit Data from Audit Worksheet'!D105</f>
        <v>Total Assets and deferred outflows</v>
      </c>
      <c r="D92" s="620"/>
      <c r="E92" s="678">
        <f>'Unit Data from Audit Worksheet'!F105</f>
        <v>0</v>
      </c>
      <c r="F92" s="408">
        <f t="shared" si="6"/>
        <v>0</v>
      </c>
      <c r="G92" s="412"/>
      <c r="H92" s="406">
        <f>'Unit Data from Audit Worksheet'!I105</f>
        <v>0</v>
      </c>
      <c r="I92" s="614"/>
      <c r="J92" s="417">
        <v>382</v>
      </c>
      <c r="K92" s="416" t="s">
        <v>121</v>
      </c>
      <c r="L92" s="679">
        <f t="shared" si="4"/>
        <v>0</v>
      </c>
      <c r="P92" s="392"/>
      <c r="Q92" s="414"/>
      <c r="R92" s="609"/>
    </row>
    <row r="93" spans="1:20" s="393" customFormat="1" ht="35.25" customHeight="1" x14ac:dyDescent="0.25">
      <c r="A93" s="410">
        <f>'Unit Data from Audit Worksheet'!A106</f>
        <v>360</v>
      </c>
      <c r="B93" s="411" t="str">
        <f>'Unit Data from Audit Worksheet'!C106</f>
        <v>Electric Fund Net Position Statement</v>
      </c>
      <c r="C93" s="409" t="str">
        <f>'Unit Data from Audit Worksheet'!D106</f>
        <v>Total liabilities and total deferred inflows</v>
      </c>
      <c r="D93" s="620"/>
      <c r="E93" s="678">
        <f>'Unit Data from Audit Worksheet'!F106</f>
        <v>0</v>
      </c>
      <c r="F93" s="408">
        <f t="shared" si="6"/>
        <v>0</v>
      </c>
      <c r="G93" s="412"/>
      <c r="H93" s="406">
        <f>'Unit Data from Audit Worksheet'!I106</f>
        <v>0</v>
      </c>
      <c r="I93" s="614"/>
      <c r="J93" s="417">
        <v>360</v>
      </c>
      <c r="K93" s="418" t="s">
        <v>132</v>
      </c>
      <c r="L93" s="679">
        <f t="shared" si="4"/>
        <v>0</v>
      </c>
      <c r="P93" s="392"/>
      <c r="Q93" s="414"/>
      <c r="R93" s="609"/>
    </row>
    <row r="94" spans="1:20" s="393" customFormat="1" ht="57" customHeight="1" x14ac:dyDescent="0.25">
      <c r="A94" s="410">
        <f>'Unit Data from Audit Worksheet'!A107</f>
        <v>580</v>
      </c>
      <c r="B94" s="411" t="str">
        <f>'Unit Data from Audit Worksheet'!C107</f>
        <v>Electric Fund Net Position Statement</v>
      </c>
      <c r="C94" s="409" t="str">
        <f>'Unit Data from Audit Worksheet'!D107</f>
        <v>Electric Fund - Advance From:
Interfund loans payable-portion of repayment plan longer than 12 months</v>
      </c>
      <c r="D94" s="620"/>
      <c r="E94" s="678">
        <f>'Unit Data from Audit Worksheet'!F107</f>
        <v>0</v>
      </c>
      <c r="F94" s="408">
        <f t="shared" si="6"/>
        <v>0</v>
      </c>
      <c r="G94" s="412"/>
      <c r="H94" s="406">
        <f>'Unit Data from Audit Worksheet'!I107</f>
        <v>0</v>
      </c>
      <c r="I94" s="614"/>
      <c r="J94" s="417">
        <v>580</v>
      </c>
      <c r="K94" s="418" t="s">
        <v>662</v>
      </c>
      <c r="L94" s="679">
        <f t="shared" si="4"/>
        <v>0</v>
      </c>
      <c r="N94" s="415"/>
      <c r="P94" s="392"/>
      <c r="Q94" s="414"/>
      <c r="R94" s="609"/>
    </row>
    <row r="95" spans="1:20" s="610" customFormat="1" ht="90.75" customHeight="1" x14ac:dyDescent="0.25">
      <c r="A95" s="345">
        <f>'Unit Data from Audit Worksheet'!A108</f>
        <v>639</v>
      </c>
      <c r="B95" s="346" t="str">
        <f>'Unit Data from Audit Worksheet'!C108</f>
        <v>Electric Fund Net Position Statement</v>
      </c>
      <c r="C95" s="472" t="str">
        <f>'Unit Data from Audit Worksheet'!D108</f>
        <v xml:space="preserve">Current liabilities (as reported on the Statement of Fund Net Position)
Include:   Current liabilities including current portion of long-term debt.  Deferred inflows should not be included in Current Liabilities     </v>
      </c>
      <c r="D95" s="620"/>
      <c r="E95" s="681">
        <f>'Unit Data from Audit Worksheet'!F108</f>
        <v>0</v>
      </c>
      <c r="F95" s="362"/>
      <c r="G95" s="352"/>
      <c r="H95" s="364">
        <f>'Unit Data from Audit Worksheet'!I108</f>
        <v>0</v>
      </c>
      <c r="I95" s="614"/>
      <c r="J95" s="377">
        <v>639</v>
      </c>
      <c r="K95" s="473" t="s">
        <v>878</v>
      </c>
      <c r="L95" s="671">
        <f t="shared" si="4"/>
        <v>0</v>
      </c>
      <c r="P95" s="592"/>
      <c r="Q95" s="709"/>
    </row>
    <row r="96" spans="1:20" s="610" customFormat="1" ht="89.25" customHeight="1" x14ac:dyDescent="0.25">
      <c r="A96" s="345">
        <f>'Unit Data from Audit Worksheet'!A109</f>
        <v>640</v>
      </c>
      <c r="B96" s="346" t="str">
        <f>'Unit Data from Audit Worksheet'!C109</f>
        <v>Electric Fund Net Position Statement</v>
      </c>
      <c r="C96" s="472" t="str">
        <f>'Unit Data from Audit Worksheet'!D109</f>
        <v>Please enter any bond anticipation notes that are classified as current liabilities and included in account 639 above (amounts entered should agree to the current amount included in the changes to long-term debt note)</v>
      </c>
      <c r="D96" s="620"/>
      <c r="E96" s="681">
        <f>'Unit Data from Audit Worksheet'!F109</f>
        <v>0</v>
      </c>
      <c r="F96" s="362">
        <f t="shared" ref="F96:F100" si="7">IF(L96&lt;0,"Error: Number is normally positive.",)</f>
        <v>0</v>
      </c>
      <c r="G96" s="352"/>
      <c r="H96" s="364">
        <f>'Unit Data from Audit Worksheet'!I109</f>
        <v>0</v>
      </c>
      <c r="I96" s="614"/>
      <c r="J96" s="377">
        <v>640</v>
      </c>
      <c r="K96" s="473" t="s">
        <v>879</v>
      </c>
      <c r="L96" s="671">
        <f t="shared" si="4"/>
        <v>0</v>
      </c>
      <c r="P96" s="592"/>
      <c r="Q96" s="709"/>
    </row>
    <row r="97" spans="1:20" s="610" customFormat="1" ht="89.25" customHeight="1" x14ac:dyDescent="0.25">
      <c r="A97" s="345">
        <f>'Unit Data from Audit Worksheet'!A110</f>
        <v>641</v>
      </c>
      <c r="B97" s="346" t="str">
        <f>'Unit Data from Audit Worksheet'!C110</f>
        <v>Electric Fund Net Position Statement</v>
      </c>
      <c r="C97" s="472" t="str">
        <f>'Unit Data from Audit Worksheet'!D110</f>
        <v>Please enter any compensated absences that are classified as current liabilities and included in account 639 above (amounts entered should agree to the current amount included in the changes to long-term debt note)</v>
      </c>
      <c r="D97" s="620"/>
      <c r="E97" s="681">
        <f>'Unit Data from Audit Worksheet'!F110</f>
        <v>0</v>
      </c>
      <c r="F97" s="362">
        <f t="shared" si="7"/>
        <v>0</v>
      </c>
      <c r="G97" s="352"/>
      <c r="H97" s="364">
        <f>'Unit Data from Audit Worksheet'!I110</f>
        <v>0</v>
      </c>
      <c r="I97" s="614"/>
      <c r="J97" s="377">
        <v>641</v>
      </c>
      <c r="K97" s="473" t="s">
        <v>880</v>
      </c>
      <c r="L97" s="671">
        <f t="shared" si="4"/>
        <v>0</v>
      </c>
      <c r="P97" s="592"/>
      <c r="Q97" s="709"/>
    </row>
    <row r="98" spans="1:20" s="610" customFormat="1" ht="89.25" customHeight="1" x14ac:dyDescent="0.25">
      <c r="A98" s="345">
        <f>'Unit Data from Audit Worksheet'!A111</f>
        <v>642</v>
      </c>
      <c r="B98" s="346" t="str">
        <f>'Unit Data from Audit Worksheet'!C111</f>
        <v>Electric Fund Net Position Statement</v>
      </c>
      <c r="C98" s="472" t="str">
        <f>'Unit Data from Audit Worksheet'!D111</f>
        <v>Please enter any pension liabilities that are classified as current liabilities and included account in 639 above (amounts entered should agree to the current amount included in the changes to long-term debt note)</v>
      </c>
      <c r="D98" s="620"/>
      <c r="E98" s="681">
        <f>'Unit Data from Audit Worksheet'!F111</f>
        <v>0</v>
      </c>
      <c r="F98" s="362">
        <f t="shared" si="7"/>
        <v>0</v>
      </c>
      <c r="G98" s="352"/>
      <c r="H98" s="364">
        <f>'Unit Data from Audit Worksheet'!I111</f>
        <v>0</v>
      </c>
      <c r="I98" s="614"/>
      <c r="J98" s="377">
        <v>642</v>
      </c>
      <c r="K98" s="473" t="s">
        <v>881</v>
      </c>
      <c r="L98" s="671">
        <f t="shared" si="4"/>
        <v>0</v>
      </c>
      <c r="P98" s="592"/>
      <c r="Q98" s="709"/>
    </row>
    <row r="99" spans="1:20" s="610" customFormat="1" ht="89.25" customHeight="1" x14ac:dyDescent="0.25">
      <c r="A99" s="345">
        <f>'Unit Data from Audit Worksheet'!A112</f>
        <v>643</v>
      </c>
      <c r="B99" s="346" t="str">
        <f>'Unit Data from Audit Worksheet'!C112</f>
        <v>Electric Fund Net Position Statement</v>
      </c>
      <c r="C99" s="472" t="str">
        <f>'Unit Data from Audit Worksheet'!D112</f>
        <v xml:space="preserve">Please enter any current liabilities that are payable from restricted assets and included in account 639 above. </v>
      </c>
      <c r="D99" s="620"/>
      <c r="E99" s="681">
        <f>'Unit Data from Audit Worksheet'!F112</f>
        <v>0</v>
      </c>
      <c r="F99" s="362">
        <f t="shared" si="7"/>
        <v>0</v>
      </c>
      <c r="G99" s="352"/>
      <c r="H99" s="364">
        <f>'Unit Data from Audit Worksheet'!I112</f>
        <v>0</v>
      </c>
      <c r="I99" s="614"/>
      <c r="J99" s="377">
        <v>643</v>
      </c>
      <c r="K99" s="473" t="s">
        <v>882</v>
      </c>
      <c r="L99" s="671">
        <f t="shared" si="4"/>
        <v>0</v>
      </c>
      <c r="P99" s="592"/>
      <c r="Q99" s="709"/>
    </row>
    <row r="100" spans="1:20" s="610" customFormat="1" ht="88.5" customHeight="1" x14ac:dyDescent="0.25">
      <c r="A100" s="345">
        <f>'Unit Data from Audit Worksheet'!A113</f>
        <v>644</v>
      </c>
      <c r="B100" s="346" t="str">
        <f>'Unit Data from Audit Worksheet'!C113</f>
        <v>Electric Fund Net Position Statement</v>
      </c>
      <c r="C100" s="472" t="str">
        <f>'Unit Data from Audit Worksheet'!D113</f>
        <v>Please enter any OPEB liabilities that are classified as current liabilities and included in account 639 above (amounts entered should agree to the current amount included in the changes to long-term debt note)</v>
      </c>
      <c r="D100" s="620"/>
      <c r="E100" s="681">
        <f>'Unit Data from Audit Worksheet'!F113</f>
        <v>0</v>
      </c>
      <c r="F100" s="362">
        <f t="shared" si="7"/>
        <v>0</v>
      </c>
      <c r="G100" s="352"/>
      <c r="H100" s="364">
        <f>'Unit Data from Audit Worksheet'!I113</f>
        <v>0</v>
      </c>
      <c r="I100" s="614"/>
      <c r="J100" s="474">
        <v>644</v>
      </c>
      <c r="K100" s="473" t="s">
        <v>883</v>
      </c>
      <c r="L100" s="671">
        <f t="shared" si="4"/>
        <v>0</v>
      </c>
      <c r="P100" s="592"/>
      <c r="Q100" s="709"/>
    </row>
    <row r="101" spans="1:20" ht="62.25" customHeight="1" x14ac:dyDescent="0.25">
      <c r="A101" s="410">
        <f>+'Unit Data from Audit Worksheet'!A114</f>
        <v>384</v>
      </c>
      <c r="B101" s="410" t="str">
        <f>+'Unit Data from Audit Worksheet'!C114</f>
        <v>Electric Fund Net Position Statement</v>
      </c>
      <c r="C101" s="410" t="str">
        <f>+'Unit Data from Audit Worksheet'!D114</f>
        <v>Unearned revenue (arising from cash receipts) that were included in Current Liabilities in account 639 above.</v>
      </c>
      <c r="D101" s="620"/>
      <c r="E101" s="678">
        <f>+'Unit Data from Audit Worksheet'!F114</f>
        <v>0</v>
      </c>
      <c r="F101" s="408">
        <f>IF(L101&lt;0,"Error: Number is normally positive.",)</f>
        <v>0</v>
      </c>
      <c r="G101" s="412"/>
      <c r="H101" s="406">
        <f>'Unit Data from Audit Worksheet'!I114</f>
        <v>0</v>
      </c>
      <c r="I101" s="614"/>
      <c r="J101" s="203">
        <v>384</v>
      </c>
      <c r="K101" s="247" t="s">
        <v>131</v>
      </c>
      <c r="L101" s="679">
        <f t="shared" si="4"/>
        <v>0</v>
      </c>
      <c r="P101" s="392"/>
      <c r="R101" s="609"/>
      <c r="T101" s="393"/>
    </row>
    <row r="102" spans="1:20" s="225" customFormat="1" ht="86.25" customHeight="1" x14ac:dyDescent="0.25">
      <c r="A102" s="410">
        <f>+'Unit Data from Audit Worksheet'!A115</f>
        <v>361</v>
      </c>
      <c r="B102" s="410" t="str">
        <f>+'Unit Data from Audit Worksheet'!C115</f>
        <v>Electric Fund Net Position Statement</v>
      </c>
      <c r="C102" s="410" t="str">
        <f>+'Unit Data from Audit Worksheet'!D115</f>
        <v>Total net position, unrestricted - Amount of negative unrestricted net position should be entered as a negative amount and the amount of positive unrestricted net position should be entered as a positive amount.</v>
      </c>
      <c r="D102" s="620"/>
      <c r="E102" s="678">
        <f>+'Unit Data from Audit Worksheet'!F115</f>
        <v>0</v>
      </c>
      <c r="F102" s="408"/>
      <c r="G102" s="412"/>
      <c r="H102" s="406">
        <f>'Unit Data from Audit Worksheet'!I115</f>
        <v>0</v>
      </c>
      <c r="I102" s="614"/>
      <c r="J102" s="203">
        <v>361</v>
      </c>
      <c r="K102" s="196" t="s">
        <v>113</v>
      </c>
      <c r="L102" s="679">
        <f t="shared" si="4"/>
        <v>0</v>
      </c>
      <c r="P102" s="392"/>
      <c r="Q102" s="325"/>
      <c r="R102" s="609"/>
      <c r="T102" s="393"/>
    </row>
    <row r="103" spans="1:20" ht="55.5" customHeight="1" x14ac:dyDescent="0.25">
      <c r="A103" s="226">
        <f>'Unit Data from Audit Worksheet'!A116</f>
        <v>362</v>
      </c>
      <c r="B103" s="236" t="str">
        <f>'Unit Data from Audit Worksheet'!C116</f>
        <v>Electric Fund Net Position Statement</v>
      </c>
      <c r="C103" s="224" t="str">
        <f>'Unit Data from Audit Worksheet'!D116</f>
        <v>Total net position</v>
      </c>
      <c r="D103" s="620"/>
      <c r="E103" s="678">
        <f>'Unit Data from Audit Worksheet'!F116</f>
        <v>0</v>
      </c>
      <c r="F103" s="215">
        <f>IF(L92-L93-L103=0,,"Error: Total assets less total liabilities do not equal net position acct 382-360-362=0")</f>
        <v>0</v>
      </c>
      <c r="G103" s="341">
        <f>+L92-L93-L103</f>
        <v>0</v>
      </c>
      <c r="H103" s="207">
        <f>'Unit Data from Audit Worksheet'!I116</f>
        <v>0</v>
      </c>
      <c r="I103" s="614"/>
      <c r="J103" s="203">
        <v>362</v>
      </c>
      <c r="K103" s="196" t="s">
        <v>114</v>
      </c>
      <c r="L103" s="679">
        <f t="shared" si="4"/>
        <v>0</v>
      </c>
      <c r="O103" s="187" t="e">
        <f>'Unit Data from Audit Worksheet'!E116</f>
        <v>#N/A</v>
      </c>
      <c r="P103" s="392"/>
      <c r="Q103" s="623">
        <f>IF(+L92-L93-L103=0,0,1)</f>
        <v>0</v>
      </c>
      <c r="R103" s="609"/>
      <c r="T103" s="393"/>
    </row>
    <row r="104" spans="1:20" ht="55.5" customHeight="1" x14ac:dyDescent="0.25">
      <c r="A104" s="226">
        <f>'Unit Data from Audit Worksheet'!A119</f>
        <v>88</v>
      </c>
      <c r="B104" s="236" t="str">
        <f>'Unit Data from Audit Worksheet'!C119</f>
        <v>Water Sewer Revenue, Expenses &amp; Changes in Fund Net Position</v>
      </c>
      <c r="C104" s="224" t="str">
        <f>'Unit Data from Audit Worksheet'!D119</f>
        <v>Charges for services. 
Exclude tap, capacity fees and other misc. income .</v>
      </c>
      <c r="D104" s="620"/>
      <c r="E104" s="678">
        <f>'Unit Data from Audit Worksheet'!F119</f>
        <v>0</v>
      </c>
      <c r="F104" s="215"/>
      <c r="G104" s="286"/>
      <c r="H104" s="207">
        <f>'Unit Data from Audit Worksheet'!I119</f>
        <v>0</v>
      </c>
      <c r="I104" s="614"/>
      <c r="J104" s="203">
        <v>88</v>
      </c>
      <c r="K104" s="196" t="s">
        <v>291</v>
      </c>
      <c r="L104" s="679">
        <f t="shared" si="4"/>
        <v>0</v>
      </c>
      <c r="P104" s="392"/>
      <c r="Q104" s="334"/>
      <c r="R104" s="609"/>
      <c r="T104" s="393"/>
    </row>
    <row r="105" spans="1:20" ht="55.5" customHeight="1" x14ac:dyDescent="0.25">
      <c r="A105" s="226">
        <f>'Unit Data from Audit Worksheet'!A120</f>
        <v>84</v>
      </c>
      <c r="B105" s="236" t="str">
        <f>'Unit Data from Audit Worksheet'!C120</f>
        <v>Water Sewer Revenue, Expenses &amp; Changes in Fund Net Position</v>
      </c>
      <c r="C105" s="224" t="str">
        <f>'Unit Data from Audit Worksheet'!D120</f>
        <v>Total Operating revenues</v>
      </c>
      <c r="D105" s="620"/>
      <c r="E105" s="678">
        <f>'Unit Data from Audit Worksheet'!F120</f>
        <v>0</v>
      </c>
      <c r="F105" s="215" t="str">
        <f>IF(L104&gt;L105,"Error: Charges for services exceed total operating revenues. Acct # 88&gt;84"," ")</f>
        <v xml:space="preserve"> </v>
      </c>
      <c r="G105" s="324" t="str">
        <f>IF(Q105=1," Included in error count"," ")</f>
        <v xml:space="preserve"> </v>
      </c>
      <c r="H105" s="207">
        <f>'Unit Data from Audit Worksheet'!I120</f>
        <v>0</v>
      </c>
      <c r="I105" s="614"/>
      <c r="J105" s="203">
        <v>84</v>
      </c>
      <c r="K105" s="196" t="s">
        <v>292</v>
      </c>
      <c r="L105" s="679">
        <f t="shared" si="4"/>
        <v>0</v>
      </c>
      <c r="P105" s="392"/>
      <c r="Q105" s="325">
        <f>IF(L104&gt;L105,1,0)</f>
        <v>0</v>
      </c>
      <c r="R105" s="609"/>
      <c r="T105" s="393"/>
    </row>
    <row r="106" spans="1:20" ht="55.5" customHeight="1" x14ac:dyDescent="0.25">
      <c r="A106" s="226">
        <f>'Unit Data from Audit Worksheet'!A121</f>
        <v>49</v>
      </c>
      <c r="B106" s="236" t="str">
        <f>'Unit Data from Audit Worksheet'!C121</f>
        <v>Water Sewer Revenue, Expenses &amp; Changes in Fund Net Position</v>
      </c>
      <c r="C106" s="224" t="str">
        <f>'Unit Data from Audit Worksheet'!D121</f>
        <v>Depreciation and amortization expense</v>
      </c>
      <c r="D106" s="620"/>
      <c r="E106" s="678">
        <f>'Unit Data from Audit Worksheet'!F121</f>
        <v>0</v>
      </c>
      <c r="F106" s="408">
        <f>IF(L106&lt;0,"Error: Number is normally positive.",)</f>
        <v>0</v>
      </c>
      <c r="G106" s="286"/>
      <c r="H106" s="207">
        <f>'Unit Data from Audit Worksheet'!I121</f>
        <v>0</v>
      </c>
      <c r="I106" s="614"/>
      <c r="J106" s="203">
        <v>49</v>
      </c>
      <c r="K106" s="196" t="s">
        <v>293</v>
      </c>
      <c r="L106" s="679">
        <f t="shared" si="4"/>
        <v>0</v>
      </c>
      <c r="O106" s="187"/>
      <c r="P106" s="392"/>
      <c r="R106" s="609"/>
      <c r="T106" s="393"/>
    </row>
    <row r="107" spans="1:20" ht="55.5" customHeight="1" x14ac:dyDescent="0.25">
      <c r="A107" s="226">
        <f>'Unit Data from Audit Worksheet'!A122</f>
        <v>85</v>
      </c>
      <c r="B107" s="236" t="str">
        <f>'Unit Data from Audit Worksheet'!C122</f>
        <v>Water Sewer Revenue, Expenses &amp; Changes in Fund Net Position</v>
      </c>
      <c r="C107" s="224" t="str">
        <f>'Unit Data from Audit Worksheet'!D122</f>
        <v>Total Operating expenses</v>
      </c>
      <c r="D107" s="620"/>
      <c r="E107" s="678">
        <f>'Unit Data from Audit Worksheet'!F122</f>
        <v>0</v>
      </c>
      <c r="F107" s="408"/>
      <c r="G107" s="286"/>
      <c r="H107" s="207">
        <f>'Unit Data from Audit Worksheet'!I122</f>
        <v>0</v>
      </c>
      <c r="I107" s="614"/>
      <c r="J107" s="203">
        <v>85</v>
      </c>
      <c r="K107" s="196" t="s">
        <v>294</v>
      </c>
      <c r="L107" s="679">
        <f t="shared" si="4"/>
        <v>0</v>
      </c>
      <c r="P107" s="392"/>
      <c r="R107" s="609"/>
      <c r="T107" s="393"/>
    </row>
    <row r="108" spans="1:20" ht="33.75" x14ac:dyDescent="0.25">
      <c r="A108" s="226">
        <f>'Unit Data from Audit Worksheet'!A123</f>
        <v>89</v>
      </c>
      <c r="B108" s="236" t="str">
        <f>'Unit Data from Audit Worksheet'!C123</f>
        <v>Water Sewer Revenue, Expenses &amp; Changes in Fund Net Position</v>
      </c>
      <c r="C108" s="224" t="str">
        <f>'Unit Data from Audit Worksheet'!D123</f>
        <v>Interest expense</v>
      </c>
      <c r="D108" s="620"/>
      <c r="E108" s="678">
        <f>'Unit Data from Audit Worksheet'!F123</f>
        <v>0</v>
      </c>
      <c r="F108" s="408"/>
      <c r="G108" s="286"/>
      <c r="H108" s="207">
        <f>'Unit Data from Audit Worksheet'!I123</f>
        <v>0</v>
      </c>
      <c r="I108" s="614"/>
      <c r="J108" s="203">
        <v>89</v>
      </c>
      <c r="K108" s="196" t="s">
        <v>295</v>
      </c>
      <c r="L108" s="679">
        <f t="shared" si="4"/>
        <v>0</v>
      </c>
      <c r="P108" s="392"/>
      <c r="R108" s="609"/>
      <c r="T108" s="393"/>
    </row>
    <row r="109" spans="1:20" ht="60" customHeight="1" x14ac:dyDescent="0.25">
      <c r="A109" s="226">
        <f>'Unit Data from Audit Worksheet'!A124</f>
        <v>350</v>
      </c>
      <c r="B109" s="236" t="str">
        <f>'Unit Data from Audit Worksheet'!C124</f>
        <v>Water Sewer Revenue, Expenses &amp; Changes in Fund Net Position</v>
      </c>
      <c r="C109" s="224" t="str">
        <f>'Unit Data from Audit Worksheet'!D124</f>
        <v>Total all non-operating revenues  
Exclude Capital contributions.</v>
      </c>
      <c r="D109" s="620"/>
      <c r="E109" s="678">
        <f>'Unit Data from Audit Worksheet'!F124</f>
        <v>0</v>
      </c>
      <c r="F109" s="408"/>
      <c r="G109" s="286"/>
      <c r="H109" s="207">
        <f>'Unit Data from Audit Worksheet'!I124</f>
        <v>0</v>
      </c>
      <c r="I109" s="614"/>
      <c r="J109" s="203">
        <v>350</v>
      </c>
      <c r="K109" s="196" t="s">
        <v>296</v>
      </c>
      <c r="L109" s="679">
        <f t="shared" si="4"/>
        <v>0</v>
      </c>
      <c r="P109" s="392"/>
      <c r="R109" s="609"/>
      <c r="T109" s="393"/>
    </row>
    <row r="110" spans="1:20" ht="60" customHeight="1" x14ac:dyDescent="0.25">
      <c r="A110" s="226">
        <f>'Unit Data from Audit Worksheet'!A125</f>
        <v>351</v>
      </c>
      <c r="B110" s="236" t="str">
        <f>'Unit Data from Audit Worksheet'!C125</f>
        <v>Water Sewer Revenue, Expenses &amp; Changes in Fund Net Position</v>
      </c>
      <c r="C110" s="224" t="str">
        <f>'Unit Data from Audit Worksheet'!D125</f>
        <v>Total all non-operating expenses.  
Include any negative special, extraordinary, or capital contribution.</v>
      </c>
      <c r="D110" s="620"/>
      <c r="E110" s="678">
        <f>'Unit Data from Audit Worksheet'!F125</f>
        <v>0</v>
      </c>
      <c r="F110" s="408"/>
      <c r="G110" s="286"/>
      <c r="H110" s="207">
        <f>'Unit Data from Audit Worksheet'!I125</f>
        <v>0</v>
      </c>
      <c r="I110" s="614"/>
      <c r="J110" s="203">
        <v>351</v>
      </c>
      <c r="K110" s="196" t="s">
        <v>297</v>
      </c>
      <c r="L110" s="679">
        <f t="shared" si="4"/>
        <v>0</v>
      </c>
      <c r="P110" s="392"/>
      <c r="R110" s="609"/>
      <c r="T110" s="393"/>
    </row>
    <row r="111" spans="1:20" ht="74.25" customHeight="1" x14ac:dyDescent="0.25">
      <c r="A111" s="226">
        <f>'Unit Data from Audit Worksheet'!A126</f>
        <v>191</v>
      </c>
      <c r="B111" s="236" t="str">
        <f>'Unit Data from Audit Worksheet'!C126</f>
        <v>Water Sewer Revenue, Expenses &amp; Changes in Fund Net Position</v>
      </c>
      <c r="C111" s="224" t="str">
        <f>'Unit Data from Audit Worksheet'!D126</f>
        <v>Capital contributions. Only include positive capital contributions.  Negative capital contributions should be included with 'Total all non-operating expenses.'</v>
      </c>
      <c r="D111" s="620"/>
      <c r="E111" s="678">
        <f>'Unit Data from Audit Worksheet'!F126</f>
        <v>0</v>
      </c>
      <c r="F111" s="215">
        <f>IF(L111&lt;0,"Error: Enter as a positive.",)</f>
        <v>0</v>
      </c>
      <c r="G111" s="286"/>
      <c r="H111" s="207">
        <f>'Unit Data from Audit Worksheet'!I126</f>
        <v>0</v>
      </c>
      <c r="I111" s="614"/>
      <c r="J111" s="203">
        <v>191</v>
      </c>
      <c r="K111" s="196" t="s">
        <v>298</v>
      </c>
      <c r="L111" s="679">
        <f t="shared" si="4"/>
        <v>0</v>
      </c>
      <c r="P111" s="392"/>
      <c r="R111" s="609"/>
      <c r="T111" s="393"/>
    </row>
    <row r="112" spans="1:20" ht="44.25" customHeight="1" x14ac:dyDescent="0.25">
      <c r="A112" s="226">
        <f>'Unit Data from Audit Worksheet'!A127</f>
        <v>352</v>
      </c>
      <c r="B112" s="236" t="str">
        <f>'Unit Data from Audit Worksheet'!C127</f>
        <v>Water Sewer Revenue, Expenses &amp; Changes in Fund Net Position</v>
      </c>
      <c r="C112" s="224" t="str">
        <f>'Unit Data from Audit Worksheet'!D127</f>
        <v>Total Transfers in</v>
      </c>
      <c r="D112" s="620"/>
      <c r="E112" s="678">
        <f>'Unit Data from Audit Worksheet'!F127</f>
        <v>0</v>
      </c>
      <c r="F112" s="215"/>
      <c r="G112" s="286"/>
      <c r="H112" s="207">
        <f>'Unit Data from Audit Worksheet'!I127</f>
        <v>0</v>
      </c>
      <c r="I112" s="614"/>
      <c r="J112" s="203">
        <v>352</v>
      </c>
      <c r="K112" s="196" t="s">
        <v>299</v>
      </c>
      <c r="L112" s="679">
        <f t="shared" si="4"/>
        <v>0</v>
      </c>
      <c r="P112" s="392"/>
      <c r="R112" s="609"/>
      <c r="T112" s="393"/>
    </row>
    <row r="113" spans="1:20" ht="49.5" customHeight="1" x14ac:dyDescent="0.25">
      <c r="A113" s="226">
        <f>'Unit Data from Audit Worksheet'!A128</f>
        <v>353</v>
      </c>
      <c r="B113" s="236" t="str">
        <f>'Unit Data from Audit Worksheet'!C128</f>
        <v>Water Sewer Revenue, Expenses &amp; Changes in Fund Net Position</v>
      </c>
      <c r="C113" s="224" t="str">
        <f>'Unit Data from Audit Worksheet'!D128</f>
        <v>Total Transfers out</v>
      </c>
      <c r="D113" s="620"/>
      <c r="E113" s="678">
        <f>'Unit Data from Audit Worksheet'!F128</f>
        <v>0</v>
      </c>
      <c r="F113" s="215">
        <f>IF(L113&lt;0,"Error: Enter as a positive.",)</f>
        <v>0</v>
      </c>
      <c r="G113" s="286"/>
      <c r="H113" s="207">
        <f>'Unit Data from Audit Worksheet'!I128</f>
        <v>0</v>
      </c>
      <c r="I113" s="614"/>
      <c r="J113" s="201">
        <v>353</v>
      </c>
      <c r="K113" s="196" t="s">
        <v>300</v>
      </c>
      <c r="L113" s="679">
        <f t="shared" si="4"/>
        <v>0</v>
      </c>
      <c r="P113" s="392"/>
      <c r="R113" s="609"/>
      <c r="T113" s="393"/>
    </row>
    <row r="114" spans="1:20" ht="60.75" customHeight="1" x14ac:dyDescent="0.25">
      <c r="A114" s="226">
        <f>'Unit Data from Audit Worksheet'!A129</f>
        <v>50</v>
      </c>
      <c r="B114" s="236" t="str">
        <f>'Unit Data from Audit Worksheet'!C129</f>
        <v>Water Sewer Revenue, Expenses &amp; Changes in Fund Net Position</v>
      </c>
      <c r="C114" s="224" t="str">
        <f>'Unit Data from Audit Worksheet'!D129</f>
        <v>Change in net position - Increase in net position is recorded as a positive and a (Decrease) in net position is recorded as a negative.</v>
      </c>
      <c r="D114" s="620"/>
      <c r="E114" s="664">
        <f>'Unit Data from Audit Worksheet'!F129</f>
        <v>0</v>
      </c>
      <c r="F114" s="322">
        <f>IF(L105-L107+L109-L110+L112+L111-L113-L114=0,,"Error:Total revenues less total expenses do not equal total change in net position. Acct # 84-85+350-351+191+352-353-50")</f>
        <v>0</v>
      </c>
      <c r="G114" s="341">
        <f>+L105-L107+L109-L110+L112+L111-L113-L114</f>
        <v>0</v>
      </c>
      <c r="H114" s="207">
        <f>'Unit Data from Audit Worksheet'!I129</f>
        <v>0</v>
      </c>
      <c r="I114" s="614"/>
      <c r="J114" s="203">
        <v>50</v>
      </c>
      <c r="K114" s="196" t="s">
        <v>107</v>
      </c>
      <c r="L114" s="679">
        <f t="shared" si="4"/>
        <v>0</v>
      </c>
      <c r="P114" s="392"/>
      <c r="Q114" s="623">
        <f>IF(G114&lt;&gt;0,1,0)</f>
        <v>0</v>
      </c>
      <c r="R114" s="609"/>
      <c r="T114" s="393"/>
    </row>
    <row r="115" spans="1:20" ht="110.25" customHeight="1" x14ac:dyDescent="0.25">
      <c r="A115" s="226">
        <f>'Unit Data from Audit Worksheet'!A130</f>
        <v>377</v>
      </c>
      <c r="B115" s="236" t="str">
        <f>'Unit Data from Audit Worksheet'!C130</f>
        <v>Water Sewer Revenue, Expenses &amp; Changes in Fund Net Position</v>
      </c>
      <c r="C115" s="224" t="str">
        <f>'Unit Data from Audit Worksheet'!D130</f>
        <v>Increases or (decreases) to beginning water sewer net position due to rounding, prior period adjustments and restatements.  Increase amounts to beginning net position should be entered as a positive amount and (decreases) should be entered as a negative amount.</v>
      </c>
      <c r="D115" s="620"/>
      <c r="E115" s="664">
        <f>'Unit Data from Audit Worksheet'!F130</f>
        <v>0</v>
      </c>
      <c r="F115" s="214" t="e">
        <f>IF(L85-L114-L115=O85,,"Error:Beginning Balance does not agree with out records.Acct # 83-50-377 = PY 83")</f>
        <v>#N/A</v>
      </c>
      <c r="G115" s="341" t="e">
        <f>+L85-L114-L115-O85</f>
        <v>#N/A</v>
      </c>
      <c r="H115" s="207">
        <f>'Unit Data from Audit Worksheet'!I130</f>
        <v>0</v>
      </c>
      <c r="I115" s="614"/>
      <c r="J115" s="203">
        <v>377</v>
      </c>
      <c r="K115" s="196" t="s">
        <v>116</v>
      </c>
      <c r="L115" s="679">
        <f t="shared" si="4"/>
        <v>0</v>
      </c>
      <c r="P115" s="392"/>
      <c r="Q115" s="623" t="e">
        <f>IF(G115&lt;&gt;0,1,0)</f>
        <v>#N/A</v>
      </c>
      <c r="R115" s="609"/>
      <c r="T115" s="393"/>
    </row>
    <row r="116" spans="1:20" ht="51.75" customHeight="1" x14ac:dyDescent="0.25">
      <c r="A116" s="256">
        <f>'Unit Data from Audit Worksheet'!A131</f>
        <v>537</v>
      </c>
      <c r="B116" s="236" t="str">
        <f>'Unit Data from Audit Worksheet'!C131</f>
        <v>Water Sewer Revenue, Expenses &amp; Changes in Fund Net Position</v>
      </c>
      <c r="C116" s="244" t="str">
        <f>'Unit Data from Audit Worksheet'!D131</f>
        <v>Did unit raise Water Sewer rates during the audited fiscal period? - answer Yes or No</v>
      </c>
      <c r="D116" s="601"/>
      <c r="E116" s="678">
        <f>'Unit Data from Audit Worksheet'!F131</f>
        <v>0</v>
      </c>
      <c r="F116" s="215" t="s">
        <v>648</v>
      </c>
      <c r="G116" s="286"/>
      <c r="H116" s="207">
        <f>'Unit Data from Audit Worksheet'!I131</f>
        <v>0</v>
      </c>
      <c r="I116" s="614"/>
      <c r="J116" s="264">
        <v>537</v>
      </c>
      <c r="K116" s="261" t="s">
        <v>360</v>
      </c>
      <c r="L116" s="679">
        <f>IF(E116="Yes",1,2)</f>
        <v>2</v>
      </c>
      <c r="N116" s="254" t="s">
        <v>638</v>
      </c>
      <c r="P116" s="392"/>
      <c r="R116" s="609"/>
      <c r="T116" s="393"/>
    </row>
    <row r="117" spans="1:20" ht="53.25" customHeight="1" x14ac:dyDescent="0.25">
      <c r="A117" s="256">
        <f>'Unit Data from Audit Worksheet'!A132</f>
        <v>538</v>
      </c>
      <c r="B117" s="236" t="str">
        <f>'Unit Data from Audit Worksheet'!C132</f>
        <v>Water Sewer Revenue, Expenses &amp; Changes in Fund Net Position</v>
      </c>
      <c r="C117" s="244" t="str">
        <f>'Unit Data from Audit Worksheet'!D132</f>
        <v>Did unit raise Water Sewer rates during the budget year following the audited fiscal year? - answer Yes or No</v>
      </c>
      <c r="D117" s="601"/>
      <c r="E117" s="678">
        <f>'Unit Data from Audit Worksheet'!F132</f>
        <v>0</v>
      </c>
      <c r="F117" s="215" t="s">
        <v>648</v>
      </c>
      <c r="G117" s="286"/>
      <c r="H117" s="207">
        <f>'Unit Data from Audit Worksheet'!I132</f>
        <v>0</v>
      </c>
      <c r="I117" s="614"/>
      <c r="J117" s="264">
        <v>538</v>
      </c>
      <c r="K117" s="261" t="s">
        <v>359</v>
      </c>
      <c r="L117" s="679">
        <f>IF(E117="Yes",1,2)</f>
        <v>2</v>
      </c>
      <c r="N117" s="254" t="s">
        <v>638</v>
      </c>
      <c r="P117" s="392"/>
      <c r="R117" s="609"/>
      <c r="T117" s="393"/>
    </row>
    <row r="118" spans="1:20" ht="47.25" customHeight="1" x14ac:dyDescent="0.25">
      <c r="A118" s="226">
        <f>'Unit Data from Audit Worksheet'!A134</f>
        <v>97</v>
      </c>
      <c r="B118" s="236" t="str">
        <f>'Unit Data from Audit Worksheet'!C134</f>
        <v>Electric Fund Revenue, Expenses &amp; Changes in Fund Net Position</v>
      </c>
      <c r="C118" s="224" t="str">
        <f>'Unit Data from Audit Worksheet'!D134</f>
        <v>Charges for services</v>
      </c>
      <c r="D118" s="383"/>
      <c r="E118" s="678">
        <f>'Unit Data from Audit Worksheet'!F134</f>
        <v>0</v>
      </c>
      <c r="F118" s="215">
        <f>IF(L118&lt;0,"Error: Enter as a positive.",)</f>
        <v>0</v>
      </c>
      <c r="G118" s="286"/>
      <c r="H118" s="207">
        <f>'Unit Data from Audit Worksheet'!I134</f>
        <v>0</v>
      </c>
      <c r="I118" s="614"/>
      <c r="J118" s="203">
        <v>97</v>
      </c>
      <c r="K118" s="196" t="s">
        <v>301</v>
      </c>
      <c r="L118" s="679">
        <f t="shared" ref="L118:L182" si="8">IF(D118="",E118,D118)</f>
        <v>0</v>
      </c>
      <c r="P118" s="392"/>
      <c r="R118" s="609"/>
      <c r="T118" s="393"/>
    </row>
    <row r="119" spans="1:20" ht="47.25" customHeight="1" x14ac:dyDescent="0.25">
      <c r="A119" s="226">
        <f>'Unit Data from Audit Worksheet'!A135</f>
        <v>93</v>
      </c>
      <c r="B119" s="236" t="str">
        <f>'Unit Data from Audit Worksheet'!C135</f>
        <v>Electric Fund Revenue, Expenses &amp; Changes in Fund Net Position</v>
      </c>
      <c r="C119" s="224" t="str">
        <f>'Unit Data from Audit Worksheet'!D135</f>
        <v>Total Operating revenues</v>
      </c>
      <c r="D119" s="383"/>
      <c r="E119" s="678">
        <f>'Unit Data from Audit Worksheet'!F135</f>
        <v>0</v>
      </c>
      <c r="F119" s="215" t="str">
        <f>IF(L118&gt;L119,"Error: Charges for services exceeds total operating revenues Acct 97&gt;=93"," ")</f>
        <v xml:space="preserve"> </v>
      </c>
      <c r="G119" s="324" t="str">
        <f>IF(Q119=1," Included in error count"," ")</f>
        <v xml:space="preserve"> </v>
      </c>
      <c r="H119" s="207">
        <f>'Unit Data from Audit Worksheet'!I135</f>
        <v>0</v>
      </c>
      <c r="I119" s="614"/>
      <c r="J119" s="203">
        <v>93</v>
      </c>
      <c r="K119" s="196" t="s">
        <v>302</v>
      </c>
      <c r="L119" s="679">
        <f t="shared" si="8"/>
        <v>0</v>
      </c>
      <c r="P119" s="392"/>
      <c r="Q119" s="325">
        <f>IF(L118&gt;L119,1,0)</f>
        <v>0</v>
      </c>
      <c r="R119" s="609"/>
      <c r="T119" s="393"/>
    </row>
    <row r="120" spans="1:20" ht="47.25" customHeight="1" x14ac:dyDescent="0.25">
      <c r="A120" s="226">
        <f>'Unit Data from Audit Worksheet'!A136</f>
        <v>99</v>
      </c>
      <c r="B120" s="236" t="str">
        <f>'Unit Data from Audit Worksheet'!C136</f>
        <v>Electric Fund Revenue, Expenses &amp; Changes in Fund Net Position</v>
      </c>
      <c r="C120" s="224" t="str">
        <f>'Unit Data from Audit Worksheet'!D136</f>
        <v>Electrical power purchases</v>
      </c>
      <c r="D120" s="383"/>
      <c r="E120" s="678">
        <f>'Unit Data from Audit Worksheet'!F136</f>
        <v>0</v>
      </c>
      <c r="F120" s="215">
        <f>IF(L120&lt;0,"Error: Enter as a positive.",)</f>
        <v>0</v>
      </c>
      <c r="G120" s="286"/>
      <c r="H120" s="207">
        <f>'Unit Data from Audit Worksheet'!I136</f>
        <v>0</v>
      </c>
      <c r="I120" s="614"/>
      <c r="J120" s="203">
        <v>99</v>
      </c>
      <c r="K120" s="196" t="s">
        <v>303</v>
      </c>
      <c r="L120" s="679">
        <f t="shared" si="8"/>
        <v>0</v>
      </c>
      <c r="P120" s="392"/>
      <c r="R120" s="609"/>
      <c r="T120" s="393"/>
    </row>
    <row r="121" spans="1:20" ht="47.25" customHeight="1" x14ac:dyDescent="0.25">
      <c r="A121" s="226">
        <f>'Unit Data from Audit Worksheet'!A137</f>
        <v>52</v>
      </c>
      <c r="B121" s="236" t="str">
        <f>'Unit Data from Audit Worksheet'!C137</f>
        <v>Electric Fund Revenue, Expenses &amp; Changes in Fund Net Position</v>
      </c>
      <c r="C121" s="224" t="str">
        <f>'Unit Data from Audit Worksheet'!D137</f>
        <v>Depreciation and amortization expense</v>
      </c>
      <c r="D121" s="383"/>
      <c r="E121" s="678">
        <f>'Unit Data from Audit Worksheet'!F137</f>
        <v>0</v>
      </c>
      <c r="F121" s="408">
        <f>IF(L121&lt;0,"Error: Enter as a positive.",)</f>
        <v>0</v>
      </c>
      <c r="G121" s="286"/>
      <c r="H121" s="207">
        <f>'Unit Data from Audit Worksheet'!I137</f>
        <v>0</v>
      </c>
      <c r="I121" s="614"/>
      <c r="J121" s="203">
        <v>52</v>
      </c>
      <c r="K121" s="196" t="s">
        <v>304</v>
      </c>
      <c r="L121" s="679">
        <f t="shared" si="8"/>
        <v>0</v>
      </c>
      <c r="P121" s="392"/>
      <c r="R121" s="609"/>
      <c r="T121" s="393"/>
    </row>
    <row r="122" spans="1:20" ht="47.25" customHeight="1" x14ac:dyDescent="0.25">
      <c r="A122" s="226">
        <f>'Unit Data from Audit Worksheet'!A138</f>
        <v>94</v>
      </c>
      <c r="B122" s="236" t="str">
        <f>'Unit Data from Audit Worksheet'!C138</f>
        <v>Electric Fund Revenue, Expenses &amp; Changes in Fund Net Position</v>
      </c>
      <c r="C122" s="224" t="str">
        <f>'Unit Data from Audit Worksheet'!D138</f>
        <v>Total Operating expenses</v>
      </c>
      <c r="D122" s="383"/>
      <c r="E122" s="678">
        <f>'Unit Data from Audit Worksheet'!F138</f>
        <v>0</v>
      </c>
      <c r="F122" s="408">
        <f>IF(L122&lt;0,"Error: Enter as a positive.",)</f>
        <v>0</v>
      </c>
      <c r="G122" s="286"/>
      <c r="H122" s="207">
        <f>'Unit Data from Audit Worksheet'!I138</f>
        <v>0</v>
      </c>
      <c r="I122" s="614"/>
      <c r="J122" s="203">
        <v>94</v>
      </c>
      <c r="K122" s="196" t="s">
        <v>305</v>
      </c>
      <c r="L122" s="679">
        <f t="shared" si="8"/>
        <v>0</v>
      </c>
      <c r="P122" s="392"/>
      <c r="R122" s="609"/>
      <c r="T122" s="393"/>
    </row>
    <row r="123" spans="1:20" ht="47.25" customHeight="1" x14ac:dyDescent="0.25">
      <c r="A123" s="226">
        <f>'Unit Data from Audit Worksheet'!A139</f>
        <v>98</v>
      </c>
      <c r="B123" s="236" t="str">
        <f>'Unit Data from Audit Worksheet'!C139</f>
        <v>Electric Fund Revenue, Expenses &amp; Changes in Fund Net Position</v>
      </c>
      <c r="C123" s="224" t="str">
        <f>'Unit Data from Audit Worksheet'!D139</f>
        <v>Interest expense</v>
      </c>
      <c r="D123" s="383"/>
      <c r="E123" s="678">
        <f>'Unit Data from Audit Worksheet'!F139</f>
        <v>0</v>
      </c>
      <c r="F123" s="408">
        <f>IF(L123&lt;0,"Error: Enter as a positive.",)</f>
        <v>0</v>
      </c>
      <c r="G123" s="286"/>
      <c r="H123" s="207">
        <f>'Unit Data from Audit Worksheet'!I139</f>
        <v>0</v>
      </c>
      <c r="I123" s="614"/>
      <c r="J123" s="203">
        <v>98</v>
      </c>
      <c r="K123" s="196" t="s">
        <v>306</v>
      </c>
      <c r="L123" s="679">
        <f t="shared" si="8"/>
        <v>0</v>
      </c>
      <c r="P123" s="392"/>
      <c r="R123" s="609"/>
      <c r="T123" s="393"/>
    </row>
    <row r="124" spans="1:20" ht="47.25" customHeight="1" x14ac:dyDescent="0.25">
      <c r="A124" s="226">
        <f>'Unit Data from Audit Worksheet'!A140</f>
        <v>363</v>
      </c>
      <c r="B124" s="236" t="str">
        <f>'Unit Data from Audit Worksheet'!C140</f>
        <v>Electric Fund Revenue, Expenses &amp; Changes in Fund Net Position</v>
      </c>
      <c r="C124" s="224" t="str">
        <f>'Unit Data from Audit Worksheet'!D140</f>
        <v>Total all the non-operating revenues  
Exclude Capital Contributions.</v>
      </c>
      <c r="D124" s="383"/>
      <c r="E124" s="678">
        <f>'Unit Data from Audit Worksheet'!F140</f>
        <v>0</v>
      </c>
      <c r="F124" s="215"/>
      <c r="G124" s="286"/>
      <c r="H124" s="207">
        <f>'Unit Data from Audit Worksheet'!I140</f>
        <v>0</v>
      </c>
      <c r="I124" s="614"/>
      <c r="J124" s="203">
        <v>363</v>
      </c>
      <c r="K124" s="196" t="s">
        <v>307</v>
      </c>
      <c r="L124" s="679">
        <f t="shared" si="8"/>
        <v>0</v>
      </c>
      <c r="P124" s="392"/>
      <c r="R124" s="609"/>
      <c r="T124" s="393"/>
    </row>
    <row r="125" spans="1:20" ht="54" customHeight="1" x14ac:dyDescent="0.25">
      <c r="A125" s="226">
        <f>'Unit Data from Audit Worksheet'!A141</f>
        <v>364</v>
      </c>
      <c r="B125" s="236" t="str">
        <f>'Unit Data from Audit Worksheet'!C141</f>
        <v>Electric Fund Revenue, Expenses &amp; Changes in Fund Net Position</v>
      </c>
      <c r="C125" s="224" t="str">
        <f>'Unit Data from Audit Worksheet'!D141</f>
        <v>Total all non-operating expenses.  
Include negative special, extraordinary, or capital contribution.</v>
      </c>
      <c r="D125" s="383"/>
      <c r="E125" s="678">
        <f>'Unit Data from Audit Worksheet'!F141</f>
        <v>0</v>
      </c>
      <c r="F125" s="408">
        <f>IF(L125&lt;0,"Error: Enter as a positive.",)</f>
        <v>0</v>
      </c>
      <c r="G125" s="286"/>
      <c r="H125" s="207">
        <f>'Unit Data from Audit Worksheet'!I141</f>
        <v>0</v>
      </c>
      <c r="I125" s="614"/>
      <c r="J125" s="203">
        <v>364</v>
      </c>
      <c r="K125" s="196" t="s">
        <v>308</v>
      </c>
      <c r="L125" s="679">
        <f t="shared" si="8"/>
        <v>0</v>
      </c>
      <c r="P125" s="392"/>
      <c r="R125" s="609"/>
      <c r="T125" s="393"/>
    </row>
    <row r="126" spans="1:20" ht="69.75" customHeight="1" x14ac:dyDescent="0.25">
      <c r="A126" s="226">
        <f>'Unit Data from Audit Worksheet'!A142</f>
        <v>192</v>
      </c>
      <c r="B126" s="236" t="str">
        <f>'Unit Data from Audit Worksheet'!C142</f>
        <v>Electric Fund Revenue, Expenses &amp; Changes in Fund Net Position</v>
      </c>
      <c r="C126" s="224" t="str">
        <f>'Unit Data from Audit Worksheet'!D142</f>
        <v>Capital Contributions.  
Include only positive capital Contributions.  Negative capital contributions should be included with 'Total all non-operating expenses.'</v>
      </c>
      <c r="D126" s="383"/>
      <c r="E126" s="678">
        <f>'Unit Data from Audit Worksheet'!F142</f>
        <v>0</v>
      </c>
      <c r="F126" s="408">
        <f>IF(L126&lt;0,"Error: Enter as a positive.",)</f>
        <v>0</v>
      </c>
      <c r="G126" s="286"/>
      <c r="H126" s="207">
        <f>'Unit Data from Audit Worksheet'!I142</f>
        <v>0</v>
      </c>
      <c r="I126" s="614"/>
      <c r="J126" s="203">
        <v>192</v>
      </c>
      <c r="K126" s="196" t="s">
        <v>309</v>
      </c>
      <c r="L126" s="679">
        <f t="shared" si="8"/>
        <v>0</v>
      </c>
      <c r="P126" s="392"/>
      <c r="R126" s="609"/>
      <c r="T126" s="393"/>
    </row>
    <row r="127" spans="1:20" ht="48.75" customHeight="1" x14ac:dyDescent="0.25">
      <c r="A127" s="226">
        <f>'Unit Data from Audit Worksheet'!A143</f>
        <v>365</v>
      </c>
      <c r="B127" s="236" t="str">
        <f>'Unit Data from Audit Worksheet'!C143</f>
        <v>Electric Fund Revenue, Expenses &amp; Changes in Fund Net Position</v>
      </c>
      <c r="C127" s="224" t="str">
        <f>'Unit Data from Audit Worksheet'!D143</f>
        <v>Total Transfers In (From all Funds)</v>
      </c>
      <c r="D127" s="383"/>
      <c r="E127" s="678">
        <f>'Unit Data from Audit Worksheet'!F143</f>
        <v>0</v>
      </c>
      <c r="F127" s="215"/>
      <c r="G127" s="286"/>
      <c r="H127" s="207">
        <f>'Unit Data from Audit Worksheet'!I143</f>
        <v>0</v>
      </c>
      <c r="I127" s="614"/>
      <c r="J127" s="203">
        <v>365</v>
      </c>
      <c r="K127" s="196" t="s">
        <v>310</v>
      </c>
      <c r="L127" s="679">
        <f t="shared" si="8"/>
        <v>0</v>
      </c>
      <c r="P127" s="392"/>
      <c r="R127" s="609"/>
      <c r="T127" s="393"/>
    </row>
    <row r="128" spans="1:20" ht="48.75" customHeight="1" x14ac:dyDescent="0.25">
      <c r="A128" s="226">
        <f>'Unit Data from Audit Worksheet'!A144</f>
        <v>366</v>
      </c>
      <c r="B128" s="236" t="str">
        <f>'Unit Data from Audit Worksheet'!C144</f>
        <v>Electric Fund Revenue, Expenses &amp; Changes in Fund Net Position</v>
      </c>
      <c r="C128" s="224" t="str">
        <f>'Unit Data from Audit Worksheet'!D144</f>
        <v>Total Transfers Out (To all funds)</v>
      </c>
      <c r="D128" s="383"/>
      <c r="E128" s="678">
        <f>'Unit Data from Audit Worksheet'!F144</f>
        <v>0</v>
      </c>
      <c r="F128" s="408">
        <f>IF(L128&lt;0,"Error: Enter as a positive.",)</f>
        <v>0</v>
      </c>
      <c r="G128" s="286"/>
      <c r="H128" s="207">
        <f>'Unit Data from Audit Worksheet'!I144</f>
        <v>0</v>
      </c>
      <c r="I128" s="614"/>
      <c r="J128" s="203">
        <v>366</v>
      </c>
      <c r="K128" s="196" t="s">
        <v>623</v>
      </c>
      <c r="L128" s="679">
        <f t="shared" si="8"/>
        <v>0</v>
      </c>
      <c r="P128" s="392"/>
      <c r="R128" s="609"/>
      <c r="T128" s="393"/>
    </row>
    <row r="129" spans="1:20" s="490" customFormat="1" ht="57.75" customHeight="1" x14ac:dyDescent="0.25">
      <c r="A129" s="410">
        <f>'Unit Data from Audit Worksheet'!A145</f>
        <v>53</v>
      </c>
      <c r="B129" s="411" t="str">
        <f>'Unit Data from Audit Worksheet'!C145</f>
        <v>Electric Fund Revenue, Expenses &amp; Changes in Fund Net Position</v>
      </c>
      <c r="C129" s="409" t="str">
        <f>'Unit Data from Audit Worksheet'!D145</f>
        <v>Change in net position - Increase in net position is recorded as a positive and a (decrease) in net position is recorded as a negative.</v>
      </c>
      <c r="D129" s="383"/>
      <c r="E129" s="678">
        <f>'Unit Data from Audit Worksheet'!F145</f>
        <v>0</v>
      </c>
      <c r="F129" s="408">
        <f>IF(L119-L122+L124-L125+L126+L127-L128-L129=0,,"Error: Total revenues less total exp. does not equal change in net position Acct 93-94+363-364+192+365-366-53=0")</f>
        <v>0</v>
      </c>
      <c r="G129" s="341">
        <f>+L119-L122+L124-L125+L126+L127-L128-L129</f>
        <v>0</v>
      </c>
      <c r="H129" s="406">
        <f>'Unit Data from Audit Worksheet'!I145</f>
        <v>0</v>
      </c>
      <c r="I129" s="614"/>
      <c r="J129" s="417">
        <v>53</v>
      </c>
      <c r="K129" s="416" t="s">
        <v>108</v>
      </c>
      <c r="L129" s="679">
        <f t="shared" si="8"/>
        <v>0</v>
      </c>
      <c r="P129" s="592"/>
      <c r="Q129" s="623">
        <f>IF(G129&lt;&gt;0,1,0)</f>
        <v>0</v>
      </c>
      <c r="R129" s="609"/>
    </row>
    <row r="130" spans="1:20" ht="101.25" customHeight="1" x14ac:dyDescent="0.25">
      <c r="A130" s="226">
        <f>'Unit Data from Audit Worksheet'!A146</f>
        <v>378</v>
      </c>
      <c r="B130" s="236" t="str">
        <f>'Unit Data from Audit Worksheet'!C146</f>
        <v>Electric Fund Revenue, Expenses &amp; Changes in Fund Net Position</v>
      </c>
      <c r="C130" s="224" t="str">
        <f>'Unit Data from Audit Worksheet'!D146</f>
        <v>Increases or (decreases) to beginning electric net position due to rounding, prior period adjustments and restatements.  Increase amounts to beginning net position should be entered as a positive amount and (decreases) should be entered as a negative amount.</v>
      </c>
      <c r="D130" s="383"/>
      <c r="E130" s="678">
        <f>+'Unit Data from Audit Worksheet'!F146</f>
        <v>0</v>
      </c>
      <c r="F130" s="215" t="e">
        <f>IF(L103-L129-L130=O103,,"Error: Beg. Bal does not agree with our records Acct 362-53-378= pr yr 362")</f>
        <v>#N/A</v>
      </c>
      <c r="G130" s="341" t="e">
        <f>L103-L129-L130-O103</f>
        <v>#N/A</v>
      </c>
      <c r="H130" s="207">
        <f>'Unit Data from Audit Worksheet'!I146</f>
        <v>0</v>
      </c>
      <c r="I130" s="614"/>
      <c r="J130" s="203">
        <v>378</v>
      </c>
      <c r="K130" s="196" t="s">
        <v>117</v>
      </c>
      <c r="L130" s="679">
        <f t="shared" si="8"/>
        <v>0</v>
      </c>
      <c r="P130" s="392"/>
      <c r="Q130" s="623" t="e">
        <f>IF(G130&lt;&gt;0,1,0)</f>
        <v>#N/A</v>
      </c>
      <c r="R130" s="609"/>
      <c r="T130" s="393"/>
    </row>
    <row r="131" spans="1:20" ht="49.5" customHeight="1" x14ac:dyDescent="0.25">
      <c r="A131" s="226">
        <f>'Unit Data from Audit Worksheet'!A151</f>
        <v>51</v>
      </c>
      <c r="B131" s="236" t="str">
        <f>'Unit Data from Audit Worksheet'!C151</f>
        <v>Water Sewer Cash Flow Statement</v>
      </c>
      <c r="C131" s="224" t="str">
        <f>'Unit Data from Audit Worksheet'!D151</f>
        <v>Total Cash flow from operating activities  - (Enter negative cash flows as negative)</v>
      </c>
      <c r="D131" s="383"/>
      <c r="E131" s="678">
        <f>'Unit Data from Audit Worksheet'!F151</f>
        <v>0</v>
      </c>
      <c r="F131" s="215"/>
      <c r="G131" s="286"/>
      <c r="H131" s="207">
        <f>'Unit Data from Audit Worksheet'!I151</f>
        <v>0</v>
      </c>
      <c r="I131" s="614"/>
      <c r="J131" s="203">
        <v>51</v>
      </c>
      <c r="K131" s="196" t="s">
        <v>311</v>
      </c>
      <c r="L131" s="679">
        <f t="shared" si="8"/>
        <v>0</v>
      </c>
      <c r="P131" s="392"/>
      <c r="R131" s="609"/>
      <c r="T131" s="393"/>
    </row>
    <row r="132" spans="1:20" ht="49.5" customHeight="1" x14ac:dyDescent="0.25">
      <c r="A132" s="226">
        <f>'Unit Data from Audit Worksheet'!A152</f>
        <v>332</v>
      </c>
      <c r="B132" s="236" t="str">
        <f>'Unit Data from Audit Worksheet'!C152</f>
        <v>Water Sewer Cash Flow Statement</v>
      </c>
      <c r="C132" s="224" t="str">
        <f>'Unit Data from Audit Worksheet'!D152</f>
        <v>Total Capital outlay. 
Include acquisition and construction of capital assets.</v>
      </c>
      <c r="D132" s="383"/>
      <c r="E132" s="678">
        <f>'Unit Data from Audit Worksheet'!F152</f>
        <v>0</v>
      </c>
      <c r="F132" s="408">
        <f>IF(L132&lt;0,"Error: Enter as a positive.",)</f>
        <v>0</v>
      </c>
      <c r="G132" s="286"/>
      <c r="H132" s="207">
        <f>'Unit Data from Audit Worksheet'!I152</f>
        <v>0</v>
      </c>
      <c r="I132" s="614"/>
      <c r="J132" s="203">
        <v>332</v>
      </c>
      <c r="K132" s="196" t="s">
        <v>313</v>
      </c>
      <c r="L132" s="679">
        <f t="shared" si="8"/>
        <v>0</v>
      </c>
      <c r="O132" s="187"/>
      <c r="P132" s="392"/>
      <c r="R132" s="609"/>
      <c r="T132" s="393"/>
    </row>
    <row r="133" spans="1:20" ht="56.25" customHeight="1" x14ac:dyDescent="0.25">
      <c r="A133" s="226">
        <f>'Unit Data from Audit Worksheet'!A153</f>
        <v>331</v>
      </c>
      <c r="B133" s="236" t="str">
        <f>'Unit Data from Audit Worksheet'!C153</f>
        <v>Water Sewer Cash Flow Statement</v>
      </c>
      <c r="C133" s="224" t="str">
        <f>'Unit Data from Audit Worksheet'!D153</f>
        <v>Principal paid on long-term debt.  Amount should be reduced by principal payments for debt refunding.</v>
      </c>
      <c r="D133" s="383"/>
      <c r="E133" s="678">
        <f>'Unit Data from Audit Worksheet'!F153</f>
        <v>0</v>
      </c>
      <c r="F133" s="408">
        <f>IF(L133&lt;0,"Error: Enter as a positive.",)</f>
        <v>0</v>
      </c>
      <c r="G133" s="286"/>
      <c r="H133" s="207">
        <f>'Unit Data from Audit Worksheet'!I153</f>
        <v>0</v>
      </c>
      <c r="I133" s="614"/>
      <c r="J133" s="203">
        <v>331</v>
      </c>
      <c r="K133" s="196" t="s">
        <v>312</v>
      </c>
      <c r="L133" s="679">
        <f t="shared" si="8"/>
        <v>0</v>
      </c>
      <c r="O133" s="187"/>
      <c r="P133" s="392"/>
      <c r="R133" s="609"/>
      <c r="T133" s="393"/>
    </row>
    <row r="134" spans="1:20" ht="49.5" customHeight="1" x14ac:dyDescent="0.25">
      <c r="A134" s="226">
        <f>'Unit Data from Audit Worksheet'!A155</f>
        <v>55</v>
      </c>
      <c r="B134" s="236" t="str">
        <f>'Unit Data from Audit Worksheet'!C155</f>
        <v>Electric Fund Cash Flow Statement</v>
      </c>
      <c r="C134" s="224" t="str">
        <f>'Unit Data from Audit Worksheet'!D155</f>
        <v>Cash flow from operating activities - (enter negative cash flows as negative)</v>
      </c>
      <c r="D134" s="383"/>
      <c r="E134" s="678">
        <f>'Unit Data from Audit Worksheet'!F155</f>
        <v>0</v>
      </c>
      <c r="F134" s="215"/>
      <c r="G134" s="286"/>
      <c r="H134" s="207">
        <f>'Unit Data from Audit Worksheet'!I155</f>
        <v>0</v>
      </c>
      <c r="I134" s="614"/>
      <c r="J134" s="203">
        <v>55</v>
      </c>
      <c r="K134" s="196" t="s">
        <v>314</v>
      </c>
      <c r="L134" s="679">
        <f t="shared" si="8"/>
        <v>0</v>
      </c>
      <c r="P134" s="392"/>
      <c r="R134" s="609"/>
      <c r="T134" s="393"/>
    </row>
    <row r="135" spans="1:20" ht="57" customHeight="1" x14ac:dyDescent="0.25">
      <c r="A135" s="226">
        <f>'Unit Data from Audit Worksheet'!A156</f>
        <v>101</v>
      </c>
      <c r="B135" s="236" t="str">
        <f>'Unit Data from Audit Worksheet'!C156</f>
        <v>Electric Fund Cash Flow Statement</v>
      </c>
      <c r="C135" s="224" t="str">
        <f>'Unit Data from Audit Worksheet'!D156</f>
        <v>Total Capital outlay.  
Include acquisition and construction of capital assets.</v>
      </c>
      <c r="D135" s="383"/>
      <c r="E135" s="678">
        <f>'Unit Data from Audit Worksheet'!F156</f>
        <v>0</v>
      </c>
      <c r="F135" s="408">
        <f>IF(L135&lt;0,"Error: Enter as a positive.",)</f>
        <v>0</v>
      </c>
      <c r="G135" s="286"/>
      <c r="H135" s="207">
        <f>'Unit Data from Audit Worksheet'!I156</f>
        <v>0</v>
      </c>
      <c r="I135" s="614"/>
      <c r="J135" s="203">
        <v>101</v>
      </c>
      <c r="K135" s="196" t="s">
        <v>315</v>
      </c>
      <c r="L135" s="679">
        <f t="shared" si="8"/>
        <v>0</v>
      </c>
      <c r="P135" s="392"/>
      <c r="R135" s="609"/>
      <c r="T135" s="393"/>
    </row>
    <row r="136" spans="1:20" ht="58.5" customHeight="1" x14ac:dyDescent="0.25">
      <c r="A136" s="226">
        <f>'Unit Data from Audit Worksheet'!A157</f>
        <v>100</v>
      </c>
      <c r="B136" s="236" t="str">
        <f>'Unit Data from Audit Worksheet'!C157</f>
        <v>Electric Fund Cash Flow Statement</v>
      </c>
      <c r="C136" s="224" t="str">
        <f>'Unit Data from Audit Worksheet'!D157</f>
        <v>Principal paid on long-term debt.  Amount should be reduced by principal payments for debt refunding.</v>
      </c>
      <c r="D136" s="383"/>
      <c r="E136" s="678">
        <f>'Unit Data from Audit Worksheet'!F157</f>
        <v>0</v>
      </c>
      <c r="F136" s="408">
        <f>IF(L136&lt;0,"Error: Enter as a positive.",)</f>
        <v>0</v>
      </c>
      <c r="G136" s="286"/>
      <c r="H136" s="207">
        <f>'Unit Data from Audit Worksheet'!I157</f>
        <v>0</v>
      </c>
      <c r="I136" s="614"/>
      <c r="J136" s="203">
        <v>100</v>
      </c>
      <c r="K136" s="196" t="s">
        <v>316</v>
      </c>
      <c r="L136" s="679">
        <f t="shared" si="8"/>
        <v>0</v>
      </c>
      <c r="P136" s="392"/>
      <c r="R136" s="609"/>
      <c r="T136" s="393"/>
    </row>
    <row r="137" spans="1:20" ht="65.25" customHeight="1" x14ac:dyDescent="0.25">
      <c r="A137" s="226">
        <f>'Unit Data from Audit Worksheet'!A159</f>
        <v>512</v>
      </c>
      <c r="B137" s="236" t="str">
        <f>'Unit Data from Audit Worksheet'!C159</f>
        <v>Fiduciary Statements</v>
      </c>
      <c r="C137" s="224" t="str">
        <f>'Unit Data from Audit Worksheet'!D159</f>
        <v>Cash and investments.  
Include:  unrestricted and restricted.  
                 cash and investments held by a third party</v>
      </c>
      <c r="D137" s="383"/>
      <c r="E137" s="678">
        <f>'Unit Data from Audit Worksheet'!F159</f>
        <v>0</v>
      </c>
      <c r="F137" s="215">
        <f>IF(L137&lt;0,"Error: Number is normally positive.",)</f>
        <v>0</v>
      </c>
      <c r="G137" s="286"/>
      <c r="H137" s="207">
        <f>'Unit Data from Audit Worksheet'!I159</f>
        <v>0</v>
      </c>
      <c r="I137" s="614"/>
      <c r="J137" s="203">
        <v>512</v>
      </c>
      <c r="K137" s="196" t="s">
        <v>317</v>
      </c>
      <c r="L137" s="679">
        <f t="shared" si="8"/>
        <v>0</v>
      </c>
      <c r="P137" s="392"/>
      <c r="R137" s="609"/>
      <c r="T137" s="393"/>
    </row>
    <row r="138" spans="1:20" s="609" customFormat="1" ht="64.5" customHeight="1" x14ac:dyDescent="0.25">
      <c r="A138" s="345">
        <f>'Unit Data from Audit Worksheet'!A161</f>
        <v>656</v>
      </c>
      <c r="B138" s="346">
        <f>'Unit Data from Audit Worksheet'!C161</f>
        <v>0</v>
      </c>
      <c r="C138" s="472" t="str">
        <f>'Unit Data from Audit Worksheet'!D161</f>
        <v>Do you use prepared food/occupancy tax revenue stream to support debt?  Select "1" for Yes and "2" for No</v>
      </c>
      <c r="D138" s="601"/>
      <c r="E138" s="681">
        <f>'Unit Data from Audit Worksheet'!F161</f>
        <v>0</v>
      </c>
      <c r="F138" s="362"/>
      <c r="G138" s="352"/>
      <c r="H138" s="364"/>
      <c r="I138" s="614"/>
      <c r="J138" s="648">
        <v>656</v>
      </c>
      <c r="K138" s="647" t="s">
        <v>1036</v>
      </c>
      <c r="L138" s="679">
        <f>E138</f>
        <v>0</v>
      </c>
      <c r="M138" s="610"/>
      <c r="N138" s="610"/>
      <c r="O138" s="610"/>
      <c r="P138" s="592"/>
      <c r="Q138" s="623"/>
    </row>
    <row r="139" spans="1:20" s="490" customFormat="1" ht="92.25" customHeight="1" x14ac:dyDescent="0.25">
      <c r="A139" s="410">
        <f>'Unit Data from Audit Worksheet'!A163</f>
        <v>535</v>
      </c>
      <c r="B139" s="411" t="str">
        <f>'Unit Data from Audit Worksheet'!C163</f>
        <v>Cash and Investment Note</v>
      </c>
      <c r="C139" s="409" t="str">
        <f>'Unit Data from Audit Worksheet'!D163</f>
        <v>Cash and Investment - Please list the book value of any unspent debt proceeds (bonds, installment, etc.) in any funds as of June 30.  This information may be on the face of your statements or in the notes</v>
      </c>
      <c r="D139" s="383"/>
      <c r="E139" s="678">
        <f>'Unit Data from Audit Worksheet'!F163</f>
        <v>0</v>
      </c>
      <c r="F139" s="321" t="str">
        <f>IF(L139&gt;1,,"Reminder: Please make sure you have entered all cash and investments from bond proceeds, if applicable")</f>
        <v>Reminder: Please make sure you have entered all cash and investments from bond proceeds, if applicable</v>
      </c>
      <c r="G139" s="412"/>
      <c r="H139" s="406">
        <f>'Unit Data from Audit Worksheet'!I163</f>
        <v>0</v>
      </c>
      <c r="I139" s="614"/>
      <c r="J139" s="417">
        <v>535</v>
      </c>
      <c r="K139" s="255" t="s">
        <v>318</v>
      </c>
      <c r="L139" s="679">
        <f t="shared" si="8"/>
        <v>0</v>
      </c>
      <c r="P139" s="592"/>
      <c r="Q139" s="414"/>
      <c r="R139" s="609"/>
    </row>
    <row r="140" spans="1:20" ht="48" customHeight="1" x14ac:dyDescent="0.25">
      <c r="A140" s="226">
        <f>'Unit Data from Audit Worksheet'!A167</f>
        <v>334</v>
      </c>
      <c r="B140" s="236" t="str">
        <f>'Unit Data from Audit Worksheet'!C167</f>
        <v>Gov.-Capital Assets Schedule in the Notes</v>
      </c>
      <c r="C140" s="244" t="str">
        <f>'Unit Data from Audit Worksheet'!D167</f>
        <v>Gross value.  
Exclude non-depreciable.</v>
      </c>
      <c r="D140" s="383"/>
      <c r="E140" s="678">
        <f>'Unit Data from Audit Worksheet'!F167</f>
        <v>0</v>
      </c>
      <c r="F140" s="214"/>
      <c r="G140" s="286"/>
      <c r="H140" s="207">
        <f>'Unit Data from Audit Worksheet'!I167</f>
        <v>0</v>
      </c>
      <c r="I140" s="614"/>
      <c r="J140" s="203">
        <v>334</v>
      </c>
      <c r="K140" s="255" t="s">
        <v>341</v>
      </c>
      <c r="L140" s="679">
        <f t="shared" si="8"/>
        <v>0</v>
      </c>
      <c r="P140" s="392"/>
      <c r="R140" s="609"/>
      <c r="T140" s="393"/>
    </row>
    <row r="141" spans="1:20" s="69" customFormat="1" ht="48" customHeight="1" x14ac:dyDescent="0.25">
      <c r="A141" s="226">
        <f>'Unit Data from Audit Worksheet'!A168</f>
        <v>373</v>
      </c>
      <c r="B141" s="236" t="str">
        <f>'Unit Data from Audit Worksheet'!C168</f>
        <v>Gov.-Capital Assets Schedule in the Notes</v>
      </c>
      <c r="C141" s="244" t="str">
        <f>'Unit Data from Audit Worksheet'!D168</f>
        <v>Accumulated depreciation</v>
      </c>
      <c r="D141" s="383"/>
      <c r="E141" s="678">
        <f>'Unit Data from Audit Worksheet'!F168</f>
        <v>0</v>
      </c>
      <c r="F141" s="214"/>
      <c r="G141" s="286"/>
      <c r="H141" s="207">
        <f>'Unit Data from Audit Worksheet'!I168</f>
        <v>0</v>
      </c>
      <c r="I141" s="614"/>
      <c r="J141" s="203">
        <v>373</v>
      </c>
      <c r="K141" s="267" t="s">
        <v>641</v>
      </c>
      <c r="L141" s="679">
        <f t="shared" si="8"/>
        <v>0</v>
      </c>
      <c r="P141" s="392"/>
      <c r="Q141" s="325"/>
      <c r="R141" s="609"/>
      <c r="T141" s="393"/>
    </row>
    <row r="142" spans="1:20" ht="48" customHeight="1" x14ac:dyDescent="0.25">
      <c r="A142" s="226">
        <f>'Unit Data from Audit Worksheet'!A172</f>
        <v>327</v>
      </c>
      <c r="B142" s="236" t="str">
        <f>'Unit Data from Audit Worksheet'!C172</f>
        <v>WS-Capital Assets Schedule in the Notes</v>
      </c>
      <c r="C142" s="244" t="str">
        <f>'Unit Data from Audit Worksheet'!D172</f>
        <v>Land and all other non depreciable capital assets 
Exclude construction in progress</v>
      </c>
      <c r="D142" s="383"/>
      <c r="E142" s="678">
        <f>'Unit Data from Audit Worksheet'!F172</f>
        <v>0</v>
      </c>
      <c r="F142" s="214"/>
      <c r="G142" s="286"/>
      <c r="H142" s="207">
        <f>'Unit Data from Audit Worksheet'!I172</f>
        <v>0</v>
      </c>
      <c r="I142" s="614"/>
      <c r="J142" s="203">
        <v>327</v>
      </c>
      <c r="K142" s="268" t="s">
        <v>642</v>
      </c>
      <c r="L142" s="679">
        <f t="shared" si="8"/>
        <v>0</v>
      </c>
      <c r="P142" s="392"/>
      <c r="R142" s="609"/>
      <c r="T142" s="393"/>
    </row>
    <row r="143" spans="1:20" s="225" customFormat="1" ht="48" customHeight="1" x14ac:dyDescent="0.25">
      <c r="A143" s="226">
        <f>'Unit Data from Audit Worksheet'!A173</f>
        <v>328</v>
      </c>
      <c r="B143" s="236" t="str">
        <f>'Unit Data from Audit Worksheet'!C173</f>
        <v>WS-Capital Assets Schedule in the Notes</v>
      </c>
      <c r="C143" s="244" t="str">
        <f>'Unit Data from Audit Worksheet'!D173</f>
        <v>Construction in progress</v>
      </c>
      <c r="D143" s="383"/>
      <c r="E143" s="678">
        <f>'Unit Data from Audit Worksheet'!F173</f>
        <v>0</v>
      </c>
      <c r="F143" s="214"/>
      <c r="G143" s="286"/>
      <c r="H143" s="207">
        <f>'Unit Data from Audit Worksheet'!I173</f>
        <v>0</v>
      </c>
      <c r="I143" s="614"/>
      <c r="J143" s="203">
        <v>328</v>
      </c>
      <c r="K143" s="269" t="s">
        <v>643</v>
      </c>
      <c r="L143" s="679">
        <f t="shared" si="8"/>
        <v>0</v>
      </c>
      <c r="P143" s="392"/>
      <c r="Q143" s="325"/>
      <c r="R143" s="609"/>
      <c r="T143" s="393"/>
    </row>
    <row r="144" spans="1:20" s="225" customFormat="1" ht="48" customHeight="1" x14ac:dyDescent="0.25">
      <c r="A144" s="226">
        <f>'Unit Data from Audit Worksheet'!A177</f>
        <v>515</v>
      </c>
      <c r="B144" s="236" t="str">
        <f>'Unit Data from Audit Worksheet'!C177</f>
        <v>WS Capital Assets Schedule-Gross Value</v>
      </c>
      <c r="C144" s="244" t="str">
        <f>'Unit Data from Audit Worksheet'!D177</f>
        <v>Buildings</v>
      </c>
      <c r="D144" s="383"/>
      <c r="E144" s="678">
        <f>'Unit Data from Audit Worksheet'!F177</f>
        <v>0</v>
      </c>
      <c r="F144" s="214"/>
      <c r="G144" s="286"/>
      <c r="H144" s="207">
        <f>'Unit Data from Audit Worksheet'!I177</f>
        <v>0</v>
      </c>
      <c r="I144" s="614"/>
      <c r="J144" s="203">
        <v>515</v>
      </c>
      <c r="K144" s="270" t="s">
        <v>342</v>
      </c>
      <c r="L144" s="679">
        <f t="shared" si="8"/>
        <v>0</v>
      </c>
      <c r="P144" s="392"/>
      <c r="Q144" s="325"/>
      <c r="R144" s="609"/>
      <c r="T144" s="393"/>
    </row>
    <row r="145" spans="1:20" s="225" customFormat="1" ht="48" customHeight="1" x14ac:dyDescent="0.25">
      <c r="A145" s="226">
        <f>'Unit Data from Audit Worksheet'!A178</f>
        <v>516</v>
      </c>
      <c r="B145" s="236" t="str">
        <f>'Unit Data from Audit Worksheet'!C178</f>
        <v>WS Capital Assets Schedule-Gross Value</v>
      </c>
      <c r="C145" s="244" t="str">
        <f>'Unit Data from Audit Worksheet'!D178</f>
        <v>Plant / distributions systems / water lines</v>
      </c>
      <c r="D145" s="383"/>
      <c r="E145" s="678">
        <f>'Unit Data from Audit Worksheet'!F178</f>
        <v>0</v>
      </c>
      <c r="F145" s="214"/>
      <c r="G145" s="286"/>
      <c r="H145" s="207">
        <f>'Unit Data from Audit Worksheet'!I178</f>
        <v>0</v>
      </c>
      <c r="I145" s="614"/>
      <c r="J145" s="203">
        <v>516</v>
      </c>
      <c r="K145" s="270" t="s">
        <v>343</v>
      </c>
      <c r="L145" s="679">
        <f t="shared" si="8"/>
        <v>0</v>
      </c>
      <c r="P145" s="392"/>
      <c r="Q145" s="325"/>
      <c r="R145" s="609"/>
      <c r="T145" s="393"/>
    </row>
    <row r="146" spans="1:20" s="225" customFormat="1" ht="48" customHeight="1" x14ac:dyDescent="0.25">
      <c r="A146" s="226">
        <f>'Unit Data from Audit Worksheet'!A179</f>
        <v>517</v>
      </c>
      <c r="B146" s="236" t="str">
        <f>'Unit Data from Audit Worksheet'!C179</f>
        <v>WS Capital Assets Schedule-Gross Value</v>
      </c>
      <c r="C146" s="244" t="str">
        <f>'Unit Data from Audit Worksheet'!D179</f>
        <v>Infrastructure(other infrastructure)</v>
      </c>
      <c r="D146" s="383"/>
      <c r="E146" s="678">
        <f>'Unit Data from Audit Worksheet'!F179</f>
        <v>0</v>
      </c>
      <c r="F146" s="214"/>
      <c r="G146" s="286"/>
      <c r="H146" s="207">
        <f>'Unit Data from Audit Worksheet'!I179</f>
        <v>0</v>
      </c>
      <c r="I146" s="614"/>
      <c r="J146" s="203">
        <v>517</v>
      </c>
      <c r="K146" s="271" t="s">
        <v>344</v>
      </c>
      <c r="L146" s="679">
        <f t="shared" si="8"/>
        <v>0</v>
      </c>
      <c r="P146" s="392"/>
      <c r="Q146" s="325"/>
      <c r="R146" s="609"/>
      <c r="T146" s="393"/>
    </row>
    <row r="147" spans="1:20" s="225" customFormat="1" ht="48" customHeight="1" x14ac:dyDescent="0.25">
      <c r="A147" s="226">
        <f>'Unit Data from Audit Worksheet'!A180</f>
        <v>518</v>
      </c>
      <c r="B147" s="236" t="str">
        <f>'Unit Data from Audit Worksheet'!C180</f>
        <v>WS Capital Assets Schedule-Gross Value</v>
      </c>
      <c r="C147" s="244" t="str">
        <f>'Unit Data from Audit Worksheet'!D180</f>
        <v>All other depreciable capital assets</v>
      </c>
      <c r="D147" s="383"/>
      <c r="E147" s="678">
        <f>'Unit Data from Audit Worksheet'!F180</f>
        <v>0</v>
      </c>
      <c r="F147" s="214"/>
      <c r="G147" s="286"/>
      <c r="H147" s="207">
        <f>'Unit Data from Audit Worksheet'!I180</f>
        <v>0</v>
      </c>
      <c r="I147" s="614"/>
      <c r="J147" s="203">
        <v>518</v>
      </c>
      <c r="K147" s="271" t="s">
        <v>345</v>
      </c>
      <c r="L147" s="679">
        <f t="shared" si="8"/>
        <v>0</v>
      </c>
      <c r="P147" s="392"/>
      <c r="Q147" s="325"/>
      <c r="R147" s="609"/>
      <c r="T147" s="393"/>
    </row>
    <row r="148" spans="1:20" s="225" customFormat="1" ht="48" customHeight="1" x14ac:dyDescent="0.25">
      <c r="A148" s="226">
        <f>'Unit Data from Audit Worksheet'!A183</f>
        <v>519</v>
      </c>
      <c r="B148" s="236" t="str">
        <f>'Unit Data from Audit Worksheet'!C183</f>
        <v>WS Capital Assets Schedule-Annual Depreciation</v>
      </c>
      <c r="C148" s="244" t="str">
        <f>'Unit Data from Audit Worksheet'!D183</f>
        <v>Buildings annual depreciation</v>
      </c>
      <c r="D148" s="383"/>
      <c r="E148" s="678">
        <f>'Unit Data from Audit Worksheet'!F183</f>
        <v>0</v>
      </c>
      <c r="F148" s="214"/>
      <c r="G148" s="286"/>
      <c r="H148" s="207">
        <f>'Unit Data from Audit Worksheet'!I183</f>
        <v>0</v>
      </c>
      <c r="I148" s="614"/>
      <c r="J148" s="203">
        <v>519</v>
      </c>
      <c r="K148" s="271" t="s">
        <v>346</v>
      </c>
      <c r="L148" s="679">
        <f t="shared" si="8"/>
        <v>0</v>
      </c>
      <c r="P148" s="392"/>
      <c r="Q148" s="325"/>
      <c r="R148" s="609"/>
      <c r="T148" s="393"/>
    </row>
    <row r="149" spans="1:20" s="225" customFormat="1" ht="48" customHeight="1" x14ac:dyDescent="0.25">
      <c r="A149" s="226">
        <f>'Unit Data from Audit Worksheet'!A184</f>
        <v>520</v>
      </c>
      <c r="B149" s="236" t="str">
        <f>'Unit Data from Audit Worksheet'!C184</f>
        <v>WS Capital Assets Schedule-Annual Depreciation</v>
      </c>
      <c r="C149" s="244" t="str">
        <f>'Unit Data from Audit Worksheet'!D184</f>
        <v>Plant / distributions systems / water lines annual depreciation</v>
      </c>
      <c r="D149" s="383"/>
      <c r="E149" s="678">
        <f>'Unit Data from Audit Worksheet'!F184</f>
        <v>0</v>
      </c>
      <c r="F149" s="214"/>
      <c r="G149" s="286"/>
      <c r="H149" s="207">
        <f>'Unit Data from Audit Worksheet'!I184</f>
        <v>0</v>
      </c>
      <c r="I149" s="614"/>
      <c r="J149" s="203">
        <v>520</v>
      </c>
      <c r="K149" s="273" t="s">
        <v>347</v>
      </c>
      <c r="L149" s="679">
        <f t="shared" si="8"/>
        <v>0</v>
      </c>
      <c r="P149" s="392"/>
      <c r="Q149" s="325"/>
      <c r="R149" s="609"/>
      <c r="T149" s="393"/>
    </row>
    <row r="150" spans="1:20" s="225" customFormat="1" ht="48" customHeight="1" x14ac:dyDescent="0.25">
      <c r="A150" s="226">
        <f>'Unit Data from Audit Worksheet'!A185</f>
        <v>521</v>
      </c>
      <c r="B150" s="236" t="str">
        <f>'Unit Data from Audit Worksheet'!C185</f>
        <v>WS Capital Assets Schedule-Annual Depreciation</v>
      </c>
      <c r="C150" s="244" t="str">
        <f>'Unit Data from Audit Worksheet'!D185</f>
        <v>Infrastructure(other infrastructure) annual depreciation</v>
      </c>
      <c r="D150" s="383"/>
      <c r="E150" s="678">
        <f>'Unit Data from Audit Worksheet'!F185</f>
        <v>0</v>
      </c>
      <c r="F150" s="214"/>
      <c r="G150" s="286"/>
      <c r="H150" s="207">
        <f>'Unit Data from Audit Worksheet'!I185</f>
        <v>0</v>
      </c>
      <c r="I150" s="614"/>
      <c r="J150" s="203">
        <v>521</v>
      </c>
      <c r="K150" s="272" t="s">
        <v>348</v>
      </c>
      <c r="L150" s="679">
        <f t="shared" si="8"/>
        <v>0</v>
      </c>
      <c r="P150" s="392"/>
      <c r="Q150" s="325"/>
      <c r="R150" s="609"/>
      <c r="T150" s="393"/>
    </row>
    <row r="151" spans="1:20" s="225" customFormat="1" ht="44.25" customHeight="1" x14ac:dyDescent="0.25">
      <c r="A151" s="226">
        <f>'Unit Data from Audit Worksheet'!A186</f>
        <v>522</v>
      </c>
      <c r="B151" s="236" t="str">
        <f>'Unit Data from Audit Worksheet'!C186</f>
        <v>WS Capital Assets Schedule-Annual Depreciation</v>
      </c>
      <c r="C151" s="244" t="str">
        <f>'Unit Data from Audit Worksheet'!D186</f>
        <v>All other depreciable capital assets annual depreciation</v>
      </c>
      <c r="D151" s="383"/>
      <c r="E151" s="678">
        <f>'Unit Data from Audit Worksheet'!F186</f>
        <v>0</v>
      </c>
      <c r="F151" s="214"/>
      <c r="G151" s="286"/>
      <c r="H151" s="207">
        <f>'Unit Data from Audit Worksheet'!I186</f>
        <v>0</v>
      </c>
      <c r="I151" s="614"/>
      <c r="J151" s="203">
        <v>522</v>
      </c>
      <c r="K151" s="272" t="s">
        <v>349</v>
      </c>
      <c r="L151" s="679">
        <f t="shared" si="8"/>
        <v>0</v>
      </c>
      <c r="P151" s="392"/>
      <c r="Q151" s="325"/>
      <c r="R151" s="609"/>
      <c r="T151" s="393"/>
    </row>
    <row r="152" spans="1:20" s="225" customFormat="1" ht="44.25" customHeight="1" x14ac:dyDescent="0.25">
      <c r="A152" s="226">
        <f>'Unit Data from Audit Worksheet'!A189</f>
        <v>523</v>
      </c>
      <c r="B152" s="236" t="str">
        <f>'Unit Data from Audit Worksheet'!C189</f>
        <v>WS Capital Assets Schedule-Accumulated Depreciation</v>
      </c>
      <c r="C152" s="244" t="str">
        <f>'Unit Data from Audit Worksheet'!D189</f>
        <v>Building accumulated depreciation</v>
      </c>
      <c r="D152" s="383"/>
      <c r="E152" s="678">
        <f>'Unit Data from Audit Worksheet'!F189</f>
        <v>0</v>
      </c>
      <c r="F152" s="214"/>
      <c r="G152" s="286"/>
      <c r="H152" s="207">
        <f>'Unit Data from Audit Worksheet'!I189</f>
        <v>0</v>
      </c>
      <c r="I152" s="614"/>
      <c r="J152" s="203">
        <v>523</v>
      </c>
      <c r="K152" s="272" t="s">
        <v>350</v>
      </c>
      <c r="L152" s="679">
        <f t="shared" si="8"/>
        <v>0</v>
      </c>
      <c r="P152" s="392"/>
      <c r="Q152" s="325"/>
      <c r="R152" s="609"/>
      <c r="T152" s="393"/>
    </row>
    <row r="153" spans="1:20" s="225" customFormat="1" ht="44.25" customHeight="1" x14ac:dyDescent="0.25">
      <c r="A153" s="226">
        <f>'Unit Data from Audit Worksheet'!A190</f>
        <v>524</v>
      </c>
      <c r="B153" s="236" t="str">
        <f>'Unit Data from Audit Worksheet'!C190</f>
        <v>WS Capital Assets Schedule-Accumulated Depreciation</v>
      </c>
      <c r="C153" s="244" t="str">
        <f>'Unit Data from Audit Worksheet'!D190</f>
        <v>Plant / distributions systems / water lines accumulated depreciation</v>
      </c>
      <c r="D153" s="383"/>
      <c r="E153" s="678">
        <f>'Unit Data from Audit Worksheet'!F190</f>
        <v>0</v>
      </c>
      <c r="F153" s="214"/>
      <c r="G153" s="286"/>
      <c r="H153" s="207">
        <f>'Unit Data from Audit Worksheet'!I190</f>
        <v>0</v>
      </c>
      <c r="I153" s="614"/>
      <c r="J153" s="203">
        <v>524</v>
      </c>
      <c r="K153" s="272" t="s">
        <v>351</v>
      </c>
      <c r="L153" s="679">
        <f t="shared" si="8"/>
        <v>0</v>
      </c>
      <c r="P153" s="392"/>
      <c r="Q153" s="325"/>
      <c r="R153" s="609"/>
      <c r="T153" s="393"/>
    </row>
    <row r="154" spans="1:20" s="225" customFormat="1" ht="44.25" customHeight="1" x14ac:dyDescent="0.25">
      <c r="A154" s="226">
        <f>'Unit Data from Audit Worksheet'!A191</f>
        <v>525</v>
      </c>
      <c r="B154" s="236" t="str">
        <f>'Unit Data from Audit Worksheet'!C191</f>
        <v>WS Capital Assets Schedule-Accumulated Depreciation</v>
      </c>
      <c r="C154" s="244" t="str">
        <f>'Unit Data from Audit Worksheet'!D191</f>
        <v>Infrastructure(other infrastructure) accumulated depreciation</v>
      </c>
      <c r="D154" s="383"/>
      <c r="E154" s="678">
        <f>'Unit Data from Audit Worksheet'!F191</f>
        <v>0</v>
      </c>
      <c r="F154" s="214"/>
      <c r="G154" s="286"/>
      <c r="H154" s="207">
        <f>'Unit Data from Audit Worksheet'!I191</f>
        <v>0</v>
      </c>
      <c r="I154" s="614"/>
      <c r="J154" s="203">
        <v>525</v>
      </c>
      <c r="K154" s="272" t="s">
        <v>352</v>
      </c>
      <c r="L154" s="679">
        <f t="shared" si="8"/>
        <v>0</v>
      </c>
      <c r="P154" s="392"/>
      <c r="Q154" s="325"/>
      <c r="R154" s="609"/>
      <c r="T154" s="393"/>
    </row>
    <row r="155" spans="1:20" s="225" customFormat="1" ht="44.25" customHeight="1" x14ac:dyDescent="0.25">
      <c r="A155" s="226">
        <f>'Unit Data from Audit Worksheet'!A192</f>
        <v>526</v>
      </c>
      <c r="B155" s="236" t="str">
        <f>'Unit Data from Audit Worksheet'!C192</f>
        <v>WS Capital Assets Schedule-Accumulated Depreciation</v>
      </c>
      <c r="C155" s="244" t="str">
        <f>'Unit Data from Audit Worksheet'!D192</f>
        <v>All other depreciable capital assets accumulated depreciation</v>
      </c>
      <c r="D155" s="383"/>
      <c r="E155" s="678">
        <f>'Unit Data from Audit Worksheet'!F192</f>
        <v>0</v>
      </c>
      <c r="F155" s="214"/>
      <c r="G155" s="286"/>
      <c r="H155" s="207">
        <f>'Unit Data from Audit Worksheet'!I192</f>
        <v>0</v>
      </c>
      <c r="I155" s="614"/>
      <c r="J155" s="203">
        <v>526</v>
      </c>
      <c r="K155" s="274" t="s">
        <v>353</v>
      </c>
      <c r="L155" s="679">
        <f t="shared" si="8"/>
        <v>0</v>
      </c>
      <c r="P155" s="392"/>
      <c r="Q155" s="325"/>
      <c r="R155" s="609"/>
      <c r="T155" s="393"/>
    </row>
    <row r="156" spans="1:20" s="225" customFormat="1" ht="44.25" customHeight="1" x14ac:dyDescent="0.25">
      <c r="A156" s="226">
        <f>'Unit Data from Audit Worksheet'!A197</f>
        <v>527</v>
      </c>
      <c r="B156" s="236" t="str">
        <f>'Unit Data from Audit Worksheet'!C197</f>
        <v>Electric Assets</v>
      </c>
      <c r="C156" s="244" t="str">
        <f>'Unit Data from Audit Worksheet'!D197</f>
        <v>Total Assets Gross value not being depreciated for Electric Fund</v>
      </c>
      <c r="D156" s="383"/>
      <c r="E156" s="678">
        <f>'Unit Data from Audit Worksheet'!F197</f>
        <v>0</v>
      </c>
      <c r="F156" s="214"/>
      <c r="G156" s="286"/>
      <c r="H156" s="207">
        <f>'Unit Data from Audit Worksheet'!I197</f>
        <v>0</v>
      </c>
      <c r="I156" s="614"/>
      <c r="J156" s="203">
        <v>527</v>
      </c>
      <c r="K156" s="274" t="s">
        <v>354</v>
      </c>
      <c r="L156" s="679">
        <f t="shared" si="8"/>
        <v>0</v>
      </c>
      <c r="P156" s="392"/>
      <c r="Q156" s="325"/>
      <c r="R156" s="609"/>
      <c r="T156" s="393"/>
    </row>
    <row r="157" spans="1:20" s="225" customFormat="1" ht="44.25" customHeight="1" x14ac:dyDescent="0.25">
      <c r="A157" s="226">
        <f>'Unit Data from Audit Worksheet'!A198</f>
        <v>356</v>
      </c>
      <c r="B157" s="236" t="str">
        <f>'Unit Data from Audit Worksheet'!C198</f>
        <v>Electric Assets</v>
      </c>
      <c r="C157" s="244" t="str">
        <f>'Unit Data from Audit Worksheet'!D198</f>
        <v>Total Assets Gross value of assets being depreciated for Electric Fund</v>
      </c>
      <c r="D157" s="383"/>
      <c r="E157" s="678">
        <f>'Unit Data from Audit Worksheet'!F198</f>
        <v>0</v>
      </c>
      <c r="F157" s="214"/>
      <c r="G157" s="286"/>
      <c r="H157" s="207">
        <f>'Unit Data from Audit Worksheet'!I198</f>
        <v>0</v>
      </c>
      <c r="I157" s="614"/>
      <c r="J157" s="203">
        <v>356</v>
      </c>
      <c r="K157" s="275" t="s">
        <v>644</v>
      </c>
      <c r="L157" s="679">
        <f t="shared" si="8"/>
        <v>0</v>
      </c>
      <c r="P157" s="392"/>
      <c r="Q157" s="325"/>
      <c r="R157" s="609"/>
      <c r="T157" s="393"/>
    </row>
    <row r="158" spans="1:20" s="225" customFormat="1" ht="44.25" customHeight="1" x14ac:dyDescent="0.25">
      <c r="A158" s="226">
        <f>'Unit Data from Audit Worksheet'!A199</f>
        <v>357</v>
      </c>
      <c r="B158" s="236" t="str">
        <f>'Unit Data from Audit Worksheet'!C199</f>
        <v>Electric Accumulated Depreciation</v>
      </c>
      <c r="C158" s="244" t="str">
        <f>'Unit Data from Audit Worksheet'!D199</f>
        <v>Total accumulated depreciation for Electric Fund assets</v>
      </c>
      <c r="D158" s="383"/>
      <c r="E158" s="678">
        <f>'Unit Data from Audit Worksheet'!F199</f>
        <v>0</v>
      </c>
      <c r="F158" s="214"/>
      <c r="G158" s="286"/>
      <c r="H158" s="207">
        <f>'Unit Data from Audit Worksheet'!I199</f>
        <v>0</v>
      </c>
      <c r="I158" s="614"/>
      <c r="J158" s="203">
        <v>357</v>
      </c>
      <c r="K158" s="276" t="s">
        <v>645</v>
      </c>
      <c r="L158" s="679">
        <f t="shared" si="8"/>
        <v>0</v>
      </c>
      <c r="P158" s="392"/>
      <c r="Q158" s="325"/>
      <c r="R158" s="609"/>
      <c r="T158" s="393"/>
    </row>
    <row r="159" spans="1:20" s="225" customFormat="1" ht="199.5" customHeight="1" x14ac:dyDescent="0.25">
      <c r="A159" s="332">
        <f>'Unit Data from Audit Worksheet'!A201</f>
        <v>337</v>
      </c>
      <c r="B159" s="236" t="str">
        <f>'Unit Data from Audit Worksheet'!C201</f>
        <v>Long-Term Liability Note - Governmental Activities</v>
      </c>
      <c r="C159" s="236" t="str">
        <f>'Unit Data from Audit Worksheet'!D201</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59" s="383"/>
      <c r="E159" s="678">
        <f>'Unit Data from Audit Worksheet'!F201</f>
        <v>0</v>
      </c>
      <c r="F159" s="408">
        <f>IF(L159&lt;0,"Error: Enter as a positive.",)</f>
        <v>0</v>
      </c>
      <c r="G159" s="286"/>
      <c r="H159" s="207">
        <f>'Unit Data from Audit Worksheet'!I201</f>
        <v>0</v>
      </c>
      <c r="I159" s="614"/>
      <c r="J159" s="330">
        <v>337</v>
      </c>
      <c r="K159" s="196" t="s">
        <v>319</v>
      </c>
      <c r="L159" s="679">
        <f t="shared" si="8"/>
        <v>0</v>
      </c>
      <c r="P159" s="392"/>
      <c r="Q159" s="325"/>
      <c r="R159" s="609"/>
      <c r="T159" s="393"/>
    </row>
    <row r="160" spans="1:20" s="225" customFormat="1" ht="59.25" customHeight="1" x14ac:dyDescent="0.25">
      <c r="A160" s="226">
        <f>'Unit Data from Audit Worksheet'!A202</f>
        <v>343</v>
      </c>
      <c r="B160" s="236" t="str">
        <f>'Unit Data from Audit Worksheet'!C202</f>
        <v>Long-Term Liability Note - Governmental Activities</v>
      </c>
      <c r="C160" s="224" t="str">
        <f>'Unit Data from Audit Worksheet'!D202</f>
        <v>Decreases made (principal paid) on Long-Term Debt in current fiscal year.  Reduce for debt refunding.</v>
      </c>
      <c r="D160" s="383"/>
      <c r="E160" s="678">
        <f>'Unit Data from Audit Worksheet'!F202</f>
        <v>0</v>
      </c>
      <c r="F160" s="408">
        <f>IF(L160&lt;0,"Error: Enter as a positive.",)</f>
        <v>0</v>
      </c>
      <c r="G160" s="286"/>
      <c r="H160" s="207">
        <f>'Unit Data from Audit Worksheet'!I202</f>
        <v>0</v>
      </c>
      <c r="I160" s="614"/>
      <c r="J160" s="203">
        <v>343</v>
      </c>
      <c r="K160" s="196" t="s">
        <v>320</v>
      </c>
      <c r="L160" s="679">
        <f t="shared" si="8"/>
        <v>0</v>
      </c>
      <c r="P160" s="392"/>
      <c r="Q160" s="325"/>
      <c r="R160" s="609"/>
      <c r="T160" s="393"/>
    </row>
    <row r="161" spans="1:20" s="225" customFormat="1" ht="185.25" customHeight="1" x14ac:dyDescent="0.25">
      <c r="A161" s="226">
        <f>'Unit Data from Audit Worksheet'!A203</f>
        <v>82</v>
      </c>
      <c r="B161" s="236" t="str">
        <f>'Unit Data from Audit Worksheet'!C203</f>
        <v>Long-Term Liability Note - Water Sewer Activities</v>
      </c>
      <c r="C161" s="236" t="str">
        <f>'Unit Data from Audit Worksheet'!D203</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61" s="383"/>
      <c r="E161" s="678">
        <f>'Unit Data from Audit Worksheet'!F203</f>
        <v>0</v>
      </c>
      <c r="F161" s="408">
        <f>IF(L161&lt;0,"Error: Enter as a positive.",)</f>
        <v>0</v>
      </c>
      <c r="G161" s="286"/>
      <c r="H161" s="207">
        <f>'Unit Data from Audit Worksheet'!I203</f>
        <v>0</v>
      </c>
      <c r="I161" s="614"/>
      <c r="J161" s="203">
        <v>82</v>
      </c>
      <c r="K161" s="277" t="s">
        <v>646</v>
      </c>
      <c r="L161" s="679">
        <f t="shared" si="8"/>
        <v>0</v>
      </c>
      <c r="P161" s="392"/>
      <c r="Q161" s="325"/>
      <c r="R161" s="609"/>
      <c r="T161" s="393"/>
    </row>
    <row r="162" spans="1:20" ht="183.75" customHeight="1" x14ac:dyDescent="0.25">
      <c r="A162" s="226">
        <f>'Unit Data from Audit Worksheet'!A204</f>
        <v>359</v>
      </c>
      <c r="B162" s="236" t="str">
        <f>'Unit Data from Audit Worksheet'!C204</f>
        <v>Long-Term Liability Note - Electric Activities</v>
      </c>
      <c r="C162" s="236" t="str">
        <f>'Unit Data from Audit Worksheet'!D204</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62" s="383"/>
      <c r="E162" s="678">
        <f>'Unit Data from Audit Worksheet'!F204</f>
        <v>0</v>
      </c>
      <c r="F162" s="408">
        <f>IF(L162&lt;0,"Error: Enter as a positive.",)</f>
        <v>0</v>
      </c>
      <c r="G162" s="286"/>
      <c r="H162" s="207">
        <f>'Unit Data from Audit Worksheet'!I204</f>
        <v>0</v>
      </c>
      <c r="I162" s="614"/>
      <c r="J162" s="203">
        <v>359</v>
      </c>
      <c r="K162" s="196" t="s">
        <v>321</v>
      </c>
      <c r="L162" s="679">
        <f t="shared" si="8"/>
        <v>0</v>
      </c>
      <c r="P162" s="392"/>
      <c r="R162" s="609"/>
      <c r="T162" s="393"/>
    </row>
    <row r="163" spans="1:20" ht="45" x14ac:dyDescent="0.25">
      <c r="A163" s="410">
        <f>'Unit Data from Audit Worksheet'!A206</f>
        <v>622</v>
      </c>
      <c r="B163" s="411" t="str">
        <f>'Unit Data from Audit Worksheet'!C206</f>
        <v>FS., Pension note or RSI</v>
      </c>
      <c r="C163" s="411" t="str">
        <f>'Unit Data from Audit Worksheet'!D206</f>
        <v xml:space="preserve">Unit's Share of Net Pension Liability ($s)
- unit of government is a participating employer in the State's TSERS (Teachers' and State Employees' Retirement System) or the LGERS (Local Governmental Employees' Retirement System).  </v>
      </c>
      <c r="D163" s="383"/>
      <c r="E163" s="678">
        <f>'Unit Data from Audit Worksheet'!F206</f>
        <v>0</v>
      </c>
      <c r="F163" s="408"/>
      <c r="G163" s="412"/>
      <c r="H163" s="406"/>
      <c r="I163" s="614"/>
      <c r="J163" s="417">
        <v>622</v>
      </c>
      <c r="K163" s="339" t="s">
        <v>829</v>
      </c>
      <c r="L163" s="679">
        <f t="shared" si="8"/>
        <v>0</v>
      </c>
      <c r="P163" s="392"/>
      <c r="R163" s="609"/>
      <c r="T163" s="393"/>
    </row>
    <row r="164" spans="1:20" ht="112.5" x14ac:dyDescent="0.25">
      <c r="A164" s="332">
        <f>'Unit Data from Audit Worksheet'!A207</f>
        <v>577</v>
      </c>
      <c r="B164" s="333" t="str">
        <f>'Unit Data from Audit Worksheet'!C207</f>
        <v>Pension Notes</v>
      </c>
      <c r="C164" s="333" t="str">
        <f>'Unit Data from Audit Worksheet'!D207</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v>
      </c>
      <c r="D164" s="383"/>
      <c r="E164" s="678" t="str">
        <f>IF('Unit Data from Audit Worksheet'!F207="Yes",1,IF('Unit Data from Audit Worksheet'!F207="No",2,IF('Unit Data from Audit Worksheet'!F207&lt;1,"",IF('Unit Data from Audit Worksheet'!F207=0&gt;2,""))))</f>
        <v/>
      </c>
      <c r="F164" s="328"/>
      <c r="G164" s="324"/>
      <c r="H164" s="207"/>
      <c r="I164" s="614"/>
      <c r="J164" s="330">
        <v>577</v>
      </c>
      <c r="K164" s="309" t="s">
        <v>708</v>
      </c>
      <c r="L164" s="679" t="str">
        <f t="shared" si="8"/>
        <v/>
      </c>
      <c r="P164" s="392"/>
      <c r="R164" s="609"/>
      <c r="T164" s="393"/>
    </row>
    <row r="165" spans="1:20" ht="74.25" customHeight="1" x14ac:dyDescent="0.25">
      <c r="A165" s="257">
        <f>'Unit Data from Audit Worksheet'!A209</f>
        <v>598</v>
      </c>
      <c r="B165" s="333" t="str">
        <f>'Unit Data from Audit Worksheet'!C209</f>
        <v>LEO Note</v>
      </c>
      <c r="C165" s="331" t="str">
        <f>'Unit Data from Audit Worksheet'!D209</f>
        <v>Amount the unit paid out in benefits under LEO special separation allowance to retired law enforcement officers this fiscal year if you report under GASB 68 or GASB 73.</v>
      </c>
      <c r="D165" s="383"/>
      <c r="E165" s="678">
        <f>'Unit Data from Audit Worksheet'!F209</f>
        <v>0</v>
      </c>
      <c r="F165" s="408">
        <f>IF(L165&lt;0,"Error: Enter as a positive.",)</f>
        <v>0</v>
      </c>
      <c r="G165" s="286"/>
      <c r="H165" s="207">
        <f>'Unit Data from Audit Worksheet'!I209</f>
        <v>0</v>
      </c>
      <c r="I165" s="614"/>
      <c r="J165" s="648">
        <v>598</v>
      </c>
      <c r="K165" s="348" t="s">
        <v>783</v>
      </c>
      <c r="L165" s="679">
        <f t="shared" si="8"/>
        <v>0</v>
      </c>
      <c r="P165" s="392"/>
      <c r="R165" s="609"/>
      <c r="T165" s="393"/>
    </row>
    <row r="166" spans="1:20" s="69" customFormat="1" ht="42.75" customHeight="1" x14ac:dyDescent="0.25">
      <c r="A166" s="332">
        <f>'Unit Data from Audit Worksheet'!A210</f>
        <v>599</v>
      </c>
      <c r="B166" s="333" t="str">
        <f>'Unit Data from Audit Worksheet'!C210</f>
        <v>LEO Note</v>
      </c>
      <c r="C166" s="331" t="str">
        <f>'Unit Data from Audit Worksheet'!D210</f>
        <v>The total LEO pension liability if you report under GASB 68 or GASB 73.</v>
      </c>
      <c r="D166" s="383"/>
      <c r="E166" s="678">
        <f>'Unit Data from Audit Worksheet'!F210</f>
        <v>0</v>
      </c>
      <c r="F166" s="408">
        <f>IF(L166&lt;0,"Error: Enter as a positive.",)</f>
        <v>0</v>
      </c>
      <c r="G166" s="324"/>
      <c r="H166" s="207">
        <f>'Unit Data from Audit Worksheet'!I210</f>
        <v>0</v>
      </c>
      <c r="I166" s="614"/>
      <c r="J166" s="330">
        <v>599</v>
      </c>
      <c r="K166" s="347" t="s">
        <v>782</v>
      </c>
      <c r="L166" s="679">
        <f t="shared" si="8"/>
        <v>0</v>
      </c>
      <c r="M166" s="57"/>
      <c r="P166" s="392"/>
      <c r="Q166" s="325"/>
      <c r="R166" s="609"/>
      <c r="T166" s="393"/>
    </row>
    <row r="167" spans="1:20" s="69" customFormat="1" ht="80.25" customHeight="1" x14ac:dyDescent="0.25">
      <c r="A167" s="332">
        <f>'Unit Data from Audit Worksheet'!A211</f>
        <v>602</v>
      </c>
      <c r="B167" s="333" t="str">
        <f>'Unit Data from Audit Worksheet'!C211</f>
        <v>LEO Note</v>
      </c>
      <c r="C167" s="331" t="str">
        <f>'Unit Data from Audit Worksheet'!D211</f>
        <v>If you have LEO pension assets and are reporting under GASB 68 please enter "Plan Fiduciary Net Position" which can be found on your RSI schedules and the Notes.</v>
      </c>
      <c r="D167" s="383"/>
      <c r="E167" s="678">
        <f>'Unit Data from Audit Worksheet'!F211</f>
        <v>0</v>
      </c>
      <c r="F167" s="408">
        <f>IF(L167&lt;0,"Error: Enter as a positive.",)</f>
        <v>0</v>
      </c>
      <c r="G167" s="324"/>
      <c r="H167" s="207">
        <f>'Unit Data from Audit Worksheet'!I211</f>
        <v>0</v>
      </c>
      <c r="I167" s="614"/>
      <c r="J167" s="330">
        <v>602</v>
      </c>
      <c r="K167" s="344" t="s">
        <v>784</v>
      </c>
      <c r="L167" s="679">
        <f t="shared" si="8"/>
        <v>0</v>
      </c>
      <c r="M167" s="57"/>
      <c r="P167" s="392"/>
      <c r="Q167" s="325"/>
      <c r="R167" s="609"/>
      <c r="T167" s="393"/>
    </row>
    <row r="168" spans="1:20" s="225" customFormat="1" ht="93.75" customHeight="1" x14ac:dyDescent="0.25">
      <c r="A168" s="332">
        <f>'Unit Data from Audit Worksheet'!A212</f>
        <v>619</v>
      </c>
      <c r="B168" s="333" t="str">
        <f>'Unit Data from Audit Worksheet'!C212</f>
        <v>LEO
RSI</v>
      </c>
      <c r="C168" s="366" t="str">
        <f>'Unit Data from Audit Worksheet'!D212</f>
        <v>LEOSSA – What is the plan’s fiduciary net position as a percentage of the total pension liability?  Please enter as percentage value; for example, 83.5% should be entered as 83.5.  If assets have not been set aside in a trust, please enter 0.0</v>
      </c>
      <c r="D168" s="349"/>
      <c r="E168" s="666">
        <f>'Unit Data from Audit Worksheet'!F212</f>
        <v>0</v>
      </c>
      <c r="F168" s="328" t="str">
        <f>IF(H168=L168,"","Column L does not equal Column H")</f>
        <v/>
      </c>
      <c r="G168" s="324"/>
      <c r="H168" s="374">
        <f>ROUND(IFERROR((L167/L166)*100,0),1)</f>
        <v>0</v>
      </c>
      <c r="I168" s="614"/>
      <c r="J168" s="372">
        <v>619</v>
      </c>
      <c r="K168" s="373" t="s">
        <v>1209</v>
      </c>
      <c r="L168" s="686">
        <f t="shared" si="8"/>
        <v>0</v>
      </c>
      <c r="M168" s="57"/>
      <c r="P168" s="392"/>
      <c r="Q168" s="710">
        <f>IF(H168=L168,0,1)</f>
        <v>0</v>
      </c>
      <c r="R168" s="609"/>
      <c r="T168" s="393"/>
    </row>
    <row r="169" spans="1:20" s="317" customFormat="1" ht="93.75" customHeight="1" x14ac:dyDescent="0.25">
      <c r="A169" s="410">
        <v>621</v>
      </c>
      <c r="B169" s="246" t="s">
        <v>818</v>
      </c>
      <c r="C169" s="475" t="str">
        <f>'Unit Data from Audit Worksheet'!D214</f>
        <v>Unit's share of RHBF Net OPEB Liability ($s)
- unit of government is a participating employer in the State's RHBF (Retiree Health Benefit Fund)</v>
      </c>
      <c r="D169" s="349"/>
      <c r="E169" s="678">
        <f>'Unit Data from Audit Worksheet'!F214</f>
        <v>0</v>
      </c>
      <c r="F169" s="408">
        <f>IF(L169&lt;0,"Error: Enter as a positive.",)</f>
        <v>0</v>
      </c>
      <c r="G169" s="477"/>
      <c r="H169" s="406"/>
      <c r="I169" s="614"/>
      <c r="J169" s="476">
        <v>621</v>
      </c>
      <c r="K169" s="478" t="s">
        <v>1219</v>
      </c>
      <c r="L169" s="679">
        <f t="shared" si="8"/>
        <v>0</v>
      </c>
      <c r="M169" s="57"/>
      <c r="P169" s="392"/>
      <c r="Q169"/>
      <c r="R169" s="609"/>
      <c r="T169" s="393"/>
    </row>
    <row r="170" spans="1:20" s="4" customFormat="1" ht="117.75" customHeight="1" x14ac:dyDescent="0.25">
      <c r="A170" s="257">
        <f>'Unit Data from Audit Worksheet'!A215</f>
        <v>547</v>
      </c>
      <c r="B170" s="236" t="str">
        <f>'Unit Data from Audit Worksheet'!C215</f>
        <v>OPEB Note</v>
      </c>
      <c r="C170" s="236" t="str">
        <f>'Unit Data from Audit Worksheet'!D215</f>
        <v>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v>
      </c>
      <c r="D170" s="383"/>
      <c r="E170" s="678">
        <f>'Unit Data from Audit Worksheet'!F215</f>
        <v>0</v>
      </c>
      <c r="F170" s="215" t="str">
        <f>IF(L173&lt;1,"Please answer this question","")</f>
        <v>Please answer this question</v>
      </c>
      <c r="G170" s="286"/>
      <c r="H170" s="207">
        <f>'Unit Data from Audit Worksheet'!I215</f>
        <v>0</v>
      </c>
      <c r="I170" s="614"/>
      <c r="J170" s="203">
        <v>547</v>
      </c>
      <c r="K170" s="258" t="s">
        <v>628</v>
      </c>
      <c r="L170" s="679">
        <f t="shared" si="8"/>
        <v>0</v>
      </c>
      <c r="M170" s="56"/>
      <c r="P170" s="392"/>
      <c r="Q170" s="325"/>
      <c r="R170" s="609"/>
      <c r="T170" s="393"/>
    </row>
    <row r="171" spans="1:20" s="318" customFormat="1" ht="76.5" customHeight="1" x14ac:dyDescent="0.25">
      <c r="A171" s="644">
        <f>'Unit Data from Audit Worksheet'!A216</f>
        <v>659</v>
      </c>
      <c r="B171" s="346" t="str">
        <f>'Unit Data from Audit Worksheet'!C216</f>
        <v>OPEB
 Note or RSI</v>
      </c>
      <c r="C171" s="645" t="str">
        <f>'Unit Data from Audit Worksheet'!D216</f>
        <v>Total OPEB benefits - total OPEB liability
If you do not provide benefit, please enter 0</v>
      </c>
      <c r="D171" s="383"/>
      <c r="E171" s="681">
        <f>'Unit Data from Audit Worksheet'!F216</f>
        <v>0</v>
      </c>
      <c r="F171" s="362">
        <f>IF(L171&lt;0,"Error: Enter as a positive.",)</f>
        <v>0</v>
      </c>
      <c r="G171" s="837" t="s">
        <v>1218</v>
      </c>
      <c r="H171" s="207">
        <f>'Unit Data from Audit Worksheet'!I216</f>
        <v>0</v>
      </c>
      <c r="I171" s="614"/>
      <c r="J171" s="876">
        <v>659</v>
      </c>
      <c r="K171" s="636" t="s">
        <v>990</v>
      </c>
      <c r="L171" s="671">
        <f t="shared" si="8"/>
        <v>0</v>
      </c>
      <c r="M171" s="56"/>
      <c r="P171" s="392"/>
      <c r="Q171" s="325"/>
      <c r="R171" s="609"/>
      <c r="T171" s="393"/>
    </row>
    <row r="172" spans="1:20" s="318" customFormat="1" ht="90" customHeight="1" x14ac:dyDescent="0.25">
      <c r="A172" s="345">
        <f>'Unit Data from Audit Worksheet'!A217</f>
        <v>660</v>
      </c>
      <c r="B172" s="346" t="str">
        <f>'Unit Data from Audit Worksheet'!C217</f>
        <v>OPEB
 Note or RSI</v>
      </c>
      <c r="C172" s="472" t="str">
        <f>'Unit Data from Audit Worksheet'!D217</f>
        <v>Total OPEB benefits- OPEB plan fiduciary net position
If no fiduciary net position, enter 0</v>
      </c>
      <c r="D172" s="383"/>
      <c r="E172" s="681">
        <f>'Unit Data from Audit Worksheet'!F217</f>
        <v>0</v>
      </c>
      <c r="F172" s="457">
        <f>IF(L172&lt;0,"Note: Number is normally positive.",)</f>
        <v>0</v>
      </c>
      <c r="G172" s="837" t="s">
        <v>1218</v>
      </c>
      <c r="H172" s="207">
        <f>'Unit Data from Audit Worksheet'!I217</f>
        <v>0</v>
      </c>
      <c r="I172" s="614"/>
      <c r="J172" s="877">
        <v>660</v>
      </c>
      <c r="K172" s="636" t="s">
        <v>991</v>
      </c>
      <c r="L172" s="671">
        <f t="shared" si="8"/>
        <v>0</v>
      </c>
      <c r="M172" s="56"/>
      <c r="P172" s="392"/>
      <c r="Q172" s="325"/>
      <c r="R172" s="609"/>
      <c r="T172" s="393"/>
    </row>
    <row r="173" spans="1:20" s="22" customFormat="1" ht="93" customHeight="1" x14ac:dyDescent="0.25">
      <c r="A173" s="345">
        <f>'Unit Data from Audit Worksheet'!A218</f>
        <v>661</v>
      </c>
      <c r="B173" s="346" t="str">
        <f>'Unit Data from Audit Worksheet'!C218</f>
        <v>OPEB
RSI</v>
      </c>
      <c r="C173" s="472" t="str">
        <f>'Unit Data from Audit Worksheet'!D218</f>
        <v>Total OPEB benefits - What is the plan’s fiduciary net position as a percentage of the total OPEB liability?  Please enter as percentage value; for example, 83.5% should be entered as 83.5.  If assets have not been set aside in a trust, please enter 0.0</v>
      </c>
      <c r="D173" s="349"/>
      <c r="E173" s="874">
        <f>'Unit Data from Audit Worksheet'!F218</f>
        <v>0</v>
      </c>
      <c r="F173" s="362" t="str">
        <f>IF(H173=L173,"","Column L does not equal Column H")</f>
        <v/>
      </c>
      <c r="G173" s="837" t="s">
        <v>1218</v>
      </c>
      <c r="H173" s="875">
        <f>ROUND(IFERROR((L172/L171)*100,0),1)</f>
        <v>0</v>
      </c>
      <c r="I173" s="614"/>
      <c r="J173" s="877">
        <v>661</v>
      </c>
      <c r="K173" s="634" t="s">
        <v>1035</v>
      </c>
      <c r="L173" s="686">
        <f t="shared" si="8"/>
        <v>0</v>
      </c>
      <c r="P173" s="392"/>
      <c r="Q173" s="351">
        <f>IF(H173=L173,0,1)</f>
        <v>0</v>
      </c>
      <c r="R173" s="609"/>
      <c r="T173" s="393"/>
    </row>
    <row r="174" spans="1:20" s="317" customFormat="1" ht="35.25" customHeight="1" x14ac:dyDescent="0.25">
      <c r="A174" s="226">
        <f>'Unit Data from Audit Worksheet'!A221</f>
        <v>371</v>
      </c>
      <c r="B174" s="236" t="str">
        <f>'Unit Data from Audit Worksheet'!C221</f>
        <v>Transfer Note</v>
      </c>
      <c r="C174" s="224" t="str">
        <f>'Unit Data from Audit Worksheet'!D221</f>
        <v>Amount of Transfers from the General Fund to the Debt Service Fund (Enter as positive)</v>
      </c>
      <c r="D174" s="383"/>
      <c r="E174" s="678">
        <f>'Unit Data from Audit Worksheet'!F221</f>
        <v>0</v>
      </c>
      <c r="F174" s="408">
        <f>IF(L174&lt;0,"Error: Enter as a positive.",)</f>
        <v>0</v>
      </c>
      <c r="G174" s="286"/>
      <c r="H174" s="207">
        <f>'Unit Data from Audit Worksheet'!I221</f>
        <v>0</v>
      </c>
      <c r="I174" s="198"/>
      <c r="J174" s="200">
        <v>371</v>
      </c>
      <c r="K174" s="196" t="s">
        <v>327</v>
      </c>
      <c r="L174" s="679">
        <f t="shared" si="8"/>
        <v>0</v>
      </c>
      <c r="P174" s="392"/>
      <c r="R174" s="609"/>
      <c r="T174" s="393"/>
    </row>
    <row r="175" spans="1:20" ht="48.75" customHeight="1" x14ac:dyDescent="0.25">
      <c r="A175" s="226">
        <f>'Unit Data from Audit Worksheet'!A222</f>
        <v>513</v>
      </c>
      <c r="B175" s="236" t="str">
        <f>'Unit Data from Audit Worksheet'!C222</f>
        <v>Transfer Note</v>
      </c>
      <c r="C175" s="224" t="str">
        <f>'Unit Data from Audit Worksheet'!D222</f>
        <v>Amount of Transfers from the General Fund to the Electric Fund  (Enter as positive)</v>
      </c>
      <c r="D175" s="383"/>
      <c r="E175" s="678">
        <f>'Unit Data from Audit Worksheet'!F222</f>
        <v>0</v>
      </c>
      <c r="F175" s="408">
        <f>IF(L175&lt;0,"Error: Enter as a positive.",)</f>
        <v>0</v>
      </c>
      <c r="G175" s="286"/>
      <c r="H175" s="207">
        <f>'Unit Data from Audit Worksheet'!I222</f>
        <v>0</v>
      </c>
      <c r="I175" s="614"/>
      <c r="J175" s="203">
        <v>513</v>
      </c>
      <c r="K175" s="196" t="s">
        <v>328</v>
      </c>
      <c r="L175" s="679">
        <f t="shared" si="8"/>
        <v>0</v>
      </c>
      <c r="P175" s="392"/>
      <c r="R175" s="609"/>
      <c r="T175" s="393"/>
    </row>
    <row r="176" spans="1:20" ht="58.5" customHeight="1" x14ac:dyDescent="0.25">
      <c r="A176" s="226">
        <f>'Unit Data from Audit Worksheet'!A224</f>
        <v>514</v>
      </c>
      <c r="B176" s="236" t="str">
        <f>'Unit Data from Audit Worksheet'!C223</f>
        <v>Transfer Note</v>
      </c>
      <c r="C176" s="224" t="str">
        <f>'Unit Data from Audit Worksheet'!D223</f>
        <v>Amount of Transfers from the Electric Fund to the General Fund  (Enter as positive)
Include:  Payment in Lieu of Taxes (PILOT)</v>
      </c>
      <c r="D176" s="383"/>
      <c r="E176" s="678">
        <f>'Unit Data from Audit Worksheet'!F223</f>
        <v>0</v>
      </c>
      <c r="F176" s="408">
        <f>IF(L176&lt;0,"Error: Enter as a positive.",)</f>
        <v>0</v>
      </c>
      <c r="G176" s="286"/>
      <c r="H176" s="207">
        <f>'Unit Data from Audit Worksheet'!I223</f>
        <v>0</v>
      </c>
      <c r="I176" s="614"/>
      <c r="J176" s="203">
        <v>514</v>
      </c>
      <c r="K176" s="196" t="s">
        <v>329</v>
      </c>
      <c r="L176" s="679">
        <f t="shared" si="8"/>
        <v>0</v>
      </c>
      <c r="P176" s="392"/>
      <c r="R176" s="609"/>
      <c r="T176" s="393"/>
    </row>
    <row r="177" spans="1:20" ht="45" x14ac:dyDescent="0.25">
      <c r="A177" s="212">
        <f>'Unit Data from Audit Worksheet'!A225</f>
        <v>6</v>
      </c>
      <c r="B177" s="237" t="str">
        <f>'Unit Data from Audit Worksheet'!C225</f>
        <v>Fund Balance Note</v>
      </c>
      <c r="C177" s="218" t="str">
        <f>'Unit Data from Audit Worksheet'!D225</f>
        <v>General Fund -  Total Encumbrances.  You will probably have to refer to the note disclosure where the amount of encumbrances is listed.</v>
      </c>
      <c r="D177" s="383"/>
      <c r="E177" s="683">
        <f>'Unit Data from Audit Worksheet'!F225</f>
        <v>0</v>
      </c>
      <c r="F177" s="197">
        <f>IF(L177&lt;0,"Error: Enter as a positive.",)</f>
        <v>0</v>
      </c>
      <c r="G177" s="287"/>
      <c r="H177" s="207">
        <f>'Unit Data from Audit Worksheet'!I225</f>
        <v>0</v>
      </c>
      <c r="I177" s="614"/>
      <c r="J177" s="202">
        <v>6</v>
      </c>
      <c r="K177" s="576" t="s">
        <v>330</v>
      </c>
      <c r="L177" s="679">
        <f t="shared" si="8"/>
        <v>0</v>
      </c>
      <c r="P177" s="392"/>
      <c r="R177" s="609"/>
      <c r="T177" s="393"/>
    </row>
    <row r="178" spans="1:20" ht="108" customHeight="1" x14ac:dyDescent="0.25">
      <c r="A178" s="226">
        <f>'Unit Data from Audit Worksheet'!A227</f>
        <v>541</v>
      </c>
      <c r="B178" s="236" t="str">
        <f>'Unit Data from Audit Worksheet'!C227</f>
        <v>Water Sewer - Budget Actual Statement</v>
      </c>
      <c r="C178" s="236" t="str">
        <f>'Unit Data from Audit Worksheet'!D227</f>
        <v>Amount of Water Sewer revenues and other financing sources over expenditures and other uses
Exclude:  All transfers and capital contributions
Exclude:  Capital Project funds
This schedule is usually found behind the notes and should be entered as a positive or negative as indicated on your audit report</v>
      </c>
      <c r="D178" s="383"/>
      <c r="E178" s="678">
        <f>'Unit Data from Audit Worksheet'!F227</f>
        <v>0</v>
      </c>
      <c r="F178" s="215"/>
      <c r="G178" s="286"/>
      <c r="H178" s="207">
        <f>'Unit Data from Audit Worksheet'!I227</f>
        <v>0</v>
      </c>
      <c r="I178" s="614"/>
      <c r="J178" s="203">
        <v>541</v>
      </c>
      <c r="K178" s="278" t="s">
        <v>647</v>
      </c>
      <c r="L178" s="679">
        <f t="shared" si="8"/>
        <v>0</v>
      </c>
      <c r="P178" s="392"/>
      <c r="R178" s="609"/>
      <c r="T178" s="393"/>
    </row>
    <row r="179" spans="1:20" ht="66" customHeight="1" x14ac:dyDescent="0.25">
      <c r="A179" s="226">
        <f>'Unit Data from Audit Worksheet'!A229</f>
        <v>542</v>
      </c>
      <c r="B179" s="411" t="str">
        <f>'Unit Data from Audit Worksheet'!C229</f>
        <v>Water Sewer - Disclosed in the Notes or in the recently approved Budget for next year.</v>
      </c>
      <c r="C179" s="244" t="str">
        <f>'Unit Data from Audit Worksheet'!D229</f>
        <v>Amount of the Water Sewer Fund Balance appropriated in next year's budget?</v>
      </c>
      <c r="D179" s="383"/>
      <c r="E179" s="678">
        <f>'Unit Data from Audit Worksheet'!F229</f>
        <v>0</v>
      </c>
      <c r="F179" s="215"/>
      <c r="G179" s="286"/>
      <c r="H179" s="406">
        <f>'Unit Data from Audit Worksheet'!I229</f>
        <v>0</v>
      </c>
      <c r="I179" s="614"/>
      <c r="J179" s="203">
        <v>542</v>
      </c>
      <c r="K179" s="196" t="s">
        <v>331</v>
      </c>
      <c r="L179" s="679">
        <f t="shared" si="8"/>
        <v>0</v>
      </c>
      <c r="N179" s="254" t="s">
        <v>638</v>
      </c>
      <c r="P179" s="392"/>
      <c r="R179" s="609"/>
      <c r="T179" s="393"/>
    </row>
    <row r="180" spans="1:20" ht="73.5" customHeight="1" x14ac:dyDescent="0.25">
      <c r="A180" s="226">
        <f>'Unit Data from Audit Worksheet'!A232</f>
        <v>528</v>
      </c>
      <c r="B180" s="236" t="str">
        <f>'Unit Data from Audit Worksheet'!C232</f>
        <v>Analysis of Current Tax Levy Schedule</v>
      </c>
      <c r="C180" s="244" t="str">
        <f>'Unit Data from Audit Worksheet'!D232</f>
        <v>Please enter the Net Current year's levy for property excluding registered motor vehicles-- (after adjusting for discoveries and abatements)
Exclude Supplemental Taxes</v>
      </c>
      <c r="D180" s="383"/>
      <c r="E180" s="678">
        <f>'Unit Data from Audit Worksheet'!F232</f>
        <v>0</v>
      </c>
      <c r="F180" s="313" t="str">
        <f>IF(L180=0,"Must be completed if unit levys taxes","")</f>
        <v>Must be completed if unit levys taxes</v>
      </c>
      <c r="G180" s="286"/>
      <c r="H180" s="207"/>
      <c r="I180" s="614"/>
      <c r="J180" s="203">
        <v>528</v>
      </c>
      <c r="K180" s="279" t="s">
        <v>336</v>
      </c>
      <c r="L180" s="679">
        <f t="shared" si="8"/>
        <v>0</v>
      </c>
      <c r="N180" s="314"/>
      <c r="P180" s="392"/>
      <c r="R180" s="609"/>
      <c r="T180" s="393"/>
    </row>
    <row r="181" spans="1:20" s="4" customFormat="1" ht="73.5" customHeight="1" x14ac:dyDescent="0.25">
      <c r="A181" s="226">
        <f>'Unit Data from Audit Worksheet'!A233</f>
        <v>529</v>
      </c>
      <c r="B181" s="236" t="str">
        <f>'Unit Data from Audit Worksheet'!C233</f>
        <v>Analysis of Current Tax Levy Schedule</v>
      </c>
      <c r="C181" s="244" t="str">
        <f>'Unit Data from Audit Worksheet'!D233</f>
        <v>Please enter the Net Current year's levy -- Motor vehicles (only) (after adjusting for discoveries and abatements)
Exclude supplemental taxes</v>
      </c>
      <c r="D181" s="383"/>
      <c r="E181" s="678">
        <f>'Unit Data from Audit Worksheet'!F233</f>
        <v>0</v>
      </c>
      <c r="F181" s="313" t="str">
        <f>IF(L181=0,"Must be completed if unit levys taxes","")</f>
        <v>Must be completed if unit levys taxes</v>
      </c>
      <c r="G181" s="286"/>
      <c r="H181" s="207"/>
      <c r="I181" s="614"/>
      <c r="J181" s="203">
        <v>529</v>
      </c>
      <c r="K181" s="279" t="s">
        <v>337</v>
      </c>
      <c r="L181" s="679">
        <f t="shared" si="8"/>
        <v>0</v>
      </c>
      <c r="N181" s="314"/>
      <c r="P181" s="392"/>
      <c r="Q181" s="325"/>
      <c r="R181" s="609"/>
      <c r="T181" s="393"/>
    </row>
    <row r="182" spans="1:20" s="4" customFormat="1" ht="73.5" customHeight="1" x14ac:dyDescent="0.25">
      <c r="A182" s="226">
        <f>'Unit Data from Audit Worksheet'!A234</f>
        <v>530</v>
      </c>
      <c r="B182" s="236" t="str">
        <f>'Unit Data from Audit Worksheet'!C234</f>
        <v>Analysis of Current Tax Levy Schedule</v>
      </c>
      <c r="C182" s="244" t="str">
        <f>'Unit Data from Audit Worksheet'!D234</f>
        <v>Uncollected Taxes - Curr Year's Levy Exclude Motor Vehicles
Exclude supplemental taxes</v>
      </c>
      <c r="D182" s="383"/>
      <c r="E182" s="678">
        <f>'Unit Data from Audit Worksheet'!F234</f>
        <v>0</v>
      </c>
      <c r="F182" s="313" t="str">
        <f>IF(L182=0,"Must be completed if unit levys taxes","")</f>
        <v>Must be completed if unit levys taxes</v>
      </c>
      <c r="G182" s="286"/>
      <c r="H182" s="207"/>
      <c r="I182" s="614"/>
      <c r="J182" s="203">
        <v>530</v>
      </c>
      <c r="K182" s="279" t="s">
        <v>338</v>
      </c>
      <c r="L182" s="679">
        <f t="shared" si="8"/>
        <v>0</v>
      </c>
      <c r="N182" s="314"/>
      <c r="P182" s="392"/>
      <c r="Q182" s="325"/>
      <c r="R182" s="609"/>
      <c r="T182" s="393"/>
    </row>
    <row r="183" spans="1:20" s="4" customFormat="1" ht="73.5" customHeight="1" x14ac:dyDescent="0.25">
      <c r="A183" s="226">
        <f>'Unit Data from Audit Worksheet'!A235</f>
        <v>531</v>
      </c>
      <c r="B183" s="236" t="str">
        <f>'Unit Data from Audit Worksheet'!C235</f>
        <v>Analysis of Current Tax Levy Schedule</v>
      </c>
      <c r="C183" s="244" t="str">
        <f>'Unit Data from Audit Worksheet'!D235</f>
        <v>Uncollected Taxes - Curr Year's Levy Motor Vehicles
Exclude supplemental taxes</v>
      </c>
      <c r="D183" s="383"/>
      <c r="E183" s="678">
        <f>'Unit Data from Audit Worksheet'!F235</f>
        <v>0</v>
      </c>
      <c r="F183" s="313" t="str">
        <f>IF(L183=0,"Must be completed if unit levys taxes","")</f>
        <v>Must be completed if unit levys taxes</v>
      </c>
      <c r="G183" s="286"/>
      <c r="H183" s="207"/>
      <c r="I183" s="614"/>
      <c r="J183" s="203">
        <v>531</v>
      </c>
      <c r="K183" s="279" t="s">
        <v>339</v>
      </c>
      <c r="L183" s="679">
        <f t="shared" ref="L183:L209" si="9">IF(D183="",E183,D183)</f>
        <v>0</v>
      </c>
      <c r="N183" s="314" t="e">
        <f>IF(#REF!=0,"Must be completed if unit levys taxes, zero acceptable if Motor Vehicle collection rate is 100%","")</f>
        <v>#REF!</v>
      </c>
      <c r="P183" s="392"/>
      <c r="Q183" s="325"/>
      <c r="R183" s="609"/>
      <c r="T183" s="393"/>
    </row>
    <row r="184" spans="1:20" ht="73.5" customHeight="1" x14ac:dyDescent="0.25">
      <c r="A184" s="226">
        <f>'Unit Data from Audit Worksheet'!A236</f>
        <v>61</v>
      </c>
      <c r="B184" s="236" t="str">
        <f>'Unit Data from Audit Worksheet'!C236</f>
        <v>Analysis of Current Tax Levy Schedule</v>
      </c>
      <c r="C184" s="244" t="str">
        <f>'Unit Data from Audit Worksheet'!D236</f>
        <v>Tax collection rate- Total Levy UNIT-WIDE
Exclude supplemental taxes
(Enter as a percentage with two decimal places)</v>
      </c>
      <c r="D184" s="327"/>
      <c r="E184" s="667">
        <f>'Unit Data from Audit Worksheet'!F236</f>
        <v>0</v>
      </c>
      <c r="F184" s="321" t="str">
        <f>IF(L184=H184,"","Column H calculates the percentage using accounts 528, 529, 530, 531, please enter the correct amounts from the audit schedule for these cells")</f>
        <v/>
      </c>
      <c r="G184" s="324" t="str">
        <f>IF(Q184=1," Included in error count"," ")</f>
        <v xml:space="preserve"> </v>
      </c>
      <c r="H184" s="324">
        <f>ROUND(IFERROR(((L180+L181)-(L182+L183))/(L180+L181)*100,0),2)</f>
        <v>0</v>
      </c>
      <c r="I184" s="614"/>
      <c r="J184" s="203">
        <v>61</v>
      </c>
      <c r="K184" s="280" t="s">
        <v>333</v>
      </c>
      <c r="L184" s="625">
        <f t="shared" si="9"/>
        <v>0</v>
      </c>
      <c r="N184" s="314"/>
      <c r="P184" s="392"/>
      <c r="Q184" s="623">
        <f>IF(L184-H184&lt;&gt;0,1,0)</f>
        <v>0</v>
      </c>
      <c r="R184" s="609"/>
      <c r="T184" s="393"/>
    </row>
    <row r="185" spans="1:20" ht="74.25" customHeight="1" x14ac:dyDescent="0.25">
      <c r="A185" s="226">
        <f>'Unit Data from Audit Worksheet'!A237</f>
        <v>102</v>
      </c>
      <c r="B185" s="236" t="str">
        <f>'Unit Data from Audit Worksheet'!C237</f>
        <v>Analysis of Current Tax Levy Schedule</v>
      </c>
      <c r="C185" s="244" t="str">
        <f>'Unit Data from Audit Worksheet'!D237</f>
        <v>Tax collection rate - Excluding Registered motor vehicles
Exclude supplemental taxes
(Enter as a percentage with two decimal places)</v>
      </c>
      <c r="D185" s="327"/>
      <c r="E185" s="667">
        <f>'Unit Data from Audit Worksheet'!F237</f>
        <v>0</v>
      </c>
      <c r="F185" s="321" t="str">
        <f>IF(L185=H185,"","Column H calculates the percentage using accounts 528 and 530,  please enter the correct amounts from the audit schedule for these cells")</f>
        <v/>
      </c>
      <c r="G185" s="324" t="str">
        <f>IF(Q185=1," Included in error count"," ")</f>
        <v xml:space="preserve"> </v>
      </c>
      <c r="H185" s="324">
        <f>ROUND(IFERROR(((L180)-(L182))/(L180)*100,0),2)</f>
        <v>0</v>
      </c>
      <c r="I185" s="614"/>
      <c r="J185" s="203">
        <v>102</v>
      </c>
      <c r="K185" s="281" t="s">
        <v>334</v>
      </c>
      <c r="L185" s="625">
        <f t="shared" si="9"/>
        <v>0</v>
      </c>
      <c r="N185" s="314"/>
      <c r="P185" s="392"/>
      <c r="Q185" s="623">
        <f>IF(L185-H185&lt;&gt;0,1,0)</f>
        <v>0</v>
      </c>
      <c r="R185" s="609"/>
      <c r="T185" s="393"/>
    </row>
    <row r="186" spans="1:20" ht="74.25" customHeight="1" x14ac:dyDescent="0.25">
      <c r="A186" s="226">
        <f>'Unit Data from Audit Worksheet'!A238</f>
        <v>103</v>
      </c>
      <c r="B186" s="236" t="str">
        <f>'Unit Data from Audit Worksheet'!C238</f>
        <v>Analysis of Current Tax Levy Schedule</v>
      </c>
      <c r="C186" s="244" t="str">
        <f>'Unit Data from Audit Worksheet'!D238</f>
        <v>Tax collection rate - Registered motor vehicles
Exclude supplemental taxes
(Enter as a percentage with two decimal places)</v>
      </c>
      <c r="D186" s="327"/>
      <c r="E186" s="667">
        <f>'Unit Data from Audit Worksheet'!F238</f>
        <v>0</v>
      </c>
      <c r="F186" s="321" t="str">
        <f>IF(L186=H186,"","Column H calculates the percentage using accounts 529 and 531, please enter the correct amounts from the audit schedule for these cells")</f>
        <v/>
      </c>
      <c r="G186" s="324" t="str">
        <f>IF(Q186=1," Included in error count"," ")</f>
        <v xml:space="preserve"> </v>
      </c>
      <c r="H186" s="324">
        <f>ROUND(IFERROR(((L181)-(L183))/(L181)*100,0),2)</f>
        <v>0</v>
      </c>
      <c r="I186" s="614"/>
      <c r="J186" s="203">
        <v>103</v>
      </c>
      <c r="K186" s="281" t="s">
        <v>335</v>
      </c>
      <c r="L186" s="625">
        <f t="shared" si="9"/>
        <v>0</v>
      </c>
      <c r="N186" s="314"/>
      <c r="P186" s="392"/>
      <c r="Q186" s="623">
        <f>IF(L186-H186&lt;&gt;0,1,0)</f>
        <v>0</v>
      </c>
      <c r="R186" s="609"/>
      <c r="T186" s="393"/>
    </row>
    <row r="187" spans="1:20" ht="74.25" customHeight="1" x14ac:dyDescent="0.25">
      <c r="A187" s="226">
        <f>'Unit Data from Audit Worksheet'!A239</f>
        <v>544</v>
      </c>
      <c r="B187" s="236" t="str">
        <f>'Unit Data from Audit Worksheet'!C239</f>
        <v>Analysis of Current Tax Levy Schedule</v>
      </c>
      <c r="C187" s="244" t="str">
        <f>'Unit Data from Audit Worksheet'!D239</f>
        <v>Property Tax Increase for Year Audited- enter amount of  increase in cents per $100 - leave blank if no increase 
Exclude supplemental taxes</v>
      </c>
      <c r="D187" s="383"/>
      <c r="E187" s="660">
        <f>'Unit Data from Audit Worksheet'!F239</f>
        <v>0</v>
      </c>
      <c r="F187" s="211"/>
      <c r="G187" s="286"/>
      <c r="H187" s="207">
        <f>'Unit Data from Audit Worksheet'!I239</f>
        <v>0</v>
      </c>
      <c r="I187" s="614"/>
      <c r="J187" s="203">
        <v>544</v>
      </c>
      <c r="K187" s="281" t="s">
        <v>60</v>
      </c>
      <c r="L187" s="672">
        <f t="shared" si="9"/>
        <v>0</v>
      </c>
      <c r="N187" s="254" t="s">
        <v>638</v>
      </c>
      <c r="P187" s="392"/>
      <c r="R187" s="609"/>
      <c r="T187" s="393"/>
    </row>
    <row r="188" spans="1:20" ht="74.25" customHeight="1" x14ac:dyDescent="0.25">
      <c r="A188" s="226">
        <f>'Unit Data from Audit Worksheet'!A240</f>
        <v>545</v>
      </c>
      <c r="B188" s="236" t="str">
        <f>'Unit Data from Audit Worksheet'!C240</f>
        <v>Analysis of Current Tax Levy Schedule</v>
      </c>
      <c r="C188" s="244" t="str">
        <f>'Unit Data from Audit Worksheet'!D240</f>
        <v>Property Tax Increase for budget year after fiscal year being reported - enter amount of increase in cents per $100- leave blank if no increase
Exclude supplemental taxes</v>
      </c>
      <c r="D188" s="383"/>
      <c r="E188" s="660">
        <f>'Unit Data from Audit Worksheet'!F240</f>
        <v>0</v>
      </c>
      <c r="F188" s="215"/>
      <c r="G188" s="286"/>
      <c r="H188" s="207">
        <f>'Unit Data from Audit Worksheet'!I240</f>
        <v>0</v>
      </c>
      <c r="I188" s="614"/>
      <c r="J188" s="343">
        <v>545</v>
      </c>
      <c r="K188" s="281" t="s">
        <v>61</v>
      </c>
      <c r="L188" s="672">
        <f t="shared" si="9"/>
        <v>0</v>
      </c>
      <c r="N188" s="254" t="s">
        <v>638</v>
      </c>
      <c r="O188" s="415"/>
      <c r="P188" s="392"/>
      <c r="R188" s="609"/>
      <c r="T188" s="393"/>
    </row>
    <row r="189" spans="1:20" ht="45" x14ac:dyDescent="0.25">
      <c r="A189" s="385">
        <f>'Unit Data from Audit Worksheet'!A241</f>
        <v>624</v>
      </c>
      <c r="B189" s="386"/>
      <c r="C189" s="384" t="str">
        <f>'Unit Data from Audit Worksheet'!D241</f>
        <v>Does the County collect real estate property taxes on your behalf? Select "1" for "yes and "2" for "No"</v>
      </c>
      <c r="D189" s="383"/>
      <c r="E189" s="687">
        <f>'Unit Data from Audit Worksheet'!F241</f>
        <v>0</v>
      </c>
      <c r="F189" s="382"/>
      <c r="G189" s="388"/>
      <c r="H189" s="380"/>
      <c r="I189" s="614"/>
      <c r="J189" s="389">
        <v>624</v>
      </c>
      <c r="K189" s="387" t="s">
        <v>828</v>
      </c>
      <c r="L189" s="690">
        <f t="shared" si="9"/>
        <v>0</v>
      </c>
      <c r="P189" s="392"/>
      <c r="R189" s="609"/>
      <c r="T189" s="393"/>
    </row>
    <row r="190" spans="1:20" s="317" customFormat="1" ht="71.25" x14ac:dyDescent="0.25">
      <c r="A190" s="385">
        <f>'Unit Data from Audit Worksheet'!A243</f>
        <v>620</v>
      </c>
      <c r="B190" s="386"/>
      <c r="C190" s="384" t="str">
        <f>'Unit Data from Audit Worksheet'!D243</f>
        <v>Do you expect to issue debt requiring LGC approval within 12 months from the date that the audit is submitted - select "1" for yes and "2" for no</v>
      </c>
      <c r="D190" s="383"/>
      <c r="E190" s="687">
        <f>'Unit Data from Audit Worksheet'!F243</f>
        <v>0</v>
      </c>
      <c r="F190" s="382"/>
      <c r="G190" s="388"/>
      <c r="H190" s="380">
        <f>'Unit Data from Audit Worksheet'!I243</f>
        <v>0</v>
      </c>
      <c r="I190" s="614"/>
      <c r="J190" s="389">
        <v>620</v>
      </c>
      <c r="K190" s="387" t="s">
        <v>805</v>
      </c>
      <c r="L190" s="690">
        <f t="shared" si="9"/>
        <v>0</v>
      </c>
      <c r="N190" s="600"/>
      <c r="P190" s="392"/>
      <c r="Q190" s="325"/>
      <c r="R190" s="609"/>
      <c r="T190" s="393"/>
    </row>
    <row r="191" spans="1:20" s="609" customFormat="1" x14ac:dyDescent="0.25">
      <c r="A191" s="355"/>
      <c r="B191" s="356"/>
      <c r="C191" s="357"/>
      <c r="D191" s="601"/>
      <c r="E191" s="651"/>
      <c r="F191" s="262"/>
      <c r="G191" s="603"/>
      <c r="H191" s="604"/>
      <c r="I191" s="614"/>
      <c r="J191" s="878">
        <v>998</v>
      </c>
      <c r="K191" s="879" t="s">
        <v>357</v>
      </c>
      <c r="L191" s="880" t="e">
        <f>HLOOKUP('Unit Data from Audit Worksheet'!$D$3,'2019 Data(H)'!$E$2:$CN$295,246,FALSE)</f>
        <v>#N/A</v>
      </c>
      <c r="N191" s="600"/>
      <c r="P191" s="638"/>
      <c r="Q191" s="623"/>
      <c r="R191" s="674"/>
    </row>
    <row r="192" spans="1:20" s="609" customFormat="1" ht="30" x14ac:dyDescent="0.25">
      <c r="A192" s="355"/>
      <c r="B192" s="356"/>
      <c r="C192" s="357"/>
      <c r="D192" s="210"/>
      <c r="E192" s="209"/>
      <c r="F192" s="223"/>
      <c r="G192" s="288"/>
      <c r="H192" s="206"/>
      <c r="I192" s="614"/>
      <c r="J192" s="881">
        <v>995</v>
      </c>
      <c r="K192" s="882" t="s">
        <v>355</v>
      </c>
      <c r="L192" s="883" t="e">
        <f>HLOOKUP('Unit Data from Audit Worksheet'!$D$3,'2019 Data(H)'!$E$2:$CN$295,243,FALSE)</f>
        <v>#N/A</v>
      </c>
      <c r="N192" s="600"/>
      <c r="P192" s="638"/>
      <c r="Q192" s="623"/>
      <c r="R192" s="674"/>
    </row>
    <row r="193" spans="1:20" s="609" customFormat="1" ht="30" x14ac:dyDescent="0.25">
      <c r="A193" s="355"/>
      <c r="B193" s="356"/>
      <c r="C193" s="357"/>
      <c r="D193" s="210"/>
      <c r="E193" s="209"/>
      <c r="F193" s="223"/>
      <c r="G193" s="288"/>
      <c r="H193" s="206"/>
      <c r="I193" s="614"/>
      <c r="J193" s="881">
        <v>996</v>
      </c>
      <c r="K193" s="882" t="s">
        <v>356</v>
      </c>
      <c r="L193" s="883" t="e">
        <f>HLOOKUP('Unit Data from Audit Worksheet'!$D$3,'2019 Data(H)'!$E$2:$CN$295,244,FALSE)</f>
        <v>#N/A</v>
      </c>
      <c r="N193" s="600"/>
      <c r="P193" s="638"/>
      <c r="Q193" s="623"/>
      <c r="R193" s="674"/>
    </row>
    <row r="194" spans="1:20" s="609" customFormat="1" ht="45" x14ac:dyDescent="0.25">
      <c r="A194" s="355"/>
      <c r="B194" s="356"/>
      <c r="C194" s="357"/>
      <c r="D194" s="210"/>
      <c r="E194" s="209"/>
      <c r="F194" s="223"/>
      <c r="G194" s="288"/>
      <c r="H194" s="841"/>
      <c r="I194" s="614"/>
      <c r="J194" s="843">
        <v>554</v>
      </c>
      <c r="K194" s="697" t="s">
        <v>673</v>
      </c>
      <c r="L194" s="679"/>
      <c r="N194" s="600"/>
      <c r="P194" s="638"/>
      <c r="Q194" s="709"/>
      <c r="R194" s="842"/>
    </row>
    <row r="195" spans="1:20" s="609" customFormat="1" ht="45" x14ac:dyDescent="0.25">
      <c r="A195" s="355"/>
      <c r="B195" s="356"/>
      <c r="C195" s="357"/>
      <c r="D195" s="210"/>
      <c r="E195" s="209"/>
      <c r="F195" s="223"/>
      <c r="G195" s="288"/>
      <c r="H195" s="841"/>
      <c r="I195" s="614"/>
      <c r="J195" s="843">
        <v>555</v>
      </c>
      <c r="K195" s="697" t="s">
        <v>675</v>
      </c>
      <c r="L195" s="679"/>
      <c r="N195" s="600"/>
      <c r="P195" s="638"/>
      <c r="Q195" s="709"/>
      <c r="R195" s="842"/>
    </row>
    <row r="196" spans="1:20" s="609" customFormat="1" ht="45" x14ac:dyDescent="0.25">
      <c r="A196" s="355"/>
      <c r="B196" s="356"/>
      <c r="C196" s="357"/>
      <c r="D196" s="210"/>
      <c r="E196" s="209"/>
      <c r="F196" s="223"/>
      <c r="G196" s="288"/>
      <c r="H196" s="841"/>
      <c r="I196" s="614"/>
      <c r="J196" s="843">
        <v>556</v>
      </c>
      <c r="K196" s="697" t="s">
        <v>677</v>
      </c>
      <c r="L196" s="679"/>
      <c r="N196" s="600"/>
      <c r="P196" s="638"/>
      <c r="Q196" s="709"/>
      <c r="R196" s="842"/>
    </row>
    <row r="197" spans="1:20" s="609" customFormat="1" ht="45" x14ac:dyDescent="0.25">
      <c r="A197" s="355"/>
      <c r="B197" s="356"/>
      <c r="C197" s="357"/>
      <c r="D197" s="210"/>
      <c r="E197" s="209"/>
      <c r="F197" s="223"/>
      <c r="G197" s="288"/>
      <c r="H197" s="841"/>
      <c r="I197" s="614"/>
      <c r="J197" s="843">
        <v>557</v>
      </c>
      <c r="K197" s="697" t="s">
        <v>679</v>
      </c>
      <c r="L197" s="679"/>
      <c r="N197" s="600"/>
      <c r="P197" s="638"/>
      <c r="Q197" s="709"/>
      <c r="R197" s="842"/>
    </row>
    <row r="198" spans="1:20" s="609" customFormat="1" ht="60" x14ac:dyDescent="0.25">
      <c r="A198" s="355"/>
      <c r="B198" s="356"/>
      <c r="C198" s="357"/>
      <c r="D198" s="210"/>
      <c r="E198" s="209"/>
      <c r="F198" s="223"/>
      <c r="G198" s="288"/>
      <c r="H198" s="841"/>
      <c r="I198" s="614"/>
      <c r="J198" s="843">
        <v>606</v>
      </c>
      <c r="K198" s="697" t="s">
        <v>1212</v>
      </c>
      <c r="L198" s="679"/>
      <c r="N198" s="600"/>
      <c r="P198" s="638"/>
      <c r="Q198" s="709"/>
      <c r="R198" s="842"/>
    </row>
    <row r="199" spans="1:20" s="609" customFormat="1" ht="38.25" customHeight="1" x14ac:dyDescent="0.25">
      <c r="A199" s="355"/>
      <c r="B199" s="356"/>
      <c r="C199" s="357"/>
      <c r="D199" s="210"/>
      <c r="E199" s="209"/>
      <c r="F199" s="223"/>
      <c r="G199" s="288"/>
      <c r="H199" s="841"/>
      <c r="I199" s="614"/>
      <c r="J199" s="861">
        <v>662</v>
      </c>
      <c r="K199" s="854" t="s">
        <v>1213</v>
      </c>
      <c r="L199" s="863"/>
      <c r="N199" s="600"/>
      <c r="P199" s="638"/>
      <c r="Q199" s="709"/>
      <c r="R199" s="842"/>
    </row>
    <row r="200" spans="1:20" s="609" customFormat="1" ht="41.25" customHeight="1" x14ac:dyDescent="0.25">
      <c r="A200" s="355"/>
      <c r="B200" s="356"/>
      <c r="C200" s="357"/>
      <c r="D200" s="210"/>
      <c r="E200" s="209"/>
      <c r="F200" s="223"/>
      <c r="G200" s="288"/>
      <c r="H200" s="841"/>
      <c r="I200" s="614"/>
      <c r="J200" s="861">
        <v>663</v>
      </c>
      <c r="K200" s="862" t="s">
        <v>1214</v>
      </c>
      <c r="L200" s="863"/>
      <c r="N200" s="600"/>
      <c r="P200" s="638"/>
      <c r="Q200" s="709"/>
      <c r="R200" s="842"/>
    </row>
    <row r="201" spans="1:20" s="609" customFormat="1" x14ac:dyDescent="0.25">
      <c r="A201" s="355"/>
      <c r="B201" s="356"/>
      <c r="C201" s="357"/>
      <c r="D201" s="601"/>
      <c r="E201" s="602"/>
      <c r="F201" s="262"/>
      <c r="G201" s="603"/>
      <c r="H201" s="604"/>
      <c r="I201" s="614"/>
      <c r="J201" s="605"/>
      <c r="K201" s="606"/>
      <c r="L201" s="607"/>
      <c r="N201"/>
      <c r="O201"/>
      <c r="P201"/>
      <c r="Q201"/>
      <c r="R201"/>
    </row>
    <row r="202" spans="1:20" s="609" customFormat="1" ht="60" x14ac:dyDescent="0.25">
      <c r="A202" s="906">
        <f>'Unit Data from Audit Worksheet'!A245</f>
        <v>947</v>
      </c>
      <c r="B202" s="907"/>
      <c r="C202" s="864" t="str">
        <f>'Unit Data from Audit Worksheet'!D245</f>
        <v>First name of finance officer or interim finance officer (please enter “vacant” for first name if the position is currently vacant)</v>
      </c>
      <c r="D202" s="712"/>
      <c r="E202" s="910">
        <f>'Unit Data from Audit Worksheet'!F245</f>
        <v>0</v>
      </c>
      <c r="F202" s="408" t="str">
        <f>'Unit Data from Audit Worksheet'!G245</f>
        <v>Please do not leave blank</v>
      </c>
      <c r="G202" s="412"/>
      <c r="H202" s="406"/>
      <c r="I202" s="614"/>
      <c r="J202" s="627">
        <v>947</v>
      </c>
      <c r="K202" s="864" t="s">
        <v>951</v>
      </c>
      <c r="L202" s="909">
        <f t="shared" si="9"/>
        <v>0</v>
      </c>
      <c r="N202" s="378"/>
      <c r="O202" s="378"/>
      <c r="P202" s="392"/>
      <c r="Q202" s="710">
        <f t="shared" ref="Q202:Q214" si="10">IF(L202=0,1,0)</f>
        <v>1</v>
      </c>
      <c r="R202" s="674"/>
    </row>
    <row r="203" spans="1:20" customFormat="1" ht="60" x14ac:dyDescent="0.25">
      <c r="A203" s="906">
        <f>'Unit Data from Audit Worksheet'!A246</f>
        <v>948</v>
      </c>
      <c r="B203" s="907"/>
      <c r="C203" s="864" t="str">
        <f>'Unit Data from Audit Worksheet'!D246</f>
        <v>Last name of finance officer or interim finance officer (please enter “vacant” for last name if the position is currently vacant)</v>
      </c>
      <c r="D203" s="712"/>
      <c r="E203" s="910">
        <f>'Unit Data from Audit Worksheet'!F246</f>
        <v>0</v>
      </c>
      <c r="F203" s="617" t="str">
        <f>'Unit Data from Audit Worksheet'!G246</f>
        <v>Please do not leave blank</v>
      </c>
      <c r="G203" s="412"/>
      <c r="H203" s="406"/>
      <c r="I203" s="614"/>
      <c r="J203" s="627">
        <v>948</v>
      </c>
      <c r="K203" s="864" t="s">
        <v>953</v>
      </c>
      <c r="L203" s="909">
        <f t="shared" si="9"/>
        <v>0</v>
      </c>
      <c r="N203" s="3"/>
      <c r="O203" s="225"/>
      <c r="P203" s="392"/>
      <c r="Q203" s="710">
        <f t="shared" si="10"/>
        <v>1</v>
      </c>
      <c r="R203" s="674"/>
    </row>
    <row r="204" spans="1:20" s="378" customFormat="1" ht="45" x14ac:dyDescent="0.25">
      <c r="A204" s="906">
        <f>'Unit Data from Audit Worksheet'!A247</f>
        <v>949</v>
      </c>
      <c r="B204" s="907"/>
      <c r="C204" s="864" t="str">
        <f>'Unit Data from Audit Worksheet'!D247</f>
        <v>Is the finance officer serving in a permanent role or an interim role? (select permanent/interim/vacant)</v>
      </c>
      <c r="D204" s="712"/>
      <c r="E204" s="917">
        <f>'Unit Data from Audit Worksheet'!F247</f>
        <v>0</v>
      </c>
      <c r="F204" s="617" t="str">
        <f>'Unit Data from Audit Worksheet'!G247</f>
        <v>Please do not leave blank</v>
      </c>
      <c r="G204" s="412"/>
      <c r="H204" s="406"/>
      <c r="I204" s="614"/>
      <c r="J204" s="627">
        <v>949</v>
      </c>
      <c r="K204" s="864" t="s">
        <v>1099</v>
      </c>
      <c r="L204" s="908">
        <f t="shared" si="9"/>
        <v>0</v>
      </c>
      <c r="N204" s="3"/>
      <c r="O204" s="489"/>
      <c r="P204" s="392"/>
      <c r="Q204" s="710">
        <f t="shared" si="10"/>
        <v>1</v>
      </c>
      <c r="R204" s="674"/>
      <c r="T204" s="393"/>
    </row>
    <row r="205" spans="1:20" s="225" customFormat="1" ht="60" x14ac:dyDescent="0.25">
      <c r="A205" s="906">
        <f>'Unit Data from Audit Worksheet'!A248</f>
        <v>950</v>
      </c>
      <c r="B205" s="907"/>
      <c r="C205" s="864" t="str">
        <f>'Unit Data from Audit Worksheet'!D248</f>
        <v>Has the finance officer been formally appointed by the local government, public authority, or designated official?  (Y/N)</v>
      </c>
      <c r="D205" s="712"/>
      <c r="E205" s="917">
        <f>'Unit Data from Audit Worksheet'!F248</f>
        <v>0</v>
      </c>
      <c r="F205" s="617" t="str">
        <f>'Unit Data from Audit Worksheet'!G248</f>
        <v>Please do not leave blank</v>
      </c>
      <c r="G205" s="412"/>
      <c r="H205" s="406"/>
      <c r="I205" s="614"/>
      <c r="J205" s="627">
        <v>950</v>
      </c>
      <c r="K205" s="864" t="s">
        <v>1100</v>
      </c>
      <c r="L205" s="908">
        <f t="shared" si="9"/>
        <v>0</v>
      </c>
      <c r="N205" s="3"/>
      <c r="O205" s="489"/>
      <c r="P205" s="392"/>
      <c r="Q205" s="710">
        <f t="shared" si="10"/>
        <v>1</v>
      </c>
      <c r="R205" s="674"/>
      <c r="T205" s="393"/>
    </row>
    <row r="206" spans="1:20" s="489" customFormat="1" ht="90" x14ac:dyDescent="0.25">
      <c r="A206" s="906">
        <f>'Unit Data from Audit Worksheet'!A249</f>
        <v>952</v>
      </c>
      <c r="B206" s="907"/>
      <c r="C206" s="864" t="str">
        <f>'Unit Data from Audit Worksheet'!D249</f>
        <v>Date on which the local government, public authority, or designated official appointed the finance officer? (If the date of appointment by the board is difficult to find you may enter January 1 and the year)      Date Format  MM/DD/YYYY</v>
      </c>
      <c r="D206" s="712"/>
      <c r="E206" s="593">
        <f>'Unit Data from Audit Worksheet'!F249</f>
        <v>0</v>
      </c>
      <c r="F206" s="617" t="str">
        <f>'Unit Data from Audit Worksheet'!G249</f>
        <v>Please do not leave blank</v>
      </c>
      <c r="G206" s="412"/>
      <c r="H206" s="406"/>
      <c r="I206" s="614"/>
      <c r="J206" s="627">
        <v>952</v>
      </c>
      <c r="K206" s="864" t="s">
        <v>1101</v>
      </c>
      <c r="L206" s="911">
        <f t="shared" si="9"/>
        <v>0</v>
      </c>
      <c r="N206" s="3"/>
      <c r="P206" s="392"/>
      <c r="Q206" s="710">
        <f t="shared" si="10"/>
        <v>1</v>
      </c>
      <c r="R206" s="674"/>
    </row>
    <row r="207" spans="1:20" s="489" customFormat="1" ht="90" x14ac:dyDescent="0.25">
      <c r="A207" s="906">
        <f>'Unit Data from Audit Worksheet'!A250</f>
        <v>954</v>
      </c>
      <c r="B207" s="907"/>
      <c r="C207" s="864" t="str">
        <f>'Unit Data from Audit Worksheet'!D250</f>
        <v>Has the finance officer or interim finance officer read, understand, and is in compliance with the requirements of N.C.G.S. 159, as applicable based on unit type and circumstances? (Y/N)</v>
      </c>
      <c r="D207" s="712"/>
      <c r="E207" s="917">
        <f>'Unit Data from Audit Worksheet'!F250</f>
        <v>0</v>
      </c>
      <c r="F207" s="617" t="str">
        <f>'Unit Data from Audit Worksheet'!G250</f>
        <v>Please do not leave blank</v>
      </c>
      <c r="G207" s="412"/>
      <c r="H207" s="406"/>
      <c r="I207" s="614"/>
      <c r="J207" s="627">
        <v>954</v>
      </c>
      <c r="K207" s="864" t="s">
        <v>1102</v>
      </c>
      <c r="L207" s="908">
        <f t="shared" si="9"/>
        <v>0</v>
      </c>
      <c r="N207" s="3"/>
      <c r="P207" s="392"/>
      <c r="Q207" s="710">
        <f t="shared" si="10"/>
        <v>1</v>
      </c>
      <c r="R207" s="674"/>
    </row>
    <row r="208" spans="1:20" s="489" customFormat="1" ht="90" x14ac:dyDescent="0.25">
      <c r="A208" s="906">
        <f>'Unit Data from Audit Worksheet'!A251</f>
        <v>956</v>
      </c>
      <c r="B208" s="907"/>
      <c r="C208" s="864" t="str">
        <f>'Unit Data from Audit Worksheet'!D251</f>
        <v>Does the finance officer or interim finance officer maintain and update (or ensures the maintenance and update of)  financial records monthly, including reconciliation of bank accounts to the general ledger? (Y/N)</v>
      </c>
      <c r="D208" s="712"/>
      <c r="E208" s="917">
        <f>'Unit Data from Audit Worksheet'!F251</f>
        <v>0</v>
      </c>
      <c r="F208" s="617" t="str">
        <f>'Unit Data from Audit Worksheet'!G251</f>
        <v>Please do not leave blank</v>
      </c>
      <c r="G208" s="412"/>
      <c r="H208" s="406"/>
      <c r="I208" s="614"/>
      <c r="J208" s="627">
        <v>956</v>
      </c>
      <c r="K208" s="864" t="s">
        <v>1103</v>
      </c>
      <c r="L208" s="908">
        <f t="shared" si="9"/>
        <v>0</v>
      </c>
      <c r="N208" s="3"/>
      <c r="P208" s="392"/>
      <c r="Q208" s="710">
        <f t="shared" si="10"/>
        <v>1</v>
      </c>
      <c r="R208" s="674"/>
    </row>
    <row r="209" spans="1:20" s="489" customFormat="1" ht="186" customHeight="1" x14ac:dyDescent="0.25">
      <c r="A209" s="906">
        <f>'Unit Data from Audit Worksheet'!A252</f>
        <v>958</v>
      </c>
      <c r="B209" s="907"/>
      <c r="C209" s="864" t="str">
        <f>'Unit Data from Audit Worksheet'!D252</f>
        <v>Has the finance officer or interim finance officer submitted (or ensured or confirmed submission of) all required and applicable reports including but not limited to  the FY2019 annual audit report (N.C.G.S. 159-34), the semi-annual report on cash and investments (LGC-203) due July 25, 2019 and January 25, 2020 (N.C.G.S. 159-33), and the annual financial information report (AFIR) due by counites and municipalities October 31, 2019 (N.C.G.S. 159-33.1), and any other reports due  during the fiscal year corresponding to the audit report being submitted? (Y/N)</v>
      </c>
      <c r="D209" s="712"/>
      <c r="E209" s="917">
        <f>'Unit Data from Audit Worksheet'!F252</f>
        <v>0</v>
      </c>
      <c r="F209" s="617" t="str">
        <f>'Unit Data from Audit Worksheet'!G252</f>
        <v>Please do not leave blank</v>
      </c>
      <c r="G209" s="412"/>
      <c r="H209" s="406"/>
      <c r="I209" s="614"/>
      <c r="J209" s="627">
        <v>958</v>
      </c>
      <c r="K209" s="864" t="s">
        <v>1104</v>
      </c>
      <c r="L209" s="902">
        <f t="shared" si="9"/>
        <v>0</v>
      </c>
      <c r="N209" s="3"/>
      <c r="P209" s="392"/>
      <c r="Q209" s="710">
        <f t="shared" si="10"/>
        <v>1</v>
      </c>
      <c r="R209" s="674"/>
    </row>
    <row r="210" spans="1:20" s="609" customFormat="1" ht="30.75" customHeight="1" x14ac:dyDescent="0.25">
      <c r="A210" s="900">
        <f>+'Unit Data from Audit Worksheet'!A260</f>
        <v>960</v>
      </c>
      <c r="B210" s="897"/>
      <c r="C210" s="898" t="str">
        <f>+'Unit Data from Audit Worksheet'!B260</f>
        <v>Name of Finance Officer</v>
      </c>
      <c r="D210" s="712"/>
      <c r="E210" s="913">
        <f>'Unit Data from Audit Worksheet'!D260</f>
        <v>0</v>
      </c>
      <c r="F210" s="617" t="str">
        <f>'Unit Data from Audit Worksheet'!G260</f>
        <v>Cell D260 must be completed.</v>
      </c>
      <c r="G210" s="622"/>
      <c r="H210" s="616"/>
      <c r="I210" s="614"/>
      <c r="J210" s="900">
        <v>960</v>
      </c>
      <c r="K210" s="901" t="s">
        <v>1095</v>
      </c>
      <c r="L210" s="903">
        <f>E210</f>
        <v>0</v>
      </c>
      <c r="N210" s="617" t="str">
        <f>IF(ISBLANK($E210),"Cell DL60 must be completed.","")</f>
        <v/>
      </c>
      <c r="P210" s="638"/>
      <c r="Q210" s="912">
        <f t="shared" si="10"/>
        <v>1</v>
      </c>
      <c r="R210" s="674"/>
    </row>
    <row r="211" spans="1:20" s="609" customFormat="1" ht="30.75" customHeight="1" x14ac:dyDescent="0.25">
      <c r="A211" s="900">
        <f>+'Unit Data from Audit Worksheet'!A261</f>
        <v>962</v>
      </c>
      <c r="B211" s="897"/>
      <c r="C211" s="898" t="str">
        <f>+'Unit Data from Audit Worksheet'!B261</f>
        <v>Title of Official</v>
      </c>
      <c r="D211" s="712"/>
      <c r="E211" s="913">
        <f>'Unit Data from Audit Worksheet'!D261</f>
        <v>0</v>
      </c>
      <c r="F211" s="617" t="str">
        <f>'Unit Data from Audit Worksheet'!G261</f>
        <v>Cell D261 must be completed.</v>
      </c>
      <c r="G211" s="622"/>
      <c r="H211" s="616"/>
      <c r="I211" s="614"/>
      <c r="J211" s="900">
        <v>962</v>
      </c>
      <c r="K211" s="901" t="s">
        <v>926</v>
      </c>
      <c r="L211" s="903">
        <f t="shared" ref="L211:L214" si="11">E211</f>
        <v>0</v>
      </c>
      <c r="N211" s="617"/>
      <c r="P211" s="638"/>
      <c r="Q211" s="912">
        <f>IF(L211=0,1,L218)</f>
        <v>1</v>
      </c>
      <c r="R211" s="674"/>
    </row>
    <row r="212" spans="1:20" s="609" customFormat="1" ht="30.75" customHeight="1" x14ac:dyDescent="0.25">
      <c r="A212" s="900">
        <f>+'Unit Data from Audit Worksheet'!A262</f>
        <v>964</v>
      </c>
      <c r="B212" s="897"/>
      <c r="C212" s="898" t="str">
        <f>+'Unit Data from Audit Worksheet'!B262</f>
        <v>Date                        (Enter as "MM/DD/YYYY")</v>
      </c>
      <c r="D212" s="712"/>
      <c r="E212" s="899">
        <f>'Unit Data from Audit Worksheet'!D262</f>
        <v>0</v>
      </c>
      <c r="F212" s="617" t="str">
        <f>'Unit Data from Audit Worksheet'!G262</f>
        <v>Cell D262 must be completed.</v>
      </c>
      <c r="G212" s="622"/>
      <c r="H212" s="616"/>
      <c r="I212" s="614"/>
      <c r="J212" s="900">
        <v>964</v>
      </c>
      <c r="K212" s="901" t="s">
        <v>1239</v>
      </c>
      <c r="L212" s="904">
        <f t="shared" si="11"/>
        <v>0</v>
      </c>
      <c r="N212" s="617"/>
      <c r="P212" s="638"/>
      <c r="Q212" s="912">
        <f t="shared" si="10"/>
        <v>1</v>
      </c>
      <c r="R212" s="674"/>
    </row>
    <row r="213" spans="1:20" s="609" customFormat="1" ht="30.75" customHeight="1" x14ac:dyDescent="0.25">
      <c r="A213" s="900">
        <f>+'Unit Data from Audit Worksheet'!A263</f>
        <v>966</v>
      </c>
      <c r="B213" s="897"/>
      <c r="C213" s="898" t="str">
        <f>+'Unit Data from Audit Worksheet'!B263</f>
        <v>Telephone number</v>
      </c>
      <c r="D213" s="712"/>
      <c r="E213" s="913">
        <f>'Unit Data from Audit Worksheet'!D263</f>
        <v>0</v>
      </c>
      <c r="F213" s="617" t="str">
        <f>'Unit Data from Audit Worksheet'!G263</f>
        <v>Cell D263 must be completed.</v>
      </c>
      <c r="G213" s="622"/>
      <c r="H213" s="616"/>
      <c r="I213" s="614"/>
      <c r="J213" s="900">
        <v>966</v>
      </c>
      <c r="K213" s="901" t="s">
        <v>928</v>
      </c>
      <c r="L213" s="905">
        <f t="shared" si="11"/>
        <v>0</v>
      </c>
      <c r="N213" s="617"/>
      <c r="P213" s="638"/>
      <c r="Q213" s="912">
        <f t="shared" si="10"/>
        <v>1</v>
      </c>
      <c r="R213" s="674"/>
    </row>
    <row r="214" spans="1:20" s="609" customFormat="1" ht="30.75" customHeight="1" x14ac:dyDescent="0.25">
      <c r="A214" s="900">
        <f>+'Unit Data from Audit Worksheet'!A264</f>
        <v>968</v>
      </c>
      <c r="B214" s="897"/>
      <c r="C214" s="898" t="str">
        <f>+'Unit Data from Audit Worksheet'!B264</f>
        <v>E-mail address</v>
      </c>
      <c r="D214" s="712"/>
      <c r="E214" s="913">
        <f>'Unit Data from Audit Worksheet'!D264</f>
        <v>0</v>
      </c>
      <c r="F214" s="617" t="str">
        <f>'Unit Data from Audit Worksheet'!G264</f>
        <v>Cell D264 must be completed.</v>
      </c>
      <c r="G214" s="622"/>
      <c r="H214" s="616"/>
      <c r="I214" s="614"/>
      <c r="J214" s="900">
        <v>968</v>
      </c>
      <c r="K214" s="901" t="s">
        <v>929</v>
      </c>
      <c r="L214" s="905">
        <f t="shared" si="11"/>
        <v>0</v>
      </c>
      <c r="N214" s="617"/>
      <c r="P214" s="638"/>
      <c r="Q214" s="912">
        <f t="shared" si="10"/>
        <v>1</v>
      </c>
      <c r="R214" s="674"/>
    </row>
    <row r="215" spans="1:20" s="489" customFormat="1" ht="27.75" customHeight="1" x14ac:dyDescent="0.25">
      <c r="A215" s="355"/>
      <c r="B215" s="356"/>
      <c r="C215" s="357"/>
      <c r="D215" s="210"/>
      <c r="E215" s="209"/>
      <c r="F215" s="223"/>
      <c r="G215" s="288"/>
      <c r="H215" s="206"/>
      <c r="I215" s="614"/>
      <c r="J215" s="627">
        <v>999</v>
      </c>
      <c r="K215" s="864" t="s">
        <v>358</v>
      </c>
      <c r="L215" s="628" t="e">
        <f>'Unit Data from Audit Worksheet'!D3</f>
        <v>#N/A</v>
      </c>
      <c r="N215" s="3" t="s">
        <v>1240</v>
      </c>
      <c r="P215" s="392"/>
      <c r="Q215" s="709"/>
      <c r="R215" s="674"/>
    </row>
    <row r="216" spans="1:20" s="489" customFormat="1" x14ac:dyDescent="0.25">
      <c r="A216"/>
      <c r="B216"/>
      <c r="C216"/>
      <c r="D216"/>
      <c r="E216"/>
      <c r="F216"/>
      <c r="G216"/>
      <c r="H216"/>
      <c r="I216"/>
      <c r="J216" s="1"/>
      <c r="K216" s="1"/>
      <c r="L216" s="1"/>
      <c r="N216" s="370"/>
      <c r="O216" s="1"/>
      <c r="P216" s="392"/>
      <c r="Q216" s="325"/>
      <c r="R216" s="317"/>
    </row>
    <row r="217" spans="1:20" s="489" customFormat="1" x14ac:dyDescent="0.25">
      <c r="A217" s="1"/>
      <c r="B217" s="233"/>
      <c r="C217" s="227"/>
      <c r="D217" s="30"/>
      <c r="E217" s="26"/>
      <c r="F217" s="26"/>
      <c r="G217" s="289"/>
      <c r="H217" s="26"/>
      <c r="I217" s="641"/>
      <c r="J217" s="228"/>
      <c r="K217" s="44"/>
      <c r="L217" s="407"/>
      <c r="N217" s="370"/>
      <c r="O217" s="1"/>
      <c r="P217" s="392"/>
      <c r="Q217" s="325"/>
      <c r="R217" s="317"/>
    </row>
    <row r="218" spans="1:20" ht="18.75" x14ac:dyDescent="0.3">
      <c r="A218" s="747" t="s">
        <v>827</v>
      </c>
      <c r="B218" s="748"/>
      <c r="C218" s="749"/>
      <c r="D218" s="750"/>
      <c r="E218" s="751"/>
      <c r="F218" s="26"/>
      <c r="G218" s="289"/>
      <c r="H218" s="26"/>
      <c r="I218" s="641"/>
      <c r="L218" s="407"/>
      <c r="P218" s="392"/>
      <c r="R218" s="317"/>
      <c r="T218" s="393"/>
    </row>
    <row r="219" spans="1:20" ht="110.25" customHeight="1" x14ac:dyDescent="0.55000000000000004">
      <c r="A219" s="226">
        <f>'Unit Data from Audit Worksheet'!A71</f>
        <v>590</v>
      </c>
      <c r="B219" s="226" t="str">
        <f>'Unit Data from Audit Worksheet'!B71</f>
        <v>Fiscal Review</v>
      </c>
      <c r="C219" s="305" t="str">
        <f>'Unit Data from Audit Worksheet'!D71</f>
        <v>If you appropriated General Fund Balance in your 2020 budget and your "change in fund balance": (row 70 above) is negative, please select from the drop down box in column F either "operations" or "capital", whichever best describes what the fund balance was used for.  If you select "Capital" please briefly describe in column G to the right the capital items.</v>
      </c>
      <c r="D219" s="304"/>
      <c r="E219" s="381">
        <f>'Unit Data from Audit Worksheet'!F71</f>
        <v>0</v>
      </c>
      <c r="F219" s="304">
        <f>'Unit Data from Audit Worksheet'!G71</f>
        <v>0</v>
      </c>
      <c r="G219" s="289"/>
      <c r="H219" s="26"/>
      <c r="I219" s="641"/>
      <c r="J219" s="708" t="e">
        <f>SUM(Q5:Q219)</f>
        <v>#N/A</v>
      </c>
      <c r="K219" s="707" t="s">
        <v>1090</v>
      </c>
      <c r="L219" s="407" t="e">
        <f>SUM(G5:G190)</f>
        <v>#N/A</v>
      </c>
      <c r="P219" s="392"/>
      <c r="R219" s="317"/>
      <c r="T219" s="393"/>
    </row>
    <row r="220" spans="1:20" s="609" customFormat="1" ht="31.5" customHeight="1" x14ac:dyDescent="0.55000000000000004">
      <c r="A220" s="856"/>
      <c r="B220" s="856"/>
      <c r="C220" s="857"/>
      <c r="D220" s="858"/>
      <c r="E220" s="859"/>
      <c r="F220" s="858"/>
      <c r="G220" s="289"/>
      <c r="H220" s="26"/>
      <c r="I220" s="641"/>
      <c r="J220" s="708"/>
      <c r="K220" s="707"/>
      <c r="L220" s="860"/>
      <c r="P220" s="638"/>
      <c r="Q220" s="709"/>
    </row>
    <row r="221" spans="1:20" x14ac:dyDescent="0.25">
      <c r="A221" s="19"/>
      <c r="B221" s="238"/>
      <c r="C221" s="232"/>
      <c r="D221" s="31"/>
      <c r="I221" s="641"/>
      <c r="L221" s="263"/>
      <c r="T221" s="393"/>
    </row>
    <row r="222" spans="1:20" x14ac:dyDescent="0.25">
      <c r="A222" s="19"/>
      <c r="B222" s="238"/>
      <c r="C222" s="232"/>
      <c r="D222" s="31"/>
      <c r="L222" s="263"/>
      <c r="T222" s="393"/>
    </row>
    <row r="223" spans="1:20" x14ac:dyDescent="0.25">
      <c r="D223" s="31"/>
      <c r="T223" s="393"/>
    </row>
    <row r="224" spans="1:20" x14ac:dyDescent="0.25">
      <c r="D224" s="31"/>
      <c r="T224" s="393"/>
    </row>
    <row r="225" spans="1:20" x14ac:dyDescent="0.25">
      <c r="D225" s="31"/>
      <c r="T225" s="393"/>
    </row>
    <row r="226" spans="1:20" x14ac:dyDescent="0.25">
      <c r="D226" s="31"/>
      <c r="T226" s="393"/>
    </row>
    <row r="227" spans="1:20" x14ac:dyDescent="0.25">
      <c r="A227" s="19"/>
      <c r="B227" s="238"/>
      <c r="C227" s="232"/>
      <c r="D227" s="31"/>
      <c r="T227" s="393"/>
    </row>
    <row r="228" spans="1:20" x14ac:dyDescent="0.25">
      <c r="A228" s="19"/>
      <c r="B228" s="238"/>
      <c r="C228" s="232"/>
      <c r="D228" s="31"/>
      <c r="T228" s="393"/>
    </row>
    <row r="229" spans="1:20" x14ac:dyDescent="0.25">
      <c r="D229" s="31"/>
      <c r="T229" s="393"/>
    </row>
    <row r="230" spans="1:20" x14ac:dyDescent="0.25">
      <c r="D230" s="31"/>
      <c r="T230" s="393"/>
    </row>
    <row r="231" spans="1:20" x14ac:dyDescent="0.25">
      <c r="D231" s="31"/>
      <c r="T231" s="393"/>
    </row>
    <row r="232" spans="1:20" x14ac:dyDescent="0.25">
      <c r="D232" s="31"/>
      <c r="T232" s="393"/>
    </row>
    <row r="233" spans="1:20" x14ac:dyDescent="0.25">
      <c r="A233" s="19"/>
      <c r="B233" s="238"/>
      <c r="C233" s="232"/>
      <c r="D233" s="31"/>
      <c r="T233" s="393"/>
    </row>
    <row r="234" spans="1:20" x14ac:dyDescent="0.25">
      <c r="A234" s="19"/>
      <c r="B234" s="238"/>
      <c r="C234" s="232"/>
      <c r="D234" s="31"/>
      <c r="T234" s="393"/>
    </row>
    <row r="235" spans="1:20" x14ac:dyDescent="0.25">
      <c r="D235" s="31"/>
      <c r="T235" s="393"/>
    </row>
    <row r="236" spans="1:20" x14ac:dyDescent="0.25">
      <c r="D236" s="31"/>
      <c r="T236" s="393"/>
    </row>
    <row r="237" spans="1:20" x14ac:dyDescent="0.25">
      <c r="D237" s="31"/>
      <c r="T237" s="393"/>
    </row>
    <row r="238" spans="1:20" x14ac:dyDescent="0.25">
      <c r="D238" s="31"/>
      <c r="T238" s="393"/>
    </row>
    <row r="239" spans="1:20" x14ac:dyDescent="0.25">
      <c r="A239" s="19"/>
      <c r="B239" s="238"/>
      <c r="C239" s="232"/>
      <c r="D239" s="31"/>
      <c r="T239" s="393"/>
    </row>
    <row r="240" spans="1:20" x14ac:dyDescent="0.25">
      <c r="A240" s="19"/>
      <c r="B240" s="238"/>
      <c r="C240" s="232"/>
      <c r="D240" s="31"/>
      <c r="T240" s="393"/>
    </row>
    <row r="241" spans="1:20" x14ac:dyDescent="0.25">
      <c r="A241" s="19"/>
      <c r="B241" s="238"/>
      <c r="C241" s="232"/>
      <c r="D241" s="31"/>
      <c r="T241" s="393"/>
    </row>
    <row r="242" spans="1:20" x14ac:dyDescent="0.25">
      <c r="A242" s="19"/>
      <c r="B242" s="238"/>
      <c r="C242" s="232"/>
      <c r="D242" s="31"/>
      <c r="T242" s="393"/>
    </row>
    <row r="243" spans="1:20" x14ac:dyDescent="0.25">
      <c r="D243" s="31"/>
      <c r="T243" s="393"/>
    </row>
    <row r="244" spans="1:20" x14ac:dyDescent="0.25">
      <c r="D244" s="31"/>
      <c r="T244" s="393"/>
    </row>
    <row r="245" spans="1:20" x14ac:dyDescent="0.25">
      <c r="D245" s="31"/>
      <c r="T245" s="393"/>
    </row>
    <row r="246" spans="1:20" x14ac:dyDescent="0.25">
      <c r="A246" s="19"/>
      <c r="B246" s="238"/>
      <c r="C246" s="232"/>
      <c r="D246" s="31"/>
      <c r="T246" s="393"/>
    </row>
    <row r="247" spans="1:20" x14ac:dyDescent="0.25">
      <c r="A247" s="19"/>
      <c r="B247" s="238"/>
      <c r="C247" s="232"/>
      <c r="D247" s="31"/>
      <c r="T247" s="393"/>
    </row>
    <row r="248" spans="1:20" x14ac:dyDescent="0.25">
      <c r="A248" s="19"/>
      <c r="B248" s="238"/>
      <c r="C248" s="232"/>
      <c r="D248" s="31"/>
      <c r="T248" s="393"/>
    </row>
    <row r="249" spans="1:20" x14ac:dyDescent="0.25">
      <c r="A249" s="19"/>
      <c r="B249" s="238"/>
      <c r="C249" s="232"/>
      <c r="D249" s="31"/>
      <c r="T249" s="393"/>
    </row>
    <row r="250" spans="1:20" x14ac:dyDescent="0.25">
      <c r="A250" s="19"/>
      <c r="B250" s="238"/>
      <c r="C250" s="232"/>
      <c r="D250" s="31"/>
      <c r="T250" s="393"/>
    </row>
    <row r="251" spans="1:20" x14ac:dyDescent="0.25">
      <c r="A251" s="19"/>
      <c r="B251" s="238"/>
      <c r="C251" s="232"/>
      <c r="D251" s="31"/>
      <c r="T251" s="393"/>
    </row>
    <row r="252" spans="1:20" x14ac:dyDescent="0.25">
      <c r="A252" s="19"/>
      <c r="B252" s="238"/>
      <c r="C252" s="232"/>
      <c r="D252" s="31"/>
      <c r="T252" s="393"/>
    </row>
    <row r="253" spans="1:20" x14ac:dyDescent="0.25">
      <c r="A253" s="19"/>
      <c r="B253" s="238"/>
      <c r="C253" s="232"/>
      <c r="D253" s="31"/>
      <c r="T253" s="393"/>
    </row>
    <row r="254" spans="1:20" x14ac:dyDescent="0.25">
      <c r="A254" s="19"/>
      <c r="B254" s="238"/>
      <c r="C254" s="232"/>
      <c r="D254" s="31"/>
      <c r="T254" s="393"/>
    </row>
    <row r="255" spans="1:20" x14ac:dyDescent="0.25">
      <c r="A255" s="19"/>
      <c r="B255" s="238"/>
      <c r="C255" s="232"/>
      <c r="D255" s="31"/>
      <c r="T255" s="393"/>
    </row>
    <row r="256" spans="1:20" x14ac:dyDescent="0.25">
      <c r="A256" s="19"/>
      <c r="B256" s="238"/>
      <c r="C256" s="232"/>
      <c r="D256" s="31"/>
      <c r="T256" s="393"/>
    </row>
    <row r="257" spans="1:20" x14ac:dyDescent="0.25">
      <c r="A257" s="19"/>
      <c r="B257" s="238"/>
      <c r="C257" s="232"/>
      <c r="D257" s="31"/>
      <c r="T257" s="393"/>
    </row>
    <row r="258" spans="1:20" x14ac:dyDescent="0.25">
      <c r="A258" s="19"/>
      <c r="B258" s="238"/>
      <c r="C258" s="232"/>
      <c r="D258" s="31"/>
      <c r="T258" s="393"/>
    </row>
    <row r="259" spans="1:20" x14ac:dyDescent="0.25">
      <c r="A259" s="19"/>
      <c r="B259" s="238"/>
      <c r="C259" s="232"/>
      <c r="D259" s="31"/>
      <c r="T259" s="393"/>
    </row>
    <row r="260" spans="1:20" x14ac:dyDescent="0.25">
      <c r="A260" s="19"/>
      <c r="B260" s="238"/>
      <c r="C260" s="232"/>
      <c r="D260" s="31"/>
      <c r="T260" s="393"/>
    </row>
    <row r="261" spans="1:20" x14ac:dyDescent="0.25">
      <c r="A261" s="19"/>
      <c r="B261" s="238"/>
      <c r="C261" s="232"/>
      <c r="D261" s="31"/>
      <c r="T261" s="393"/>
    </row>
    <row r="262" spans="1:20" x14ac:dyDescent="0.25">
      <c r="A262" s="19"/>
      <c r="B262" s="238"/>
      <c r="C262" s="232"/>
      <c r="D262" s="31"/>
      <c r="T262" s="393"/>
    </row>
    <row r="263" spans="1:20" x14ac:dyDescent="0.25">
      <c r="A263" s="19"/>
      <c r="B263" s="238"/>
      <c r="C263" s="232"/>
      <c r="D263" s="31"/>
      <c r="T263" s="393"/>
    </row>
    <row r="264" spans="1:20" x14ac:dyDescent="0.25">
      <c r="A264" s="19"/>
      <c r="B264" s="238"/>
      <c r="C264" s="232"/>
      <c r="D264" s="31"/>
      <c r="T264" s="393"/>
    </row>
    <row r="265" spans="1:20" x14ac:dyDescent="0.25">
      <c r="A265" s="19"/>
      <c r="B265" s="238"/>
      <c r="C265" s="232"/>
      <c r="D265" s="31"/>
      <c r="T265" s="393"/>
    </row>
    <row r="266" spans="1:20" x14ac:dyDescent="0.25">
      <c r="A266" s="19"/>
      <c r="B266" s="238"/>
      <c r="C266" s="232"/>
      <c r="D266" s="31"/>
      <c r="T266" s="393"/>
    </row>
    <row r="267" spans="1:20" x14ac:dyDescent="0.25">
      <c r="A267" s="19"/>
      <c r="B267" s="238"/>
      <c r="C267" s="232"/>
      <c r="D267" s="31"/>
      <c r="T267" s="393"/>
    </row>
    <row r="268" spans="1:20" x14ac:dyDescent="0.25">
      <c r="A268" s="19"/>
      <c r="B268" s="238"/>
      <c r="C268" s="232"/>
      <c r="D268" s="31"/>
      <c r="T268" s="393"/>
    </row>
    <row r="269" spans="1:20" x14ac:dyDescent="0.25">
      <c r="A269" s="19"/>
      <c r="B269" s="238"/>
      <c r="C269" s="232"/>
      <c r="D269" s="31"/>
      <c r="T269" s="393"/>
    </row>
    <row r="270" spans="1:20" x14ac:dyDescent="0.25">
      <c r="A270" s="19"/>
      <c r="B270" s="238"/>
      <c r="C270" s="232"/>
      <c r="D270" s="31"/>
      <c r="T270" s="393"/>
    </row>
    <row r="271" spans="1:20" x14ac:dyDescent="0.25">
      <c r="A271" s="19"/>
      <c r="B271" s="238"/>
      <c r="C271" s="232"/>
      <c r="D271" s="31"/>
      <c r="T271" s="393"/>
    </row>
    <row r="272" spans="1:20" x14ac:dyDescent="0.25">
      <c r="A272" s="19"/>
      <c r="B272" s="238"/>
      <c r="C272" s="232"/>
      <c r="D272" s="31"/>
      <c r="T272" s="393"/>
    </row>
    <row r="273" spans="1:20" x14ac:dyDescent="0.25">
      <c r="A273" s="19"/>
      <c r="B273" s="238"/>
      <c r="C273" s="232"/>
      <c r="D273" s="31"/>
      <c r="T273" s="393"/>
    </row>
    <row r="274" spans="1:20" x14ac:dyDescent="0.25">
      <c r="A274" s="19"/>
      <c r="B274" s="238"/>
      <c r="C274" s="232"/>
      <c r="D274" s="31"/>
      <c r="T274" s="393"/>
    </row>
    <row r="275" spans="1:20" x14ac:dyDescent="0.25">
      <c r="A275" s="19"/>
      <c r="B275" s="238"/>
      <c r="C275" s="232"/>
      <c r="D275" s="31"/>
      <c r="T275" s="393"/>
    </row>
    <row r="276" spans="1:20" x14ac:dyDescent="0.25">
      <c r="A276" s="19"/>
      <c r="B276" s="238"/>
      <c r="C276" s="232"/>
      <c r="D276" s="31"/>
      <c r="T276" s="393"/>
    </row>
    <row r="277" spans="1:20" x14ac:dyDescent="0.25">
      <c r="A277" s="19"/>
      <c r="B277" s="238"/>
      <c r="C277" s="232"/>
      <c r="D277" s="31"/>
      <c r="T277" s="393"/>
    </row>
    <row r="278" spans="1:20" x14ac:dyDescent="0.25">
      <c r="A278" s="19"/>
      <c r="B278" s="238"/>
      <c r="C278" s="232"/>
      <c r="D278" s="31"/>
      <c r="T278" s="393"/>
    </row>
    <row r="279" spans="1:20" x14ac:dyDescent="0.25">
      <c r="A279" s="19"/>
      <c r="B279" s="238"/>
      <c r="C279" s="232"/>
      <c r="D279" s="31"/>
      <c r="T279" s="393"/>
    </row>
    <row r="280" spans="1:20" x14ac:dyDescent="0.25">
      <c r="A280" s="19"/>
      <c r="B280" s="238"/>
      <c r="C280" s="232"/>
      <c r="D280" s="31"/>
      <c r="T280" s="393"/>
    </row>
    <row r="281" spans="1:20" x14ac:dyDescent="0.25">
      <c r="A281" s="19"/>
      <c r="B281" s="238"/>
      <c r="C281" s="232"/>
      <c r="D281" s="31"/>
      <c r="T281" s="393"/>
    </row>
    <row r="282" spans="1:20" x14ac:dyDescent="0.25">
      <c r="A282" s="19"/>
      <c r="B282" s="238"/>
      <c r="C282" s="232"/>
      <c r="D282" s="31"/>
      <c r="T282" s="393"/>
    </row>
    <row r="283" spans="1:20" x14ac:dyDescent="0.25">
      <c r="A283" s="19"/>
      <c r="B283" s="238"/>
      <c r="C283" s="232"/>
      <c r="D283" s="31"/>
      <c r="T283" s="393"/>
    </row>
    <row r="284" spans="1:20" x14ac:dyDescent="0.25">
      <c r="A284" s="19"/>
      <c r="B284" s="238"/>
      <c r="C284" s="232"/>
      <c r="D284" s="31"/>
      <c r="T284" s="393"/>
    </row>
    <row r="285" spans="1:20" x14ac:dyDescent="0.25">
      <c r="A285" s="19"/>
      <c r="B285" s="238"/>
      <c r="C285" s="232"/>
      <c r="D285" s="31"/>
      <c r="T285" s="393"/>
    </row>
    <row r="286" spans="1:20" x14ac:dyDescent="0.25">
      <c r="A286" s="19"/>
      <c r="B286" s="238"/>
      <c r="C286" s="232"/>
      <c r="D286" s="31"/>
      <c r="T286" s="393"/>
    </row>
    <row r="287" spans="1:20" x14ac:dyDescent="0.25">
      <c r="A287" s="19"/>
      <c r="B287" s="238"/>
      <c r="C287" s="232"/>
      <c r="D287" s="31"/>
      <c r="T287" s="393"/>
    </row>
    <row r="288" spans="1:20" x14ac:dyDescent="0.25">
      <c r="A288" s="19"/>
      <c r="B288" s="238"/>
      <c r="C288" s="232"/>
      <c r="D288" s="31"/>
      <c r="T288" s="393"/>
    </row>
    <row r="289" spans="1:20" x14ac:dyDescent="0.25">
      <c r="A289" s="19"/>
      <c r="B289" s="238"/>
      <c r="C289" s="232"/>
      <c r="D289" s="31"/>
      <c r="T289" s="393"/>
    </row>
    <row r="290" spans="1:20" x14ac:dyDescent="0.25">
      <c r="A290" s="19"/>
      <c r="B290" s="238"/>
      <c r="C290" s="232"/>
      <c r="D290" s="31"/>
      <c r="T290" s="393"/>
    </row>
    <row r="291" spans="1:20" x14ac:dyDescent="0.25">
      <c r="A291" s="19"/>
      <c r="B291" s="238"/>
      <c r="C291" s="232"/>
      <c r="D291" s="31"/>
      <c r="T291" s="393"/>
    </row>
    <row r="292" spans="1:20" x14ac:dyDescent="0.25">
      <c r="A292" s="19"/>
      <c r="B292" s="238"/>
      <c r="C292" s="232"/>
      <c r="D292" s="31"/>
      <c r="T292" s="393"/>
    </row>
    <row r="293" spans="1:20" x14ac:dyDescent="0.25">
      <c r="A293" s="19"/>
      <c r="B293" s="238"/>
      <c r="C293" s="232"/>
      <c r="D293" s="31"/>
      <c r="T293" s="393"/>
    </row>
    <row r="294" spans="1:20" x14ac:dyDescent="0.25">
      <c r="A294" s="19"/>
      <c r="B294" s="238"/>
      <c r="C294" s="232"/>
      <c r="D294" s="31"/>
      <c r="T294" s="393"/>
    </row>
    <row r="295" spans="1:20" x14ac:dyDescent="0.25">
      <c r="A295" s="19"/>
      <c r="B295" s="238"/>
      <c r="C295" s="232"/>
      <c r="D295" s="31"/>
      <c r="T295" s="393"/>
    </row>
    <row r="296" spans="1:20" x14ac:dyDescent="0.25">
      <c r="A296" s="19"/>
      <c r="B296" s="238"/>
      <c r="C296" s="232"/>
      <c r="D296" s="31"/>
      <c r="T296" s="393"/>
    </row>
    <row r="297" spans="1:20" x14ac:dyDescent="0.25">
      <c r="A297" s="19"/>
      <c r="B297" s="238"/>
      <c r="C297" s="232"/>
      <c r="D297" s="31"/>
      <c r="T297" s="393"/>
    </row>
    <row r="298" spans="1:20" x14ac:dyDescent="0.25">
      <c r="A298" s="19"/>
      <c r="B298" s="238"/>
      <c r="C298" s="232"/>
      <c r="D298" s="31"/>
      <c r="T298" s="393"/>
    </row>
    <row r="299" spans="1:20" x14ac:dyDescent="0.25">
      <c r="A299" s="19"/>
      <c r="B299" s="238"/>
      <c r="C299" s="232"/>
      <c r="D299" s="31"/>
      <c r="T299" s="393"/>
    </row>
    <row r="300" spans="1:20" x14ac:dyDescent="0.25">
      <c r="A300" s="19"/>
      <c r="B300" s="238"/>
      <c r="C300" s="232"/>
      <c r="D300" s="31"/>
      <c r="T300" s="393"/>
    </row>
    <row r="301" spans="1:20" x14ac:dyDescent="0.25">
      <c r="A301" s="19"/>
      <c r="B301" s="238"/>
      <c r="C301" s="232"/>
      <c r="D301" s="31"/>
      <c r="T301" s="393"/>
    </row>
    <row r="302" spans="1:20" x14ac:dyDescent="0.25">
      <c r="A302" s="19"/>
      <c r="B302" s="238"/>
      <c r="C302" s="232"/>
      <c r="D302" s="31"/>
      <c r="T302" s="393"/>
    </row>
    <row r="303" spans="1:20" x14ac:dyDescent="0.25">
      <c r="A303" s="19"/>
      <c r="B303" s="238"/>
      <c r="C303" s="232"/>
      <c r="D303" s="31"/>
      <c r="T303" s="393"/>
    </row>
    <row r="304" spans="1:20" x14ac:dyDescent="0.25">
      <c r="A304" s="19"/>
      <c r="B304" s="238"/>
      <c r="C304" s="232"/>
      <c r="D304" s="31"/>
      <c r="T304" s="393"/>
    </row>
    <row r="305" spans="1:20" x14ac:dyDescent="0.25">
      <c r="A305" s="19"/>
      <c r="B305" s="238"/>
      <c r="C305" s="232"/>
      <c r="D305" s="31"/>
      <c r="T305" s="393"/>
    </row>
    <row r="306" spans="1:20" x14ac:dyDescent="0.25">
      <c r="A306" s="19"/>
      <c r="B306" s="238"/>
      <c r="C306" s="232"/>
      <c r="D306" s="31"/>
      <c r="T306" s="393"/>
    </row>
    <row r="307" spans="1:20" x14ac:dyDescent="0.25">
      <c r="A307" s="19"/>
      <c r="B307" s="238"/>
      <c r="C307" s="232"/>
      <c r="D307" s="31"/>
      <c r="T307" s="393"/>
    </row>
    <row r="308" spans="1:20" x14ac:dyDescent="0.25">
      <c r="A308" s="19"/>
      <c r="B308" s="238"/>
      <c r="C308" s="232"/>
      <c r="D308" s="31"/>
      <c r="T308" s="393"/>
    </row>
    <row r="309" spans="1:20" x14ac:dyDescent="0.25">
      <c r="A309" s="19"/>
      <c r="B309" s="238"/>
      <c r="C309" s="232"/>
      <c r="D309" s="31"/>
      <c r="T309" s="393"/>
    </row>
    <row r="310" spans="1:20" x14ac:dyDescent="0.25">
      <c r="A310" s="19"/>
      <c r="B310" s="238"/>
      <c r="C310" s="232"/>
      <c r="D310" s="31"/>
      <c r="T310" s="393"/>
    </row>
    <row r="311" spans="1:20" x14ac:dyDescent="0.25">
      <c r="A311" s="19"/>
      <c r="B311" s="238"/>
      <c r="C311" s="232"/>
      <c r="D311" s="31"/>
      <c r="T311" s="393"/>
    </row>
    <row r="312" spans="1:20" x14ac:dyDescent="0.25">
      <c r="A312" s="19"/>
      <c r="B312" s="238"/>
      <c r="C312" s="232"/>
      <c r="D312" s="31"/>
      <c r="T312" s="393"/>
    </row>
    <row r="313" spans="1:20" x14ac:dyDescent="0.25">
      <c r="A313" s="19"/>
      <c r="B313" s="238"/>
      <c r="C313" s="232"/>
      <c r="D313" s="31"/>
      <c r="T313" s="393"/>
    </row>
    <row r="314" spans="1:20" x14ac:dyDescent="0.25">
      <c r="A314" s="19"/>
      <c r="B314" s="238"/>
      <c r="C314" s="232"/>
      <c r="D314" s="31"/>
      <c r="T314" s="393"/>
    </row>
    <row r="315" spans="1:20" x14ac:dyDescent="0.25">
      <c r="A315" s="19"/>
      <c r="B315" s="238"/>
      <c r="C315" s="232"/>
      <c r="D315" s="31"/>
      <c r="T315" s="393"/>
    </row>
    <row r="316" spans="1:20" x14ac:dyDescent="0.25">
      <c r="A316" s="19"/>
      <c r="B316" s="238"/>
      <c r="C316" s="232"/>
      <c r="D316" s="31"/>
      <c r="T316" s="393"/>
    </row>
    <row r="317" spans="1:20" x14ac:dyDescent="0.25">
      <c r="A317" s="19"/>
      <c r="B317" s="238"/>
      <c r="C317" s="232"/>
      <c r="D317" s="31"/>
      <c r="T317" s="393"/>
    </row>
    <row r="318" spans="1:20" x14ac:dyDescent="0.25">
      <c r="A318" s="19"/>
      <c r="B318" s="238"/>
      <c r="C318" s="232"/>
      <c r="D318" s="31"/>
      <c r="T318" s="393"/>
    </row>
    <row r="319" spans="1:20" x14ac:dyDescent="0.25">
      <c r="A319" s="19"/>
      <c r="B319" s="238"/>
      <c r="C319" s="232"/>
      <c r="D319" s="31"/>
      <c r="T319" s="393"/>
    </row>
    <row r="320" spans="1:20" x14ac:dyDescent="0.25">
      <c r="A320" s="19"/>
      <c r="B320" s="238"/>
      <c r="C320" s="232"/>
      <c r="D320" s="31"/>
      <c r="T320" s="393"/>
    </row>
    <row r="321" spans="1:20" x14ac:dyDescent="0.25">
      <c r="A321" s="19"/>
      <c r="B321" s="238"/>
      <c r="C321" s="232"/>
      <c r="D321" s="31"/>
      <c r="T321" s="393"/>
    </row>
    <row r="322" spans="1:20" x14ac:dyDescent="0.25">
      <c r="A322" s="19"/>
      <c r="B322" s="238"/>
      <c r="C322" s="232"/>
      <c r="D322" s="31"/>
      <c r="T322" s="393"/>
    </row>
    <row r="323" spans="1:20" x14ac:dyDescent="0.25">
      <c r="A323" s="19"/>
      <c r="B323" s="238"/>
      <c r="C323" s="232"/>
      <c r="D323" s="31"/>
      <c r="T323" s="393"/>
    </row>
    <row r="324" spans="1:20" x14ac:dyDescent="0.25">
      <c r="A324" s="19"/>
      <c r="B324" s="238"/>
      <c r="C324" s="232"/>
      <c r="D324" s="31"/>
      <c r="T324" s="393"/>
    </row>
    <row r="325" spans="1:20" x14ac:dyDescent="0.25">
      <c r="A325" s="19"/>
      <c r="B325" s="238"/>
      <c r="C325" s="232"/>
      <c r="D325" s="31"/>
      <c r="T325" s="393"/>
    </row>
    <row r="326" spans="1:20" x14ac:dyDescent="0.25">
      <c r="A326" s="19"/>
      <c r="B326" s="238"/>
      <c r="C326" s="232"/>
      <c r="D326" s="31"/>
      <c r="T326" s="393"/>
    </row>
    <row r="327" spans="1:20" x14ac:dyDescent="0.25">
      <c r="A327" s="19"/>
      <c r="B327" s="238"/>
      <c r="C327" s="232"/>
      <c r="D327" s="31"/>
      <c r="T327" s="393"/>
    </row>
    <row r="328" spans="1:20" x14ac:dyDescent="0.25">
      <c r="A328" s="19"/>
      <c r="B328" s="238"/>
      <c r="C328" s="232"/>
      <c r="D328" s="31"/>
      <c r="T328" s="393"/>
    </row>
    <row r="329" spans="1:20" x14ac:dyDescent="0.25">
      <c r="A329" s="19"/>
      <c r="B329" s="238"/>
      <c r="C329" s="232"/>
      <c r="D329" s="31"/>
      <c r="T329" s="393"/>
    </row>
    <row r="330" spans="1:20" x14ac:dyDescent="0.25">
      <c r="A330" s="19"/>
      <c r="B330" s="238"/>
      <c r="C330" s="232"/>
      <c r="D330" s="31"/>
      <c r="T330" s="393"/>
    </row>
    <row r="331" spans="1:20" x14ac:dyDescent="0.25">
      <c r="A331" s="19"/>
      <c r="B331" s="238"/>
      <c r="C331" s="232"/>
      <c r="D331" s="31"/>
      <c r="T331" s="393"/>
    </row>
    <row r="332" spans="1:20" x14ac:dyDescent="0.25">
      <c r="A332" s="19"/>
      <c r="B332" s="238"/>
      <c r="C332" s="232"/>
      <c r="D332" s="31"/>
      <c r="T332" s="393"/>
    </row>
    <row r="333" spans="1:20" x14ac:dyDescent="0.25">
      <c r="A333" s="19"/>
      <c r="B333" s="238"/>
      <c r="C333" s="232"/>
      <c r="D333" s="31"/>
      <c r="T333" s="393"/>
    </row>
    <row r="334" spans="1:20" x14ac:dyDescent="0.25">
      <c r="A334" s="19"/>
      <c r="B334" s="238"/>
      <c r="C334" s="232"/>
      <c r="D334" s="31"/>
      <c r="T334" s="393"/>
    </row>
    <row r="335" spans="1:20" x14ac:dyDescent="0.25">
      <c r="A335" s="19"/>
      <c r="B335" s="238"/>
      <c r="C335" s="232"/>
      <c r="D335" s="31"/>
      <c r="T335" s="393"/>
    </row>
    <row r="336" spans="1:20" x14ac:dyDescent="0.25">
      <c r="A336" s="19"/>
      <c r="B336" s="238"/>
      <c r="C336" s="232"/>
      <c r="D336" s="31"/>
      <c r="T336" s="393"/>
    </row>
    <row r="337" spans="1:20" x14ac:dyDescent="0.25">
      <c r="A337" s="19"/>
      <c r="B337" s="238"/>
      <c r="C337" s="232"/>
      <c r="D337" s="31"/>
      <c r="T337" s="393"/>
    </row>
    <row r="338" spans="1:20" x14ac:dyDescent="0.25">
      <c r="A338" s="19"/>
      <c r="B338" s="238"/>
      <c r="C338" s="232"/>
      <c r="D338" s="31"/>
      <c r="T338" s="393"/>
    </row>
    <row r="339" spans="1:20" x14ac:dyDescent="0.25">
      <c r="A339" s="19"/>
      <c r="B339" s="238"/>
      <c r="C339" s="232"/>
      <c r="D339" s="31"/>
      <c r="T339" s="393"/>
    </row>
    <row r="340" spans="1:20" x14ac:dyDescent="0.25">
      <c r="A340" s="19"/>
      <c r="B340" s="238"/>
      <c r="C340" s="232"/>
      <c r="D340" s="31"/>
      <c r="T340" s="393"/>
    </row>
    <row r="341" spans="1:20" x14ac:dyDescent="0.25">
      <c r="A341" s="19"/>
      <c r="B341" s="238"/>
      <c r="C341" s="232"/>
      <c r="D341" s="31"/>
      <c r="T341" s="393"/>
    </row>
    <row r="342" spans="1:20" x14ac:dyDescent="0.25">
      <c r="A342" s="19"/>
      <c r="B342" s="238"/>
      <c r="C342" s="232"/>
      <c r="D342" s="31"/>
      <c r="T342" s="393"/>
    </row>
    <row r="343" spans="1:20" x14ac:dyDescent="0.25">
      <c r="A343" s="19"/>
      <c r="B343" s="238"/>
      <c r="C343" s="232"/>
      <c r="D343" s="31"/>
      <c r="T343" s="393"/>
    </row>
    <row r="344" spans="1:20" x14ac:dyDescent="0.25">
      <c r="A344" s="19"/>
      <c r="B344" s="238"/>
      <c r="C344" s="232"/>
      <c r="D344" s="31"/>
      <c r="T344" s="393"/>
    </row>
    <row r="345" spans="1:20" x14ac:dyDescent="0.25">
      <c r="A345" s="19"/>
      <c r="B345" s="238"/>
      <c r="C345" s="232"/>
      <c r="D345" s="31"/>
      <c r="T345" s="393"/>
    </row>
    <row r="346" spans="1:20" x14ac:dyDescent="0.25">
      <c r="A346" s="19"/>
      <c r="B346" s="238"/>
      <c r="C346" s="232"/>
      <c r="D346" s="31"/>
      <c r="T346" s="393"/>
    </row>
    <row r="347" spans="1:20" x14ac:dyDescent="0.25">
      <c r="A347" s="19"/>
      <c r="B347" s="238"/>
      <c r="C347" s="232"/>
      <c r="D347" s="31"/>
      <c r="T347" s="393"/>
    </row>
    <row r="348" spans="1:20" x14ac:dyDescent="0.25">
      <c r="A348" s="19"/>
      <c r="B348" s="238"/>
      <c r="C348" s="232"/>
      <c r="D348" s="31"/>
      <c r="T348" s="393"/>
    </row>
    <row r="349" spans="1:20" x14ac:dyDescent="0.25">
      <c r="A349" s="19"/>
      <c r="B349" s="238"/>
      <c r="C349" s="232"/>
      <c r="D349" s="31"/>
      <c r="T349" s="393"/>
    </row>
    <row r="350" spans="1:20" x14ac:dyDescent="0.25">
      <c r="A350" s="19"/>
      <c r="B350" s="238"/>
      <c r="C350" s="232"/>
      <c r="D350" s="31"/>
      <c r="T350" s="393"/>
    </row>
    <row r="351" spans="1:20" x14ac:dyDescent="0.25">
      <c r="A351" s="19"/>
      <c r="B351" s="238"/>
      <c r="C351" s="232"/>
      <c r="D351" s="31"/>
      <c r="T351" s="393"/>
    </row>
    <row r="352" spans="1:20" x14ac:dyDescent="0.25">
      <c r="A352" s="19"/>
      <c r="B352" s="238"/>
      <c r="C352" s="232"/>
      <c r="D352" s="31"/>
      <c r="T352" s="393"/>
    </row>
    <row r="353" spans="1:20" x14ac:dyDescent="0.25">
      <c r="A353" s="19"/>
      <c r="B353" s="238"/>
      <c r="C353" s="232"/>
      <c r="D353" s="31"/>
      <c r="T353" s="393"/>
    </row>
    <row r="354" spans="1:20" x14ac:dyDescent="0.25">
      <c r="A354" s="19"/>
      <c r="B354" s="238"/>
      <c r="C354" s="232"/>
      <c r="D354" s="31"/>
      <c r="T354" s="393"/>
    </row>
    <row r="355" spans="1:20" x14ac:dyDescent="0.25">
      <c r="A355" s="19"/>
      <c r="B355" s="238"/>
      <c r="C355" s="232"/>
      <c r="D355" s="31"/>
      <c r="T355" s="393"/>
    </row>
    <row r="356" spans="1:20" x14ac:dyDescent="0.25">
      <c r="A356" s="19"/>
      <c r="B356" s="238"/>
      <c r="C356" s="232"/>
      <c r="D356" s="31"/>
      <c r="T356" s="393"/>
    </row>
    <row r="357" spans="1:20" x14ac:dyDescent="0.25">
      <c r="A357" s="19"/>
      <c r="B357" s="238"/>
      <c r="C357" s="232"/>
      <c r="D357" s="31"/>
      <c r="T357" s="393"/>
    </row>
    <row r="358" spans="1:20" x14ac:dyDescent="0.25">
      <c r="D358" s="31"/>
      <c r="T358" s="393"/>
    </row>
    <row r="359" spans="1:20" x14ac:dyDescent="0.25">
      <c r="D359" s="31"/>
      <c r="T359" s="393"/>
    </row>
    <row r="360" spans="1:20" x14ac:dyDescent="0.25">
      <c r="D360" s="31"/>
      <c r="T360" s="393"/>
    </row>
    <row r="361" spans="1:20" x14ac:dyDescent="0.25">
      <c r="D361" s="31"/>
      <c r="T361" s="393"/>
    </row>
    <row r="362" spans="1:20" x14ac:dyDescent="0.25">
      <c r="D362" s="31"/>
      <c r="T362" s="393"/>
    </row>
    <row r="363" spans="1:20" x14ac:dyDescent="0.25">
      <c r="D363" s="31"/>
      <c r="T363" s="393"/>
    </row>
    <row r="364" spans="1:20" x14ac:dyDescent="0.25">
      <c r="D364" s="31"/>
      <c r="T364" s="393"/>
    </row>
    <row r="365" spans="1:20" x14ac:dyDescent="0.25">
      <c r="D365" s="31"/>
      <c r="T365" s="393"/>
    </row>
    <row r="366" spans="1:20" x14ac:dyDescent="0.25">
      <c r="D366" s="31"/>
      <c r="T366" s="393"/>
    </row>
    <row r="367" spans="1:20" x14ac:dyDescent="0.25">
      <c r="D367" s="31"/>
      <c r="T367" s="393"/>
    </row>
    <row r="368" spans="1:20" x14ac:dyDescent="0.25">
      <c r="D368" s="31"/>
      <c r="T368" s="393"/>
    </row>
    <row r="369" spans="4:20" x14ac:dyDescent="0.25">
      <c r="D369" s="31"/>
      <c r="T369" s="393"/>
    </row>
    <row r="370" spans="4:20" x14ac:dyDescent="0.25">
      <c r="D370" s="31"/>
      <c r="T370" s="393"/>
    </row>
    <row r="371" spans="4:20" x14ac:dyDescent="0.25">
      <c r="D371" s="31"/>
      <c r="T371" s="393"/>
    </row>
    <row r="372" spans="4:20" x14ac:dyDescent="0.25">
      <c r="D372" s="31"/>
      <c r="T372" s="393"/>
    </row>
    <row r="373" spans="4:20" x14ac:dyDescent="0.25">
      <c r="D373" s="31"/>
      <c r="T373" s="393"/>
    </row>
    <row r="374" spans="4:20" x14ac:dyDescent="0.25">
      <c r="D374" s="31"/>
      <c r="T374" s="393"/>
    </row>
    <row r="375" spans="4:20" x14ac:dyDescent="0.25">
      <c r="D375" s="31"/>
      <c r="T375" s="393"/>
    </row>
    <row r="376" spans="4:20" x14ac:dyDescent="0.25">
      <c r="D376" s="31"/>
      <c r="T376" s="393"/>
    </row>
    <row r="377" spans="4:20" x14ac:dyDescent="0.25">
      <c r="D377" s="31"/>
      <c r="T377" s="393"/>
    </row>
    <row r="378" spans="4:20" x14ac:dyDescent="0.25">
      <c r="D378" s="31"/>
      <c r="T378" s="393"/>
    </row>
    <row r="379" spans="4:20" x14ac:dyDescent="0.25">
      <c r="D379" s="31"/>
      <c r="T379" s="393"/>
    </row>
    <row r="380" spans="4:20" x14ac:dyDescent="0.25">
      <c r="D380" s="31"/>
      <c r="T380" s="393"/>
    </row>
    <row r="381" spans="4:20" x14ac:dyDescent="0.25">
      <c r="D381" s="31"/>
      <c r="T381" s="393"/>
    </row>
    <row r="382" spans="4:20" x14ac:dyDescent="0.25">
      <c r="D382" s="31"/>
      <c r="T382" s="393"/>
    </row>
    <row r="383" spans="4:20" x14ac:dyDescent="0.25">
      <c r="D383" s="31"/>
      <c r="T383" s="393"/>
    </row>
    <row r="384" spans="4:20" x14ac:dyDescent="0.25">
      <c r="D384" s="31"/>
      <c r="T384" s="393"/>
    </row>
    <row r="385" spans="4:20" x14ac:dyDescent="0.25">
      <c r="D385" s="31"/>
      <c r="T385" s="393"/>
    </row>
    <row r="386" spans="4:20" x14ac:dyDescent="0.25">
      <c r="D386" s="31"/>
      <c r="T386" s="393"/>
    </row>
    <row r="387" spans="4:20" x14ac:dyDescent="0.25">
      <c r="D387" s="31"/>
      <c r="T387" s="393"/>
    </row>
    <row r="388" spans="4:20" x14ac:dyDescent="0.25">
      <c r="D388" s="31"/>
      <c r="T388" s="393"/>
    </row>
    <row r="389" spans="4:20" x14ac:dyDescent="0.25">
      <c r="D389" s="31"/>
      <c r="T389" s="393"/>
    </row>
    <row r="390" spans="4:20" x14ac:dyDescent="0.25">
      <c r="D390" s="31"/>
      <c r="T390" s="393"/>
    </row>
    <row r="391" spans="4:20" x14ac:dyDescent="0.25">
      <c r="D391" s="31"/>
      <c r="T391" s="393"/>
    </row>
    <row r="392" spans="4:20" x14ac:dyDescent="0.25">
      <c r="D392" s="31"/>
      <c r="T392" s="393"/>
    </row>
    <row r="393" spans="4:20" x14ac:dyDescent="0.25">
      <c r="D393" s="31"/>
      <c r="T393" s="393"/>
    </row>
    <row r="394" spans="4:20" x14ac:dyDescent="0.25">
      <c r="D394" s="31"/>
      <c r="T394" s="393"/>
    </row>
    <row r="395" spans="4:20" x14ac:dyDescent="0.25">
      <c r="D395" s="31"/>
      <c r="T395" s="393"/>
    </row>
    <row r="396" spans="4:20" x14ac:dyDescent="0.25">
      <c r="D396" s="31"/>
      <c r="T396" s="393"/>
    </row>
    <row r="397" spans="4:20" x14ac:dyDescent="0.25">
      <c r="D397" s="31"/>
      <c r="T397" s="393"/>
    </row>
    <row r="398" spans="4:20" x14ac:dyDescent="0.25">
      <c r="D398" s="31"/>
      <c r="T398" s="393"/>
    </row>
    <row r="399" spans="4:20" x14ac:dyDescent="0.25">
      <c r="D399" s="31"/>
      <c r="T399" s="393"/>
    </row>
    <row r="400" spans="4:20" x14ac:dyDescent="0.25">
      <c r="D400" s="31"/>
      <c r="T400" s="393"/>
    </row>
    <row r="401" spans="4:20" x14ac:dyDescent="0.25">
      <c r="D401" s="31"/>
      <c r="T401" s="393"/>
    </row>
    <row r="402" spans="4:20" x14ac:dyDescent="0.25">
      <c r="D402" s="31"/>
      <c r="T402" s="393"/>
    </row>
    <row r="403" spans="4:20" x14ac:dyDescent="0.25">
      <c r="D403" s="31"/>
      <c r="T403" s="393"/>
    </row>
    <row r="404" spans="4:20" x14ac:dyDescent="0.25">
      <c r="D404" s="31"/>
      <c r="T404" s="393"/>
    </row>
    <row r="405" spans="4:20" x14ac:dyDescent="0.25">
      <c r="D405" s="31"/>
      <c r="T405" s="393"/>
    </row>
    <row r="406" spans="4:20" x14ac:dyDescent="0.25">
      <c r="D406" s="31"/>
      <c r="T406" s="393"/>
    </row>
    <row r="407" spans="4:20" x14ac:dyDescent="0.25">
      <c r="D407" s="31"/>
      <c r="T407" s="393"/>
    </row>
    <row r="408" spans="4:20" x14ac:dyDescent="0.25">
      <c r="D408" s="31"/>
      <c r="T408" s="393"/>
    </row>
    <row r="409" spans="4:20" x14ac:dyDescent="0.25">
      <c r="D409" s="31"/>
      <c r="T409" s="393"/>
    </row>
    <row r="410" spans="4:20" x14ac:dyDescent="0.25">
      <c r="D410" s="31"/>
      <c r="T410" s="393"/>
    </row>
    <row r="411" spans="4:20" x14ac:dyDescent="0.25">
      <c r="D411" s="31"/>
      <c r="T411" s="393"/>
    </row>
    <row r="412" spans="4:20" x14ac:dyDescent="0.25">
      <c r="D412" s="31"/>
      <c r="T412" s="393"/>
    </row>
    <row r="413" spans="4:20" x14ac:dyDescent="0.25">
      <c r="D413" s="31"/>
      <c r="T413" s="393"/>
    </row>
    <row r="414" spans="4:20" x14ac:dyDescent="0.25">
      <c r="D414" s="31"/>
      <c r="T414" s="393"/>
    </row>
    <row r="415" spans="4:20" x14ac:dyDescent="0.25">
      <c r="D415" s="31"/>
      <c r="T415" s="393"/>
    </row>
    <row r="416" spans="4:20" x14ac:dyDescent="0.25">
      <c r="D416" s="31"/>
      <c r="T416" s="393"/>
    </row>
    <row r="417" spans="4:20" x14ac:dyDescent="0.25">
      <c r="D417" s="31"/>
      <c r="T417" s="393"/>
    </row>
    <row r="418" spans="4:20" x14ac:dyDescent="0.25">
      <c r="D418" s="31"/>
      <c r="T418" s="393"/>
    </row>
    <row r="419" spans="4:20" x14ac:dyDescent="0.25">
      <c r="D419" s="31"/>
      <c r="T419" s="393"/>
    </row>
    <row r="420" spans="4:20" x14ac:dyDescent="0.25">
      <c r="D420" s="31"/>
      <c r="T420" s="393"/>
    </row>
    <row r="421" spans="4:20" x14ac:dyDescent="0.25">
      <c r="D421" s="31"/>
      <c r="T421" s="393"/>
    </row>
    <row r="422" spans="4:20" x14ac:dyDescent="0.25">
      <c r="D422" s="31"/>
      <c r="T422" s="393"/>
    </row>
    <row r="423" spans="4:20" x14ac:dyDescent="0.25">
      <c r="D423" s="31"/>
      <c r="T423" s="393"/>
    </row>
    <row r="424" spans="4:20" x14ac:dyDescent="0.25">
      <c r="D424" s="31"/>
      <c r="T424" s="393"/>
    </row>
    <row r="425" spans="4:20" x14ac:dyDescent="0.25">
      <c r="D425" s="31"/>
      <c r="T425" s="393"/>
    </row>
    <row r="426" spans="4:20" x14ac:dyDescent="0.25">
      <c r="D426" s="31"/>
      <c r="T426" s="393"/>
    </row>
    <row r="427" spans="4:20" x14ac:dyDescent="0.25">
      <c r="D427" s="31"/>
      <c r="T427" s="393"/>
    </row>
    <row r="428" spans="4:20" x14ac:dyDescent="0.25">
      <c r="D428" s="31"/>
      <c r="T428" s="393"/>
    </row>
    <row r="429" spans="4:20" x14ac:dyDescent="0.25">
      <c r="D429" s="31"/>
      <c r="T429" s="393"/>
    </row>
    <row r="430" spans="4:20" x14ac:dyDescent="0.25">
      <c r="D430" s="31"/>
      <c r="T430" s="393"/>
    </row>
    <row r="431" spans="4:20" x14ac:dyDescent="0.25">
      <c r="D431" s="31"/>
      <c r="T431" s="393"/>
    </row>
    <row r="432" spans="4:20" x14ac:dyDescent="0.25">
      <c r="D432" s="31"/>
      <c r="T432" s="393"/>
    </row>
    <row r="433" spans="4:20" x14ac:dyDescent="0.25">
      <c r="D433" s="31"/>
      <c r="T433" s="393"/>
    </row>
    <row r="434" spans="4:20" x14ac:dyDescent="0.25">
      <c r="D434" s="31"/>
      <c r="T434" s="393"/>
    </row>
    <row r="435" spans="4:20" x14ac:dyDescent="0.25">
      <c r="D435" s="31"/>
      <c r="T435" s="393"/>
    </row>
    <row r="436" spans="4:20" x14ac:dyDescent="0.25">
      <c r="D436" s="31"/>
      <c r="T436" s="393"/>
    </row>
    <row r="437" spans="4:20" x14ac:dyDescent="0.25">
      <c r="D437" s="31"/>
      <c r="T437" s="393"/>
    </row>
    <row r="438" spans="4:20" x14ac:dyDescent="0.25">
      <c r="D438" s="31"/>
      <c r="T438" s="393"/>
    </row>
    <row r="439" spans="4:20" x14ac:dyDescent="0.25">
      <c r="D439" s="31"/>
    </row>
    <row r="440" spans="4:20" x14ac:dyDescent="0.25">
      <c r="D440" s="31"/>
    </row>
    <row r="441" spans="4:20" x14ac:dyDescent="0.25">
      <c r="D441" s="31"/>
    </row>
    <row r="442" spans="4:20" x14ac:dyDescent="0.25">
      <c r="D442" s="31"/>
    </row>
    <row r="443" spans="4:20" x14ac:dyDescent="0.25">
      <c r="D443" s="31"/>
    </row>
    <row r="444" spans="4:20" x14ac:dyDescent="0.25">
      <c r="D444" s="31"/>
    </row>
    <row r="445" spans="4:20" x14ac:dyDescent="0.25">
      <c r="D445" s="31"/>
    </row>
    <row r="446" spans="4:20" x14ac:dyDescent="0.25">
      <c r="D446" s="31"/>
    </row>
    <row r="447" spans="4:20" x14ac:dyDescent="0.25">
      <c r="D447" s="31"/>
    </row>
    <row r="448" spans="4:20" x14ac:dyDescent="0.25">
      <c r="D448" s="31"/>
    </row>
    <row r="449" spans="4:4" x14ac:dyDescent="0.25">
      <c r="D449" s="31"/>
    </row>
    <row r="450" spans="4:4" x14ac:dyDescent="0.25">
      <c r="D450" s="31"/>
    </row>
    <row r="451" spans="4:4" x14ac:dyDescent="0.25">
      <c r="D451" s="31"/>
    </row>
    <row r="452" spans="4:4" x14ac:dyDescent="0.25">
      <c r="D452" s="31"/>
    </row>
    <row r="453" spans="4:4" x14ac:dyDescent="0.25">
      <c r="D453" s="31"/>
    </row>
    <row r="454" spans="4:4" x14ac:dyDescent="0.25">
      <c r="D454" s="31"/>
    </row>
    <row r="455" spans="4:4" x14ac:dyDescent="0.25">
      <c r="D455" s="31"/>
    </row>
    <row r="456" spans="4:4" x14ac:dyDescent="0.25">
      <c r="D456" s="31"/>
    </row>
    <row r="457" spans="4:4" x14ac:dyDescent="0.25">
      <c r="D457" s="31"/>
    </row>
    <row r="458" spans="4:4" x14ac:dyDescent="0.25">
      <c r="D458" s="31"/>
    </row>
    <row r="459" spans="4:4" x14ac:dyDescent="0.25">
      <c r="D459" s="31"/>
    </row>
    <row r="460" spans="4:4" x14ac:dyDescent="0.25">
      <c r="D460" s="31"/>
    </row>
    <row r="461" spans="4:4" x14ac:dyDescent="0.25">
      <c r="D461" s="31"/>
    </row>
    <row r="462" spans="4:4" x14ac:dyDescent="0.25">
      <c r="D462" s="31"/>
    </row>
    <row r="463" spans="4:4" x14ac:dyDescent="0.25">
      <c r="D463" s="31"/>
    </row>
    <row r="464" spans="4:4" x14ac:dyDescent="0.25">
      <c r="D464" s="31"/>
    </row>
    <row r="465" spans="4:4" x14ac:dyDescent="0.25">
      <c r="D465" s="31"/>
    </row>
    <row r="466" spans="4:4" x14ac:dyDescent="0.25">
      <c r="D466" s="31"/>
    </row>
    <row r="467" spans="4:4" x14ac:dyDescent="0.25">
      <c r="D467" s="31"/>
    </row>
    <row r="468" spans="4:4" x14ac:dyDescent="0.25">
      <c r="D468" s="31"/>
    </row>
    <row r="469" spans="4:4" x14ac:dyDescent="0.25">
      <c r="D469" s="31"/>
    </row>
    <row r="470" spans="4:4" x14ac:dyDescent="0.25">
      <c r="D470" s="31"/>
    </row>
    <row r="471" spans="4:4" x14ac:dyDescent="0.25">
      <c r="D471" s="31"/>
    </row>
    <row r="472" spans="4:4" x14ac:dyDescent="0.25">
      <c r="D472" s="31"/>
    </row>
    <row r="473" spans="4:4" x14ac:dyDescent="0.25">
      <c r="D473" s="31"/>
    </row>
    <row r="474" spans="4:4" x14ac:dyDescent="0.25">
      <c r="D474" s="31"/>
    </row>
    <row r="475" spans="4:4" x14ac:dyDescent="0.25">
      <c r="D475" s="31"/>
    </row>
    <row r="476" spans="4:4" x14ac:dyDescent="0.25">
      <c r="D476" s="31"/>
    </row>
    <row r="477" spans="4:4" x14ac:dyDescent="0.25">
      <c r="D477" s="31"/>
    </row>
    <row r="478" spans="4:4" x14ac:dyDescent="0.25">
      <c r="D478" s="31"/>
    </row>
    <row r="479" spans="4:4" x14ac:dyDescent="0.25">
      <c r="D479" s="31"/>
    </row>
    <row r="480" spans="4:4" x14ac:dyDescent="0.25">
      <c r="D480" s="31"/>
    </row>
    <row r="481" spans="4:4" x14ac:dyDescent="0.25">
      <c r="D481" s="31"/>
    </row>
    <row r="482" spans="4:4" x14ac:dyDescent="0.25">
      <c r="D482" s="31"/>
    </row>
    <row r="483" spans="4:4" x14ac:dyDescent="0.25">
      <c r="D483" s="31"/>
    </row>
    <row r="484" spans="4:4" x14ac:dyDescent="0.25">
      <c r="D484" s="31"/>
    </row>
    <row r="485" spans="4:4" x14ac:dyDescent="0.25">
      <c r="D485" s="31"/>
    </row>
    <row r="486" spans="4:4" x14ac:dyDescent="0.25">
      <c r="D486" s="31"/>
    </row>
    <row r="487" spans="4:4" x14ac:dyDescent="0.25">
      <c r="D487" s="31"/>
    </row>
    <row r="488" spans="4:4" x14ac:dyDescent="0.25">
      <c r="D488" s="31"/>
    </row>
    <row r="489" spans="4:4" x14ac:dyDescent="0.25">
      <c r="D489" s="31"/>
    </row>
    <row r="490" spans="4:4" x14ac:dyDescent="0.25">
      <c r="D490" s="31"/>
    </row>
    <row r="491" spans="4:4" x14ac:dyDescent="0.25">
      <c r="D491" s="31"/>
    </row>
    <row r="492" spans="4:4" x14ac:dyDescent="0.25">
      <c r="D492" s="31"/>
    </row>
    <row r="493" spans="4:4" x14ac:dyDescent="0.25">
      <c r="D493" s="31"/>
    </row>
    <row r="494" spans="4:4" x14ac:dyDescent="0.25">
      <c r="D494" s="31"/>
    </row>
    <row r="495" spans="4:4" x14ac:dyDescent="0.25">
      <c r="D495" s="31"/>
    </row>
    <row r="496" spans="4:4" x14ac:dyDescent="0.25">
      <c r="D496" s="31"/>
    </row>
    <row r="497" spans="4:4" x14ac:dyDescent="0.25">
      <c r="D497" s="31"/>
    </row>
    <row r="498" spans="4:4" x14ac:dyDescent="0.25">
      <c r="D498" s="31"/>
    </row>
    <row r="499" spans="4:4" x14ac:dyDescent="0.25">
      <c r="D499" s="31"/>
    </row>
    <row r="500" spans="4:4" x14ac:dyDescent="0.25">
      <c r="D500" s="31"/>
    </row>
    <row r="501" spans="4:4" x14ac:dyDescent="0.25">
      <c r="D501" s="31"/>
    </row>
    <row r="502" spans="4:4" x14ac:dyDescent="0.25">
      <c r="D502" s="31"/>
    </row>
    <row r="503" spans="4:4" x14ac:dyDescent="0.25">
      <c r="D503" s="31"/>
    </row>
    <row r="504" spans="4:4" x14ac:dyDescent="0.25">
      <c r="D504" s="31"/>
    </row>
    <row r="505" spans="4:4" x14ac:dyDescent="0.25">
      <c r="D505" s="31"/>
    </row>
    <row r="506" spans="4:4" x14ac:dyDescent="0.25">
      <c r="D506" s="31"/>
    </row>
    <row r="507" spans="4:4" x14ac:dyDescent="0.25">
      <c r="D507" s="31"/>
    </row>
    <row r="508" spans="4:4" x14ac:dyDescent="0.25">
      <c r="D508" s="31"/>
    </row>
    <row r="509" spans="4:4" x14ac:dyDescent="0.25">
      <c r="D509" s="31"/>
    </row>
    <row r="510" spans="4:4" x14ac:dyDescent="0.25">
      <c r="D510" s="31"/>
    </row>
    <row r="511" spans="4:4" x14ac:dyDescent="0.25">
      <c r="D511" s="31"/>
    </row>
    <row r="512" spans="4:4" x14ac:dyDescent="0.25">
      <c r="D512" s="31"/>
    </row>
    <row r="513" spans="4:4" x14ac:dyDescent="0.25">
      <c r="D513" s="31"/>
    </row>
    <row r="514" spans="4:4" x14ac:dyDescent="0.25">
      <c r="D514" s="31"/>
    </row>
    <row r="515" spans="4:4" x14ac:dyDescent="0.25">
      <c r="D515" s="31"/>
    </row>
    <row r="516" spans="4:4" x14ac:dyDescent="0.25">
      <c r="D516" s="31"/>
    </row>
    <row r="517" spans="4:4" x14ac:dyDescent="0.25">
      <c r="D517" s="31"/>
    </row>
    <row r="518" spans="4:4" x14ac:dyDescent="0.25">
      <c r="D518" s="31"/>
    </row>
    <row r="519" spans="4:4" x14ac:dyDescent="0.25">
      <c r="D519" s="31"/>
    </row>
    <row r="520" spans="4:4" x14ac:dyDescent="0.25">
      <c r="D520" s="31"/>
    </row>
    <row r="521" spans="4:4" x14ac:dyDescent="0.25">
      <c r="D521" s="31"/>
    </row>
    <row r="522" spans="4:4" x14ac:dyDescent="0.25">
      <c r="D522" s="31"/>
    </row>
    <row r="523" spans="4:4" x14ac:dyDescent="0.25">
      <c r="D523" s="31"/>
    </row>
    <row r="524" spans="4:4" x14ac:dyDescent="0.25">
      <c r="D524" s="31"/>
    </row>
    <row r="525" spans="4:4" x14ac:dyDescent="0.25">
      <c r="D525" s="31"/>
    </row>
    <row r="526" spans="4:4" x14ac:dyDescent="0.25">
      <c r="D526" s="31"/>
    </row>
    <row r="527" spans="4:4" x14ac:dyDescent="0.25">
      <c r="D527" s="31"/>
    </row>
    <row r="528" spans="4:4" x14ac:dyDescent="0.25">
      <c r="D528" s="31"/>
    </row>
    <row r="529" spans="4:4" x14ac:dyDescent="0.25">
      <c r="D529" s="31"/>
    </row>
    <row r="530" spans="4:4" x14ac:dyDescent="0.25">
      <c r="D530" s="31"/>
    </row>
    <row r="531" spans="4:4" x14ac:dyDescent="0.25">
      <c r="D531" s="31"/>
    </row>
    <row r="532" spans="4:4" x14ac:dyDescent="0.25">
      <c r="D532" s="31"/>
    </row>
    <row r="533" spans="4:4" x14ac:dyDescent="0.25">
      <c r="D533" s="31"/>
    </row>
    <row r="534" spans="4:4" x14ac:dyDescent="0.25">
      <c r="D534" s="31"/>
    </row>
    <row r="535" spans="4:4" x14ac:dyDescent="0.25">
      <c r="D535" s="31"/>
    </row>
    <row r="536" spans="4:4" x14ac:dyDescent="0.25">
      <c r="D536" s="31"/>
    </row>
    <row r="537" spans="4:4" x14ac:dyDescent="0.25">
      <c r="D537" s="31"/>
    </row>
    <row r="538" spans="4:4" x14ac:dyDescent="0.25">
      <c r="D538" s="31"/>
    </row>
    <row r="539" spans="4:4" x14ac:dyDescent="0.25">
      <c r="D539" s="31"/>
    </row>
    <row r="540" spans="4:4" x14ac:dyDescent="0.25">
      <c r="D540" s="31"/>
    </row>
    <row r="541" spans="4:4" x14ac:dyDescent="0.25">
      <c r="D541" s="31"/>
    </row>
    <row r="542" spans="4:4" x14ac:dyDescent="0.25">
      <c r="D542" s="31"/>
    </row>
    <row r="543" spans="4:4" x14ac:dyDescent="0.25">
      <c r="D543" s="31"/>
    </row>
    <row r="544" spans="4:4" x14ac:dyDescent="0.25">
      <c r="D544" s="31"/>
    </row>
    <row r="545" spans="4:4" x14ac:dyDescent="0.25">
      <c r="D545" s="31"/>
    </row>
    <row r="546" spans="4:4" x14ac:dyDescent="0.25">
      <c r="D546" s="31"/>
    </row>
    <row r="547" spans="4:4" x14ac:dyDescent="0.25">
      <c r="D547" s="31"/>
    </row>
    <row r="548" spans="4:4" x14ac:dyDescent="0.25">
      <c r="D548" s="31"/>
    </row>
    <row r="549" spans="4:4" x14ac:dyDescent="0.25">
      <c r="D549" s="31"/>
    </row>
    <row r="550" spans="4:4" x14ac:dyDescent="0.25">
      <c r="D550" s="31"/>
    </row>
    <row r="551" spans="4:4" x14ac:dyDescent="0.25">
      <c r="D551" s="31"/>
    </row>
    <row r="552" spans="4:4" x14ac:dyDescent="0.25">
      <c r="D552" s="31"/>
    </row>
    <row r="553" spans="4:4" x14ac:dyDescent="0.25">
      <c r="D553" s="31"/>
    </row>
    <row r="554" spans="4:4" x14ac:dyDescent="0.25">
      <c r="D554" s="31"/>
    </row>
    <row r="555" spans="4:4" x14ac:dyDescent="0.25">
      <c r="D555" s="31"/>
    </row>
    <row r="556" spans="4:4" x14ac:dyDescent="0.25">
      <c r="D556" s="31"/>
    </row>
    <row r="557" spans="4:4" x14ac:dyDescent="0.25">
      <c r="D557" s="31"/>
    </row>
    <row r="558" spans="4:4" x14ac:dyDescent="0.25">
      <c r="D558" s="31"/>
    </row>
    <row r="559" spans="4:4" x14ac:dyDescent="0.25">
      <c r="D559" s="31"/>
    </row>
    <row r="560" spans="4:4" x14ac:dyDescent="0.25">
      <c r="D560" s="31"/>
    </row>
    <row r="561" spans="4:4" x14ac:dyDescent="0.25">
      <c r="D561" s="31"/>
    </row>
    <row r="562" spans="4:4" x14ac:dyDescent="0.25">
      <c r="D562" s="31"/>
    </row>
    <row r="563" spans="4:4" x14ac:dyDescent="0.25">
      <c r="D563" s="31"/>
    </row>
    <row r="564" spans="4:4" x14ac:dyDescent="0.25">
      <c r="D564" s="31"/>
    </row>
    <row r="565" spans="4:4" x14ac:dyDescent="0.25">
      <c r="D565" s="31"/>
    </row>
    <row r="566" spans="4:4" x14ac:dyDescent="0.25">
      <c r="D566" s="31"/>
    </row>
    <row r="567" spans="4:4" x14ac:dyDescent="0.25">
      <c r="D567" s="31"/>
    </row>
    <row r="568" spans="4:4" x14ac:dyDescent="0.25">
      <c r="D568" s="31"/>
    </row>
    <row r="569" spans="4:4" x14ac:dyDescent="0.25">
      <c r="D569" s="31"/>
    </row>
    <row r="570" spans="4:4" x14ac:dyDescent="0.25">
      <c r="D570" s="31"/>
    </row>
    <row r="571" spans="4:4" x14ac:dyDescent="0.25">
      <c r="D571" s="31"/>
    </row>
    <row r="572" spans="4:4" x14ac:dyDescent="0.25">
      <c r="D572" s="31"/>
    </row>
    <row r="573" spans="4:4" x14ac:dyDescent="0.25">
      <c r="D573" s="31"/>
    </row>
    <row r="574" spans="4:4" x14ac:dyDescent="0.25">
      <c r="D574" s="31"/>
    </row>
    <row r="575" spans="4:4" x14ac:dyDescent="0.25">
      <c r="D575" s="31"/>
    </row>
    <row r="576" spans="4:4" x14ac:dyDescent="0.25">
      <c r="D576" s="31"/>
    </row>
    <row r="577" spans="4:4" x14ac:dyDescent="0.25">
      <c r="D577" s="31"/>
    </row>
    <row r="578" spans="4:4" x14ac:dyDescent="0.25">
      <c r="D578" s="31"/>
    </row>
    <row r="579" spans="4:4" x14ac:dyDescent="0.25">
      <c r="D579" s="31"/>
    </row>
    <row r="580" spans="4:4" x14ac:dyDescent="0.25">
      <c r="D580" s="31"/>
    </row>
    <row r="581" spans="4:4" x14ac:dyDescent="0.25">
      <c r="D581" s="31"/>
    </row>
    <row r="582" spans="4:4" x14ac:dyDescent="0.25">
      <c r="D582" s="31"/>
    </row>
    <row r="583" spans="4:4" x14ac:dyDescent="0.25">
      <c r="D583" s="31"/>
    </row>
    <row r="584" spans="4:4" x14ac:dyDescent="0.25">
      <c r="D584" s="31"/>
    </row>
    <row r="585" spans="4:4" x14ac:dyDescent="0.25">
      <c r="D585" s="31"/>
    </row>
    <row r="586" spans="4:4" x14ac:dyDescent="0.25">
      <c r="D586" s="31"/>
    </row>
    <row r="587" spans="4:4" x14ac:dyDescent="0.25">
      <c r="D587" s="31"/>
    </row>
    <row r="588" spans="4:4" x14ac:dyDescent="0.25">
      <c r="D588" s="31"/>
    </row>
    <row r="589" spans="4:4" x14ac:dyDescent="0.25">
      <c r="D589" s="31"/>
    </row>
    <row r="590" spans="4:4" x14ac:dyDescent="0.25">
      <c r="D590" s="31"/>
    </row>
    <row r="591" spans="4:4" x14ac:dyDescent="0.25">
      <c r="D591" s="31"/>
    </row>
    <row r="592" spans="4:4" x14ac:dyDescent="0.25">
      <c r="D592" s="31"/>
    </row>
    <row r="593" spans="4:4" x14ac:dyDescent="0.25">
      <c r="D593" s="31"/>
    </row>
    <row r="594" spans="4:4" x14ac:dyDescent="0.25">
      <c r="D594" s="31"/>
    </row>
    <row r="595" spans="4:4" x14ac:dyDescent="0.25">
      <c r="D595" s="31"/>
    </row>
    <row r="596" spans="4:4" x14ac:dyDescent="0.25">
      <c r="D596" s="31"/>
    </row>
    <row r="597" spans="4:4" x14ac:dyDescent="0.25">
      <c r="D597" s="31"/>
    </row>
    <row r="598" spans="4:4" x14ac:dyDescent="0.25">
      <c r="D598" s="31"/>
    </row>
    <row r="599" spans="4:4" x14ac:dyDescent="0.25">
      <c r="D599" s="31"/>
    </row>
    <row r="600" spans="4:4" x14ac:dyDescent="0.25">
      <c r="D600" s="31"/>
    </row>
    <row r="601" spans="4:4" x14ac:dyDescent="0.25">
      <c r="D601" s="31"/>
    </row>
    <row r="602" spans="4:4" x14ac:dyDescent="0.25">
      <c r="D602" s="31"/>
    </row>
    <row r="603" spans="4:4" x14ac:dyDescent="0.25">
      <c r="D603" s="31"/>
    </row>
    <row r="604" spans="4:4" x14ac:dyDescent="0.25">
      <c r="D604" s="31"/>
    </row>
    <row r="605" spans="4:4" x14ac:dyDescent="0.25">
      <c r="D605" s="31"/>
    </row>
    <row r="606" spans="4:4" x14ac:dyDescent="0.25">
      <c r="D606" s="31"/>
    </row>
    <row r="607" spans="4:4" x14ac:dyDescent="0.25">
      <c r="D607" s="31"/>
    </row>
    <row r="608" spans="4:4" x14ac:dyDescent="0.25">
      <c r="D608" s="31"/>
    </row>
    <row r="609" spans="4:4" x14ac:dyDescent="0.25">
      <c r="D609" s="31"/>
    </row>
    <row r="610" spans="4:4" x14ac:dyDescent="0.25">
      <c r="D610" s="31"/>
    </row>
    <row r="611" spans="4:4" x14ac:dyDescent="0.25">
      <c r="D611" s="31"/>
    </row>
    <row r="612" spans="4:4" x14ac:dyDescent="0.25">
      <c r="D612" s="31"/>
    </row>
    <row r="613" spans="4:4" x14ac:dyDescent="0.25">
      <c r="D613" s="31"/>
    </row>
    <row r="614" spans="4:4" x14ac:dyDescent="0.25">
      <c r="D614" s="31"/>
    </row>
    <row r="615" spans="4:4" x14ac:dyDescent="0.25">
      <c r="D615" s="31"/>
    </row>
    <row r="616" spans="4:4" x14ac:dyDescent="0.25">
      <c r="D616" s="31"/>
    </row>
    <row r="617" spans="4:4" x14ac:dyDescent="0.25">
      <c r="D617" s="31"/>
    </row>
    <row r="618" spans="4:4" x14ac:dyDescent="0.25">
      <c r="D618" s="31"/>
    </row>
    <row r="619" spans="4:4" x14ac:dyDescent="0.25">
      <c r="D619" s="31"/>
    </row>
    <row r="620" spans="4:4" x14ac:dyDescent="0.25">
      <c r="D620" s="31"/>
    </row>
    <row r="621" spans="4:4" x14ac:dyDescent="0.25">
      <c r="D621" s="31"/>
    </row>
    <row r="622" spans="4:4" x14ac:dyDescent="0.25">
      <c r="D622" s="31"/>
    </row>
    <row r="623" spans="4:4" x14ac:dyDescent="0.25">
      <c r="D623" s="31"/>
    </row>
    <row r="624" spans="4:4" x14ac:dyDescent="0.25">
      <c r="D624" s="31"/>
    </row>
    <row r="625" spans="4:4" x14ac:dyDescent="0.25">
      <c r="D625" s="31"/>
    </row>
    <row r="626" spans="4:4" x14ac:dyDescent="0.25">
      <c r="D626" s="31"/>
    </row>
    <row r="627" spans="4:4" x14ac:dyDescent="0.25">
      <c r="D627" s="31"/>
    </row>
    <row r="628" spans="4:4" x14ac:dyDescent="0.25">
      <c r="D628" s="31"/>
    </row>
    <row r="629" spans="4:4" x14ac:dyDescent="0.25">
      <c r="D629" s="31"/>
    </row>
    <row r="630" spans="4:4" x14ac:dyDescent="0.25">
      <c r="D630" s="31"/>
    </row>
    <row r="631" spans="4:4" x14ac:dyDescent="0.25">
      <c r="D631" s="31"/>
    </row>
    <row r="632" spans="4:4" x14ac:dyDescent="0.25">
      <c r="D632" s="31"/>
    </row>
    <row r="633" spans="4:4" x14ac:dyDescent="0.25">
      <c r="D633" s="31"/>
    </row>
    <row r="634" spans="4:4" x14ac:dyDescent="0.25">
      <c r="D634" s="31"/>
    </row>
    <row r="635" spans="4:4" x14ac:dyDescent="0.25">
      <c r="D635" s="31"/>
    </row>
    <row r="636" spans="4:4" x14ac:dyDescent="0.25">
      <c r="D636" s="31"/>
    </row>
    <row r="637" spans="4:4" x14ac:dyDescent="0.25">
      <c r="D637" s="31"/>
    </row>
    <row r="638" spans="4:4" x14ac:dyDescent="0.25">
      <c r="D638" s="31"/>
    </row>
    <row r="639" spans="4:4" x14ac:dyDescent="0.25">
      <c r="D639" s="31"/>
    </row>
    <row r="640" spans="4:4" x14ac:dyDescent="0.25">
      <c r="D640" s="31"/>
    </row>
    <row r="641" spans="4:4" x14ac:dyDescent="0.25">
      <c r="D641" s="31"/>
    </row>
    <row r="642" spans="4:4" x14ac:dyDescent="0.25">
      <c r="D642" s="31"/>
    </row>
    <row r="643" spans="4:4" x14ac:dyDescent="0.25">
      <c r="D643" s="31"/>
    </row>
    <row r="644" spans="4:4" x14ac:dyDescent="0.25">
      <c r="D644" s="31"/>
    </row>
    <row r="645" spans="4:4" x14ac:dyDescent="0.25">
      <c r="D645" s="31"/>
    </row>
    <row r="646" spans="4:4" x14ac:dyDescent="0.25">
      <c r="D646" s="31"/>
    </row>
    <row r="647" spans="4:4" x14ac:dyDescent="0.25">
      <c r="D647" s="31"/>
    </row>
    <row r="648" spans="4:4" x14ac:dyDescent="0.25">
      <c r="D648" s="31"/>
    </row>
    <row r="649" spans="4:4" x14ac:dyDescent="0.25">
      <c r="D649" s="31"/>
    </row>
    <row r="650" spans="4:4" x14ac:dyDescent="0.25">
      <c r="D650" s="31"/>
    </row>
    <row r="651" spans="4:4" x14ac:dyDescent="0.25">
      <c r="D651" s="31"/>
    </row>
    <row r="652" spans="4:4" x14ac:dyDescent="0.25">
      <c r="D652" s="31"/>
    </row>
    <row r="653" spans="4:4" x14ac:dyDescent="0.25">
      <c r="D653" s="31"/>
    </row>
    <row r="654" spans="4:4" x14ac:dyDescent="0.25">
      <c r="D654" s="31"/>
    </row>
    <row r="655" spans="4:4" x14ac:dyDescent="0.25">
      <c r="D655" s="31"/>
    </row>
    <row r="656" spans="4:4" x14ac:dyDescent="0.25">
      <c r="D656" s="31"/>
    </row>
    <row r="657" spans="4:4" x14ac:dyDescent="0.25">
      <c r="D657" s="31"/>
    </row>
    <row r="658" spans="4:4" x14ac:dyDescent="0.25">
      <c r="D658" s="31"/>
    </row>
    <row r="659" spans="4:4" x14ac:dyDescent="0.25">
      <c r="D659" s="31"/>
    </row>
  </sheetData>
  <sheetProtection formatCells="0" formatColumns="0" formatRows="0"/>
  <conditionalFormatting sqref="G33">
    <cfRule type="cellIs" dxfId="42" priority="93" stopIfTrue="1" operator="notEqual">
      <formula>0</formula>
    </cfRule>
  </conditionalFormatting>
  <conditionalFormatting sqref="G34">
    <cfRule type="cellIs" dxfId="41" priority="92" stopIfTrue="1" operator="notEqual">
      <formula>0</formula>
    </cfRule>
  </conditionalFormatting>
  <conditionalFormatting sqref="G51">
    <cfRule type="cellIs" dxfId="40" priority="91" stopIfTrue="1" operator="notEqual">
      <formula>0</formula>
    </cfRule>
  </conditionalFormatting>
  <conditionalFormatting sqref="G63">
    <cfRule type="cellIs" dxfId="39" priority="90" stopIfTrue="1" operator="notEqual">
      <formula>0</formula>
    </cfRule>
  </conditionalFormatting>
  <conditionalFormatting sqref="G64:G65">
    <cfRule type="cellIs" dxfId="38" priority="89" stopIfTrue="1" operator="notEqual">
      <formula>0</formula>
    </cfRule>
  </conditionalFormatting>
  <conditionalFormatting sqref="G85">
    <cfRule type="cellIs" dxfId="37" priority="88" stopIfTrue="1" operator="notEqual">
      <formula>0</formula>
    </cfRule>
  </conditionalFormatting>
  <conditionalFormatting sqref="G103">
    <cfRule type="cellIs" dxfId="36" priority="87" stopIfTrue="1" operator="notEqual">
      <formula>0</formula>
    </cfRule>
  </conditionalFormatting>
  <conditionalFormatting sqref="G114">
    <cfRule type="cellIs" dxfId="35" priority="86" stopIfTrue="1" operator="notEqual">
      <formula>0</formula>
    </cfRule>
  </conditionalFormatting>
  <conditionalFormatting sqref="G115">
    <cfRule type="cellIs" dxfId="34" priority="85" stopIfTrue="1" operator="notEqual">
      <formula>0</formula>
    </cfRule>
  </conditionalFormatting>
  <conditionalFormatting sqref="G129">
    <cfRule type="cellIs" dxfId="33" priority="84" stopIfTrue="1" operator="notEqual">
      <formula>0</formula>
    </cfRule>
  </conditionalFormatting>
  <conditionalFormatting sqref="G130">
    <cfRule type="cellIs" dxfId="32" priority="83" stopIfTrue="1" operator="notEqual">
      <formula>0</formula>
    </cfRule>
  </conditionalFormatting>
  <conditionalFormatting sqref="H184:H186">
    <cfRule type="cellIs" priority="79" stopIfTrue="1" operator="equal">
      <formula>";;;"</formula>
    </cfRule>
  </conditionalFormatting>
  <conditionalFormatting sqref="H184">
    <cfRule type="cellIs" dxfId="31" priority="78" stopIfTrue="1" operator="equal">
      <formula>0</formula>
    </cfRule>
  </conditionalFormatting>
  <conditionalFormatting sqref="H185">
    <cfRule type="cellIs" dxfId="30" priority="77" stopIfTrue="1" operator="equal">
      <formula>0</formula>
    </cfRule>
  </conditionalFormatting>
  <conditionalFormatting sqref="H186">
    <cfRule type="cellIs" dxfId="29" priority="76" stopIfTrue="1" operator="equal">
      <formula>0</formula>
    </cfRule>
  </conditionalFormatting>
  <conditionalFormatting sqref="H186">
    <cfRule type="cellIs" dxfId="28" priority="75" stopIfTrue="1" operator="equal">
      <formula>0</formula>
    </cfRule>
  </conditionalFormatting>
  <conditionalFormatting sqref="H184">
    <cfRule type="cellIs" dxfId="27" priority="74" stopIfTrue="1" operator="equal">
      <formula>0</formula>
    </cfRule>
  </conditionalFormatting>
  <conditionalFormatting sqref="G21">
    <cfRule type="cellIs" dxfId="26" priority="73" stopIfTrue="1" operator="notEqual">
      <formula>0</formula>
    </cfRule>
  </conditionalFormatting>
  <conditionalFormatting sqref="G7">
    <cfRule type="containsText" dxfId="25" priority="71" stopIfTrue="1" operator="containsText" text="Included in error count">
      <formula>NOT(ISERROR(SEARCH("Included in error count",G7)))</formula>
    </cfRule>
    <cfRule type="cellIs" dxfId="24" priority="72" stopIfTrue="1" operator="equal">
      <formula>1</formula>
    </cfRule>
  </conditionalFormatting>
  <conditionalFormatting sqref="G41">
    <cfRule type="containsText" dxfId="23" priority="69" stopIfTrue="1" operator="containsText" text="Included in error count">
      <formula>NOT(ISERROR(SEARCH("Included in error count",G41)))</formula>
    </cfRule>
    <cfRule type="cellIs" dxfId="22" priority="70" stopIfTrue="1" operator="equal">
      <formula>1</formula>
    </cfRule>
  </conditionalFormatting>
  <conditionalFormatting sqref="G72:G73">
    <cfRule type="containsText" dxfId="21" priority="67" stopIfTrue="1" operator="containsText" text="Included in error count">
      <formula>NOT(ISERROR(SEARCH("Included in error count",G72)))</formula>
    </cfRule>
    <cfRule type="cellIs" dxfId="20" priority="68" stopIfTrue="1" operator="equal">
      <formula>1</formula>
    </cfRule>
  </conditionalFormatting>
  <conditionalFormatting sqref="G74">
    <cfRule type="containsText" dxfId="19" priority="65" stopIfTrue="1" operator="containsText" text="Included in error count">
      <formula>NOT(ISERROR(SEARCH("Included in error count",G74)))</formula>
    </cfRule>
    <cfRule type="cellIs" dxfId="18" priority="66" stopIfTrue="1" operator="equal">
      <formula>1</formula>
    </cfRule>
  </conditionalFormatting>
  <conditionalFormatting sqref="G83">
    <cfRule type="containsText" dxfId="17" priority="61" stopIfTrue="1" operator="containsText" text="Included in error count">
      <formula>NOT(ISERROR(SEARCH("Included in error count",G83)))</formula>
    </cfRule>
    <cfRule type="cellIs" dxfId="16" priority="62" stopIfTrue="1" operator="equal">
      <formula>1</formula>
    </cfRule>
  </conditionalFormatting>
  <conditionalFormatting sqref="G105">
    <cfRule type="containsText" dxfId="15" priority="57" stopIfTrue="1" operator="containsText" text="Included in error count">
      <formula>NOT(ISERROR(SEARCH("Included in error count",G105)))</formula>
    </cfRule>
    <cfRule type="cellIs" dxfId="14" priority="58" stopIfTrue="1" operator="equal">
      <formula>1</formula>
    </cfRule>
  </conditionalFormatting>
  <conditionalFormatting sqref="G184">
    <cfRule type="containsText" dxfId="13" priority="46" stopIfTrue="1" operator="containsText" text="Included in error count">
      <formula>NOT(ISERROR(SEARCH("Included in error count",G184)))</formula>
    </cfRule>
    <cfRule type="cellIs" dxfId="12" priority="47" stopIfTrue="1" operator="equal">
      <formula>1</formula>
    </cfRule>
  </conditionalFormatting>
  <conditionalFormatting sqref="G185">
    <cfRule type="containsText" dxfId="11" priority="44" stopIfTrue="1" operator="containsText" text="Included in error count">
      <formula>NOT(ISERROR(SEARCH("Included in error count",G185)))</formula>
    </cfRule>
    <cfRule type="cellIs" dxfId="10" priority="45" stopIfTrue="1" operator="equal">
      <formula>1</formula>
    </cfRule>
  </conditionalFormatting>
  <conditionalFormatting sqref="G186">
    <cfRule type="containsText" dxfId="9" priority="42" stopIfTrue="1" operator="containsText" text="Included in error count">
      <formula>NOT(ISERROR(SEARCH("Included in error count",G186)))</formula>
    </cfRule>
    <cfRule type="cellIs" dxfId="8" priority="43" stopIfTrue="1" operator="equal">
      <formula>1</formula>
    </cfRule>
  </conditionalFormatting>
  <conditionalFormatting sqref="G119">
    <cfRule type="containsText" dxfId="7" priority="40" stopIfTrue="1" operator="containsText" text="Included in error count">
      <formula>NOT(ISERROR(SEARCH("Included in error count",G119)))</formula>
    </cfRule>
    <cfRule type="cellIs" dxfId="6" priority="41" stopIfTrue="1" operator="equal">
      <formula>1</formula>
    </cfRule>
  </conditionalFormatting>
  <pageMargins left="0.7" right="0.7" top="0.75" bottom="0.75" header="0.3" footer="0.3"/>
  <pageSetup scale="46" fitToHeight="0" orientation="landscape" r:id="rId1"/>
  <ignoredErrors>
    <ignoredError sqref="F7"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1"/>
  <sheetViews>
    <sheetView showGridLines="0" workbookViewId="0">
      <selection activeCell="F5" sqref="F5"/>
    </sheetView>
  </sheetViews>
  <sheetFormatPr defaultRowHeight="15" x14ac:dyDescent="0.25"/>
  <cols>
    <col min="2" max="2" width="10.42578125" bestFit="1" customWidth="1"/>
    <col min="3" max="3" width="29.85546875" customWidth="1"/>
    <col min="4" max="4" width="40.5703125" customWidth="1"/>
    <col min="5" max="5" width="3.7109375" customWidth="1"/>
    <col min="6" max="6" width="13.42578125" customWidth="1"/>
    <col min="7" max="7" width="3.5703125" customWidth="1"/>
    <col min="8" max="8" width="14.140625" customWidth="1"/>
  </cols>
  <sheetData>
    <row r="1" spans="1:8" s="68" customFormat="1" x14ac:dyDescent="0.25"/>
    <row r="2" spans="1:8" ht="54.75" customHeight="1" x14ac:dyDescent="0.25">
      <c r="A2" s="945" t="s">
        <v>119</v>
      </c>
      <c r="B2" s="945"/>
      <c r="C2" s="945"/>
      <c r="D2" s="945"/>
      <c r="E2" s="945"/>
      <c r="F2" s="120"/>
      <c r="G2" s="120"/>
      <c r="H2" s="119"/>
    </row>
    <row r="3" spans="1:8" x14ac:dyDescent="0.25">
      <c r="A3" s="68"/>
      <c r="B3" s="68"/>
      <c r="C3" s="68"/>
      <c r="D3" s="68"/>
      <c r="E3" s="68"/>
      <c r="F3" s="68"/>
      <c r="G3" s="68"/>
      <c r="H3" s="68"/>
    </row>
    <row r="4" spans="1:8" ht="15.75" x14ac:dyDescent="0.25">
      <c r="A4" s="71"/>
      <c r="B4" s="72">
        <f>'Unit Data from Audit Worksheet'!D2</f>
        <v>0</v>
      </c>
      <c r="C4" s="73"/>
      <c r="D4" s="74"/>
      <c r="E4" s="75"/>
      <c r="F4" s="78">
        <f>'Unit Data from Audit Worksheet'!F5</f>
        <v>2020</v>
      </c>
      <c r="G4" s="71"/>
      <c r="H4" s="78">
        <f>'Unit Data from Audit Worksheet'!F5</f>
        <v>2020</v>
      </c>
    </row>
    <row r="5" spans="1:8" ht="38.25" x14ac:dyDescent="0.3">
      <c r="A5" s="76"/>
      <c r="B5" s="77" t="s">
        <v>79</v>
      </c>
      <c r="C5" s="76"/>
      <c r="D5" s="76"/>
      <c r="E5" s="76"/>
      <c r="F5" s="78" t="s">
        <v>80</v>
      </c>
      <c r="G5" s="76"/>
      <c r="H5" s="79" t="s">
        <v>81</v>
      </c>
    </row>
    <row r="6" spans="1:8" x14ac:dyDescent="0.25">
      <c r="A6" s="71"/>
      <c r="B6" s="80" t="s">
        <v>82</v>
      </c>
      <c r="C6" s="71"/>
      <c r="D6" s="81"/>
      <c r="E6" s="81"/>
      <c r="F6" s="81"/>
      <c r="G6" s="81"/>
      <c r="H6" s="81"/>
    </row>
    <row r="7" spans="1:8" x14ac:dyDescent="0.25">
      <c r="A7" s="71"/>
      <c r="B7" s="81" t="s">
        <v>83</v>
      </c>
      <c r="C7" s="71"/>
      <c r="D7" s="81"/>
      <c r="E7" s="81" t="s">
        <v>36</v>
      </c>
      <c r="F7" s="82">
        <f>IMPORT!L38</f>
        <v>0</v>
      </c>
      <c r="G7" s="83"/>
      <c r="H7" s="82">
        <f>F7</f>
        <v>0</v>
      </c>
    </row>
    <row r="8" spans="1:8" ht="44.25" customHeight="1" x14ac:dyDescent="0.25">
      <c r="A8" s="71"/>
      <c r="B8" s="942" t="s">
        <v>84</v>
      </c>
      <c r="C8" s="942"/>
      <c r="D8" s="942"/>
      <c r="E8" s="81" t="s">
        <v>36</v>
      </c>
      <c r="F8" s="84">
        <f>IMPORT!L39</f>
        <v>0</v>
      </c>
      <c r="G8" s="85"/>
      <c r="H8" s="85"/>
    </row>
    <row r="9" spans="1:8" x14ac:dyDescent="0.25">
      <c r="A9" s="71"/>
      <c r="B9" s="71"/>
      <c r="C9" s="81" t="s">
        <v>244</v>
      </c>
      <c r="D9" s="71"/>
      <c r="E9" s="81" t="s">
        <v>36</v>
      </c>
      <c r="F9" s="86">
        <f>IMPORT!L43</f>
        <v>0</v>
      </c>
      <c r="G9" s="85"/>
      <c r="H9" s="86">
        <f>F9</f>
        <v>0</v>
      </c>
    </row>
    <row r="10" spans="1:8" x14ac:dyDescent="0.25">
      <c r="A10" s="71"/>
      <c r="B10" s="71"/>
      <c r="C10" s="81" t="s">
        <v>85</v>
      </c>
      <c r="D10" s="71"/>
      <c r="E10" s="81" t="s">
        <v>36</v>
      </c>
      <c r="F10" s="86">
        <f>IMPORT!L177</f>
        <v>0</v>
      </c>
      <c r="G10" s="85"/>
      <c r="H10" s="86">
        <f>F10</f>
        <v>0</v>
      </c>
    </row>
    <row r="11" spans="1:8" x14ac:dyDescent="0.25">
      <c r="A11" s="71"/>
      <c r="B11" s="71"/>
      <c r="C11" s="81" t="s">
        <v>86</v>
      </c>
      <c r="D11" s="71"/>
      <c r="E11" s="81" t="s">
        <v>36</v>
      </c>
      <c r="F11" s="87">
        <f>IMPORT!L44</f>
        <v>0</v>
      </c>
      <c r="G11" s="88"/>
      <c r="H11" s="87">
        <f>F11</f>
        <v>0</v>
      </c>
    </row>
    <row r="12" spans="1:8" x14ac:dyDescent="0.25">
      <c r="A12" s="71"/>
      <c r="B12" s="89" t="s">
        <v>87</v>
      </c>
      <c r="C12" s="90" t="s">
        <v>88</v>
      </c>
      <c r="D12" s="91"/>
      <c r="E12" s="92" t="s">
        <v>36</v>
      </c>
      <c r="F12" s="93">
        <f>F7+F8-SUM(F9:F11)</f>
        <v>0</v>
      </c>
      <c r="G12" s="94"/>
      <c r="H12" s="93">
        <f>H7+H8-SUM(H9:H11)</f>
        <v>0</v>
      </c>
    </row>
    <row r="13" spans="1:8" x14ac:dyDescent="0.25">
      <c r="A13" s="71"/>
      <c r="B13" s="71"/>
      <c r="C13" s="81"/>
      <c r="D13" s="81"/>
      <c r="E13" s="81" t="s">
        <v>36</v>
      </c>
      <c r="F13" s="81"/>
      <c r="G13" s="81"/>
      <c r="H13" s="81"/>
    </row>
    <row r="14" spans="1:8" x14ac:dyDescent="0.25">
      <c r="A14" s="71"/>
      <c r="B14" s="81" t="s">
        <v>89</v>
      </c>
      <c r="C14" s="71"/>
      <c r="D14" s="81"/>
      <c r="E14" s="81" t="s">
        <v>36</v>
      </c>
      <c r="F14" s="95">
        <f>IMPORT!L51</f>
        <v>0</v>
      </c>
      <c r="G14" s="81"/>
      <c r="H14" s="81"/>
    </row>
    <row r="15" spans="1:8" x14ac:dyDescent="0.25">
      <c r="A15" s="71"/>
      <c r="B15" s="81" t="s">
        <v>90</v>
      </c>
      <c r="C15" s="71"/>
      <c r="D15" s="81"/>
      <c r="E15" s="81" t="s">
        <v>36</v>
      </c>
      <c r="F15" s="96">
        <f>F14-F12</f>
        <v>0</v>
      </c>
      <c r="G15" s="81"/>
      <c r="H15" s="81"/>
    </row>
    <row r="16" spans="1:8" x14ac:dyDescent="0.25">
      <c r="A16" s="71"/>
      <c r="B16" s="97" t="s">
        <v>91</v>
      </c>
      <c r="C16" s="71"/>
      <c r="D16" s="81"/>
      <c r="E16" s="81"/>
      <c r="F16" s="81"/>
      <c r="G16" s="81"/>
      <c r="H16" s="81"/>
    </row>
    <row r="17" spans="1:8" x14ac:dyDescent="0.25">
      <c r="A17" s="68"/>
      <c r="B17" s="98" t="s">
        <v>92</v>
      </c>
      <c r="C17" s="81" t="s">
        <v>93</v>
      </c>
      <c r="D17" s="71"/>
      <c r="E17" s="81" t="s">
        <v>36</v>
      </c>
      <c r="F17" s="99">
        <f>IMPORT!L47</f>
        <v>0</v>
      </c>
      <c r="G17" s="81"/>
      <c r="H17" s="81"/>
    </row>
    <row r="18" spans="1:8" ht="15.75" thickBot="1" x14ac:dyDescent="0.3">
      <c r="A18" s="68"/>
      <c r="B18" s="89" t="s">
        <v>87</v>
      </c>
      <c r="C18" s="90" t="s">
        <v>94</v>
      </c>
      <c r="D18" s="91"/>
      <c r="E18" s="92" t="s">
        <v>36</v>
      </c>
      <c r="F18" s="100">
        <f>(F15-SUM(F17:F17))</f>
        <v>0</v>
      </c>
      <c r="G18" s="81"/>
      <c r="H18" s="81"/>
    </row>
    <row r="19" spans="1:8" ht="15.75" thickTop="1" x14ac:dyDescent="0.25">
      <c r="A19" s="68"/>
      <c r="B19" s="71"/>
      <c r="C19" s="81"/>
      <c r="D19" s="81"/>
      <c r="E19" s="81"/>
      <c r="F19" s="81"/>
      <c r="G19" s="81"/>
      <c r="H19" s="81"/>
    </row>
    <row r="20" spans="1:8" ht="15.75" thickBot="1" x14ac:dyDescent="0.3">
      <c r="A20" s="68"/>
      <c r="B20" s="81" t="s">
        <v>95</v>
      </c>
      <c r="C20" s="71"/>
      <c r="D20" s="81"/>
      <c r="E20" s="81" t="s">
        <v>36</v>
      </c>
      <c r="F20" s="101">
        <f>IMPORT!L46</f>
        <v>0</v>
      </c>
      <c r="G20" s="81"/>
      <c r="H20" s="81"/>
    </row>
    <row r="21" spans="1:8" ht="16.5" thickTop="1" thickBot="1" x14ac:dyDescent="0.3">
      <c r="A21" s="68"/>
      <c r="B21" s="71"/>
      <c r="C21" s="102" t="str">
        <f>IF(F18&gt;F20, "Restricted-Stabilization by State Statute understated by ",IF(F20&gt;F18, "Restricted-Stabilization by State Statute overstated by ","Restricted-Stabilization by State Statutue Reportedly Correctly. "))</f>
        <v xml:space="preserve">Restricted-Stabilization by State Statutue Reportedly Correctly. </v>
      </c>
      <c r="D21" s="71"/>
      <c r="E21" s="81" t="s">
        <v>36</v>
      </c>
      <c r="F21" s="103">
        <f>ABS(F18-F20)</f>
        <v>0</v>
      </c>
      <c r="G21" s="81"/>
      <c r="H21" s="81"/>
    </row>
    <row r="22" spans="1:8" ht="50.25" customHeight="1" thickTop="1" x14ac:dyDescent="0.25">
      <c r="A22" s="68"/>
      <c r="B22" s="71"/>
      <c r="C22" s="943" t="str">
        <f>IF(F18&gt;F20,"Since Restricted-Stabilization by State Statute was understated, verfiy that the unit did not appropriate fund balance in excess of legal amount available in row 12 above.","")</f>
        <v/>
      </c>
      <c r="D22" s="943"/>
      <c r="E22" s="943"/>
      <c r="F22" s="943"/>
      <c r="G22" s="81"/>
      <c r="H22" s="81"/>
    </row>
    <row r="23" spans="1:8" x14ac:dyDescent="0.25">
      <c r="A23" s="68"/>
      <c r="B23" s="71"/>
      <c r="C23" s="944" t="s">
        <v>96</v>
      </c>
      <c r="D23" s="81"/>
      <c r="E23" s="81"/>
      <c r="F23" s="81"/>
      <c r="G23" s="81"/>
      <c r="H23" s="104" t="s">
        <v>97</v>
      </c>
    </row>
    <row r="24" spans="1:8" x14ac:dyDescent="0.25">
      <c r="A24" s="68"/>
      <c r="B24" s="71"/>
      <c r="C24" s="944"/>
      <c r="D24" s="81"/>
      <c r="E24" s="81"/>
      <c r="F24" s="78" t="s">
        <v>98</v>
      </c>
      <c r="G24" s="81"/>
      <c r="H24" s="78" t="s">
        <v>106</v>
      </c>
    </row>
    <row r="25" spans="1:8" x14ac:dyDescent="0.25">
      <c r="A25" s="68"/>
      <c r="B25" s="71"/>
      <c r="C25" s="80" t="s">
        <v>99</v>
      </c>
      <c r="D25" s="81"/>
      <c r="E25" s="81"/>
      <c r="F25" s="81"/>
      <c r="G25" s="81"/>
      <c r="H25" s="81"/>
    </row>
    <row r="26" spans="1:8" ht="25.15" customHeight="1" x14ac:dyDescent="0.25">
      <c r="A26" s="68"/>
      <c r="B26" s="71"/>
      <c r="C26" s="81" t="s">
        <v>100</v>
      </c>
      <c r="D26" s="81"/>
      <c r="E26" s="81" t="s">
        <v>36</v>
      </c>
      <c r="F26" s="82">
        <f>IMPORT!L56</f>
        <v>0</v>
      </c>
      <c r="G26" s="83"/>
      <c r="H26" s="105">
        <f>F26</f>
        <v>0</v>
      </c>
    </row>
    <row r="27" spans="1:8" x14ac:dyDescent="0.25">
      <c r="A27" s="68"/>
      <c r="B27" s="71"/>
      <c r="C27" s="98" t="s">
        <v>101</v>
      </c>
      <c r="D27" s="81"/>
      <c r="E27" s="81"/>
      <c r="F27" s="81"/>
      <c r="G27" s="81"/>
      <c r="H27" s="81"/>
    </row>
    <row r="28" spans="1:8" x14ac:dyDescent="0.25">
      <c r="A28" s="68"/>
      <c r="B28" s="71"/>
      <c r="C28" s="81" t="s">
        <v>102</v>
      </c>
      <c r="D28" s="71"/>
      <c r="E28" s="81" t="s">
        <v>36</v>
      </c>
      <c r="F28" s="115">
        <f>IMPORT!L58</f>
        <v>0</v>
      </c>
      <c r="G28" s="85"/>
      <c r="H28" s="106">
        <f>F28</f>
        <v>0</v>
      </c>
    </row>
    <row r="29" spans="1:8" x14ac:dyDescent="0.25">
      <c r="A29" s="68"/>
      <c r="B29" s="71"/>
      <c r="C29" s="81" t="s">
        <v>103</v>
      </c>
      <c r="D29" s="71"/>
      <c r="E29" s="81" t="s">
        <v>36</v>
      </c>
      <c r="F29" s="116">
        <f>IMPORT!L59+IMPORT!L60</f>
        <v>0</v>
      </c>
      <c r="G29" s="85"/>
      <c r="H29" s="107">
        <f>F29</f>
        <v>0</v>
      </c>
    </row>
    <row r="30" spans="1:8" ht="15.75" thickBot="1" x14ac:dyDescent="0.3">
      <c r="A30" s="68"/>
      <c r="B30" s="71"/>
      <c r="C30" s="81" t="s">
        <v>104</v>
      </c>
      <c r="D30" s="81"/>
      <c r="E30" s="81" t="s">
        <v>36</v>
      </c>
      <c r="F30" s="108">
        <f>SUM(F26:F28)-F29</f>
        <v>0</v>
      </c>
      <c r="G30" s="83"/>
      <c r="H30" s="108">
        <f>SUM(H26:H28)-H29</f>
        <v>0</v>
      </c>
    </row>
    <row r="31" spans="1:8" ht="15.75" thickTop="1" x14ac:dyDescent="0.25">
      <c r="A31" s="68"/>
      <c r="B31" s="71"/>
      <c r="C31" s="81"/>
      <c r="D31" s="81"/>
      <c r="E31" s="81"/>
      <c r="F31" s="81"/>
      <c r="G31" s="81"/>
      <c r="H31" s="81"/>
    </row>
    <row r="32" spans="1:8" ht="15.75" thickBot="1" x14ac:dyDescent="0.3">
      <c r="A32" s="68"/>
      <c r="B32" s="89" t="s">
        <v>87</v>
      </c>
      <c r="C32" s="102" t="s">
        <v>105</v>
      </c>
      <c r="D32" s="109"/>
      <c r="E32" s="102" t="s">
        <v>36</v>
      </c>
      <c r="F32" s="110" t="e">
        <f>F12/F30</f>
        <v>#DIV/0!</v>
      </c>
      <c r="G32" s="81"/>
      <c r="H32" s="110" t="e">
        <f>H12/H30</f>
        <v>#DIV/0!</v>
      </c>
    </row>
    <row r="33" spans="1:8" ht="15.75" thickTop="1" x14ac:dyDescent="0.25">
      <c r="A33" s="68"/>
      <c r="B33" s="68"/>
      <c r="C33" s="81"/>
      <c r="D33" s="81"/>
      <c r="E33" s="81"/>
      <c r="F33" s="81"/>
      <c r="G33" s="81"/>
      <c r="H33" s="81"/>
    </row>
    <row r="34" spans="1:8" ht="15.75" x14ac:dyDescent="0.25">
      <c r="A34" s="113"/>
      <c r="C34" s="112"/>
    </row>
    <row r="36" spans="1:8" x14ac:dyDescent="0.25">
      <c r="F36" s="114"/>
    </row>
    <row r="37" spans="1:8" x14ac:dyDescent="0.25">
      <c r="F37" s="111"/>
    </row>
    <row r="38" spans="1:8" x14ac:dyDescent="0.25">
      <c r="F38" s="111"/>
    </row>
    <row r="39" spans="1:8" x14ac:dyDescent="0.25">
      <c r="F39" s="111"/>
    </row>
    <row r="40" spans="1:8" x14ac:dyDescent="0.25">
      <c r="F40" s="111"/>
    </row>
    <row r="41" spans="1:8" x14ac:dyDescent="0.25">
      <c r="F41" s="111"/>
    </row>
  </sheetData>
  <sheetProtection password="CEAA" sheet="1" formatCells="0" formatColumns="0" formatRows="0"/>
  <mergeCells count="4">
    <mergeCell ref="B8:D8"/>
    <mergeCell ref="C22:F22"/>
    <mergeCell ref="C23:C24"/>
    <mergeCell ref="A2:E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0B3E5-E0E3-4F34-A696-12C41D1BBE55}">
  <dimension ref="A1:O55"/>
  <sheetViews>
    <sheetView workbookViewId="0">
      <selection activeCell="E8" sqref="E8"/>
    </sheetView>
  </sheetViews>
  <sheetFormatPr defaultRowHeight="15" x14ac:dyDescent="0.25"/>
  <cols>
    <col min="1" max="1" width="41.85546875" style="609" customWidth="1"/>
    <col min="2" max="2" width="2.140625" style="609" customWidth="1"/>
    <col min="3" max="5" width="20.7109375" style="609" customWidth="1"/>
    <col min="6" max="6" width="47.5703125" style="302" customWidth="1"/>
    <col min="7" max="7" width="46.28515625" style="609" customWidth="1"/>
    <col min="8" max="8" width="9.140625" style="609"/>
    <col min="9" max="9" width="14.42578125" style="609" customWidth="1"/>
    <col min="10" max="10" width="16.5703125" style="609" customWidth="1"/>
    <col min="11" max="16384" width="9.140625" style="609"/>
  </cols>
  <sheetData>
    <row r="1" spans="1:15" ht="20.25" customHeight="1" thickBot="1" x14ac:dyDescent="0.35">
      <c r="A1" s="946">
        <f>'Unit Data from Audit Worksheet'!D2</f>
        <v>0</v>
      </c>
      <c r="B1" s="947"/>
      <c r="C1" s="947"/>
      <c r="D1" s="948"/>
      <c r="F1" s="46" t="s">
        <v>949</v>
      </c>
      <c r="G1" s="375" t="s">
        <v>950</v>
      </c>
    </row>
    <row r="2" spans="1:15" ht="21.75" customHeight="1" thickBot="1" x14ac:dyDescent="0.35">
      <c r="A2" s="949" t="e">
        <f>'Unit Data from Audit Worksheet'!D3</f>
        <v>#N/A</v>
      </c>
      <c r="B2" s="950"/>
      <c r="C2" s="950"/>
      <c r="D2" s="951"/>
      <c r="E2" s="610"/>
    </row>
    <row r="3" spans="1:15" ht="141.75" customHeight="1" x14ac:dyDescent="0.25">
      <c r="A3" s="952" t="s">
        <v>1241</v>
      </c>
      <c r="B3" s="952"/>
      <c r="C3" s="952"/>
      <c r="D3" s="952"/>
      <c r="E3" s="952"/>
      <c r="F3" s="500"/>
      <c r="G3" s="849" t="s">
        <v>1216</v>
      </c>
    </row>
    <row r="4" spans="1:15" ht="77.25" customHeight="1" x14ac:dyDescent="0.35">
      <c r="A4" s="656"/>
      <c r="C4" s="501">
        <v>2018</v>
      </c>
      <c r="D4" s="501">
        <v>2019</v>
      </c>
      <c r="E4" s="501">
        <v>2020</v>
      </c>
      <c r="F4" s="848" t="s">
        <v>1242</v>
      </c>
      <c r="G4" s="502"/>
      <c r="H4" s="502"/>
      <c r="L4" s="502"/>
      <c r="M4" s="502"/>
      <c r="N4" s="502"/>
      <c r="O4" s="502"/>
    </row>
    <row r="5" spans="1:15" ht="33" customHeight="1" x14ac:dyDescent="0.3">
      <c r="A5" s="503" t="s">
        <v>853</v>
      </c>
      <c r="C5" s="46"/>
      <c r="D5" s="46"/>
      <c r="E5" s="46"/>
      <c r="F5" s="504"/>
      <c r="G5" s="504"/>
      <c r="H5" s="504"/>
      <c r="L5" s="504"/>
      <c r="M5" s="504"/>
      <c r="N5" s="504"/>
      <c r="O5" s="504"/>
    </row>
    <row r="6" spans="1:15" ht="33" customHeight="1" thickBot="1" x14ac:dyDescent="0.35">
      <c r="A6" s="505" t="s">
        <v>854</v>
      </c>
      <c r="C6" s="506"/>
      <c r="D6" s="506"/>
      <c r="E6" s="506"/>
      <c r="F6" s="504"/>
      <c r="G6"/>
      <c r="H6"/>
      <c r="I6"/>
      <c r="J6"/>
      <c r="K6"/>
      <c r="L6" s="504"/>
      <c r="M6" s="504"/>
      <c r="N6" s="504"/>
      <c r="O6" s="504"/>
    </row>
    <row r="7" spans="1:15" ht="78" customHeight="1" x14ac:dyDescent="0.25">
      <c r="A7" s="507" t="s">
        <v>855</v>
      </c>
      <c r="B7" s="508"/>
      <c r="C7" s="509" t="e">
        <f>HLOOKUP($A$2,'2018 Data(H)'!$E$2:$CE$300,287,FALSE)</f>
        <v>#N/A</v>
      </c>
      <c r="D7" s="509" t="e">
        <f>HLOOKUP($A$2,'2019 Data(H)'!$E$2:$CE$298,289,FALSE)</f>
        <v>#N/A</v>
      </c>
      <c r="E7" s="524">
        <f>(IMPORT!L38+IMPORT!L39-IMPORT!L43-IMPORT!L44-IMPORT!L177)+IMPORT!L65</f>
        <v>0</v>
      </c>
      <c r="F7" s="46" t="s">
        <v>923</v>
      </c>
      <c r="G7"/>
      <c r="H7"/>
      <c r="I7"/>
      <c r="J7"/>
      <c r="K7"/>
      <c r="L7" s="504"/>
      <c r="M7" s="504"/>
      <c r="N7" s="504"/>
      <c r="O7" s="504"/>
    </row>
    <row r="8" spans="1:15" ht="33" customHeight="1" x14ac:dyDescent="0.25">
      <c r="A8" s="511" t="s">
        <v>943</v>
      </c>
      <c r="B8" s="57"/>
      <c r="C8" s="512" t="e">
        <f>HLOOKUP($A$2,'2018 Data(H)'!$E$2:$CE$300,288,FALSE)</f>
        <v>#N/A</v>
      </c>
      <c r="D8" s="512" t="e">
        <f>HLOOKUP($A$2,'2019 Data(H)'!$E$2:$CE$298,290,FALSE)</f>
        <v>#N/A</v>
      </c>
      <c r="E8" s="691">
        <f>+IMPORT!L56+IMPORT!L58+IMPORT!L61-IMPORT!L60-IMPORT!L59</f>
        <v>0</v>
      </c>
      <c r="F8" s="513" t="s">
        <v>966</v>
      </c>
      <c r="G8"/>
      <c r="H8"/>
      <c r="I8"/>
      <c r="J8"/>
      <c r="K8"/>
      <c r="L8" s="504"/>
      <c r="M8" s="504"/>
      <c r="N8" s="504"/>
      <c r="O8" s="504"/>
    </row>
    <row r="9" spans="1:15" ht="58.5" customHeight="1" thickBot="1" x14ac:dyDescent="0.3">
      <c r="A9" s="692" t="s">
        <v>891</v>
      </c>
      <c r="B9" s="526"/>
      <c r="C9" s="653" t="e">
        <f>HLOOKUP($A$2,'2018 Data(H)'!$E$2:$CE$300,289,FALSE)</f>
        <v>#N/A</v>
      </c>
      <c r="D9" s="653" t="e">
        <f>HLOOKUP($A$2,'2019 Data(H)'!$E$2:$CE$292,291,FALSE)</f>
        <v>#N/A</v>
      </c>
      <c r="E9" s="654" t="e">
        <f>+E7/E8</f>
        <v>#DIV/0!</v>
      </c>
      <c r="F9" s="513" t="s">
        <v>967</v>
      </c>
      <c r="G9"/>
      <c r="H9"/>
      <c r="I9"/>
      <c r="J9"/>
      <c r="K9"/>
      <c r="L9" s="504"/>
      <c r="M9" s="504"/>
      <c r="N9" s="504"/>
      <c r="O9" s="504"/>
    </row>
    <row r="10" spans="1:15" ht="45.75" customHeight="1" x14ac:dyDescent="0.25">
      <c r="A10" s="515"/>
      <c r="B10" s="56"/>
      <c r="C10" s="516"/>
      <c r="D10" s="517"/>
      <c r="E10" s="517"/>
      <c r="F10" s="504"/>
      <c r="G10"/>
      <c r="H10"/>
      <c r="I10"/>
      <c r="J10"/>
      <c r="K10"/>
      <c r="L10" s="504"/>
      <c r="M10" s="504"/>
      <c r="N10" s="504"/>
      <c r="O10" s="504"/>
    </row>
    <row r="11" spans="1:15" ht="15" customHeight="1" x14ac:dyDescent="0.25">
      <c r="A11" s="518"/>
      <c r="B11" s="518"/>
      <c r="C11" s="519"/>
      <c r="D11" s="519"/>
      <c r="E11" s="519"/>
      <c r="F11" s="655"/>
      <c r="G11" s="521"/>
      <c r="H11" s="520"/>
      <c r="I11" s="520"/>
      <c r="J11" s="520"/>
      <c r="K11" s="520"/>
      <c r="L11" s="504"/>
      <c r="M11" s="504"/>
      <c r="N11" s="504"/>
      <c r="O11" s="504"/>
    </row>
    <row r="12" spans="1:15" ht="33" customHeight="1" thickBot="1" x14ac:dyDescent="0.35">
      <c r="A12" s="505" t="s">
        <v>863</v>
      </c>
      <c r="C12" s="506"/>
      <c r="D12" s="506"/>
      <c r="E12" s="506"/>
      <c r="F12" s="504"/>
      <c r="G12" s="522"/>
      <c r="H12" s="504"/>
      <c r="I12" s="504"/>
      <c r="J12" s="504"/>
      <c r="K12" s="504"/>
      <c r="L12" s="504"/>
      <c r="M12" s="504"/>
      <c r="N12" s="504"/>
      <c r="O12" s="504"/>
    </row>
    <row r="13" spans="1:15" ht="33" customHeight="1" x14ac:dyDescent="0.25">
      <c r="A13" s="523" t="s">
        <v>856</v>
      </c>
      <c r="B13" s="508"/>
      <c r="C13" s="509" t="e">
        <f>HLOOKUP($A$2,'2018 Data(H)'!$E$2:$CE$300,292,FALSE)</f>
        <v>#N/A</v>
      </c>
      <c r="D13" s="509" t="e">
        <f>HLOOKUP($A$2,'2019 Data(H)'!$E$2:$CE$298,294,FALSE)</f>
        <v>#N/A</v>
      </c>
      <c r="E13" s="524">
        <f>+IMPORT!L72-IMPORT!L71-IMPORT!L73-IMPORT!L70</f>
        <v>0</v>
      </c>
      <c r="F13" s="538" t="s">
        <v>1038</v>
      </c>
      <c r="G13" s="522"/>
      <c r="H13" s="504"/>
      <c r="I13" s="504"/>
      <c r="J13" s="504"/>
      <c r="K13" s="657"/>
      <c r="L13" s="504"/>
      <c r="M13" s="504"/>
      <c r="N13" s="504"/>
      <c r="O13" s="504"/>
    </row>
    <row r="14" spans="1:15" ht="33" customHeight="1" thickBot="1" x14ac:dyDescent="0.3">
      <c r="A14" s="525" t="s">
        <v>857</v>
      </c>
      <c r="B14" s="526"/>
      <c r="C14" s="512" t="e">
        <f>HLOOKUP($A$2,'2018 Data(H)'!$E$2:$CE$300,31,FALSE)</f>
        <v>#N/A</v>
      </c>
      <c r="D14" s="512" t="e">
        <f>HLOOKUP($A$2,'2019 Data(H)'!$E$2:$CE$298,31,FALSE)</f>
        <v>#N/A</v>
      </c>
      <c r="E14" s="539">
        <f>+IMPORT!L76-IMPORT!L77-IMPORT!L78-IMPORT!L79-IMPORT!L80-IMPORT!L81-IMPORT!L75</f>
        <v>0</v>
      </c>
      <c r="F14" s="694" t="s">
        <v>1040</v>
      </c>
      <c r="G14" s="522"/>
      <c r="H14" s="504"/>
      <c r="I14" s="504"/>
      <c r="J14" s="527"/>
      <c r="K14" s="504"/>
      <c r="L14" s="504"/>
      <c r="M14" s="504"/>
      <c r="N14" s="504"/>
      <c r="O14" s="504"/>
    </row>
    <row r="15" spans="1:15" ht="46.5" customHeight="1" thickBot="1" x14ac:dyDescent="0.3">
      <c r="A15" s="528" t="s">
        <v>844</v>
      </c>
      <c r="B15" s="514"/>
      <c r="C15" s="529" t="e">
        <f>C13/C14</f>
        <v>#N/A</v>
      </c>
      <c r="D15" s="529" t="e">
        <f>D13/D14</f>
        <v>#N/A</v>
      </c>
      <c r="E15" s="540" t="e">
        <f>E13/E14</f>
        <v>#DIV/0!</v>
      </c>
      <c r="F15" s="538" t="s">
        <v>1053</v>
      </c>
      <c r="G15" s="530" t="s">
        <v>895</v>
      </c>
      <c r="H15" s="538"/>
      <c r="I15" s="538"/>
      <c r="J15" s="693"/>
      <c r="K15" s="504"/>
      <c r="L15" s="504"/>
      <c r="M15" s="504"/>
      <c r="N15" s="504"/>
      <c r="O15" s="504"/>
    </row>
    <row r="16" spans="1:15" ht="17.25" customHeight="1" thickBot="1" x14ac:dyDescent="0.3">
      <c r="A16" s="610"/>
      <c r="B16" s="610"/>
      <c r="C16" s="531"/>
      <c r="D16" s="531"/>
      <c r="E16" s="531"/>
      <c r="F16" s="504"/>
      <c r="G16" s="522"/>
      <c r="H16" s="504"/>
      <c r="I16" s="504"/>
      <c r="J16" s="504"/>
      <c r="K16" s="504"/>
      <c r="L16" s="504"/>
      <c r="M16" s="504"/>
      <c r="N16" s="504"/>
      <c r="O16" s="504"/>
    </row>
    <row r="17" spans="1:15" ht="46.5" customHeight="1" x14ac:dyDescent="0.25">
      <c r="A17" s="523" t="s">
        <v>858</v>
      </c>
      <c r="B17" s="508"/>
      <c r="C17" s="509" t="e">
        <f>HLOOKUP($A$2,'2018 Data(H)'!$E$2:$CE$300,37,FALSE)</f>
        <v>#N/A</v>
      </c>
      <c r="D17" s="509" t="e">
        <f>HLOOKUP($A$2,'2019 Data(H)'!$E$2:$CE$298,37,FALSE)</f>
        <v>#N/A</v>
      </c>
      <c r="E17" s="510">
        <f>+IMPORT!L131</f>
        <v>0</v>
      </c>
      <c r="F17" s="513">
        <v>51</v>
      </c>
      <c r="G17" s="530" t="s">
        <v>896</v>
      </c>
      <c r="H17" s="504"/>
      <c r="I17" s="504"/>
      <c r="J17" s="504"/>
      <c r="K17" s="504"/>
      <c r="L17" s="504"/>
      <c r="M17" s="504"/>
      <c r="N17" s="504"/>
      <c r="O17" s="504"/>
    </row>
    <row r="18" spans="1:15" ht="33" customHeight="1" thickBot="1" x14ac:dyDescent="0.3">
      <c r="A18" s="525" t="s">
        <v>859</v>
      </c>
      <c r="B18" s="526"/>
      <c r="C18" s="512" t="e">
        <f>HLOOKUP($A$2,'2018 Data(H)'!$E$2:$CE$300,290,FALSE)</f>
        <v>#N/A</v>
      </c>
      <c r="D18" s="512" t="e">
        <f>HLOOKUP($A$2,'2019 Data(H)'!$E$2:$CE$298,292,FALSE)</f>
        <v>#N/A</v>
      </c>
      <c r="E18" s="594">
        <f>+IMPORT!L133+IMPORT!L108</f>
        <v>0</v>
      </c>
      <c r="F18" s="513" t="s">
        <v>944</v>
      </c>
      <c r="G18" s="522"/>
      <c r="H18" s="504"/>
      <c r="I18" s="504"/>
      <c r="J18" s="504"/>
      <c r="K18" s="504"/>
      <c r="L18" s="504"/>
      <c r="M18" s="504"/>
      <c r="N18" s="504"/>
      <c r="O18" s="504"/>
    </row>
    <row r="19" spans="1:15" ht="41.25" customHeight="1" thickBot="1" x14ac:dyDescent="0.3">
      <c r="A19" s="528" t="s">
        <v>860</v>
      </c>
      <c r="B19" s="514"/>
      <c r="C19" s="532" t="e">
        <f>C17-C18</f>
        <v>#N/A</v>
      </c>
      <c r="D19" s="532" t="e">
        <f>+D17-D18</f>
        <v>#N/A</v>
      </c>
      <c r="E19" s="595">
        <f>E17-E18</f>
        <v>0</v>
      </c>
      <c r="F19" s="513" t="s">
        <v>1037</v>
      </c>
      <c r="G19" s="533" t="s">
        <v>962</v>
      </c>
      <c r="H19" s="504"/>
      <c r="I19" s="504"/>
      <c r="J19" s="513"/>
      <c r="K19" s="504"/>
      <c r="L19" s="504"/>
      <c r="M19" s="504"/>
      <c r="N19" s="504"/>
      <c r="O19" s="504"/>
    </row>
    <row r="20" spans="1:15" ht="16.5" customHeight="1" x14ac:dyDescent="0.25">
      <c r="A20" s="534"/>
      <c r="B20" s="534"/>
      <c r="C20" s="535"/>
      <c r="D20" s="535"/>
      <c r="E20" s="535"/>
      <c r="F20" s="536"/>
      <c r="G20" s="537"/>
      <c r="H20" s="520"/>
      <c r="I20" s="520"/>
      <c r="J20" s="520"/>
      <c r="K20" s="520"/>
      <c r="L20" s="504"/>
      <c r="M20" s="504"/>
      <c r="N20" s="504"/>
      <c r="O20" s="504"/>
    </row>
    <row r="21" spans="1:15" ht="33" customHeight="1" thickBot="1" x14ac:dyDescent="0.35">
      <c r="A21" s="505" t="s">
        <v>862</v>
      </c>
      <c r="C21" s="506"/>
      <c r="D21" s="506"/>
      <c r="E21" s="506"/>
      <c r="F21" s="504"/>
      <c r="G21" s="538"/>
      <c r="H21" s="504"/>
      <c r="I21" s="504"/>
      <c r="J21" s="504"/>
      <c r="K21" s="504"/>
      <c r="L21" s="504"/>
      <c r="M21" s="504"/>
      <c r="N21" s="504"/>
      <c r="O21" s="504"/>
    </row>
    <row r="22" spans="1:15" ht="33" customHeight="1" x14ac:dyDescent="0.25">
      <c r="A22" s="523" t="s">
        <v>856</v>
      </c>
      <c r="B22" s="508"/>
      <c r="C22" s="509" t="e">
        <f>HLOOKUP($A$2,'2018 Data(H)'!$E$2:$CE$300,33,FALSE)-HLOOKUP($A$2,'2018 Data(H)'!$E$2:$CE$300,160,FALSE)</f>
        <v>#N/A</v>
      </c>
      <c r="D22" s="509" t="e">
        <f>HLOOKUP($A$2,'2019 Data(H)'!$E$2:$CE$298,33,FALSE)-HLOOKUP($A$2,'2019 Data(H)'!$E$2:$CE$298,160,FALSE)</f>
        <v>#N/A</v>
      </c>
      <c r="E22" s="524">
        <f>+IMPORT!L90-IMPORT!L89-IMPORT!L91-IMPORT!L88</f>
        <v>0</v>
      </c>
      <c r="F22" s="538" t="s">
        <v>1039</v>
      </c>
      <c r="G22" s="522"/>
      <c r="H22" s="504"/>
      <c r="I22" s="504"/>
      <c r="J22" s="504"/>
      <c r="K22" s="504"/>
      <c r="L22" s="504"/>
      <c r="M22" s="504"/>
      <c r="N22" s="504"/>
      <c r="O22" s="504"/>
    </row>
    <row r="23" spans="1:15" ht="33" customHeight="1" thickBot="1" x14ac:dyDescent="0.3">
      <c r="A23" s="525" t="s">
        <v>857</v>
      </c>
      <c r="B23" s="526"/>
      <c r="C23" s="512" t="e">
        <f>HLOOKUP($A$2,'2018 Data(H)'!$E$2:$CE$300,34,FALSE)</f>
        <v>#N/A</v>
      </c>
      <c r="D23" s="512" t="e">
        <f>HLOOKUP($A$2,'2019 Data(H)'!$E$2:$CE$298,34,FALSE)</f>
        <v>#N/A</v>
      </c>
      <c r="E23" s="539">
        <f>+IMPORT!L95-IMPORT!L96-IMPORT!L97-IMPORT!L98-IMPORT!L99-IMPORT!L100-IMPORT!L94</f>
        <v>0</v>
      </c>
      <c r="F23" s="694" t="s">
        <v>984</v>
      </c>
      <c r="G23" s="522"/>
      <c r="H23" s="504"/>
      <c r="I23" s="504"/>
      <c r="J23" s="513"/>
      <c r="K23" s="504"/>
      <c r="L23" s="504"/>
      <c r="M23" s="504"/>
      <c r="N23" s="504"/>
      <c r="O23" s="504"/>
    </row>
    <row r="24" spans="1:15" ht="41.25" customHeight="1" thickBot="1" x14ac:dyDescent="0.3">
      <c r="A24" s="528" t="s">
        <v>844</v>
      </c>
      <c r="B24" s="514"/>
      <c r="C24" s="529" t="e">
        <f>C22/C23</f>
        <v>#N/A</v>
      </c>
      <c r="D24" s="529" t="e">
        <f>D22/D23</f>
        <v>#N/A</v>
      </c>
      <c r="E24" s="540" t="e">
        <f>E22/E23</f>
        <v>#DIV/0!</v>
      </c>
      <c r="F24" s="538" t="s">
        <v>1054</v>
      </c>
      <c r="G24" s="530" t="s">
        <v>895</v>
      </c>
      <c r="H24" s="538"/>
      <c r="I24" s="538"/>
      <c r="J24" s="538"/>
      <c r="K24" s="504"/>
      <c r="L24" s="504"/>
      <c r="M24" s="504"/>
      <c r="N24" s="504"/>
      <c r="O24" s="504"/>
    </row>
    <row r="25" spans="1:15" ht="17.25" customHeight="1" thickBot="1" x14ac:dyDescent="0.3">
      <c r="A25" s="610"/>
      <c r="B25" s="610"/>
      <c r="C25" s="531"/>
      <c r="D25" s="531"/>
      <c r="E25" s="531"/>
      <c r="F25" s="504"/>
      <c r="G25" s="522"/>
      <c r="H25" s="504"/>
      <c r="I25" s="504"/>
      <c r="J25" s="504"/>
      <c r="K25" s="504"/>
      <c r="L25" s="504"/>
      <c r="M25" s="504"/>
      <c r="N25" s="504"/>
      <c r="O25" s="504"/>
    </row>
    <row r="26" spans="1:15" ht="48.75" customHeight="1" x14ac:dyDescent="0.25">
      <c r="A26" s="523" t="s">
        <v>858</v>
      </c>
      <c r="B26" s="508"/>
      <c r="C26" s="509" t="e">
        <f>HLOOKUP($A$2,'2018 Data(H)'!$E$2:$CE$300,41,FALSE)</f>
        <v>#N/A</v>
      </c>
      <c r="D26" s="509" t="e">
        <f>HLOOKUP($A$2,'2019 Data(H)'!$E$2:$CE$298,41,FALSE)</f>
        <v>#N/A</v>
      </c>
      <c r="E26" s="510">
        <f>+IMPORT!L134</f>
        <v>0</v>
      </c>
      <c r="F26" s="513">
        <v>55</v>
      </c>
      <c r="G26" s="530" t="s">
        <v>896</v>
      </c>
      <c r="H26" s="504"/>
      <c r="I26" s="504"/>
      <c r="J26" s="504"/>
      <c r="K26" s="504"/>
      <c r="L26" s="504"/>
      <c r="M26" s="504"/>
      <c r="N26" s="504"/>
      <c r="O26" s="504"/>
    </row>
    <row r="27" spans="1:15" ht="33" customHeight="1" thickBot="1" x14ac:dyDescent="0.3">
      <c r="A27" s="525" t="s">
        <v>859</v>
      </c>
      <c r="B27" s="526"/>
      <c r="C27" s="512" t="e">
        <f>HLOOKUP($A$2,'2018 Data(H)'!$E$2:$CE$300,291,FALSE)</f>
        <v>#N/A</v>
      </c>
      <c r="D27" s="512" t="e">
        <f>HLOOKUP($A$2,'2019 Data(H)'!$E$2:$CE$298,293,FALSE)</f>
        <v>#N/A</v>
      </c>
      <c r="E27" s="594">
        <f>+IMPORT!L136+IMPORT!L123</f>
        <v>0</v>
      </c>
      <c r="F27" s="513" t="s">
        <v>937</v>
      </c>
      <c r="G27" s="522"/>
      <c r="H27" s="504"/>
      <c r="I27" s="504"/>
      <c r="J27" s="504"/>
      <c r="K27" s="504"/>
      <c r="L27" s="504"/>
      <c r="M27" s="504"/>
      <c r="N27" s="504"/>
      <c r="O27" s="504"/>
    </row>
    <row r="28" spans="1:15" ht="33" customHeight="1" thickBot="1" x14ac:dyDescent="0.3">
      <c r="A28" s="528" t="s">
        <v>860</v>
      </c>
      <c r="B28" s="514"/>
      <c r="C28" s="532" t="e">
        <f>C26-C27</f>
        <v>#N/A</v>
      </c>
      <c r="D28" s="532" t="e">
        <f>D26-D27</f>
        <v>#N/A</v>
      </c>
      <c r="E28" s="595">
        <f>E26-E27</f>
        <v>0</v>
      </c>
      <c r="F28" s="513" t="s">
        <v>938</v>
      </c>
      <c r="G28" s="533" t="s">
        <v>962</v>
      </c>
      <c r="H28" s="504"/>
      <c r="I28" s="504"/>
      <c r="J28" s="504"/>
      <c r="K28" s="504"/>
      <c r="L28" s="504"/>
      <c r="M28" s="504"/>
      <c r="N28" s="504"/>
      <c r="O28" s="504"/>
    </row>
    <row r="29" spans="1:15" ht="10.5" customHeight="1" x14ac:dyDescent="0.25">
      <c r="A29" s="199"/>
      <c r="B29" s="199"/>
      <c r="C29" s="541"/>
      <c r="D29" s="541"/>
      <c r="E29" s="541"/>
      <c r="F29" s="504"/>
      <c r="G29" s="707"/>
      <c r="H29" s="504"/>
      <c r="I29" s="504"/>
      <c r="J29" s="504"/>
      <c r="K29" s="504"/>
      <c r="L29" s="504"/>
      <c r="M29" s="504"/>
      <c r="N29" s="504"/>
      <c r="O29" s="504"/>
    </row>
    <row r="30" spans="1:15" ht="33" customHeight="1" x14ac:dyDescent="0.25">
      <c r="A30" s="56"/>
      <c r="B30" s="57"/>
      <c r="C30" s="542"/>
      <c r="D30" s="542"/>
      <c r="E30" s="542"/>
      <c r="F30" s="504"/>
      <c r="G30" s="504"/>
      <c r="H30" s="504"/>
      <c r="I30" s="504"/>
      <c r="J30" s="504"/>
      <c r="K30" s="504"/>
      <c r="L30" s="504"/>
      <c r="M30" s="504"/>
      <c r="N30" s="504"/>
      <c r="O30" s="504"/>
    </row>
    <row r="31" spans="1:15" ht="82.5" customHeight="1" x14ac:dyDescent="0.35">
      <c r="A31" s="503" t="s">
        <v>861</v>
      </c>
      <c r="B31" s="57"/>
      <c r="C31" s="501">
        <v>2018</v>
      </c>
      <c r="D31" s="501">
        <v>2019</v>
      </c>
      <c r="E31" s="501">
        <v>2020</v>
      </c>
      <c r="F31" s="44"/>
      <c r="G31" s="504"/>
      <c r="H31" s="504"/>
      <c r="I31" s="504"/>
      <c r="J31" s="504"/>
      <c r="K31" s="504"/>
      <c r="L31" s="504"/>
      <c r="M31" s="504"/>
      <c r="N31" s="504"/>
      <c r="O31" s="504"/>
    </row>
    <row r="32" spans="1:15" ht="18.75" x14ac:dyDescent="0.3">
      <c r="A32" s="543" t="s">
        <v>837</v>
      </c>
    </row>
    <row r="33" spans="1:12" x14ac:dyDescent="0.25">
      <c r="A33" s="22" t="s">
        <v>842</v>
      </c>
      <c r="C33" s="544" t="e">
        <f>HLOOKUP($A$2,'2018 Data(H)'!$E$2:$CE$297,155,FALSE)+HLOOKUP($A$2,'2018 Data(H)'!$E$2:$CE$297,185,FALSE)</f>
        <v>#N/A</v>
      </c>
      <c r="D33" s="544" t="e">
        <f>HLOOKUP($A$2,'2019 Data(H)'!$E$2:$CE$297,155,FALSE)+HLOOKUP($A$2,'2019 Data(H)'!$E$2:$CE$297,185,FALSE)</f>
        <v>#N/A</v>
      </c>
      <c r="E33" s="545">
        <f>+IMPORT!L38+IMPORT!L39</f>
        <v>0</v>
      </c>
      <c r="F33" s="546" t="s">
        <v>845</v>
      </c>
      <c r="G33" s="302"/>
      <c r="H33" s="547"/>
      <c r="I33" s="547"/>
      <c r="J33" s="302"/>
      <c r="K33" s="302"/>
      <c r="L33" s="302"/>
    </row>
    <row r="34" spans="1:12" x14ac:dyDescent="0.25">
      <c r="A34" s="22" t="s">
        <v>843</v>
      </c>
      <c r="C34" s="544" t="e">
        <f>HLOOKUP($A$2,'2018 Data(H)'!$E$2:$CE$297,6,FALSE)</f>
        <v>#N/A</v>
      </c>
      <c r="D34" s="544" t="e">
        <f>HLOOKUP($A$2,'2019 Data(H)'!$E$2:$CE$297,6,FALSE)</f>
        <v>#N/A</v>
      </c>
      <c r="E34" s="545">
        <f>+IMPORT!L51</f>
        <v>0</v>
      </c>
      <c r="F34" s="302">
        <v>9</v>
      </c>
      <c r="G34" s="302"/>
      <c r="H34" s="302"/>
      <c r="I34" s="302"/>
      <c r="J34" s="302"/>
      <c r="K34" s="302"/>
      <c r="L34" s="302"/>
    </row>
    <row r="35" spans="1:12" x14ac:dyDescent="0.25">
      <c r="A35" s="609" t="s">
        <v>836</v>
      </c>
      <c r="C35" s="544" t="e">
        <f>HLOOKUP($A$2,'2018 Data(H)'!$E$2:$CE$297,11,FALSE)</f>
        <v>#N/A</v>
      </c>
      <c r="D35" s="544" t="e">
        <f>HLOOKUP($A$2,'2019 Data(H)'!$E$2:$CE$297,11,FALSE)</f>
        <v>#N/A</v>
      </c>
      <c r="E35" s="545">
        <f>+IMPORT!L54</f>
        <v>0</v>
      </c>
      <c r="F35" s="302">
        <v>16</v>
      </c>
      <c r="G35" s="302"/>
      <c r="H35" s="302"/>
      <c r="I35" s="302"/>
      <c r="J35" s="302"/>
      <c r="K35" s="302"/>
      <c r="L35" s="302"/>
    </row>
    <row r="36" spans="1:12" x14ac:dyDescent="0.25">
      <c r="A36" s="609" t="s">
        <v>838</v>
      </c>
      <c r="C36" s="544" t="e">
        <f>HLOOKUP($A$2,'2018 Data(H)'!$E$2:$CE$297,181,FALSE)</f>
        <v>#N/A</v>
      </c>
      <c r="D36" s="544" t="e">
        <f>HLOOKUP($A$2,'2019 Data(H)'!$E$2:$CE$297,181,FALSE)</f>
        <v>#N/A</v>
      </c>
      <c r="E36" s="545">
        <f>+IMPORT!L56</f>
        <v>0</v>
      </c>
      <c r="F36" s="302">
        <v>532</v>
      </c>
      <c r="G36" s="302"/>
      <c r="H36" s="302"/>
      <c r="I36" s="302"/>
      <c r="J36" s="302"/>
      <c r="K36" s="302"/>
      <c r="L36" s="302"/>
    </row>
    <row r="37" spans="1:12" x14ac:dyDescent="0.25">
      <c r="A37" s="609" t="s">
        <v>840</v>
      </c>
      <c r="C37" s="544" t="e">
        <f>HLOOKUP($A$2,'2018 Data(H)'!$E$2:$CE$297,12,FALSE)</f>
        <v>#N/A</v>
      </c>
      <c r="D37" s="544" t="e">
        <f>HLOOKUP($A$2,'2019 Data(H)'!$E$2:$CE$297,12,FALSE)</f>
        <v>#N/A</v>
      </c>
      <c r="E37" s="545">
        <f>+IMPORT!L57</f>
        <v>0</v>
      </c>
      <c r="F37" s="302">
        <v>17</v>
      </c>
      <c r="G37" s="302"/>
      <c r="H37" s="302"/>
      <c r="I37" s="302"/>
      <c r="J37" s="302"/>
      <c r="K37" s="302"/>
      <c r="L37" s="302"/>
    </row>
    <row r="38" spans="1:12" x14ac:dyDescent="0.25">
      <c r="A38" s="609" t="s">
        <v>841</v>
      </c>
      <c r="C38" s="544" t="e">
        <f>HLOOKUP($A$2,'2018 Data(H)'!$E$2:$CE$297,14,FALSE)</f>
        <v>#N/A</v>
      </c>
      <c r="D38" s="544" t="e">
        <f>HLOOKUP($A$2,'2019 Data(H)'!$E$2:$CE$297,14,FALSE)</f>
        <v>#N/A</v>
      </c>
      <c r="E38" s="545">
        <f>+IMPORT!L58</f>
        <v>0</v>
      </c>
      <c r="F38" s="302">
        <v>20</v>
      </c>
      <c r="G38" s="302"/>
      <c r="H38" s="302"/>
      <c r="I38" s="302"/>
      <c r="J38" s="302"/>
      <c r="K38" s="302"/>
      <c r="L38" s="302"/>
    </row>
    <row r="39" spans="1:12" x14ac:dyDescent="0.25">
      <c r="A39" s="609" t="s">
        <v>839</v>
      </c>
      <c r="C39" s="544" t="e">
        <f>HLOOKUP($A$2,'2018 Data(H)'!$E$2:$CE$297,17,FALSE)</f>
        <v>#N/A</v>
      </c>
      <c r="D39" s="544" t="e">
        <f>HLOOKUP($A$2,'2019 Data(H)'!$E$2:$CE$297,17,FALSE)</f>
        <v>#N/A</v>
      </c>
      <c r="E39" s="545">
        <f>+IMPORT!L63</f>
        <v>0</v>
      </c>
      <c r="F39" s="302">
        <v>23</v>
      </c>
      <c r="G39" s="302"/>
      <c r="H39" s="302"/>
      <c r="I39" s="302"/>
      <c r="J39" s="302"/>
      <c r="K39" s="302"/>
      <c r="L39" s="302"/>
    </row>
    <row r="40" spans="1:12" x14ac:dyDescent="0.25">
      <c r="C40" s="548"/>
      <c r="D40" s="548"/>
      <c r="E40" s="545"/>
    </row>
    <row r="41" spans="1:12" x14ac:dyDescent="0.25">
      <c r="C41" s="548"/>
      <c r="D41" s="548"/>
      <c r="E41" s="545"/>
    </row>
    <row r="42" spans="1:12" ht="18.75" x14ac:dyDescent="0.3">
      <c r="A42" s="543" t="s">
        <v>847</v>
      </c>
      <c r="C42" s="548"/>
      <c r="D42" s="548"/>
      <c r="E42" s="545"/>
    </row>
    <row r="43" spans="1:12" x14ac:dyDescent="0.25">
      <c r="A43" s="22" t="s">
        <v>848</v>
      </c>
      <c r="C43" s="544" t="e">
        <f>HLOOKUP($A$2,'2018 Data(H)'!$E$2:$CE$297,47,FALSE)</f>
        <v>#N/A</v>
      </c>
      <c r="D43" s="544" t="e">
        <f>HLOOKUP($A$2,'2019 Data(H)'!$E$2:$CE$297,47,FALSE)</f>
        <v>#N/A</v>
      </c>
      <c r="E43" s="596">
        <f>+IMPORT!L105</f>
        <v>0</v>
      </c>
      <c r="F43" s="302">
        <v>84</v>
      </c>
    </row>
    <row r="44" spans="1:12" x14ac:dyDescent="0.25">
      <c r="A44" s="22" t="s">
        <v>849</v>
      </c>
      <c r="C44" s="544" t="e">
        <f>HLOOKUP($A$2,'2018 Data(H)'!$E$2:$CE$297,48,FALSE)</f>
        <v>#N/A</v>
      </c>
      <c r="D44" s="544" t="e">
        <f>HLOOKUP($A$2,'2019 Data(H)'!$E$2:$CE$297,48,FALSE)</f>
        <v>#N/A</v>
      </c>
      <c r="E44" s="596">
        <f>+IMPORT!L107</f>
        <v>0</v>
      </c>
      <c r="F44" s="302">
        <v>85</v>
      </c>
    </row>
    <row r="45" spans="1:12" x14ac:dyDescent="0.25">
      <c r="A45" s="22" t="s">
        <v>850</v>
      </c>
      <c r="C45" s="544" t="e">
        <f>C43-C44</f>
        <v>#N/A</v>
      </c>
      <c r="D45" s="544" t="e">
        <f>+D43-D44</f>
        <v>#N/A</v>
      </c>
      <c r="E45" s="596">
        <f>+E43-E44</f>
        <v>0</v>
      </c>
      <c r="F45" s="302" t="s">
        <v>851</v>
      </c>
    </row>
    <row r="46" spans="1:12" x14ac:dyDescent="0.25">
      <c r="A46" s="22" t="s">
        <v>963</v>
      </c>
      <c r="C46" s="839" t="e">
        <f>HLOOKUP($A$2,'2018 Data(H)'!$E$2:$CE$297,293,FALSE)</f>
        <v>#N/A</v>
      </c>
      <c r="D46" s="839" t="e">
        <f>HLOOKUP($A$2,'2019 Data(H)'!$E$2:$CE$297,295,FALSE)</f>
        <v>#N/A</v>
      </c>
      <c r="E46" s="839" t="e">
        <f>+IMPORT!L69*365/IMPORT!L104</f>
        <v>#DIV/0!</v>
      </c>
      <c r="F46" s="302" t="s">
        <v>947</v>
      </c>
      <c r="G46" s="549"/>
    </row>
    <row r="47" spans="1:12" x14ac:dyDescent="0.25">
      <c r="C47" s="548"/>
      <c r="D47" s="548"/>
      <c r="E47" s="545"/>
    </row>
    <row r="48" spans="1:12" ht="18.75" x14ac:dyDescent="0.3">
      <c r="A48" s="543" t="s">
        <v>846</v>
      </c>
      <c r="C48" s="548"/>
      <c r="D48" s="548"/>
      <c r="E48" s="545"/>
    </row>
    <row r="49" spans="1:7" x14ac:dyDescent="0.25">
      <c r="A49" s="22" t="s">
        <v>848</v>
      </c>
      <c r="C49" s="544" t="e">
        <f>HLOOKUP($A$2,'2018 Data(H)'!$E$2:$CE$297,54,FALSE)</f>
        <v>#N/A</v>
      </c>
      <c r="D49" s="544" t="e">
        <f>HLOOKUP($A$2,'2019 Data(H)'!$E$2:$CE$297,54,FALSE)</f>
        <v>#N/A</v>
      </c>
      <c r="E49" s="545">
        <f>+IMPORT!L119</f>
        <v>0</v>
      </c>
      <c r="F49" s="302">
        <v>93</v>
      </c>
    </row>
    <row r="50" spans="1:7" x14ac:dyDescent="0.25">
      <c r="A50" s="22" t="s">
        <v>849</v>
      </c>
      <c r="C50" s="544" t="e">
        <f>HLOOKUP($A$2,'2018 Data(H)'!$E$2:$CE$297,55,FALSE)</f>
        <v>#N/A</v>
      </c>
      <c r="D50" s="544" t="e">
        <f>HLOOKUP($A$2,'2019 Data(H)'!$E$2:$CE$297,55,FALSE)</f>
        <v>#N/A</v>
      </c>
      <c r="E50" s="545">
        <f>+IMPORT!L122</f>
        <v>0</v>
      </c>
      <c r="F50" s="302">
        <v>94</v>
      </c>
    </row>
    <row r="51" spans="1:7" x14ac:dyDescent="0.25">
      <c r="A51" s="22" t="s">
        <v>850</v>
      </c>
      <c r="C51" s="544" t="e">
        <f>+C49-C50</f>
        <v>#N/A</v>
      </c>
      <c r="D51" s="544" t="e">
        <f>+D49-D50</f>
        <v>#N/A</v>
      </c>
      <c r="E51" s="545">
        <f>+E49-E50</f>
        <v>0</v>
      </c>
      <c r="F51" s="302" t="s">
        <v>852</v>
      </c>
    </row>
    <row r="52" spans="1:7" x14ac:dyDescent="0.25">
      <c r="A52" s="22" t="s">
        <v>963</v>
      </c>
      <c r="C52" s="839" t="e">
        <f>HLOOKUP($A$2,'2018 Data(H)'!$E$2:$CE$297,294,FALSE)</f>
        <v>#N/A</v>
      </c>
      <c r="D52" s="839" t="e">
        <f>HLOOKUP($A$2,'2019 Data(H)'!$E$2:$CE$297,296,FALSE)</f>
        <v>#N/A</v>
      </c>
      <c r="E52" s="840" t="e">
        <f>+IMPORT!L87*365/IMPORT!L118</f>
        <v>#DIV/0!</v>
      </c>
      <c r="F52" s="302" t="s">
        <v>948</v>
      </c>
      <c r="G52" s="549"/>
    </row>
    <row r="55" spans="1:7" ht="16.5" customHeight="1" x14ac:dyDescent="0.25">
      <c r="A55" s="3"/>
      <c r="B55" s="3"/>
      <c r="C55" s="3"/>
      <c r="D55" s="3"/>
      <c r="E55" s="3"/>
      <c r="F55" s="3"/>
    </row>
  </sheetData>
  <sheetProtection password="CEAA" sheet="1" objects="1" scenarios="1"/>
  <mergeCells count="3">
    <mergeCell ref="A1:D1"/>
    <mergeCell ref="A2:D2"/>
    <mergeCell ref="A3:E3"/>
  </mergeCells>
  <phoneticPr fontId="97"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AC20D-573D-4CAC-BFD0-B45CD70D0C16}">
  <dimension ref="A1:H53"/>
  <sheetViews>
    <sheetView workbookViewId="0">
      <selection activeCell="C11" sqref="C11"/>
    </sheetView>
  </sheetViews>
  <sheetFormatPr defaultRowHeight="15" x14ac:dyDescent="0.25"/>
  <cols>
    <col min="1" max="1" width="36.7109375" style="635" customWidth="1"/>
    <col min="2" max="2" width="12.7109375" style="635" customWidth="1"/>
    <col min="3" max="3" width="57.5703125" style="635" customWidth="1"/>
    <col min="4" max="4" width="35" style="635" customWidth="1"/>
    <col min="5" max="5" width="66.7109375" style="659" customWidth="1"/>
    <col min="6" max="6" width="2.140625" style="659" customWidth="1"/>
    <col min="7" max="7" width="9.140625" style="635"/>
    <col min="8" max="8" width="34.28515625" style="635" customWidth="1"/>
    <col min="9" max="16384" width="9.140625" style="635"/>
  </cols>
  <sheetData>
    <row r="1" spans="1:7" s="633" customFormat="1" ht="63.75" customHeight="1" x14ac:dyDescent="0.3">
      <c r="B1" s="953" t="s">
        <v>1068</v>
      </c>
      <c r="C1" s="953"/>
      <c r="D1" s="953"/>
      <c r="E1" s="953"/>
      <c r="F1" s="703"/>
    </row>
    <row r="2" spans="1:7" ht="30" x14ac:dyDescent="0.25">
      <c r="B2" s="659" t="s">
        <v>1055</v>
      </c>
      <c r="C2" s="367" t="s">
        <v>1056</v>
      </c>
      <c r="D2" s="367" t="s">
        <v>968</v>
      </c>
      <c r="E2" s="659" t="s">
        <v>969</v>
      </c>
      <c r="G2" s="659"/>
    </row>
    <row r="3" spans="1:7" x14ac:dyDescent="0.25">
      <c r="B3" s="659"/>
      <c r="C3" s="367"/>
      <c r="D3" s="367"/>
      <c r="G3" s="659"/>
    </row>
    <row r="4" spans="1:7" ht="136.5" x14ac:dyDescent="0.35">
      <c r="A4" s="632" t="s">
        <v>1057</v>
      </c>
      <c r="B4" s="630">
        <v>336</v>
      </c>
      <c r="C4" s="704" t="s">
        <v>1058</v>
      </c>
      <c r="D4" s="704" t="s">
        <v>1059</v>
      </c>
      <c r="G4" s="659"/>
    </row>
    <row r="5" spans="1:7" x14ac:dyDescent="0.25">
      <c r="D5" s="696">
        <v>626</v>
      </c>
      <c r="E5" s="697" t="s">
        <v>972</v>
      </c>
      <c r="G5" s="659"/>
    </row>
    <row r="6" spans="1:7" x14ac:dyDescent="0.25">
      <c r="D6" s="696">
        <v>627</v>
      </c>
      <c r="E6" s="697" t="s">
        <v>973</v>
      </c>
      <c r="G6" s="659"/>
    </row>
    <row r="7" spans="1:7" x14ac:dyDescent="0.25">
      <c r="D7" s="696">
        <v>628</v>
      </c>
      <c r="E7" s="697" t="s">
        <v>974</v>
      </c>
      <c r="G7" s="659"/>
    </row>
    <row r="8" spans="1:7" x14ac:dyDescent="0.25">
      <c r="D8" s="696">
        <v>629</v>
      </c>
      <c r="E8" s="697" t="s">
        <v>975</v>
      </c>
      <c r="G8" s="659"/>
    </row>
    <row r="9" spans="1:7" x14ac:dyDescent="0.25">
      <c r="D9" s="696">
        <v>630</v>
      </c>
      <c r="E9" s="697" t="s">
        <v>976</v>
      </c>
      <c r="G9" s="659"/>
    </row>
    <row r="10" spans="1:7" x14ac:dyDescent="0.25">
      <c r="D10" s="696">
        <v>631</v>
      </c>
      <c r="E10" s="697" t="s">
        <v>977</v>
      </c>
      <c r="G10" s="659"/>
    </row>
    <row r="11" spans="1:7" x14ac:dyDescent="0.25">
      <c r="G11" s="659"/>
    </row>
    <row r="12" spans="1:7" ht="90" x14ac:dyDescent="0.35">
      <c r="A12" s="630" t="s">
        <v>978</v>
      </c>
      <c r="C12" s="635" t="s">
        <v>979</v>
      </c>
      <c r="D12" s="696">
        <v>647</v>
      </c>
      <c r="E12" s="698" t="s">
        <v>980</v>
      </c>
      <c r="G12" s="659"/>
    </row>
    <row r="13" spans="1:7" ht="21" x14ac:dyDescent="0.35">
      <c r="A13" s="630"/>
      <c r="D13" s="696"/>
      <c r="E13" s="698"/>
      <c r="G13" s="659"/>
    </row>
    <row r="14" spans="1:7" ht="61.5" x14ac:dyDescent="0.35">
      <c r="A14" s="632" t="s">
        <v>1060</v>
      </c>
      <c r="B14" s="630">
        <v>44</v>
      </c>
      <c r="C14" s="659" t="s">
        <v>970</v>
      </c>
      <c r="D14" s="705" t="s">
        <v>1061</v>
      </c>
    </row>
    <row r="15" spans="1:7" x14ac:dyDescent="0.25">
      <c r="D15" s="635">
        <v>654</v>
      </c>
      <c r="E15" s="659" t="s">
        <v>971</v>
      </c>
    </row>
    <row r="16" spans="1:7" ht="30" x14ac:dyDescent="0.25">
      <c r="D16" s="635">
        <v>655</v>
      </c>
      <c r="E16" s="659" t="s">
        <v>1062</v>
      </c>
    </row>
    <row r="17" spans="1:6" ht="45" x14ac:dyDescent="0.25">
      <c r="D17" s="635">
        <v>579</v>
      </c>
      <c r="E17" s="699" t="s">
        <v>655</v>
      </c>
    </row>
    <row r="18" spans="1:6" x14ac:dyDescent="0.25">
      <c r="D18" s="635">
        <v>510</v>
      </c>
      <c r="E18" s="697" t="s">
        <v>613</v>
      </c>
    </row>
    <row r="21" spans="1:6" ht="196.5" x14ac:dyDescent="0.35">
      <c r="A21" s="632" t="s">
        <v>1063</v>
      </c>
      <c r="B21" s="630">
        <v>45</v>
      </c>
      <c r="C21" s="659" t="s">
        <v>981</v>
      </c>
      <c r="D21" s="635" t="s">
        <v>982</v>
      </c>
    </row>
    <row r="22" spans="1:6" x14ac:dyDescent="0.25">
      <c r="D22" s="696">
        <v>633</v>
      </c>
      <c r="E22" s="697" t="s">
        <v>874</v>
      </c>
      <c r="F22" s="697"/>
    </row>
    <row r="23" spans="1:6" x14ac:dyDescent="0.25">
      <c r="D23" s="696">
        <v>634</v>
      </c>
      <c r="E23" s="697" t="s">
        <v>875</v>
      </c>
      <c r="F23" s="697"/>
    </row>
    <row r="24" spans="1:6" x14ac:dyDescent="0.25">
      <c r="D24" s="696">
        <v>635</v>
      </c>
      <c r="E24" s="697" t="s">
        <v>876</v>
      </c>
      <c r="F24" s="697"/>
    </row>
    <row r="25" spans="1:6" x14ac:dyDescent="0.25">
      <c r="D25" s="696">
        <v>636</v>
      </c>
      <c r="E25" s="697" t="s">
        <v>871</v>
      </c>
      <c r="F25" s="697"/>
    </row>
    <row r="26" spans="1:6" x14ac:dyDescent="0.25">
      <c r="D26" s="700">
        <v>637</v>
      </c>
      <c r="E26" s="697" t="s">
        <v>872</v>
      </c>
      <c r="F26" s="697"/>
    </row>
    <row r="27" spans="1:6" x14ac:dyDescent="0.25">
      <c r="D27" s="700">
        <v>638</v>
      </c>
      <c r="E27" s="697" t="s">
        <v>877</v>
      </c>
      <c r="F27" s="697"/>
    </row>
    <row r="28" spans="1:6" x14ac:dyDescent="0.25">
      <c r="D28" s="696">
        <v>578</v>
      </c>
      <c r="E28" s="697" t="s">
        <v>743</v>
      </c>
      <c r="F28" s="697"/>
    </row>
    <row r="32" spans="1:6" ht="29.25" customHeight="1" x14ac:dyDescent="0.35">
      <c r="A32" s="633" t="s">
        <v>1064</v>
      </c>
      <c r="B32" s="630">
        <v>47</v>
      </c>
      <c r="C32" s="659" t="s">
        <v>993</v>
      </c>
      <c r="D32" s="635" t="s">
        <v>1065</v>
      </c>
    </row>
    <row r="33" spans="1:8" x14ac:dyDescent="0.25">
      <c r="D33" s="635">
        <v>657</v>
      </c>
      <c r="E33" s="635" t="s">
        <v>993</v>
      </c>
      <c r="H33" s="695"/>
    </row>
    <row r="34" spans="1:8" ht="30" x14ac:dyDescent="0.25">
      <c r="D34" s="635">
        <v>658</v>
      </c>
      <c r="E34" s="697" t="s">
        <v>989</v>
      </c>
    </row>
    <row r="35" spans="1:8" ht="45" x14ac:dyDescent="0.25">
      <c r="D35" s="635">
        <v>581</v>
      </c>
      <c r="E35" s="699" t="s">
        <v>1066</v>
      </c>
    </row>
    <row r="36" spans="1:8" x14ac:dyDescent="0.25">
      <c r="E36" s="697"/>
    </row>
    <row r="41" spans="1:8" ht="181.5" x14ac:dyDescent="0.35">
      <c r="A41" s="633" t="s">
        <v>1067</v>
      </c>
      <c r="B41" s="630">
        <v>48</v>
      </c>
      <c r="C41" s="659" t="s">
        <v>983</v>
      </c>
      <c r="D41" s="629" t="s">
        <v>984</v>
      </c>
    </row>
    <row r="42" spans="1:8" ht="30" x14ac:dyDescent="0.25">
      <c r="D42" s="701">
        <v>639</v>
      </c>
      <c r="E42" s="702" t="s">
        <v>878</v>
      </c>
      <c r="F42" s="697"/>
    </row>
    <row r="43" spans="1:8" x14ac:dyDescent="0.25">
      <c r="D43" s="701">
        <v>640</v>
      </c>
      <c r="E43" s="702" t="s">
        <v>879</v>
      </c>
      <c r="F43" s="697"/>
    </row>
    <row r="44" spans="1:8" x14ac:dyDescent="0.25">
      <c r="D44" s="701">
        <v>641</v>
      </c>
      <c r="E44" s="702" t="s">
        <v>880</v>
      </c>
      <c r="F44" s="697"/>
    </row>
    <row r="45" spans="1:8" x14ac:dyDescent="0.25">
      <c r="D45" s="701">
        <v>642</v>
      </c>
      <c r="E45" s="702" t="s">
        <v>881</v>
      </c>
      <c r="F45" s="697"/>
    </row>
    <row r="46" spans="1:8" ht="30" x14ac:dyDescent="0.25">
      <c r="D46" s="701">
        <v>643</v>
      </c>
      <c r="E46" s="702" t="s">
        <v>882</v>
      </c>
      <c r="F46" s="697"/>
    </row>
    <row r="47" spans="1:8" x14ac:dyDescent="0.25">
      <c r="D47" s="701">
        <v>644</v>
      </c>
      <c r="E47" s="702" t="s">
        <v>883</v>
      </c>
      <c r="F47" s="697"/>
    </row>
    <row r="48" spans="1:8" x14ac:dyDescent="0.25">
      <c r="D48" s="701" t="s">
        <v>985</v>
      </c>
      <c r="E48" s="697" t="s">
        <v>747</v>
      </c>
      <c r="F48" s="697"/>
    </row>
    <row r="53" spans="1:1" ht="18.75" x14ac:dyDescent="0.3">
      <c r="A53" s="706" t="s">
        <v>986</v>
      </c>
    </row>
  </sheetData>
  <sheetProtection algorithmName="SHA-512" hashValue="Jeux9mfsFSEbs58PmUujfx+/KBnzUUdlt5TCVn3VwlsRt2831TYWV7FLyzNlWvFQ/nhzHNSlmM4dB+P0hFm2ig==" saltValue="bd2mSb+tLGpYO5LSQwKrVQ==" spinCount="100000" sheet="1" objects="1" scenarios="1"/>
  <mergeCells count="1">
    <mergeCell ref="B1:E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4CC87-E13B-4F65-8BC5-C28CE910D5ED}">
  <dimension ref="A3:M27"/>
  <sheetViews>
    <sheetView workbookViewId="0">
      <pane xSplit="2" ySplit="4" topLeftCell="C5" activePane="bottomRight" state="frozen"/>
      <selection pane="topRight" activeCell="B1" sqref="B1"/>
      <selection pane="bottomLeft" activeCell="A5" sqref="A5"/>
      <selection pane="bottomRight" activeCell="E24" sqref="E24"/>
    </sheetView>
  </sheetViews>
  <sheetFormatPr defaultRowHeight="15" x14ac:dyDescent="0.25"/>
  <cols>
    <col min="1" max="3" width="22.7109375" style="488" customWidth="1"/>
    <col min="4" max="4" width="18.7109375" style="480" customWidth="1"/>
    <col min="5" max="10" width="18.7109375" style="488" customWidth="1"/>
    <col min="11" max="16384" width="9.140625" style="488"/>
  </cols>
  <sheetData>
    <row r="3" spans="1:13" x14ac:dyDescent="0.25">
      <c r="D3" s="479">
        <v>2019</v>
      </c>
      <c r="E3" s="479">
        <v>2018</v>
      </c>
      <c r="F3" s="479">
        <v>2017</v>
      </c>
      <c r="G3" s="479">
        <v>2016</v>
      </c>
      <c r="H3" s="479">
        <v>2015</v>
      </c>
      <c r="I3" s="479">
        <v>2014</v>
      </c>
      <c r="J3" s="479">
        <v>2013</v>
      </c>
      <c r="K3" s="480"/>
      <c r="L3" s="480"/>
      <c r="M3" s="480"/>
    </row>
    <row r="4" spans="1:13" ht="18.75" x14ac:dyDescent="0.25">
      <c r="A4" s="481" t="s">
        <v>921</v>
      </c>
      <c r="B4" s="481"/>
      <c r="C4" s="481" t="s">
        <v>922</v>
      </c>
      <c r="D4" s="482" t="s">
        <v>843</v>
      </c>
      <c r="E4" s="482" t="s">
        <v>843</v>
      </c>
      <c r="F4" s="482" t="s">
        <v>843</v>
      </c>
      <c r="G4" s="482" t="s">
        <v>843</v>
      </c>
      <c r="H4" s="482" t="s">
        <v>843</v>
      </c>
      <c r="I4" s="482" t="s">
        <v>843</v>
      </c>
      <c r="J4" s="482" t="s">
        <v>843</v>
      </c>
      <c r="K4" s="483"/>
    </row>
    <row r="5" spans="1:13" x14ac:dyDescent="0.25">
      <c r="A5" s="484">
        <v>5119</v>
      </c>
      <c r="B5" s="484" t="s">
        <v>898</v>
      </c>
      <c r="C5" s="484">
        <v>647</v>
      </c>
      <c r="D5" s="480">
        <v>20578691</v>
      </c>
      <c r="E5" s="480">
        <v>3249248</v>
      </c>
      <c r="F5" s="480">
        <v>2957570</v>
      </c>
      <c r="G5" s="480">
        <v>5709008</v>
      </c>
      <c r="H5" s="480">
        <v>5114434</v>
      </c>
      <c r="I5" s="480">
        <v>4562229</v>
      </c>
      <c r="J5" s="480">
        <v>4029652</v>
      </c>
    </row>
    <row r="6" spans="1:13" x14ac:dyDescent="0.25">
      <c r="A6" s="484">
        <v>5120</v>
      </c>
      <c r="B6" s="484" t="s">
        <v>899</v>
      </c>
      <c r="C6" s="484">
        <v>647</v>
      </c>
      <c r="D6" s="480">
        <v>0</v>
      </c>
      <c r="E6" s="480">
        <v>0</v>
      </c>
      <c r="F6" s="480">
        <v>0</v>
      </c>
      <c r="G6" s="480">
        <v>0</v>
      </c>
      <c r="H6" s="480">
        <v>0</v>
      </c>
      <c r="I6" s="480">
        <v>0</v>
      </c>
      <c r="J6" s="480">
        <v>0</v>
      </c>
    </row>
    <row r="7" spans="1:13" x14ac:dyDescent="0.25">
      <c r="A7" s="484">
        <v>5131</v>
      </c>
      <c r="B7" s="484" t="s">
        <v>900</v>
      </c>
      <c r="C7" s="484">
        <v>647</v>
      </c>
      <c r="D7" s="480">
        <v>37089245</v>
      </c>
      <c r="E7" s="480">
        <v>20299814</v>
      </c>
      <c r="F7" s="480">
        <v>8051571</v>
      </c>
      <c r="G7" s="480">
        <v>7371500</v>
      </c>
      <c r="H7" s="480">
        <v>5966665</v>
      </c>
      <c r="I7" s="480">
        <v>8207298</v>
      </c>
      <c r="J7" s="480">
        <v>7347048</v>
      </c>
    </row>
    <row r="8" spans="1:13" x14ac:dyDescent="0.25">
      <c r="A8" s="484">
        <v>5135</v>
      </c>
      <c r="B8" s="484" t="s">
        <v>901</v>
      </c>
      <c r="C8" s="484">
        <v>647</v>
      </c>
      <c r="D8" s="480">
        <v>0</v>
      </c>
      <c r="E8" s="480">
        <v>0</v>
      </c>
      <c r="F8" s="480">
        <v>4056482</v>
      </c>
      <c r="G8" s="480">
        <v>3922669</v>
      </c>
      <c r="H8" s="480">
        <v>3148233</v>
      </c>
      <c r="I8" s="480">
        <v>2755127</v>
      </c>
      <c r="J8" s="480">
        <v>2755127</v>
      </c>
    </row>
    <row r="9" spans="1:13" x14ac:dyDescent="0.25">
      <c r="A9" s="484">
        <v>5144</v>
      </c>
      <c r="B9" s="484" t="s">
        <v>902</v>
      </c>
      <c r="C9" s="484">
        <v>647</v>
      </c>
      <c r="D9" s="480">
        <v>7441890</v>
      </c>
      <c r="E9" s="480">
        <v>7441890</v>
      </c>
      <c r="F9" s="480">
        <v>4932241</v>
      </c>
      <c r="G9" s="480">
        <v>590997</v>
      </c>
      <c r="H9" s="480">
        <v>0</v>
      </c>
      <c r="I9" s="480">
        <v>3000000</v>
      </c>
      <c r="J9" s="480">
        <v>2390166</v>
      </c>
    </row>
    <row r="10" spans="1:13" x14ac:dyDescent="0.25">
      <c r="A10" s="484">
        <v>5155</v>
      </c>
      <c r="B10" s="484" t="s">
        <v>903</v>
      </c>
      <c r="C10" s="484">
        <v>647</v>
      </c>
      <c r="D10" s="480">
        <v>1008755</v>
      </c>
      <c r="E10" s="480">
        <v>781534</v>
      </c>
      <c r="F10" s="480">
        <v>663572</v>
      </c>
      <c r="G10" s="480">
        <v>6557774</v>
      </c>
      <c r="H10" s="480">
        <v>611355</v>
      </c>
      <c r="I10" s="480">
        <v>784361</v>
      </c>
      <c r="J10" s="480">
        <v>1022379</v>
      </c>
    </row>
    <row r="11" spans="1:13" x14ac:dyDescent="0.25">
      <c r="A11" s="484">
        <v>5158</v>
      </c>
      <c r="B11" s="484" t="s">
        <v>904</v>
      </c>
      <c r="C11" s="484">
        <v>647</v>
      </c>
      <c r="D11" s="480">
        <v>9</v>
      </c>
      <c r="E11" s="480">
        <v>9</v>
      </c>
      <c r="F11" s="480">
        <v>9</v>
      </c>
      <c r="G11" s="480">
        <v>9</v>
      </c>
      <c r="H11" s="480">
        <v>9</v>
      </c>
      <c r="I11" s="480">
        <v>9</v>
      </c>
      <c r="J11" s="480">
        <v>9</v>
      </c>
    </row>
    <row r="12" spans="1:13" x14ac:dyDescent="0.25">
      <c r="A12" s="484">
        <v>5159</v>
      </c>
      <c r="B12" s="484" t="s">
        <v>905</v>
      </c>
      <c r="C12" s="484">
        <v>647</v>
      </c>
      <c r="D12" s="480">
        <v>225639888</v>
      </c>
      <c r="E12" s="480">
        <v>219009306</v>
      </c>
      <c r="F12" s="480">
        <v>181812071</v>
      </c>
      <c r="G12" s="480">
        <v>193933610</v>
      </c>
      <c r="H12" s="480">
        <v>181583886</v>
      </c>
      <c r="I12" s="480">
        <v>0</v>
      </c>
      <c r="J12" s="480">
        <v>0</v>
      </c>
    </row>
    <row r="13" spans="1:13" x14ac:dyDescent="0.25">
      <c r="A13" s="484">
        <v>5164</v>
      </c>
      <c r="B13" s="484" t="s">
        <v>906</v>
      </c>
      <c r="C13" s="484">
        <v>647</v>
      </c>
      <c r="D13" s="480">
        <v>7132135</v>
      </c>
      <c r="E13" s="480">
        <v>5438631</v>
      </c>
      <c r="F13" s="480">
        <v>2427428</v>
      </c>
      <c r="G13" s="480">
        <v>157674</v>
      </c>
      <c r="H13" s="480">
        <v>0</v>
      </c>
      <c r="I13" s="480">
        <v>0</v>
      </c>
      <c r="J13" s="480">
        <v>0</v>
      </c>
    </row>
    <row r="14" spans="1:13" x14ac:dyDescent="0.25">
      <c r="A14" s="484">
        <v>5173</v>
      </c>
      <c r="B14" s="484" t="s">
        <v>907</v>
      </c>
      <c r="C14" s="484">
        <v>647</v>
      </c>
      <c r="D14" s="480">
        <v>422216</v>
      </c>
      <c r="E14" s="480">
        <v>2615544</v>
      </c>
      <c r="F14" s="480">
        <v>880554</v>
      </c>
      <c r="G14" s="480">
        <v>154942</v>
      </c>
      <c r="H14" s="480">
        <v>107456</v>
      </c>
      <c r="I14" s="480">
        <v>46240</v>
      </c>
      <c r="J14" s="480">
        <v>23390</v>
      </c>
    </row>
    <row r="15" spans="1:13" x14ac:dyDescent="0.25">
      <c r="A15" s="484">
        <v>5178</v>
      </c>
      <c r="B15" s="484" t="s">
        <v>908</v>
      </c>
      <c r="C15" s="484">
        <v>647</v>
      </c>
      <c r="D15" s="480">
        <v>75835</v>
      </c>
      <c r="E15" s="480">
        <v>66039</v>
      </c>
      <c r="F15" s="480">
        <v>57100</v>
      </c>
      <c r="G15" s="480">
        <v>52316</v>
      </c>
      <c r="H15" s="480">
        <v>23715</v>
      </c>
      <c r="I15" s="480">
        <v>899285</v>
      </c>
      <c r="J15" s="480">
        <v>1169608</v>
      </c>
    </row>
    <row r="16" spans="1:13" x14ac:dyDescent="0.25">
      <c r="A16" s="484">
        <v>5180</v>
      </c>
      <c r="B16" s="484" t="s">
        <v>909</v>
      </c>
      <c r="C16" s="484">
        <v>647</v>
      </c>
      <c r="D16" s="480">
        <v>4586780</v>
      </c>
      <c r="E16" s="480">
        <v>5165281</v>
      </c>
      <c r="F16" s="480">
        <v>4432068</v>
      </c>
      <c r="G16" s="480">
        <v>3558985</v>
      </c>
      <c r="H16" s="480">
        <v>2657915</v>
      </c>
      <c r="I16" s="480">
        <v>2071596</v>
      </c>
      <c r="J16" s="480">
        <v>1986034</v>
      </c>
    </row>
    <row r="17" spans="1:10" x14ac:dyDescent="0.25">
      <c r="A17" s="484">
        <v>5191</v>
      </c>
      <c r="B17" s="484" t="s">
        <v>910</v>
      </c>
      <c r="C17" s="484">
        <v>647</v>
      </c>
      <c r="D17" s="480">
        <v>111303046</v>
      </c>
      <c r="E17" s="480">
        <v>108974619</v>
      </c>
      <c r="F17" s="480">
        <v>120290900</v>
      </c>
      <c r="G17" s="480">
        <v>127448981</v>
      </c>
      <c r="H17" s="480">
        <v>153873846</v>
      </c>
      <c r="I17" s="480">
        <v>135252125</v>
      </c>
      <c r="J17" s="480">
        <v>169055200</v>
      </c>
    </row>
    <row r="18" spans="1:10" x14ac:dyDescent="0.25">
      <c r="A18" s="484">
        <v>50074</v>
      </c>
      <c r="B18" s="484" t="s">
        <v>911</v>
      </c>
      <c r="C18" s="484">
        <v>647</v>
      </c>
      <c r="D18" s="480">
        <v>7494829</v>
      </c>
      <c r="E18" s="480">
        <v>7189658</v>
      </c>
      <c r="F18" s="480">
        <v>7048523</v>
      </c>
      <c r="G18" s="480">
        <v>6615510</v>
      </c>
      <c r="H18" s="480">
        <v>5452410</v>
      </c>
      <c r="I18" s="480">
        <v>4803926</v>
      </c>
      <c r="J18" s="480">
        <v>5340180</v>
      </c>
    </row>
    <row r="19" spans="1:10" x14ac:dyDescent="0.25">
      <c r="A19" s="484">
        <v>50075</v>
      </c>
      <c r="B19" s="484" t="s">
        <v>912</v>
      </c>
      <c r="C19" s="484">
        <v>647</v>
      </c>
      <c r="D19" s="480">
        <v>266214000</v>
      </c>
      <c r="E19" s="480">
        <v>265541000</v>
      </c>
      <c r="F19" s="480">
        <v>274532000</v>
      </c>
      <c r="G19" s="480">
        <v>286138000</v>
      </c>
      <c r="H19" s="480">
        <v>295124000</v>
      </c>
      <c r="I19" s="480">
        <v>264645000</v>
      </c>
      <c r="J19" s="480">
        <v>231434000</v>
      </c>
    </row>
    <row r="20" spans="1:10" x14ac:dyDescent="0.25">
      <c r="A20" s="484">
        <v>50110</v>
      </c>
      <c r="B20" s="484" t="s">
        <v>913</v>
      </c>
      <c r="C20" s="484">
        <v>647</v>
      </c>
      <c r="D20" s="480">
        <v>46833536</v>
      </c>
      <c r="E20" s="480">
        <v>45660075</v>
      </c>
      <c r="F20" s="480">
        <v>8463820</v>
      </c>
      <c r="G20" s="480">
        <v>2663591</v>
      </c>
      <c r="H20" s="480">
        <v>2371109</v>
      </c>
      <c r="I20" s="480">
        <v>2878268</v>
      </c>
      <c r="J20" s="480">
        <v>4203755</v>
      </c>
    </row>
    <row r="21" spans="1:10" x14ac:dyDescent="0.25">
      <c r="A21" s="484">
        <v>50144</v>
      </c>
      <c r="B21" s="484" t="s">
        <v>914</v>
      </c>
      <c r="C21" s="484">
        <v>647</v>
      </c>
      <c r="D21" s="480">
        <v>4258932</v>
      </c>
      <c r="E21" s="480">
        <v>853434</v>
      </c>
      <c r="F21" s="480">
        <v>1622119</v>
      </c>
      <c r="G21" s="480">
        <v>1743258</v>
      </c>
      <c r="H21" s="480">
        <v>1740179</v>
      </c>
      <c r="I21" s="480">
        <v>1739958</v>
      </c>
      <c r="J21" s="480">
        <v>1739695</v>
      </c>
    </row>
    <row r="22" spans="1:10" x14ac:dyDescent="0.25">
      <c r="A22" s="484">
        <v>50159</v>
      </c>
      <c r="B22" s="484" t="s">
        <v>915</v>
      </c>
      <c r="C22" s="484">
        <v>647</v>
      </c>
      <c r="D22" s="480">
        <v>28636370</v>
      </c>
      <c r="E22" s="480">
        <v>23180822</v>
      </c>
      <c r="F22" s="480">
        <v>16487675</v>
      </c>
      <c r="G22" s="480">
        <v>10909425</v>
      </c>
      <c r="H22" s="480">
        <v>7878571</v>
      </c>
      <c r="I22" s="480">
        <v>5300679</v>
      </c>
      <c r="J22" s="480">
        <v>4801051</v>
      </c>
    </row>
    <row r="23" spans="1:10" x14ac:dyDescent="0.25">
      <c r="A23" s="484">
        <v>50160</v>
      </c>
      <c r="B23" s="484" t="s">
        <v>916</v>
      </c>
      <c r="C23" s="484">
        <v>647</v>
      </c>
      <c r="D23" s="480">
        <v>1134799</v>
      </c>
      <c r="E23" s="480">
        <v>894858</v>
      </c>
      <c r="F23" s="480">
        <v>1002425</v>
      </c>
      <c r="G23" s="480">
        <v>354061</v>
      </c>
      <c r="H23" s="480">
        <v>392698</v>
      </c>
      <c r="I23" s="480">
        <v>442800</v>
      </c>
      <c r="J23" s="480">
        <v>942821</v>
      </c>
    </row>
    <row r="24" spans="1:10" x14ac:dyDescent="0.25">
      <c r="A24" s="484">
        <v>50180</v>
      </c>
      <c r="B24" s="484" t="s">
        <v>917</v>
      </c>
      <c r="C24" s="484">
        <v>647</v>
      </c>
      <c r="D24" s="480">
        <v>13193040</v>
      </c>
      <c r="E24" s="480">
        <v>17058564</v>
      </c>
      <c r="F24" s="480">
        <v>16187505</v>
      </c>
      <c r="G24" s="480">
        <v>16428100</v>
      </c>
      <c r="H24" s="480">
        <v>16688416</v>
      </c>
      <c r="I24" s="480">
        <v>17840940</v>
      </c>
      <c r="J24" s="480">
        <v>18042019</v>
      </c>
    </row>
    <row r="25" spans="1:10" x14ac:dyDescent="0.25">
      <c r="A25" s="484">
        <v>50405</v>
      </c>
      <c r="B25" s="484" t="s">
        <v>918</v>
      </c>
      <c r="C25" s="484">
        <v>647</v>
      </c>
      <c r="D25" s="480">
        <v>302046</v>
      </c>
      <c r="E25" s="480">
        <v>1055143</v>
      </c>
      <c r="F25" s="480">
        <v>0</v>
      </c>
      <c r="G25" s="480">
        <v>0</v>
      </c>
      <c r="H25" s="480">
        <v>0</v>
      </c>
      <c r="I25" s="480">
        <v>0</v>
      </c>
      <c r="J25" s="480">
        <v>0</v>
      </c>
    </row>
    <row r="26" spans="1:10" x14ac:dyDescent="0.25">
      <c r="A26" s="484">
        <v>50425</v>
      </c>
      <c r="B26" s="484" t="s">
        <v>919</v>
      </c>
      <c r="C26" s="484">
        <v>647</v>
      </c>
      <c r="D26" s="480">
        <v>20836222</v>
      </c>
      <c r="E26" s="480">
        <v>16328642</v>
      </c>
      <c r="F26" s="480">
        <v>15202516</v>
      </c>
      <c r="G26" s="480">
        <v>12384500</v>
      </c>
      <c r="H26" s="480">
        <v>9788553</v>
      </c>
      <c r="I26" s="480">
        <v>7967199</v>
      </c>
      <c r="J26" s="480">
        <v>6398918</v>
      </c>
    </row>
    <row r="27" spans="1:10" x14ac:dyDescent="0.25">
      <c r="A27" s="484">
        <v>50431</v>
      </c>
      <c r="B27" s="484" t="s">
        <v>920</v>
      </c>
      <c r="C27" s="484">
        <v>647</v>
      </c>
      <c r="D27" s="480">
        <v>25542629</v>
      </c>
      <c r="E27" s="480">
        <v>24964077</v>
      </c>
      <c r="F27" s="480">
        <v>23618105</v>
      </c>
      <c r="G27" s="480">
        <v>22744716</v>
      </c>
      <c r="H27" s="480">
        <v>16714796</v>
      </c>
      <c r="I27" s="480">
        <v>13788676</v>
      </c>
      <c r="J27" s="480">
        <v>10895689</v>
      </c>
    </row>
  </sheetData>
  <sheetProtection algorithmName="SHA-512" hashValue="afHJy7TIGvtwvK8cfjhQfftaVi+rt0DvgrdM6H9oQXNYV/pjWVGYWMoSWot6WBfcMs4SuSb0b3fe97d0QM2aWw==" saltValue="g+RnxIJcK6ypBf9fwwZP1w==" spinCount="100000"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0B8EA-A532-44D2-BB6D-F31A35DCE28F}">
  <dimension ref="A1:G6"/>
  <sheetViews>
    <sheetView workbookViewId="0">
      <selection activeCell="G1" sqref="G1"/>
    </sheetView>
  </sheetViews>
  <sheetFormatPr defaultRowHeight="15" x14ac:dyDescent="0.25"/>
  <cols>
    <col min="1" max="1" width="51.42578125" style="833" customWidth="1"/>
    <col min="2" max="6" width="9.140625" style="833"/>
    <col min="7" max="7" width="66.42578125" style="833" customWidth="1"/>
    <col min="8" max="16384" width="9.140625" style="833"/>
  </cols>
  <sheetData>
    <row r="1" spans="1:7" s="446" customFormat="1" ht="27.75" customHeight="1" x14ac:dyDescent="0.5">
      <c r="A1" s="446" t="s">
        <v>894</v>
      </c>
    </row>
    <row r="2" spans="1:7" ht="136.5" customHeight="1" x14ac:dyDescent="0.25">
      <c r="A2" s="954" t="s">
        <v>1243</v>
      </c>
      <c r="B2" s="954"/>
      <c r="C2" s="954"/>
      <c r="D2" s="954"/>
      <c r="E2" s="954"/>
      <c r="F2" s="954"/>
      <c r="G2" s="954"/>
    </row>
    <row r="3" spans="1:7" ht="25.5" customHeight="1" x14ac:dyDescent="0.25"/>
    <row r="4" spans="1:7" x14ac:dyDescent="0.25">
      <c r="A4" s="850" t="s">
        <v>1202</v>
      </c>
      <c r="B4" s="445"/>
    </row>
    <row r="5" spans="1:7" x14ac:dyDescent="0.25">
      <c r="B5" s="445"/>
    </row>
    <row r="6" spans="1:7" x14ac:dyDescent="0.25">
      <c r="B6" s="445"/>
    </row>
  </sheetData>
  <sheetProtection password="CEAA" sheet="1" objects="1" scenarios="1"/>
  <mergeCells count="1">
    <mergeCell ref="A2:G2"/>
  </mergeCells>
  <hyperlinks>
    <hyperlink ref="A4" r:id="rId1" xr:uid="{E5FB011E-A387-427D-B653-1C24C92B8B64}"/>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66171-2DE4-4F44-8E45-7B5D21D2ED38}">
  <dimension ref="A1:I62"/>
  <sheetViews>
    <sheetView topLeftCell="A37" workbookViewId="0">
      <selection activeCell="F66" sqref="F66"/>
    </sheetView>
  </sheetViews>
  <sheetFormatPr defaultRowHeight="15" x14ac:dyDescent="0.25"/>
  <sheetData>
    <row r="1" spans="1:1" ht="15.75" x14ac:dyDescent="0.25">
      <c r="A1" s="640" t="s">
        <v>996</v>
      </c>
    </row>
    <row r="2" spans="1:1" ht="15.75" x14ac:dyDescent="0.25">
      <c r="A2" s="640" t="s">
        <v>997</v>
      </c>
    </row>
    <row r="3" spans="1:1" ht="15.75" x14ac:dyDescent="0.25">
      <c r="A3" s="640" t="s">
        <v>998</v>
      </c>
    </row>
    <row r="4" spans="1:1" ht="15.75" x14ac:dyDescent="0.25">
      <c r="A4" s="640" t="s">
        <v>999</v>
      </c>
    </row>
    <row r="5" spans="1:1" ht="15.75" x14ac:dyDescent="0.25">
      <c r="A5" s="640"/>
    </row>
    <row r="6" spans="1:1" ht="15.75" x14ac:dyDescent="0.25">
      <c r="A6" s="640" t="s">
        <v>1000</v>
      </c>
    </row>
    <row r="7" spans="1:1" ht="15.75" x14ac:dyDescent="0.25">
      <c r="A7" s="640" t="s">
        <v>1001</v>
      </c>
    </row>
    <row r="8" spans="1:1" ht="15.75" x14ac:dyDescent="0.25">
      <c r="A8" s="640" t="s">
        <v>1002</v>
      </c>
    </row>
    <row r="9" spans="1:1" ht="15.75" x14ac:dyDescent="0.25">
      <c r="A9" s="640" t="s">
        <v>1003</v>
      </c>
    </row>
    <row r="10" spans="1:1" ht="15.75" x14ac:dyDescent="0.25">
      <c r="A10" s="640"/>
    </row>
    <row r="11" spans="1:1" ht="15.75" x14ac:dyDescent="0.25">
      <c r="A11" s="640" t="s">
        <v>1004</v>
      </c>
    </row>
    <row r="12" spans="1:1" ht="15.75" x14ac:dyDescent="0.25">
      <c r="A12" s="640" t="s">
        <v>1005</v>
      </c>
    </row>
    <row r="13" spans="1:1" ht="15.75" x14ac:dyDescent="0.25">
      <c r="A13" s="640" t="s">
        <v>1006</v>
      </c>
    </row>
    <row r="14" spans="1:1" ht="15.75" x14ac:dyDescent="0.25">
      <c r="A14" s="640"/>
    </row>
    <row r="15" spans="1:1" ht="15.75" x14ac:dyDescent="0.25">
      <c r="A15" s="640" t="s">
        <v>1007</v>
      </c>
    </row>
    <row r="16" spans="1:1" ht="15.75" x14ac:dyDescent="0.25">
      <c r="A16" s="640" t="s">
        <v>1008</v>
      </c>
    </row>
    <row r="17" spans="1:1" ht="15.75" x14ac:dyDescent="0.25">
      <c r="A17" s="640" t="s">
        <v>1009</v>
      </c>
    </row>
    <row r="18" spans="1:1" ht="15.75" x14ac:dyDescent="0.25">
      <c r="A18" s="640" t="s">
        <v>1010</v>
      </c>
    </row>
    <row r="19" spans="1:1" ht="15.75" x14ac:dyDescent="0.25">
      <c r="A19" s="640"/>
    </row>
    <row r="20" spans="1:1" ht="15.75" x14ac:dyDescent="0.25">
      <c r="A20" s="640" t="s">
        <v>1011</v>
      </c>
    </row>
    <row r="21" spans="1:1" ht="15.75" x14ac:dyDescent="0.25">
      <c r="A21" s="640" t="s">
        <v>1012</v>
      </c>
    </row>
    <row r="22" spans="1:1" ht="15.75" x14ac:dyDescent="0.25">
      <c r="A22" s="640" t="s">
        <v>1013</v>
      </c>
    </row>
    <row r="23" spans="1:1" ht="15.75" x14ac:dyDescent="0.25">
      <c r="A23" s="640" t="s">
        <v>1014</v>
      </c>
    </row>
    <row r="24" spans="1:1" ht="15.75" x14ac:dyDescent="0.25">
      <c r="A24" s="640" t="s">
        <v>1015</v>
      </c>
    </row>
    <row r="25" spans="1:1" ht="15.75" x14ac:dyDescent="0.25">
      <c r="A25" s="640" t="s">
        <v>1016</v>
      </c>
    </row>
    <row r="26" spans="1:1" x14ac:dyDescent="0.25">
      <c r="A26" s="36" t="s">
        <v>1017</v>
      </c>
    </row>
    <row r="27" spans="1:1" x14ac:dyDescent="0.25">
      <c r="A27" s="36" t="s">
        <v>1018</v>
      </c>
    </row>
    <row r="28" spans="1:1" ht="15.75" x14ac:dyDescent="0.25">
      <c r="A28" s="640"/>
    </row>
    <row r="29" spans="1:1" ht="15.75" x14ac:dyDescent="0.25">
      <c r="A29" s="640" t="s">
        <v>1019</v>
      </c>
    </row>
    <row r="30" spans="1:1" ht="15.75" x14ac:dyDescent="0.25">
      <c r="A30" s="640" t="s">
        <v>1020</v>
      </c>
    </row>
    <row r="31" spans="1:1" ht="15.75" x14ac:dyDescent="0.25">
      <c r="A31" s="640" t="s">
        <v>1021</v>
      </c>
    </row>
    <row r="32" spans="1:1" ht="18.75" x14ac:dyDescent="0.25">
      <c r="A32" s="631" t="s">
        <v>1022</v>
      </c>
    </row>
    <row r="33" spans="1:9" x14ac:dyDescent="0.25">
      <c r="A33" s="639" t="s">
        <v>1023</v>
      </c>
    </row>
    <row r="34" spans="1:9" x14ac:dyDescent="0.25">
      <c r="A34" s="639" t="s">
        <v>1024</v>
      </c>
    </row>
    <row r="35" spans="1:9" x14ac:dyDescent="0.25">
      <c r="A35" s="639" t="s">
        <v>1025</v>
      </c>
    </row>
    <row r="36" spans="1:9" x14ac:dyDescent="0.25">
      <c r="A36" s="639" t="s">
        <v>1026</v>
      </c>
    </row>
    <row r="37" spans="1:9" x14ac:dyDescent="0.25">
      <c r="A37" s="639" t="s">
        <v>1027</v>
      </c>
    </row>
    <row r="38" spans="1:9" x14ac:dyDescent="0.25">
      <c r="A38" s="639" t="s">
        <v>1028</v>
      </c>
    </row>
    <row r="39" spans="1:9" x14ac:dyDescent="0.25">
      <c r="A39" s="639" t="s">
        <v>1029</v>
      </c>
    </row>
    <row r="40" spans="1:9" x14ac:dyDescent="0.25">
      <c r="A40" s="639" t="s">
        <v>1030</v>
      </c>
    </row>
    <row r="41" spans="1:9" x14ac:dyDescent="0.25">
      <c r="A41" s="639" t="s">
        <v>1031</v>
      </c>
    </row>
    <row r="42" spans="1:9" x14ac:dyDescent="0.25">
      <c r="A42" s="639" t="s">
        <v>1032</v>
      </c>
    </row>
    <row r="43" spans="1:9" x14ac:dyDescent="0.25">
      <c r="A43" s="639" t="s">
        <v>1033</v>
      </c>
    </row>
    <row r="46" spans="1:9" ht="21" x14ac:dyDescent="0.35">
      <c r="A46" s="632" t="s">
        <v>1042</v>
      </c>
      <c r="B46" s="630"/>
      <c r="C46" s="630"/>
      <c r="D46" s="630"/>
      <c r="E46" s="630"/>
      <c r="F46" s="630"/>
      <c r="G46" s="630"/>
      <c r="H46" s="630"/>
      <c r="I46" s="630"/>
    </row>
    <row r="49" spans="1:1" x14ac:dyDescent="0.25">
      <c r="A49" s="639" t="s">
        <v>1043</v>
      </c>
    </row>
    <row r="50" spans="1:1" x14ac:dyDescent="0.25">
      <c r="A50" s="639"/>
    </row>
    <row r="51" spans="1:1" x14ac:dyDescent="0.25">
      <c r="A51" s="639" t="s">
        <v>1044</v>
      </c>
    </row>
    <row r="52" spans="1:1" x14ac:dyDescent="0.25">
      <c r="A52" s="639"/>
    </row>
    <row r="53" spans="1:1" ht="18.75" x14ac:dyDescent="0.25">
      <c r="A53" s="631" t="s">
        <v>1045</v>
      </c>
    </row>
    <row r="54" spans="1:1" x14ac:dyDescent="0.25">
      <c r="A54" s="639" t="s">
        <v>1046</v>
      </c>
    </row>
    <row r="55" spans="1:1" x14ac:dyDescent="0.25">
      <c r="A55" s="639" t="s">
        <v>1047</v>
      </c>
    </row>
    <row r="56" spans="1:1" x14ac:dyDescent="0.25">
      <c r="A56" s="639" t="s">
        <v>1048</v>
      </c>
    </row>
    <row r="57" spans="1:1" x14ac:dyDescent="0.25">
      <c r="A57" s="639"/>
    </row>
    <row r="58" spans="1:1" x14ac:dyDescent="0.25">
      <c r="A58" s="639" t="s">
        <v>1049</v>
      </c>
    </row>
    <row r="59" spans="1:1" x14ac:dyDescent="0.25">
      <c r="A59" s="639"/>
    </row>
    <row r="60" spans="1:1" x14ac:dyDescent="0.25">
      <c r="A60" s="639" t="s">
        <v>1050</v>
      </c>
    </row>
    <row r="61" spans="1:1" x14ac:dyDescent="0.25">
      <c r="A61" s="639" t="s">
        <v>1051</v>
      </c>
    </row>
    <row r="62" spans="1:1" x14ac:dyDescent="0.25">
      <c r="A62" s="639" t="s">
        <v>1052</v>
      </c>
    </row>
  </sheetData>
  <hyperlinks>
    <hyperlink ref="A26" r:id="rId1" display="\\dst-flsp4A\Share\lgc\publish\AFIRTest\CCH_UploadTest" xr:uid="{673FCB50-9F53-4F95-9EE4-4166166B8C94}"/>
    <hyperlink ref="A27" r:id="rId2" display="\\dst-flsp4A\Share\LGC\publish\AFIRProduction\CCH_Upload" xr:uid="{B84D7E42-6232-49EE-A9A8-E0543CEEAAE0}"/>
  </hyperlinks>
  <pageMargins left="0.7" right="0.7" top="0.75" bottom="0.75" header="0.3" footer="0.3"/>
  <pageSetup orientation="portrait"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D82B8E91699FD4C849FABD4A7E509C3" ma:contentTypeVersion="0" ma:contentTypeDescription="Create a new document." ma:contentTypeScope="" ma:versionID="2cd2447c22f5f264a8d694dbba97a5f5">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48ED7BE-98F7-46AD-806A-4A5AD2D2AFDC}">
  <ds:schemaRefs>
    <ds:schemaRef ds:uri="http://schemas.microsoft.com/sharepoint/v3/contenttype/forms"/>
  </ds:schemaRefs>
</ds:datastoreItem>
</file>

<file path=customXml/itemProps2.xml><?xml version="1.0" encoding="utf-8"?>
<ds:datastoreItem xmlns:ds="http://schemas.openxmlformats.org/officeDocument/2006/customXml" ds:itemID="{1843076E-D01F-4418-A018-8509E507A11D}">
  <ds:schemaRefs>
    <ds:schemaRef ds:uri="http://purl.org/dc/elements/1.1/"/>
    <ds:schemaRef ds:uri="http://purl.org/dc/terms/"/>
    <ds:schemaRef ds:uri="http://schemas.microsoft.com/office/infopath/2007/PartnerControls"/>
    <ds:schemaRef ds:uri="http://purl.org/dc/dcmitype/"/>
    <ds:schemaRef ds:uri="http://schemas.microsoft.com/office/2006/documentManagement/types"/>
    <ds:schemaRef ds:uri="http://schemas.microsoft.com/office/2006/metadata/propertie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CAF89FC5-4BED-4434-9FE9-D8A2A34C17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Instructions</vt:lpstr>
      <vt:lpstr>Unit Data from Audit Worksheet</vt:lpstr>
      <vt:lpstr>IMPORT</vt:lpstr>
      <vt:lpstr>RSS</vt:lpstr>
      <vt:lpstr>3-Year Analysis</vt:lpstr>
      <vt:lpstr>2020 Acct Changes</vt:lpstr>
      <vt:lpstr>Debt Service Funds (H)</vt:lpstr>
      <vt:lpstr>Average FBA</vt:lpstr>
      <vt:lpstr>sequel interface rules (H)</vt:lpstr>
      <vt:lpstr>Unit Names(H)</vt:lpstr>
      <vt:lpstr>2019 Data(H)</vt:lpstr>
      <vt:lpstr>2018 Data(H)</vt:lpstr>
      <vt:lpstr>Instructions!Print_Area</vt:lpstr>
      <vt:lpstr>'Unit Data from Audit Worksheet'!Print_Area</vt:lpstr>
      <vt:lpstr>'Unit Data from Audit Worksheet'!Print_Titles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2019-07-31T15:12:49Z</cp:lastPrinted>
  <dcterms:created xsi:type="dcterms:W3CDTF">2011-03-11T21:05:05Z</dcterms:created>
  <dcterms:modified xsi:type="dcterms:W3CDTF">2021-01-17T13:58:27Z</dcterms:modified>
</cp:coreProperties>
</file>

<file path=docProps/custom.xml><?xml version="1.0" encoding="utf-8"?>
<op:Properties xmlns:vt="http://schemas.openxmlformats.org/officeDocument/2006/docPropsVTypes" xmlns:op="http://schemas.openxmlformats.org/officeDocument/2006/custom-properties">
  <op:property fmtid="{D5CDD505-2E9C-101B-9397-08002B2CF9AE}" pid="2" name="Refresh">
    <vt:bool>true</vt:bool>
  </op:property>
  <op:property fmtid="{D5CDD505-2E9C-101B-9397-08002B2CF9AE}" pid="3" name="Refresh97">
    <vt:bool>false</vt:bool>
  </op:property>
  <op:property fmtid="{D5CDD505-2E9C-101B-9397-08002B2CF9AE}" pid="4" name="Version">
    <vt:i4>20</vt:i4>
  </op:property>
  <op:property fmtid="{D5CDD505-2E9C-101B-9397-08002B2CF9AE}" pid="5" name="tabName">
    <vt:lpwstr>2020 Review Year</vt:lpwstr>
  </op:property>
  <op:property fmtid="{D5CDD505-2E9C-101B-9397-08002B2CF9AE}" pid="6" name="tabIndex">
    <vt:lpwstr/>
  </op:property>
  <op:property fmtid="{D5CDD505-2E9C-101B-9397-08002B2CF9AE}" pid="7" name="workpaperIndex">
    <vt:lpwstr/>
  </op:property>
</op:Properties>
</file>